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vallenevado.imtrust.loc\fmutuo4\Rates &amp; FX\Gestion Portfolios\"/>
    </mc:Choice>
  </mc:AlternateContent>
  <bookViews>
    <workbookView xWindow="1935" yWindow="0" windowWidth="28800" windowHeight="13875" tabRatio="860" firstSheet="1" activeTab="1" xr2:uid="{00000000-000D-0000-FFFF-FFFF00000000}"/>
  </bookViews>
  <sheets>
    <sheet name="AportesRescates" sheetId="32" state="hidden" r:id="rId1"/>
    <sheet name="BaseCompleta" sheetId="10" r:id="rId2"/>
    <sheet name="Inicio" sheetId="12" r:id="rId3"/>
    <sheet name="Posicionamiento" sheetId="36" r:id="rId4"/>
    <sheet name="Datos Riesgo" sheetId="37" r:id="rId5"/>
    <sheet name="Resumen" sheetId="33" r:id="rId6"/>
    <sheet name="Pos_RF_BK_U" sheetId="16" r:id="rId7"/>
    <sheet name="Rebalanceos" sheetId="30" r:id="rId8"/>
    <sheet name="Derivatives" sheetId="17" r:id="rId9"/>
    <sheet name="Caja" sheetId="13" state="hidden" r:id="rId10"/>
    <sheet name="UF" sheetId="19" r:id="rId11"/>
    <sheet name="TransIF" sheetId="28" state="hidden" r:id="rId12"/>
    <sheet name="TransRF" sheetId="27" state="hidden" r:id="rId13"/>
    <sheet name="Emisor Consolidado" sheetId="31" r:id="rId14"/>
    <sheet name="Tasas Diarias" sheetId="26" r:id="rId15"/>
    <sheet name="Curva Gobierno" sheetId="34" state="hidden" r:id="rId16"/>
    <sheet name="Spreads" sheetId="35" r:id="rId17"/>
    <sheet name="Cambio Posicion" sheetId="38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_xlnm._FilterDatabase" localSheetId="1" hidden="1">BaseCompleta!$A$1:$U$1668</definedName>
    <definedName name="_xlnm._FilterDatabase" localSheetId="9" hidden="1">Caja!$B$1:$I$157</definedName>
    <definedName name="_xlnm._FilterDatabase" localSheetId="6" hidden="1">Pos_RF_BK_U!$A$4:$M$48</definedName>
    <definedName name="_xlnm._FilterDatabase" localSheetId="3" hidden="1">Posicionamiento!$AM$18:$AV$50</definedName>
    <definedName name="_xlnm._FilterDatabase" localSheetId="7" hidden="1">Rebalanceos!$N$15:$O$26</definedName>
    <definedName name="_xlnm._FilterDatabase" localSheetId="16" hidden="1">Spreads!$A$1:$G$283</definedName>
    <definedName name="_xlnm._FilterDatabase" localSheetId="14" hidden="1">'Tasas Diarias'!$A$1:$F$534</definedName>
    <definedName name="_xlchart.v1.0" hidden="1">'Datos Riesgo'!$A$3:$A$146</definedName>
    <definedName name="_xlchart.v1.1" hidden="1">'Datos Riesgo'!$B$3:$B$146</definedName>
    <definedName name="_xlchart.v1.2" hidden="1">Posicionamiento!$B$2</definedName>
    <definedName name="ARSCLP">Inicio!$J$13</definedName>
    <definedName name="BRLCLP">Inicio!$J$10</definedName>
    <definedName name="COPCLP">Inicio!$J$11</definedName>
    <definedName name="EURCLPobs" localSheetId="13">[1]Inicio!$J$3</definedName>
    <definedName name="EURCLPobs">Inicio!$J$7</definedName>
    <definedName name="FechaConsulta">Inicio!$C$2</definedName>
    <definedName name="Indicadoresdiarios_1" localSheetId="2">Inicio!$I$6:$L$9</definedName>
    <definedName name="MXNCLP">Inicio!$J$9</definedName>
    <definedName name="PENCLP">Inicio!$J$12</definedName>
    <definedName name="USDCLPobs" localSheetId="13">[1]Inicio!$J$2</definedName>
    <definedName name="USDCLPobs" localSheetId="11">[2]Inicio!$J$2</definedName>
    <definedName name="USDCLPobs" localSheetId="12">[2]Inicio!$J$2</definedName>
    <definedName name="USDCLPobs">Inicio!$J$6</definedName>
  </definedNames>
  <calcPr calcId="171027"/>
  <pivotCaches>
    <pivotCache cacheId="8" r:id="rId23"/>
  </pivotCaches>
</workbook>
</file>

<file path=xl/calcChain.xml><?xml version="1.0" encoding="utf-8"?>
<calcChain xmlns="http://schemas.openxmlformats.org/spreadsheetml/2006/main"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U3" i="10"/>
  <c r="U4" i="10"/>
  <c r="U7" i="10"/>
  <c r="U8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41" i="10"/>
  <c r="U42" i="10"/>
  <c r="U44" i="10"/>
  <c r="U45" i="10"/>
  <c r="U46" i="10"/>
  <c r="U48" i="10"/>
  <c r="U50" i="10"/>
  <c r="U51" i="10"/>
  <c r="U52" i="10"/>
  <c r="U55" i="10"/>
  <c r="U73" i="10"/>
  <c r="U76" i="10"/>
  <c r="U84" i="10"/>
  <c r="U92" i="10"/>
  <c r="U104" i="10"/>
  <c r="U107" i="10"/>
  <c r="U110" i="10"/>
  <c r="U111" i="10"/>
  <c r="U113" i="10"/>
  <c r="U115" i="10"/>
  <c r="U116" i="10"/>
  <c r="U117" i="10"/>
  <c r="U121" i="10"/>
  <c r="U162" i="10"/>
  <c r="U164" i="10"/>
  <c r="U170" i="10"/>
  <c r="U173" i="10"/>
  <c r="U178" i="10"/>
  <c r="U179" i="10"/>
  <c r="U181" i="10"/>
  <c r="U182" i="10"/>
  <c r="U184" i="10"/>
  <c r="U186" i="10"/>
  <c r="U187" i="10"/>
  <c r="U188" i="10"/>
  <c r="U190" i="10"/>
  <c r="U192" i="10"/>
  <c r="U194" i="10"/>
  <c r="U198" i="10"/>
  <c r="U206" i="10"/>
  <c r="U211" i="10"/>
  <c r="U215" i="10"/>
  <c r="U217" i="10"/>
  <c r="U219" i="10"/>
  <c r="U222" i="10"/>
  <c r="U225" i="10"/>
  <c r="U227" i="10"/>
  <c r="U232" i="10"/>
  <c r="U233" i="10"/>
  <c r="U237" i="10"/>
  <c r="U238" i="10"/>
  <c r="U245" i="10"/>
  <c r="U246" i="10"/>
  <c r="U247" i="10"/>
  <c r="U252" i="10"/>
  <c r="U257" i="10"/>
  <c r="U259" i="10"/>
  <c r="U260" i="10"/>
  <c r="U261" i="10"/>
  <c r="U262" i="10"/>
  <c r="U263" i="10"/>
  <c r="U264" i="10"/>
  <c r="U266" i="10"/>
  <c r="U267" i="10"/>
  <c r="U268" i="10"/>
  <c r="U269" i="10"/>
  <c r="U270" i="10"/>
  <c r="U271" i="10"/>
  <c r="U272" i="10"/>
  <c r="U273" i="10"/>
  <c r="U275" i="10"/>
  <c r="U278" i="10"/>
  <c r="U280" i="10"/>
  <c r="U281" i="10"/>
  <c r="U282" i="10"/>
  <c r="U283" i="10"/>
  <c r="U284" i="10"/>
  <c r="U285" i="10"/>
  <c r="U290" i="10"/>
  <c r="U304" i="10"/>
  <c r="U314" i="10"/>
  <c r="U321" i="10"/>
  <c r="U323" i="10"/>
  <c r="U325" i="10"/>
  <c r="U326" i="10"/>
  <c r="U336" i="10"/>
  <c r="U338" i="10"/>
  <c r="U347" i="10"/>
  <c r="U349" i="10"/>
  <c r="U350" i="10"/>
  <c r="U351" i="10"/>
  <c r="U354" i="10"/>
  <c r="U360" i="10"/>
  <c r="U363" i="10"/>
  <c r="U364" i="10"/>
  <c r="U365" i="10"/>
  <c r="U366" i="10"/>
  <c r="U368" i="10"/>
  <c r="U372" i="10"/>
  <c r="U373" i="10"/>
  <c r="U375" i="10"/>
  <c r="U376" i="10"/>
  <c r="U378" i="10"/>
  <c r="U379" i="10"/>
  <c r="U380" i="10"/>
  <c r="U381" i="10"/>
  <c r="U383" i="10"/>
  <c r="U384" i="10"/>
  <c r="U385" i="10"/>
  <c r="U388" i="10"/>
  <c r="U389" i="10"/>
  <c r="U392" i="10"/>
  <c r="U393" i="10"/>
  <c r="U395" i="10"/>
  <c r="U397" i="10"/>
  <c r="U399" i="10"/>
  <c r="U400" i="10"/>
  <c r="U403" i="10"/>
  <c r="U405" i="10"/>
  <c r="U406" i="10"/>
  <c r="U408" i="10"/>
  <c r="U409" i="10"/>
  <c r="U410" i="10"/>
  <c r="U411" i="10"/>
  <c r="U413" i="10"/>
  <c r="U417" i="10"/>
  <c r="U420" i="10"/>
  <c r="U422" i="10"/>
  <c r="U423" i="10"/>
  <c r="U426" i="10"/>
  <c r="U427" i="10"/>
  <c r="U429" i="10"/>
  <c r="U430" i="10"/>
  <c r="U431" i="10"/>
  <c r="U434" i="10"/>
  <c r="U435" i="10"/>
  <c r="U436" i="10"/>
  <c r="U438" i="10"/>
  <c r="U439" i="10"/>
  <c r="U444" i="10"/>
  <c r="U446" i="10"/>
  <c r="U447" i="10"/>
  <c r="U449" i="10"/>
  <c r="U450" i="10"/>
  <c r="U451" i="10"/>
  <c r="U452" i="10"/>
  <c r="U454" i="10"/>
  <c r="U455" i="10"/>
  <c r="U457" i="10"/>
  <c r="U458" i="10"/>
  <c r="U462" i="10"/>
  <c r="U464" i="10"/>
  <c r="U467" i="10"/>
  <c r="U473" i="10"/>
  <c r="U474" i="10"/>
  <c r="U477" i="10"/>
  <c r="U478" i="10"/>
  <c r="U479" i="10"/>
  <c r="U480" i="10"/>
  <c r="U481" i="10"/>
  <c r="U482" i="10"/>
  <c r="U483" i="10"/>
  <c r="U484" i="10"/>
  <c r="U487" i="10"/>
  <c r="U488" i="10"/>
  <c r="U489" i="10"/>
  <c r="U491" i="10"/>
  <c r="U492" i="10"/>
  <c r="U493" i="10"/>
  <c r="U494" i="10"/>
  <c r="U496" i="10"/>
  <c r="U497" i="10"/>
  <c r="U499" i="10"/>
  <c r="U500" i="10"/>
  <c r="U501" i="10"/>
  <c r="U503" i="10"/>
  <c r="U505" i="10"/>
  <c r="U507" i="10"/>
  <c r="U508" i="10"/>
  <c r="U509" i="10"/>
  <c r="U510" i="10"/>
  <c r="U511" i="10"/>
  <c r="U512" i="10"/>
  <c r="U513" i="10"/>
  <c r="U514" i="10"/>
  <c r="U515" i="10"/>
  <c r="U516" i="10"/>
  <c r="U518" i="10"/>
  <c r="U519" i="10"/>
  <c r="U520" i="10"/>
  <c r="U522" i="10"/>
  <c r="U523" i="10"/>
  <c r="U524" i="10"/>
  <c r="U527" i="10"/>
  <c r="U528" i="10"/>
  <c r="U531" i="10"/>
  <c r="U532" i="10"/>
  <c r="U533" i="10"/>
  <c r="U534" i="10"/>
  <c r="U535" i="10"/>
  <c r="U537" i="10"/>
  <c r="U539" i="10"/>
  <c r="U542" i="10"/>
  <c r="U543" i="10"/>
  <c r="U547" i="10"/>
  <c r="U548" i="10"/>
  <c r="U549" i="10"/>
  <c r="U552" i="10"/>
  <c r="U556" i="10"/>
  <c r="U557" i="10"/>
  <c r="U559" i="10"/>
  <c r="U560" i="10"/>
  <c r="U562" i="10"/>
  <c r="U564" i="10"/>
  <c r="U571" i="10"/>
  <c r="U573" i="10"/>
  <c r="U575" i="10"/>
  <c r="U578" i="10"/>
  <c r="U580" i="10"/>
  <c r="U581" i="10"/>
  <c r="U584" i="10"/>
  <c r="U586" i="10"/>
  <c r="U587" i="10"/>
  <c r="U589" i="10"/>
  <c r="U590" i="10"/>
  <c r="U593" i="10"/>
  <c r="U594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90" i="10"/>
  <c r="U791" i="10"/>
  <c r="U792" i="10"/>
  <c r="U793" i="10"/>
  <c r="U794" i="10"/>
  <c r="U795" i="10"/>
  <c r="U796" i="10"/>
  <c r="U797" i="10"/>
  <c r="U798" i="10"/>
  <c r="U799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7" i="10"/>
  <c r="U849" i="10"/>
  <c r="U850" i="10"/>
  <c r="U851" i="10"/>
  <c r="U852" i="10"/>
  <c r="U853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9" i="10"/>
  <c r="U882" i="10"/>
  <c r="U883" i="10"/>
  <c r="U885" i="10"/>
  <c r="U886" i="10"/>
  <c r="U887" i="10"/>
  <c r="U888" i="10"/>
  <c r="U890" i="10"/>
  <c r="U891" i="10"/>
  <c r="U892" i="10"/>
  <c r="U896" i="10"/>
  <c r="U897" i="10"/>
  <c r="U898" i="10"/>
  <c r="U899" i="10"/>
  <c r="U900" i="10"/>
  <c r="U903" i="10"/>
  <c r="U910" i="10"/>
  <c r="U911" i="10"/>
  <c r="U921" i="10"/>
  <c r="U924" i="10"/>
  <c r="U925" i="10"/>
  <c r="U932" i="10"/>
  <c r="U934" i="10"/>
  <c r="U937" i="10"/>
  <c r="U941" i="10"/>
  <c r="U949" i="10"/>
  <c r="U950" i="10"/>
  <c r="U954" i="10"/>
  <c r="U955" i="10"/>
  <c r="U956" i="10"/>
  <c r="U960" i="10"/>
  <c r="U967" i="10"/>
  <c r="U968" i="10"/>
  <c r="U969" i="10"/>
  <c r="U973" i="10"/>
  <c r="U980" i="10"/>
  <c r="U989" i="10"/>
  <c r="U992" i="10"/>
  <c r="U996" i="10"/>
  <c r="U999" i="10"/>
  <c r="U1006" i="10"/>
  <c r="U1009" i="10"/>
  <c r="U1010" i="10"/>
  <c r="U1012" i="10"/>
  <c r="U1018" i="10"/>
  <c r="U1019" i="10"/>
  <c r="U1021" i="10"/>
  <c r="U1022" i="10"/>
  <c r="U1023" i="10"/>
  <c r="U1024" i="10"/>
  <c r="U1027" i="10"/>
  <c r="U1028" i="10"/>
  <c r="U1030" i="10"/>
  <c r="U1031" i="10"/>
  <c r="U1034" i="10"/>
  <c r="U1036" i="10"/>
  <c r="U1039" i="10"/>
  <c r="U1040" i="10"/>
  <c r="U1043" i="10"/>
  <c r="U1044" i="10"/>
  <c r="U1046" i="10"/>
  <c r="U1048" i="10"/>
  <c r="U1050" i="10"/>
  <c r="U1051" i="10"/>
  <c r="U1055" i="10"/>
  <c r="U1056" i="10"/>
  <c r="U1057" i="10"/>
  <c r="U1058" i="10"/>
  <c r="U1064" i="10"/>
  <c r="U1069" i="10"/>
  <c r="U1072" i="10"/>
  <c r="U1078" i="10"/>
  <c r="U1079" i="10"/>
  <c r="U1080" i="10"/>
  <c r="U1082" i="10"/>
  <c r="U1083" i="10"/>
  <c r="U1084" i="10"/>
  <c r="U1088" i="10"/>
  <c r="U1090" i="10"/>
  <c r="U1094" i="10"/>
  <c r="U1095" i="10"/>
  <c r="U1098" i="10"/>
  <c r="U1103" i="10"/>
  <c r="U1106" i="10"/>
  <c r="U1112" i="10"/>
  <c r="U1113" i="10"/>
  <c r="U1116" i="10"/>
  <c r="U1119" i="10"/>
  <c r="U1120" i="10"/>
  <c r="U1123" i="10"/>
  <c r="U1127" i="10"/>
  <c r="U1129" i="10"/>
  <c r="U1130" i="10"/>
  <c r="U1131" i="10"/>
  <c r="U1132" i="10"/>
  <c r="U1140" i="10"/>
  <c r="U1145" i="10"/>
  <c r="U1148" i="10"/>
  <c r="U1150" i="10"/>
  <c r="U1158" i="10"/>
  <c r="U1160" i="10"/>
  <c r="U1169" i="10"/>
  <c r="U1171" i="10"/>
  <c r="U1174" i="10"/>
  <c r="U1180" i="10"/>
  <c r="U1184" i="10"/>
  <c r="U1185" i="10"/>
  <c r="U1186" i="10"/>
  <c r="U1187" i="10"/>
  <c r="U1188" i="10"/>
  <c r="U1189" i="10"/>
  <c r="U1191" i="10"/>
  <c r="U1192" i="10"/>
  <c r="U1193" i="10"/>
  <c r="U1194" i="10"/>
  <c r="U1195" i="10"/>
  <c r="U1196" i="10"/>
  <c r="U1197" i="10"/>
  <c r="U1198" i="10"/>
  <c r="U1201" i="10"/>
  <c r="U1208" i="10"/>
  <c r="U1216" i="10"/>
  <c r="U1221" i="10"/>
  <c r="U1225" i="10"/>
  <c r="U1228" i="10"/>
  <c r="U1229" i="10"/>
  <c r="U1234" i="10"/>
  <c r="U1235" i="10"/>
  <c r="U1236" i="10"/>
  <c r="U1238" i="10"/>
  <c r="U1240" i="10"/>
  <c r="U1241" i="10"/>
  <c r="U1242" i="10"/>
  <c r="U1245" i="10"/>
  <c r="U1246" i="10"/>
  <c r="U1249" i="10"/>
  <c r="U1250" i="10"/>
  <c r="U1251" i="10"/>
  <c r="U1252" i="10"/>
  <c r="U1254" i="10"/>
  <c r="U1256" i="10"/>
  <c r="U1259" i="10"/>
  <c r="U1261" i="10"/>
  <c r="U1262" i="10"/>
  <c r="U1264" i="10"/>
  <c r="U1265" i="10"/>
  <c r="U1266" i="10"/>
  <c r="U1274" i="10"/>
  <c r="U1281" i="10"/>
  <c r="U1282" i="10"/>
  <c r="U1283" i="10"/>
  <c r="U1288" i="10"/>
  <c r="U1301" i="10"/>
  <c r="U1303" i="10"/>
  <c r="U1313" i="10"/>
  <c r="U1316" i="10"/>
  <c r="T3" i="10"/>
  <c r="T4" i="10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T504" i="10"/>
  <c r="T505" i="10"/>
  <c r="T506" i="10"/>
  <c r="T507" i="10"/>
  <c r="T508" i="10"/>
  <c r="T509" i="10"/>
  <c r="T510" i="10"/>
  <c r="T511" i="10"/>
  <c r="T512" i="10"/>
  <c r="T513" i="10"/>
  <c r="T514" i="10"/>
  <c r="T515" i="10"/>
  <c r="T516" i="10"/>
  <c r="T517" i="10"/>
  <c r="T518" i="10"/>
  <c r="T519" i="10"/>
  <c r="T520" i="10"/>
  <c r="T521" i="10"/>
  <c r="T522" i="10"/>
  <c r="T523" i="10"/>
  <c r="T524" i="10"/>
  <c r="T525" i="10"/>
  <c r="T526" i="10"/>
  <c r="T527" i="10"/>
  <c r="T528" i="10"/>
  <c r="T529" i="10"/>
  <c r="T530" i="10"/>
  <c r="T531" i="10"/>
  <c r="T532" i="10"/>
  <c r="T533" i="10"/>
  <c r="T534" i="10"/>
  <c r="T535" i="10"/>
  <c r="T536" i="10"/>
  <c r="T537" i="10"/>
  <c r="T538" i="10"/>
  <c r="T539" i="10"/>
  <c r="T540" i="10"/>
  <c r="T541" i="10"/>
  <c r="T542" i="10"/>
  <c r="T543" i="10"/>
  <c r="T544" i="10"/>
  <c r="T545" i="10"/>
  <c r="T546" i="10"/>
  <c r="T547" i="10"/>
  <c r="T548" i="10"/>
  <c r="T549" i="10"/>
  <c r="T550" i="10"/>
  <c r="T551" i="10"/>
  <c r="T552" i="10"/>
  <c r="T553" i="10"/>
  <c r="T554" i="10"/>
  <c r="T555" i="10"/>
  <c r="T556" i="10"/>
  <c r="T557" i="10"/>
  <c r="T558" i="10"/>
  <c r="T559" i="10"/>
  <c r="T560" i="10"/>
  <c r="T561" i="10"/>
  <c r="T562" i="10"/>
  <c r="T563" i="10"/>
  <c r="T564" i="10"/>
  <c r="T565" i="10"/>
  <c r="T566" i="10"/>
  <c r="T567" i="10"/>
  <c r="T568" i="10"/>
  <c r="T569" i="10"/>
  <c r="T570" i="10"/>
  <c r="T571" i="10"/>
  <c r="T572" i="10"/>
  <c r="T573" i="10"/>
  <c r="T574" i="10"/>
  <c r="T575" i="10"/>
  <c r="T576" i="10"/>
  <c r="T577" i="10"/>
  <c r="T578" i="10"/>
  <c r="T579" i="10"/>
  <c r="T580" i="10"/>
  <c r="T581" i="10"/>
  <c r="T582" i="10"/>
  <c r="T583" i="10"/>
  <c r="T584" i="10"/>
  <c r="T585" i="10"/>
  <c r="T586" i="10"/>
  <c r="T587" i="10"/>
  <c r="T588" i="10"/>
  <c r="T589" i="10"/>
  <c r="T590" i="10"/>
  <c r="T591" i="10"/>
  <c r="T592" i="10"/>
  <c r="T593" i="10"/>
  <c r="T594" i="10"/>
  <c r="T595" i="10"/>
  <c r="T596" i="10"/>
  <c r="T597" i="10"/>
  <c r="T598" i="10"/>
  <c r="T599" i="10"/>
  <c r="T600" i="10"/>
  <c r="T601" i="10"/>
  <c r="T602" i="10"/>
  <c r="T603" i="10"/>
  <c r="T604" i="10"/>
  <c r="T605" i="10"/>
  <c r="T606" i="10"/>
  <c r="T607" i="10"/>
  <c r="T608" i="10"/>
  <c r="T609" i="10"/>
  <c r="T610" i="10"/>
  <c r="T611" i="10"/>
  <c r="T612" i="10"/>
  <c r="T613" i="10"/>
  <c r="T614" i="10"/>
  <c r="T615" i="10"/>
  <c r="T616" i="10"/>
  <c r="T617" i="10"/>
  <c r="T618" i="10"/>
  <c r="T619" i="10"/>
  <c r="T620" i="10"/>
  <c r="T621" i="10"/>
  <c r="T622" i="10"/>
  <c r="T623" i="10"/>
  <c r="T624" i="10"/>
  <c r="T625" i="10"/>
  <c r="T626" i="10"/>
  <c r="T627" i="10"/>
  <c r="T628" i="10"/>
  <c r="T629" i="10"/>
  <c r="T630" i="10"/>
  <c r="T631" i="10"/>
  <c r="T632" i="10"/>
  <c r="T633" i="10"/>
  <c r="T634" i="10"/>
  <c r="T635" i="10"/>
  <c r="T636" i="10"/>
  <c r="T637" i="10"/>
  <c r="T638" i="10"/>
  <c r="T639" i="10"/>
  <c r="T640" i="10"/>
  <c r="T641" i="10"/>
  <c r="T642" i="10"/>
  <c r="T643" i="10"/>
  <c r="T644" i="10"/>
  <c r="T645" i="10"/>
  <c r="T646" i="10"/>
  <c r="T647" i="10"/>
  <c r="T648" i="10"/>
  <c r="T649" i="10"/>
  <c r="T650" i="10"/>
  <c r="T651" i="10"/>
  <c r="T652" i="10"/>
  <c r="T653" i="10"/>
  <c r="T654" i="10"/>
  <c r="T655" i="10"/>
  <c r="T656" i="10"/>
  <c r="T657" i="10"/>
  <c r="T658" i="10"/>
  <c r="T659" i="10"/>
  <c r="T660" i="10"/>
  <c r="T661" i="10"/>
  <c r="T662" i="10"/>
  <c r="T663" i="10"/>
  <c r="T664" i="10"/>
  <c r="T665" i="10"/>
  <c r="T666" i="10"/>
  <c r="T667" i="10"/>
  <c r="T668" i="10"/>
  <c r="T669" i="10"/>
  <c r="T670" i="10"/>
  <c r="T671" i="10"/>
  <c r="T672" i="10"/>
  <c r="T673" i="10"/>
  <c r="T674" i="10"/>
  <c r="T675" i="10"/>
  <c r="T676" i="10"/>
  <c r="T677" i="10"/>
  <c r="T678" i="10"/>
  <c r="T679" i="10"/>
  <c r="T680" i="10"/>
  <c r="T681" i="10"/>
  <c r="T682" i="10"/>
  <c r="T683" i="10"/>
  <c r="T684" i="10"/>
  <c r="T685" i="10"/>
  <c r="T686" i="10"/>
  <c r="T687" i="10"/>
  <c r="T688" i="10"/>
  <c r="T689" i="10"/>
  <c r="T690" i="10"/>
  <c r="T691" i="10"/>
  <c r="T692" i="10"/>
  <c r="T693" i="10"/>
  <c r="T694" i="10"/>
  <c r="T695" i="10"/>
  <c r="T696" i="10"/>
  <c r="T697" i="10"/>
  <c r="T698" i="10"/>
  <c r="T699" i="10"/>
  <c r="T700" i="10"/>
  <c r="T701" i="10"/>
  <c r="T702" i="10"/>
  <c r="T703" i="10"/>
  <c r="T704" i="10"/>
  <c r="T705" i="10"/>
  <c r="T706" i="10"/>
  <c r="T707" i="10"/>
  <c r="T708" i="10"/>
  <c r="T709" i="10"/>
  <c r="T710" i="10"/>
  <c r="T711" i="10"/>
  <c r="T712" i="10"/>
  <c r="T713" i="10"/>
  <c r="T714" i="10"/>
  <c r="T715" i="10"/>
  <c r="T716" i="10"/>
  <c r="T717" i="10"/>
  <c r="T718" i="10"/>
  <c r="T719" i="10"/>
  <c r="T720" i="10"/>
  <c r="T721" i="10"/>
  <c r="T722" i="10"/>
  <c r="T723" i="10"/>
  <c r="T724" i="10"/>
  <c r="T725" i="10"/>
  <c r="T726" i="10"/>
  <c r="T727" i="10"/>
  <c r="T728" i="10"/>
  <c r="T729" i="10"/>
  <c r="T730" i="10"/>
  <c r="T731" i="10"/>
  <c r="T732" i="10"/>
  <c r="T733" i="10"/>
  <c r="T734" i="10"/>
  <c r="T735" i="10"/>
  <c r="T736" i="10"/>
  <c r="T737" i="10"/>
  <c r="T738" i="10"/>
  <c r="T739" i="10"/>
  <c r="T740" i="10"/>
  <c r="T741" i="10"/>
  <c r="T742" i="10"/>
  <c r="T743" i="10"/>
  <c r="T744" i="10"/>
  <c r="T745" i="10"/>
  <c r="T746" i="10"/>
  <c r="T747" i="10"/>
  <c r="T748" i="10"/>
  <c r="T749" i="10"/>
  <c r="T750" i="10"/>
  <c r="T751" i="10"/>
  <c r="T752" i="10"/>
  <c r="T753" i="10"/>
  <c r="T754" i="10"/>
  <c r="T755" i="10"/>
  <c r="T756" i="10"/>
  <c r="T757" i="10"/>
  <c r="T758" i="10"/>
  <c r="T759" i="10"/>
  <c r="T760" i="10"/>
  <c r="T761" i="10"/>
  <c r="T762" i="10"/>
  <c r="T763" i="10"/>
  <c r="T764" i="10"/>
  <c r="T765" i="10"/>
  <c r="T766" i="10"/>
  <c r="T767" i="10"/>
  <c r="T768" i="10"/>
  <c r="T769" i="10"/>
  <c r="T770" i="10"/>
  <c r="T771" i="10"/>
  <c r="T772" i="10"/>
  <c r="T773" i="10"/>
  <c r="T774" i="10"/>
  <c r="T775" i="10"/>
  <c r="T776" i="10"/>
  <c r="T777" i="10"/>
  <c r="T778" i="10"/>
  <c r="T779" i="10"/>
  <c r="T780" i="10"/>
  <c r="T781" i="10"/>
  <c r="T782" i="10"/>
  <c r="T783" i="10"/>
  <c r="T784" i="10"/>
  <c r="T785" i="10"/>
  <c r="T786" i="10"/>
  <c r="T787" i="10"/>
  <c r="T788" i="10"/>
  <c r="T789" i="10"/>
  <c r="T790" i="10"/>
  <c r="T791" i="10"/>
  <c r="T792" i="10"/>
  <c r="T793" i="10"/>
  <c r="T794" i="10"/>
  <c r="T795" i="10"/>
  <c r="T796" i="10"/>
  <c r="T797" i="10"/>
  <c r="T798" i="10"/>
  <c r="T799" i="10"/>
  <c r="T800" i="10"/>
  <c r="T801" i="10"/>
  <c r="T802" i="10"/>
  <c r="T803" i="10"/>
  <c r="T804" i="10"/>
  <c r="T805" i="10"/>
  <c r="T806" i="10"/>
  <c r="T807" i="10"/>
  <c r="T808" i="10"/>
  <c r="T809" i="10"/>
  <c r="T810" i="10"/>
  <c r="T811" i="10"/>
  <c r="T812" i="10"/>
  <c r="T813" i="10"/>
  <c r="T814" i="10"/>
  <c r="T815" i="10"/>
  <c r="T816" i="10"/>
  <c r="T817" i="10"/>
  <c r="T818" i="10"/>
  <c r="T819" i="10"/>
  <c r="T820" i="10"/>
  <c r="T821" i="10"/>
  <c r="T822" i="10"/>
  <c r="T823" i="10"/>
  <c r="T824" i="10"/>
  <c r="T825" i="10"/>
  <c r="T826" i="10"/>
  <c r="T827" i="10"/>
  <c r="T828" i="10"/>
  <c r="T829" i="10"/>
  <c r="T830" i="10"/>
  <c r="T831" i="10"/>
  <c r="T832" i="10"/>
  <c r="T833" i="10"/>
  <c r="T834" i="10"/>
  <c r="T835" i="10"/>
  <c r="T836" i="10"/>
  <c r="T837" i="10"/>
  <c r="T838" i="10"/>
  <c r="T839" i="10"/>
  <c r="T840" i="10"/>
  <c r="T841" i="10"/>
  <c r="T842" i="10"/>
  <c r="T843" i="10"/>
  <c r="T844" i="10"/>
  <c r="T845" i="10"/>
  <c r="T846" i="10"/>
  <c r="T847" i="10"/>
  <c r="T848" i="10"/>
  <c r="T849" i="10"/>
  <c r="T850" i="10"/>
  <c r="T851" i="10"/>
  <c r="T852" i="10"/>
  <c r="T853" i="10"/>
  <c r="T854" i="10"/>
  <c r="T855" i="10"/>
  <c r="T856" i="10"/>
  <c r="T857" i="10"/>
  <c r="T858" i="10"/>
  <c r="T859" i="10"/>
  <c r="T860" i="10"/>
  <c r="T861" i="10"/>
  <c r="T862" i="10"/>
  <c r="T863" i="10"/>
  <c r="T864" i="10"/>
  <c r="T865" i="10"/>
  <c r="T866" i="10"/>
  <c r="T867" i="10"/>
  <c r="T868" i="10"/>
  <c r="T869" i="10"/>
  <c r="T870" i="10"/>
  <c r="T871" i="10"/>
  <c r="T872" i="10"/>
  <c r="T873" i="10"/>
  <c r="T874" i="10"/>
  <c r="T875" i="10"/>
  <c r="T876" i="10"/>
  <c r="T877" i="10"/>
  <c r="T878" i="10"/>
  <c r="T879" i="10"/>
  <c r="T880" i="10"/>
  <c r="T881" i="10"/>
  <c r="T882" i="10"/>
  <c r="T883" i="10"/>
  <c r="T884" i="10"/>
  <c r="T885" i="10"/>
  <c r="T886" i="10"/>
  <c r="T887" i="10"/>
  <c r="T888" i="10"/>
  <c r="T889" i="10"/>
  <c r="T890" i="10"/>
  <c r="T891" i="10"/>
  <c r="T892" i="10"/>
  <c r="T893" i="10"/>
  <c r="T894" i="10"/>
  <c r="T895" i="10"/>
  <c r="T896" i="10"/>
  <c r="T897" i="10"/>
  <c r="T898" i="10"/>
  <c r="T899" i="10"/>
  <c r="T900" i="10"/>
  <c r="T901" i="10"/>
  <c r="T902" i="10"/>
  <c r="T903" i="10"/>
  <c r="T904" i="10"/>
  <c r="T905" i="10"/>
  <c r="T906" i="10"/>
  <c r="T907" i="10"/>
  <c r="T908" i="10"/>
  <c r="T909" i="10"/>
  <c r="T910" i="10"/>
  <c r="T911" i="10"/>
  <c r="T912" i="10"/>
  <c r="T913" i="10"/>
  <c r="T914" i="10"/>
  <c r="T915" i="10"/>
  <c r="T916" i="10"/>
  <c r="T917" i="10"/>
  <c r="T918" i="10"/>
  <c r="T919" i="10"/>
  <c r="T920" i="10"/>
  <c r="T921" i="10"/>
  <c r="T922" i="10"/>
  <c r="T923" i="10"/>
  <c r="T924" i="10"/>
  <c r="T925" i="10"/>
  <c r="T926" i="10"/>
  <c r="T927" i="10"/>
  <c r="T928" i="10"/>
  <c r="T929" i="10"/>
  <c r="T930" i="10"/>
  <c r="T931" i="10"/>
  <c r="T932" i="10"/>
  <c r="T933" i="10"/>
  <c r="T934" i="10"/>
  <c r="T935" i="10"/>
  <c r="T936" i="10"/>
  <c r="T937" i="10"/>
  <c r="T938" i="10"/>
  <c r="T939" i="10"/>
  <c r="T940" i="10"/>
  <c r="T941" i="10"/>
  <c r="T942" i="10"/>
  <c r="T943" i="10"/>
  <c r="T944" i="10"/>
  <c r="T945" i="10"/>
  <c r="T946" i="10"/>
  <c r="T947" i="10"/>
  <c r="T948" i="10"/>
  <c r="T949" i="10"/>
  <c r="T950" i="10"/>
  <c r="T951" i="10"/>
  <c r="T952" i="10"/>
  <c r="T953" i="10"/>
  <c r="T954" i="10"/>
  <c r="T955" i="10"/>
  <c r="T956" i="10"/>
  <c r="T957" i="10"/>
  <c r="T958" i="10"/>
  <c r="T959" i="10"/>
  <c r="T960" i="10"/>
  <c r="T961" i="10"/>
  <c r="T962" i="10"/>
  <c r="T963" i="10"/>
  <c r="T964" i="10"/>
  <c r="T965" i="10"/>
  <c r="T966" i="10"/>
  <c r="T967" i="10"/>
  <c r="T968" i="10"/>
  <c r="T969" i="10"/>
  <c r="T970" i="10"/>
  <c r="T971" i="10"/>
  <c r="T972" i="10"/>
  <c r="T973" i="10"/>
  <c r="T974" i="10"/>
  <c r="T975" i="10"/>
  <c r="T976" i="10"/>
  <c r="T977" i="10"/>
  <c r="T978" i="10"/>
  <c r="T979" i="10"/>
  <c r="T980" i="10"/>
  <c r="T981" i="10"/>
  <c r="T982" i="10"/>
  <c r="T983" i="10"/>
  <c r="T984" i="10"/>
  <c r="T985" i="10"/>
  <c r="T986" i="10"/>
  <c r="T987" i="10"/>
  <c r="T988" i="10"/>
  <c r="T989" i="10"/>
  <c r="T990" i="10"/>
  <c r="T991" i="10"/>
  <c r="T992" i="10"/>
  <c r="T993" i="10"/>
  <c r="T994" i="10"/>
  <c r="T995" i="10"/>
  <c r="T996" i="10"/>
  <c r="T997" i="10"/>
  <c r="T998" i="10"/>
  <c r="T999" i="10"/>
  <c r="T1000" i="10"/>
  <c r="T1001" i="10"/>
  <c r="T1002" i="10"/>
  <c r="T1003" i="10"/>
  <c r="T1004" i="10"/>
  <c r="T1005" i="10"/>
  <c r="T1006" i="10"/>
  <c r="T1007" i="10"/>
  <c r="T1008" i="10"/>
  <c r="T1009" i="10"/>
  <c r="T1010" i="10"/>
  <c r="T1011" i="10"/>
  <c r="T1012" i="10"/>
  <c r="T1013" i="10"/>
  <c r="T1014" i="10"/>
  <c r="T1015" i="10"/>
  <c r="T1016" i="10"/>
  <c r="T1017" i="10"/>
  <c r="T1018" i="10"/>
  <c r="T1019" i="10"/>
  <c r="T1020" i="10"/>
  <c r="T1021" i="10"/>
  <c r="T1022" i="10"/>
  <c r="T1023" i="10"/>
  <c r="T1024" i="10"/>
  <c r="T1025" i="10"/>
  <c r="T1026" i="10"/>
  <c r="T1027" i="10"/>
  <c r="T1028" i="10"/>
  <c r="T1029" i="10"/>
  <c r="T1030" i="10"/>
  <c r="T1031" i="10"/>
  <c r="T1032" i="10"/>
  <c r="T1033" i="10"/>
  <c r="T1034" i="10"/>
  <c r="T1035" i="10"/>
  <c r="T1036" i="10"/>
  <c r="T1037" i="10"/>
  <c r="T1038" i="10"/>
  <c r="T1039" i="10"/>
  <c r="T1040" i="10"/>
  <c r="T1041" i="10"/>
  <c r="T1042" i="10"/>
  <c r="T1043" i="10"/>
  <c r="T1044" i="10"/>
  <c r="T1045" i="10"/>
  <c r="T1046" i="10"/>
  <c r="T1047" i="10"/>
  <c r="T1048" i="10"/>
  <c r="T1049" i="10"/>
  <c r="T1050" i="10"/>
  <c r="T1051" i="10"/>
  <c r="T1052" i="10"/>
  <c r="T1053" i="10"/>
  <c r="T1054" i="10"/>
  <c r="T1055" i="10"/>
  <c r="T1056" i="10"/>
  <c r="T1057" i="10"/>
  <c r="T1058" i="10"/>
  <c r="T1059" i="10"/>
  <c r="T1060" i="10"/>
  <c r="T1061" i="10"/>
  <c r="T1062" i="10"/>
  <c r="T1063" i="10"/>
  <c r="T1064" i="10"/>
  <c r="T1065" i="10"/>
  <c r="T1066" i="10"/>
  <c r="T1067" i="10"/>
  <c r="T1068" i="10"/>
  <c r="T1069" i="10"/>
  <c r="T1070" i="10"/>
  <c r="T1071" i="10"/>
  <c r="T1072" i="10"/>
  <c r="T1073" i="10"/>
  <c r="T1074" i="10"/>
  <c r="T1075" i="10"/>
  <c r="T1076" i="10"/>
  <c r="T1077" i="10"/>
  <c r="T1078" i="10"/>
  <c r="T1079" i="10"/>
  <c r="T1080" i="10"/>
  <c r="T1081" i="10"/>
  <c r="T1082" i="10"/>
  <c r="T1083" i="10"/>
  <c r="T1084" i="10"/>
  <c r="T1085" i="10"/>
  <c r="T1086" i="10"/>
  <c r="T1087" i="10"/>
  <c r="T1088" i="10"/>
  <c r="T1089" i="10"/>
  <c r="T1090" i="10"/>
  <c r="T1091" i="10"/>
  <c r="T1092" i="10"/>
  <c r="T1093" i="10"/>
  <c r="T1094" i="10"/>
  <c r="T1095" i="10"/>
  <c r="T1096" i="10"/>
  <c r="T1097" i="10"/>
  <c r="T1098" i="10"/>
  <c r="T1099" i="10"/>
  <c r="T1100" i="10"/>
  <c r="T1101" i="10"/>
  <c r="T1102" i="10"/>
  <c r="T1103" i="10"/>
  <c r="T1104" i="10"/>
  <c r="T1105" i="10"/>
  <c r="T1106" i="10"/>
  <c r="T1107" i="10"/>
  <c r="T1108" i="10"/>
  <c r="T1109" i="10"/>
  <c r="T1110" i="10"/>
  <c r="T1111" i="10"/>
  <c r="T1112" i="10"/>
  <c r="T1113" i="10"/>
  <c r="T1114" i="10"/>
  <c r="T1115" i="10"/>
  <c r="T1116" i="10"/>
  <c r="T1117" i="10"/>
  <c r="T1118" i="10"/>
  <c r="T1119" i="10"/>
  <c r="T1120" i="10"/>
  <c r="T1121" i="10"/>
  <c r="T1122" i="10"/>
  <c r="T1123" i="10"/>
  <c r="T1124" i="10"/>
  <c r="T1125" i="10"/>
  <c r="T1126" i="10"/>
  <c r="T1127" i="10"/>
  <c r="T1128" i="10"/>
  <c r="T1129" i="10"/>
  <c r="T1130" i="10"/>
  <c r="T1131" i="10"/>
  <c r="T1132" i="10"/>
  <c r="T1133" i="10"/>
  <c r="T1134" i="10"/>
  <c r="T1135" i="10"/>
  <c r="T1136" i="10"/>
  <c r="T1137" i="10"/>
  <c r="T1138" i="10"/>
  <c r="T1139" i="10"/>
  <c r="T1140" i="10"/>
  <c r="T1141" i="10"/>
  <c r="T1142" i="10"/>
  <c r="T1143" i="10"/>
  <c r="T1144" i="10"/>
  <c r="T1145" i="10"/>
  <c r="T1146" i="10"/>
  <c r="T1147" i="10"/>
  <c r="T1148" i="10"/>
  <c r="T1149" i="10"/>
  <c r="T1150" i="10"/>
  <c r="T1151" i="10"/>
  <c r="T1152" i="10"/>
  <c r="T1153" i="10"/>
  <c r="T1154" i="10"/>
  <c r="T1155" i="10"/>
  <c r="T1156" i="10"/>
  <c r="T1157" i="10"/>
  <c r="T1158" i="10"/>
  <c r="T1159" i="10"/>
  <c r="T1160" i="10"/>
  <c r="T1161" i="10"/>
  <c r="T1162" i="10"/>
  <c r="T1163" i="10"/>
  <c r="T1164" i="10"/>
  <c r="T1165" i="10"/>
  <c r="T1166" i="10"/>
  <c r="T1167" i="10"/>
  <c r="T1168" i="10"/>
  <c r="T1169" i="10"/>
  <c r="T1170" i="10"/>
  <c r="T1171" i="10"/>
  <c r="T1172" i="10"/>
  <c r="T1173" i="10"/>
  <c r="T1174" i="10"/>
  <c r="T1175" i="10"/>
  <c r="T1176" i="10"/>
  <c r="T1177" i="10"/>
  <c r="T1178" i="10"/>
  <c r="T1179" i="10"/>
  <c r="T1180" i="10"/>
  <c r="T1181" i="10"/>
  <c r="T1182" i="10"/>
  <c r="T1183" i="10"/>
  <c r="T1184" i="10"/>
  <c r="T1185" i="10"/>
  <c r="T1186" i="10"/>
  <c r="T1187" i="10"/>
  <c r="T1188" i="10"/>
  <c r="T1189" i="10"/>
  <c r="T1190" i="10"/>
  <c r="T1191" i="10"/>
  <c r="T1192" i="10"/>
  <c r="T1193" i="10"/>
  <c r="T1194" i="10"/>
  <c r="T1195" i="10"/>
  <c r="T1196" i="10"/>
  <c r="T1197" i="10"/>
  <c r="T1198" i="10"/>
  <c r="T1199" i="10"/>
  <c r="T1200" i="10"/>
  <c r="T1201" i="10"/>
  <c r="T1202" i="10"/>
  <c r="T1203" i="10"/>
  <c r="T1204" i="10"/>
  <c r="T1205" i="10"/>
  <c r="T1206" i="10"/>
  <c r="T1207" i="10"/>
  <c r="T1208" i="10"/>
  <c r="T1209" i="10"/>
  <c r="T1210" i="10"/>
  <c r="T1211" i="10"/>
  <c r="T1212" i="10"/>
  <c r="T1213" i="10"/>
  <c r="T1214" i="10"/>
  <c r="T1215" i="10"/>
  <c r="T1216" i="10"/>
  <c r="T1217" i="10"/>
  <c r="T1218" i="10"/>
  <c r="T1219" i="10"/>
  <c r="T1220" i="10"/>
  <c r="T1221" i="10"/>
  <c r="T1222" i="10"/>
  <c r="T1223" i="10"/>
  <c r="T1224" i="10"/>
  <c r="T1225" i="10"/>
  <c r="T1226" i="10"/>
  <c r="T1227" i="10"/>
  <c r="T1228" i="10"/>
  <c r="T1229" i="10"/>
  <c r="T1230" i="10"/>
  <c r="T1231" i="10"/>
  <c r="T1232" i="10"/>
  <c r="T1233" i="10"/>
  <c r="T1234" i="10"/>
  <c r="T1235" i="10"/>
  <c r="T1236" i="10"/>
  <c r="T1237" i="10"/>
  <c r="T1238" i="10"/>
  <c r="T1239" i="10"/>
  <c r="T1240" i="10"/>
  <c r="T1241" i="10"/>
  <c r="T1242" i="10"/>
  <c r="T1243" i="10"/>
  <c r="T1244" i="10"/>
  <c r="T1245" i="10"/>
  <c r="T1246" i="10"/>
  <c r="T1247" i="10"/>
  <c r="T1248" i="10"/>
  <c r="T1249" i="10"/>
  <c r="T1250" i="10"/>
  <c r="T1251" i="10"/>
  <c r="T1252" i="10"/>
  <c r="T1253" i="10"/>
  <c r="T1254" i="10"/>
  <c r="T1255" i="10"/>
  <c r="T1256" i="10"/>
  <c r="T1257" i="10"/>
  <c r="T1258" i="10"/>
  <c r="T1259" i="10"/>
  <c r="T1260" i="10"/>
  <c r="T1261" i="10"/>
  <c r="T1262" i="10"/>
  <c r="T1263" i="10"/>
  <c r="T1264" i="10"/>
  <c r="T1265" i="10"/>
  <c r="T1266" i="10"/>
  <c r="T1267" i="10"/>
  <c r="T1268" i="10"/>
  <c r="T1269" i="10"/>
  <c r="T1270" i="10"/>
  <c r="T1271" i="10"/>
  <c r="T1272" i="10"/>
  <c r="T1273" i="10"/>
  <c r="T1274" i="10"/>
  <c r="T1275" i="10"/>
  <c r="T1276" i="10"/>
  <c r="T1277" i="10"/>
  <c r="T1278" i="10"/>
  <c r="T1279" i="10"/>
  <c r="T1280" i="10"/>
  <c r="T1281" i="10"/>
  <c r="T1282" i="10"/>
  <c r="T1283" i="10"/>
  <c r="T1284" i="10"/>
  <c r="T1285" i="10"/>
  <c r="T1286" i="10"/>
  <c r="T1287" i="10"/>
  <c r="T1288" i="10"/>
  <c r="T1289" i="10"/>
  <c r="T1290" i="10"/>
  <c r="T1291" i="10"/>
  <c r="T1292" i="10"/>
  <c r="T1293" i="10"/>
  <c r="T1294" i="10"/>
  <c r="T1295" i="10"/>
  <c r="T1296" i="10"/>
  <c r="T1297" i="10"/>
  <c r="T1298" i="10"/>
  <c r="T1299" i="10"/>
  <c r="T1300" i="10"/>
  <c r="T1301" i="10"/>
  <c r="T1302" i="10"/>
  <c r="T1303" i="10"/>
  <c r="T1304" i="10"/>
  <c r="T1305" i="10"/>
  <c r="T1306" i="10"/>
  <c r="T1307" i="10"/>
  <c r="T1308" i="10"/>
  <c r="T1309" i="10"/>
  <c r="T1310" i="10"/>
  <c r="T1311" i="10"/>
  <c r="T1312" i="10"/>
  <c r="T1313" i="10"/>
  <c r="T1314" i="10"/>
  <c r="T1315" i="10"/>
  <c r="T1316" i="10"/>
  <c r="T1317" i="10"/>
  <c r="T1318" i="10"/>
  <c r="T1319" i="10"/>
  <c r="T1320" i="10"/>
  <c r="T1321" i="10"/>
  <c r="T1322" i="10"/>
  <c r="T1323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723" i="10"/>
  <c r="S724" i="10"/>
  <c r="S725" i="10"/>
  <c r="S726" i="10"/>
  <c r="S727" i="10"/>
  <c r="S728" i="10"/>
  <c r="S729" i="10"/>
  <c r="S730" i="10"/>
  <c r="S731" i="10"/>
  <c r="S732" i="10"/>
  <c r="S733" i="10"/>
  <c r="S734" i="10"/>
  <c r="S735" i="10"/>
  <c r="S736" i="10"/>
  <c r="S737" i="10"/>
  <c r="S738" i="10"/>
  <c r="S739" i="10"/>
  <c r="S740" i="10"/>
  <c r="S741" i="10"/>
  <c r="S742" i="10"/>
  <c r="S743" i="10"/>
  <c r="S744" i="10"/>
  <c r="S745" i="10"/>
  <c r="S746" i="10"/>
  <c r="S747" i="10"/>
  <c r="S748" i="10"/>
  <c r="S749" i="10"/>
  <c r="S750" i="10"/>
  <c r="S751" i="10"/>
  <c r="S752" i="10"/>
  <c r="S753" i="10"/>
  <c r="S754" i="10"/>
  <c r="S755" i="10"/>
  <c r="S756" i="10"/>
  <c r="S757" i="10"/>
  <c r="S758" i="10"/>
  <c r="S759" i="10"/>
  <c r="S760" i="10"/>
  <c r="S761" i="10"/>
  <c r="S762" i="10"/>
  <c r="S763" i="10"/>
  <c r="S764" i="10"/>
  <c r="S765" i="10"/>
  <c r="S766" i="10"/>
  <c r="S767" i="10"/>
  <c r="S768" i="10"/>
  <c r="S769" i="10"/>
  <c r="S770" i="10"/>
  <c r="S771" i="10"/>
  <c r="S772" i="10"/>
  <c r="S773" i="10"/>
  <c r="S774" i="10"/>
  <c r="S775" i="10"/>
  <c r="S776" i="10"/>
  <c r="S777" i="10"/>
  <c r="S778" i="10"/>
  <c r="S779" i="10"/>
  <c r="S780" i="10"/>
  <c r="S781" i="10"/>
  <c r="S782" i="10"/>
  <c r="S783" i="10"/>
  <c r="S784" i="10"/>
  <c r="S785" i="10"/>
  <c r="S786" i="10"/>
  <c r="S787" i="10"/>
  <c r="S788" i="10"/>
  <c r="S789" i="10"/>
  <c r="S790" i="10"/>
  <c r="S791" i="10"/>
  <c r="S792" i="10"/>
  <c r="S793" i="10"/>
  <c r="S794" i="10"/>
  <c r="S795" i="10"/>
  <c r="S796" i="10"/>
  <c r="S797" i="10"/>
  <c r="S798" i="10"/>
  <c r="S799" i="10"/>
  <c r="S800" i="10"/>
  <c r="S801" i="10"/>
  <c r="S802" i="10"/>
  <c r="S803" i="10"/>
  <c r="S804" i="10"/>
  <c r="S805" i="10"/>
  <c r="S806" i="10"/>
  <c r="S807" i="10"/>
  <c r="S808" i="10"/>
  <c r="S809" i="10"/>
  <c r="S810" i="10"/>
  <c r="S811" i="10"/>
  <c r="S812" i="10"/>
  <c r="S813" i="10"/>
  <c r="S814" i="10"/>
  <c r="S815" i="10"/>
  <c r="S816" i="10"/>
  <c r="S817" i="10"/>
  <c r="S818" i="10"/>
  <c r="S819" i="10"/>
  <c r="S820" i="10"/>
  <c r="S821" i="10"/>
  <c r="S822" i="10"/>
  <c r="S823" i="10"/>
  <c r="S824" i="10"/>
  <c r="S825" i="10"/>
  <c r="S826" i="10"/>
  <c r="S827" i="10"/>
  <c r="S828" i="10"/>
  <c r="S829" i="10"/>
  <c r="S830" i="10"/>
  <c r="S831" i="10"/>
  <c r="S832" i="10"/>
  <c r="S833" i="10"/>
  <c r="S834" i="10"/>
  <c r="S835" i="10"/>
  <c r="S836" i="10"/>
  <c r="S837" i="10"/>
  <c r="S838" i="10"/>
  <c r="S839" i="10"/>
  <c r="S840" i="10"/>
  <c r="S841" i="10"/>
  <c r="S842" i="10"/>
  <c r="S843" i="10"/>
  <c r="S844" i="10"/>
  <c r="S845" i="10"/>
  <c r="S846" i="10"/>
  <c r="S847" i="10"/>
  <c r="S848" i="10"/>
  <c r="S849" i="10"/>
  <c r="S850" i="10"/>
  <c r="S851" i="10"/>
  <c r="S852" i="10"/>
  <c r="S853" i="10"/>
  <c r="S854" i="10"/>
  <c r="S855" i="10"/>
  <c r="S856" i="10"/>
  <c r="S857" i="10"/>
  <c r="S858" i="10"/>
  <c r="S859" i="10"/>
  <c r="S860" i="10"/>
  <c r="S861" i="10"/>
  <c r="S862" i="10"/>
  <c r="S863" i="10"/>
  <c r="S864" i="10"/>
  <c r="S865" i="10"/>
  <c r="S866" i="10"/>
  <c r="S867" i="10"/>
  <c r="S868" i="10"/>
  <c r="S869" i="10"/>
  <c r="S870" i="10"/>
  <c r="S871" i="10"/>
  <c r="S872" i="10"/>
  <c r="S873" i="10"/>
  <c r="S874" i="10"/>
  <c r="S875" i="10"/>
  <c r="S876" i="10"/>
  <c r="S877" i="10"/>
  <c r="S878" i="10"/>
  <c r="S879" i="10"/>
  <c r="S880" i="10"/>
  <c r="S881" i="10"/>
  <c r="S882" i="10"/>
  <c r="S883" i="10"/>
  <c r="S884" i="10"/>
  <c r="S885" i="10"/>
  <c r="S886" i="10"/>
  <c r="S887" i="10"/>
  <c r="S888" i="10"/>
  <c r="S889" i="10"/>
  <c r="S890" i="10"/>
  <c r="S891" i="10"/>
  <c r="S892" i="10"/>
  <c r="S893" i="10"/>
  <c r="S894" i="10"/>
  <c r="S895" i="10"/>
  <c r="S896" i="10"/>
  <c r="S897" i="10"/>
  <c r="S898" i="10"/>
  <c r="S899" i="10"/>
  <c r="S900" i="10"/>
  <c r="S901" i="10"/>
  <c r="S902" i="10"/>
  <c r="S903" i="10"/>
  <c r="S904" i="10"/>
  <c r="S905" i="10"/>
  <c r="S906" i="10"/>
  <c r="S907" i="10"/>
  <c r="S908" i="10"/>
  <c r="S909" i="10"/>
  <c r="S910" i="10"/>
  <c r="S911" i="10"/>
  <c r="S912" i="10"/>
  <c r="S913" i="10"/>
  <c r="S914" i="10"/>
  <c r="S915" i="10"/>
  <c r="S916" i="10"/>
  <c r="S917" i="10"/>
  <c r="S918" i="10"/>
  <c r="S919" i="10"/>
  <c r="S920" i="10"/>
  <c r="S921" i="10"/>
  <c r="S922" i="10"/>
  <c r="S923" i="10"/>
  <c r="S924" i="10"/>
  <c r="S925" i="10"/>
  <c r="S926" i="10"/>
  <c r="S927" i="10"/>
  <c r="S928" i="10"/>
  <c r="S929" i="10"/>
  <c r="S930" i="10"/>
  <c r="S931" i="10"/>
  <c r="S932" i="10"/>
  <c r="S933" i="10"/>
  <c r="S934" i="10"/>
  <c r="S935" i="10"/>
  <c r="S936" i="10"/>
  <c r="S937" i="10"/>
  <c r="S938" i="10"/>
  <c r="S939" i="10"/>
  <c r="S940" i="10"/>
  <c r="S941" i="10"/>
  <c r="S942" i="10"/>
  <c r="S943" i="10"/>
  <c r="S944" i="10"/>
  <c r="S945" i="10"/>
  <c r="S946" i="10"/>
  <c r="S947" i="10"/>
  <c r="S948" i="10"/>
  <c r="S949" i="10"/>
  <c r="S950" i="10"/>
  <c r="S951" i="10"/>
  <c r="S952" i="10"/>
  <c r="S953" i="10"/>
  <c r="S954" i="10"/>
  <c r="S955" i="10"/>
  <c r="S956" i="10"/>
  <c r="S957" i="10"/>
  <c r="S958" i="10"/>
  <c r="S959" i="10"/>
  <c r="S960" i="10"/>
  <c r="S961" i="10"/>
  <c r="S962" i="10"/>
  <c r="S963" i="10"/>
  <c r="S964" i="10"/>
  <c r="S965" i="10"/>
  <c r="S966" i="10"/>
  <c r="S967" i="10"/>
  <c r="S968" i="10"/>
  <c r="S969" i="10"/>
  <c r="S970" i="10"/>
  <c r="S971" i="10"/>
  <c r="S972" i="10"/>
  <c r="S973" i="10"/>
  <c r="S974" i="10"/>
  <c r="S975" i="10"/>
  <c r="S976" i="10"/>
  <c r="S977" i="10"/>
  <c r="S978" i="10"/>
  <c r="S979" i="10"/>
  <c r="S980" i="10"/>
  <c r="S981" i="10"/>
  <c r="S982" i="10"/>
  <c r="S983" i="10"/>
  <c r="S984" i="10"/>
  <c r="S985" i="10"/>
  <c r="S986" i="10"/>
  <c r="S987" i="10"/>
  <c r="S988" i="10"/>
  <c r="S989" i="10"/>
  <c r="S990" i="10"/>
  <c r="S991" i="10"/>
  <c r="S992" i="10"/>
  <c r="S993" i="10"/>
  <c r="S994" i="10"/>
  <c r="S995" i="10"/>
  <c r="S996" i="10"/>
  <c r="S997" i="10"/>
  <c r="S998" i="10"/>
  <c r="S999" i="10"/>
  <c r="S1000" i="10"/>
  <c r="S1001" i="10"/>
  <c r="S1002" i="10"/>
  <c r="S1003" i="10"/>
  <c r="S1004" i="10"/>
  <c r="S1005" i="10"/>
  <c r="S1006" i="10"/>
  <c r="S1007" i="10"/>
  <c r="S1008" i="10"/>
  <c r="S1009" i="10"/>
  <c r="S1010" i="10"/>
  <c r="S1011" i="10"/>
  <c r="S1012" i="10"/>
  <c r="S1013" i="10"/>
  <c r="S1014" i="10"/>
  <c r="S1015" i="10"/>
  <c r="S1016" i="10"/>
  <c r="S1017" i="10"/>
  <c r="S1018" i="10"/>
  <c r="S1019" i="10"/>
  <c r="S1020" i="10"/>
  <c r="S1021" i="10"/>
  <c r="S1022" i="10"/>
  <c r="S1023" i="10"/>
  <c r="S1024" i="10"/>
  <c r="S1025" i="10"/>
  <c r="S1026" i="10"/>
  <c r="S1027" i="10"/>
  <c r="S1028" i="10"/>
  <c r="S1029" i="10"/>
  <c r="S1030" i="10"/>
  <c r="S1031" i="10"/>
  <c r="S1032" i="10"/>
  <c r="S1033" i="10"/>
  <c r="S1034" i="10"/>
  <c r="S1035" i="10"/>
  <c r="S1036" i="10"/>
  <c r="S1037" i="10"/>
  <c r="S1038" i="10"/>
  <c r="S1039" i="10"/>
  <c r="S1040" i="10"/>
  <c r="S1041" i="10"/>
  <c r="S1042" i="10"/>
  <c r="S1043" i="10"/>
  <c r="S1044" i="10"/>
  <c r="S1045" i="10"/>
  <c r="S1046" i="10"/>
  <c r="S1047" i="10"/>
  <c r="S1048" i="10"/>
  <c r="S1049" i="10"/>
  <c r="S1050" i="10"/>
  <c r="S1051" i="10"/>
  <c r="S1052" i="10"/>
  <c r="S1053" i="10"/>
  <c r="S1054" i="10"/>
  <c r="S1055" i="10"/>
  <c r="S1056" i="10"/>
  <c r="S1057" i="10"/>
  <c r="S1058" i="10"/>
  <c r="S1059" i="10"/>
  <c r="S1060" i="10"/>
  <c r="S1061" i="10"/>
  <c r="S1062" i="10"/>
  <c r="S1063" i="10"/>
  <c r="S1064" i="10"/>
  <c r="S1065" i="10"/>
  <c r="S1066" i="10"/>
  <c r="S1067" i="10"/>
  <c r="S1068" i="10"/>
  <c r="S1069" i="10"/>
  <c r="S1070" i="10"/>
  <c r="S1071" i="10"/>
  <c r="S1072" i="10"/>
  <c r="S1073" i="10"/>
  <c r="S1074" i="10"/>
  <c r="S1075" i="10"/>
  <c r="S1076" i="10"/>
  <c r="S1077" i="10"/>
  <c r="S1078" i="10"/>
  <c r="S1079" i="10"/>
  <c r="S1080" i="10"/>
  <c r="S1081" i="10"/>
  <c r="S1082" i="10"/>
  <c r="S1083" i="10"/>
  <c r="S1084" i="10"/>
  <c r="S1085" i="10"/>
  <c r="S1086" i="10"/>
  <c r="S1087" i="10"/>
  <c r="S1088" i="10"/>
  <c r="S1089" i="10"/>
  <c r="S1090" i="10"/>
  <c r="S1091" i="10"/>
  <c r="S1092" i="10"/>
  <c r="S1093" i="10"/>
  <c r="S1094" i="10"/>
  <c r="S1095" i="10"/>
  <c r="S1096" i="10"/>
  <c r="S1097" i="10"/>
  <c r="S1098" i="10"/>
  <c r="S1099" i="10"/>
  <c r="S1100" i="10"/>
  <c r="S1101" i="10"/>
  <c r="S1102" i="10"/>
  <c r="S1103" i="10"/>
  <c r="S1104" i="10"/>
  <c r="S1105" i="10"/>
  <c r="S1106" i="10"/>
  <c r="S1107" i="10"/>
  <c r="S1108" i="10"/>
  <c r="S1109" i="10"/>
  <c r="S1110" i="10"/>
  <c r="S1111" i="10"/>
  <c r="S1112" i="10"/>
  <c r="S1113" i="10"/>
  <c r="S1114" i="10"/>
  <c r="S1115" i="10"/>
  <c r="S1116" i="10"/>
  <c r="S1117" i="10"/>
  <c r="S1118" i="10"/>
  <c r="S1119" i="10"/>
  <c r="S1120" i="10"/>
  <c r="S1121" i="10"/>
  <c r="S1122" i="10"/>
  <c r="S1123" i="10"/>
  <c r="S1124" i="10"/>
  <c r="S1125" i="10"/>
  <c r="S1126" i="10"/>
  <c r="S1127" i="10"/>
  <c r="S1128" i="10"/>
  <c r="S1129" i="10"/>
  <c r="S1130" i="10"/>
  <c r="S1131" i="10"/>
  <c r="S1132" i="10"/>
  <c r="S1133" i="10"/>
  <c r="S1134" i="10"/>
  <c r="S1135" i="10"/>
  <c r="S1136" i="10"/>
  <c r="S1137" i="10"/>
  <c r="S1138" i="10"/>
  <c r="S1139" i="10"/>
  <c r="S1140" i="10"/>
  <c r="S1141" i="10"/>
  <c r="S1142" i="10"/>
  <c r="S1143" i="10"/>
  <c r="S1144" i="10"/>
  <c r="S1145" i="10"/>
  <c r="S1146" i="10"/>
  <c r="S1147" i="10"/>
  <c r="S1148" i="10"/>
  <c r="S1149" i="10"/>
  <c r="S1150" i="10"/>
  <c r="S1151" i="10"/>
  <c r="S1152" i="10"/>
  <c r="S1153" i="10"/>
  <c r="S1154" i="10"/>
  <c r="S1155" i="10"/>
  <c r="S1156" i="10"/>
  <c r="S1157" i="10"/>
  <c r="S1158" i="10"/>
  <c r="S1159" i="10"/>
  <c r="S1160" i="10"/>
  <c r="S1161" i="10"/>
  <c r="S1162" i="10"/>
  <c r="S1163" i="10"/>
  <c r="S1164" i="10"/>
  <c r="S1165" i="10"/>
  <c r="S1166" i="10"/>
  <c r="S1167" i="10"/>
  <c r="S1168" i="10"/>
  <c r="S1169" i="10"/>
  <c r="S1170" i="10"/>
  <c r="S1171" i="10"/>
  <c r="S1172" i="10"/>
  <c r="S1173" i="10"/>
  <c r="S1174" i="10"/>
  <c r="S1175" i="10"/>
  <c r="S1176" i="10"/>
  <c r="S1177" i="10"/>
  <c r="S1178" i="10"/>
  <c r="S1179" i="10"/>
  <c r="S1180" i="10"/>
  <c r="S1181" i="10"/>
  <c r="S1182" i="10"/>
  <c r="S1183" i="10"/>
  <c r="S1184" i="10"/>
  <c r="S1185" i="10"/>
  <c r="S1186" i="10"/>
  <c r="S1187" i="10"/>
  <c r="S1188" i="10"/>
  <c r="S1189" i="10"/>
  <c r="S1190" i="10"/>
  <c r="S1191" i="10"/>
  <c r="S1192" i="10"/>
  <c r="S1193" i="10"/>
  <c r="S1194" i="10"/>
  <c r="S1195" i="10"/>
  <c r="S1196" i="10"/>
  <c r="S1197" i="10"/>
  <c r="S1198" i="10"/>
  <c r="S1199" i="10"/>
  <c r="S1200" i="10"/>
  <c r="S1201" i="10"/>
  <c r="S1202" i="10"/>
  <c r="S1203" i="10"/>
  <c r="S1204" i="10"/>
  <c r="S1205" i="10"/>
  <c r="S1206" i="10"/>
  <c r="S1207" i="10"/>
  <c r="S1208" i="10"/>
  <c r="S1209" i="10"/>
  <c r="S1210" i="10"/>
  <c r="S1211" i="10"/>
  <c r="S1212" i="10"/>
  <c r="S1213" i="10"/>
  <c r="S1214" i="10"/>
  <c r="S1215" i="10"/>
  <c r="S1216" i="10"/>
  <c r="S1217" i="10"/>
  <c r="S1218" i="10"/>
  <c r="S1219" i="10"/>
  <c r="S1220" i="10"/>
  <c r="S1221" i="10"/>
  <c r="S1222" i="10"/>
  <c r="S1223" i="10"/>
  <c r="S1224" i="10"/>
  <c r="S1225" i="10"/>
  <c r="S1226" i="10"/>
  <c r="S1227" i="10"/>
  <c r="S1228" i="10"/>
  <c r="S1229" i="10"/>
  <c r="S1230" i="10"/>
  <c r="S1231" i="10"/>
  <c r="S1232" i="10"/>
  <c r="S1233" i="10"/>
  <c r="S1234" i="10"/>
  <c r="S1235" i="10"/>
  <c r="S1236" i="10"/>
  <c r="S1237" i="10"/>
  <c r="S1238" i="10"/>
  <c r="S1239" i="10"/>
  <c r="S1240" i="10"/>
  <c r="S1241" i="10"/>
  <c r="S1242" i="10"/>
  <c r="S1243" i="10"/>
  <c r="S1244" i="10"/>
  <c r="S1245" i="10"/>
  <c r="S1246" i="10"/>
  <c r="S1247" i="10"/>
  <c r="S1248" i="10"/>
  <c r="S1249" i="10"/>
  <c r="S1250" i="10"/>
  <c r="S1251" i="10"/>
  <c r="S1252" i="10"/>
  <c r="S1253" i="10"/>
  <c r="S1254" i="10"/>
  <c r="S1255" i="10"/>
  <c r="S1256" i="10"/>
  <c r="S1257" i="10"/>
  <c r="S1258" i="10"/>
  <c r="S1259" i="10"/>
  <c r="S1260" i="10"/>
  <c r="S1261" i="10"/>
  <c r="S1262" i="10"/>
  <c r="S1263" i="10"/>
  <c r="S1264" i="10"/>
  <c r="S1265" i="10"/>
  <c r="S1266" i="10"/>
  <c r="S1267" i="10"/>
  <c r="S1268" i="10"/>
  <c r="S1269" i="10"/>
  <c r="S1270" i="10"/>
  <c r="S1271" i="10"/>
  <c r="S1272" i="10"/>
  <c r="S1273" i="10"/>
  <c r="S1274" i="10"/>
  <c r="S1275" i="10"/>
  <c r="S1276" i="10"/>
  <c r="S1277" i="10"/>
  <c r="S1278" i="10"/>
  <c r="S1279" i="10"/>
  <c r="S1280" i="10"/>
  <c r="S1281" i="10"/>
  <c r="S1282" i="10"/>
  <c r="S1283" i="10"/>
  <c r="S1284" i="10"/>
  <c r="S1285" i="10"/>
  <c r="S1286" i="10"/>
  <c r="S1287" i="10"/>
  <c r="S1288" i="10"/>
  <c r="S1289" i="10"/>
  <c r="S1290" i="10"/>
  <c r="S1291" i="10"/>
  <c r="S1292" i="10"/>
  <c r="S1293" i="10"/>
  <c r="S1294" i="10"/>
  <c r="S1295" i="10"/>
  <c r="S1296" i="10"/>
  <c r="S1297" i="10"/>
  <c r="S1298" i="10"/>
  <c r="S1299" i="10"/>
  <c r="S1300" i="10"/>
  <c r="S1301" i="10"/>
  <c r="S1302" i="10"/>
  <c r="S1303" i="10"/>
  <c r="S1304" i="10"/>
  <c r="S1305" i="10"/>
  <c r="S1306" i="10"/>
  <c r="S1307" i="10"/>
  <c r="S1308" i="10"/>
  <c r="S1309" i="10"/>
  <c r="S1310" i="10"/>
  <c r="S1311" i="10"/>
  <c r="S1312" i="10"/>
  <c r="S1313" i="10"/>
  <c r="S1314" i="10"/>
  <c r="S1315" i="10"/>
  <c r="S1316" i="10"/>
  <c r="S1317" i="10"/>
  <c r="S1318" i="10"/>
  <c r="S1319" i="10"/>
  <c r="S1320" i="10"/>
  <c r="S1321" i="10"/>
  <c r="S1322" i="10"/>
  <c r="S1323" i="10"/>
  <c r="U1324" i="10" l="1"/>
  <c r="U1329" i="10"/>
  <c r="U1330" i="10"/>
  <c r="U1332" i="10"/>
  <c r="U1334" i="10"/>
  <c r="U1335" i="10"/>
  <c r="U1336" i="10"/>
  <c r="U1337" i="10"/>
  <c r="U1340" i="10"/>
  <c r="U1343" i="10"/>
  <c r="U1344" i="10"/>
  <c r="U1345" i="10"/>
  <c r="U1346" i="10"/>
  <c r="U1348" i="10"/>
  <c r="U1350" i="10"/>
  <c r="U1353" i="10"/>
  <c r="U1355" i="10"/>
  <c r="U1356" i="10"/>
  <c r="U1358" i="10"/>
  <c r="U1359" i="10"/>
  <c r="U1360" i="10"/>
  <c r="U1374" i="10"/>
  <c r="U1375" i="10"/>
  <c r="U1376" i="10"/>
  <c r="U1380" i="10"/>
  <c r="U1395" i="10"/>
  <c r="U1396" i="10"/>
  <c r="U1406" i="10"/>
  <c r="U1409" i="10"/>
  <c r="U1429" i="10" l="1"/>
  <c r="U1430" i="10"/>
  <c r="U1431" i="10"/>
  <c r="U1435" i="10"/>
  <c r="U1449" i="10"/>
  <c r="U1451" i="10"/>
  <c r="U1461" i="10"/>
  <c r="U1464" i="10"/>
  <c r="U1482" i="10" l="1"/>
  <c r="U1484" i="10"/>
  <c r="U12" i="12" l="1"/>
  <c r="U13" i="12"/>
  <c r="U14" i="12"/>
  <c r="R10" i="12"/>
  <c r="S9" i="12"/>
  <c r="S11" i="12"/>
  <c r="S8" i="12"/>
  <c r="R11" i="12"/>
  <c r="R8" i="12"/>
  <c r="S10" i="12"/>
  <c r="U9" i="12" l="1"/>
  <c r="C2" i="12" l="1"/>
  <c r="D7" i="12" l="1"/>
  <c r="D6" i="12"/>
  <c r="D8" i="12"/>
  <c r="D9" i="12"/>
  <c r="D10" i="12"/>
  <c r="D11" i="12"/>
  <c r="D12" i="12"/>
  <c r="D13" i="12"/>
  <c r="D14" i="12"/>
  <c r="T2" i="10" l="1"/>
  <c r="S2" i="10"/>
  <c r="I17" i="36" l="1"/>
  <c r="I18" i="36"/>
  <c r="I19" i="36"/>
  <c r="I20" i="36"/>
  <c r="M18" i="30" l="1"/>
  <c r="M19" i="30" l="1"/>
  <c r="U1516" i="10" l="1"/>
  <c r="K7" i="30" l="1"/>
  <c r="O8" i="30"/>
  <c r="O7" i="30"/>
  <c r="M11" i="30"/>
  <c r="K8" i="30"/>
  <c r="K9" i="30"/>
  <c r="K10" i="30"/>
  <c r="N11" i="30"/>
  <c r="U1528" i="10" l="1"/>
  <c r="U1538" i="10" l="1"/>
  <c r="U1539" i="10"/>
  <c r="U1540" i="10"/>
  <c r="U1541" i="10"/>
  <c r="U1542" i="10"/>
  <c r="U1543" i="10"/>
  <c r="U1544" i="10"/>
  <c r="U1545" i="10"/>
  <c r="U1546" i="10"/>
  <c r="U1547" i="10"/>
  <c r="U1548" i="10"/>
  <c r="U1549" i="10"/>
  <c r="U1550" i="10"/>
  <c r="U1551" i="10"/>
  <c r="U1552" i="10"/>
  <c r="U1553" i="10"/>
  <c r="U1554" i="10"/>
  <c r="U1555" i="10"/>
  <c r="U1556" i="10"/>
  <c r="U1557" i="10"/>
  <c r="U1558" i="10"/>
  <c r="U1559" i="10"/>
  <c r="U1560" i="10"/>
  <c r="U1561" i="10"/>
  <c r="U1562" i="10"/>
  <c r="U1563" i="10"/>
  <c r="U1564" i="10"/>
  <c r="U1565" i="10"/>
  <c r="U1566" i="10"/>
  <c r="U1567" i="10"/>
  <c r="U1568" i="10"/>
  <c r="U1569" i="10"/>
  <c r="U1570" i="10"/>
  <c r="U1571" i="10"/>
  <c r="U1572" i="10"/>
  <c r="U1573" i="10"/>
  <c r="U1574" i="10"/>
  <c r="U1575" i="10"/>
  <c r="U1576" i="10"/>
  <c r="U1577" i="10"/>
  <c r="U1578" i="10"/>
  <c r="U1579" i="10"/>
  <c r="U1580" i="10"/>
  <c r="U1581" i="10"/>
  <c r="U1582" i="10"/>
  <c r="U1583" i="10"/>
  <c r="U1584" i="10"/>
  <c r="U1585" i="10"/>
  <c r="U1603" i="10" l="1"/>
  <c r="G310" i="35"/>
  <c r="G306" i="35"/>
  <c r="G342" i="35"/>
  <c r="G299" i="35"/>
  <c r="G322" i="35"/>
  <c r="G315" i="35"/>
  <c r="G298" i="35"/>
  <c r="G324" i="35"/>
  <c r="G307" i="35"/>
  <c r="G285" i="35"/>
  <c r="G286" i="35"/>
  <c r="G294" i="35"/>
  <c r="G313" i="35"/>
  <c r="G340" i="35"/>
  <c r="G321" i="35"/>
  <c r="G309" i="35"/>
  <c r="G328" i="35"/>
  <c r="G291" i="35"/>
  <c r="G318" i="35"/>
  <c r="G332" i="35"/>
  <c r="G339" i="35"/>
  <c r="G343" i="35"/>
  <c r="G290" i="35"/>
  <c r="G338" i="35"/>
  <c r="G330" i="35"/>
  <c r="G292" i="35"/>
  <c r="G316" i="35"/>
  <c r="G345" i="35"/>
  <c r="G311" i="35"/>
  <c r="G319" i="35"/>
  <c r="G344" i="35"/>
  <c r="G284" i="35"/>
  <c r="G293" i="35"/>
  <c r="G314" i="35"/>
  <c r="G320" i="35"/>
  <c r="G288" i="35"/>
  <c r="G312" i="35"/>
  <c r="G287" i="35"/>
  <c r="G341" i="35"/>
  <c r="G336" i="35"/>
  <c r="G289" i="35"/>
  <c r="G335" i="35"/>
  <c r="G337" i="35"/>
  <c r="G333" i="35"/>
  <c r="G323" i="35"/>
  <c r="G297" i="35"/>
  <c r="G300" i="35"/>
  <c r="G327" i="35"/>
  <c r="G325" i="35"/>
  <c r="G331" i="35"/>
  <c r="G301" i="35"/>
  <c r="G296" i="35"/>
  <c r="G326" i="35"/>
  <c r="G305" i="35"/>
  <c r="G304" i="35"/>
  <c r="G295" i="35"/>
  <c r="G308" i="35"/>
  <c r="G329" i="35"/>
  <c r="G334" i="35"/>
  <c r="G317" i="35"/>
  <c r="G302" i="35"/>
  <c r="G303" i="35"/>
  <c r="B168" i="35"/>
  <c r="B187" i="35"/>
  <c r="B263" i="35"/>
  <c r="B264" i="35"/>
  <c r="B176" i="35"/>
  <c r="B326" i="35"/>
  <c r="B128" i="35"/>
  <c r="B172" i="35"/>
  <c r="B117" i="35"/>
  <c r="B9" i="35"/>
  <c r="B169" i="35"/>
  <c r="B109" i="35"/>
  <c r="B95" i="35"/>
  <c r="B226" i="35"/>
  <c r="B215" i="35"/>
  <c r="B165" i="35"/>
  <c r="B310" i="35"/>
  <c r="B269" i="35"/>
  <c r="B330" i="35"/>
  <c r="B266" i="35"/>
  <c r="B79" i="35"/>
  <c r="B244" i="35"/>
  <c r="B202" i="35"/>
  <c r="B265" i="35"/>
  <c r="B93" i="35"/>
  <c r="B146" i="35"/>
  <c r="B196" i="35"/>
  <c r="B113" i="35"/>
  <c r="B248" i="35"/>
  <c r="B238" i="35"/>
  <c r="B11" i="35"/>
  <c r="B131" i="35"/>
  <c r="B127" i="35"/>
  <c r="B145" i="35"/>
  <c r="B148" i="35"/>
  <c r="B167" i="35"/>
  <c r="B91" i="35"/>
  <c r="B231" i="35"/>
  <c r="B4" i="35"/>
  <c r="B82" i="35"/>
  <c r="B56" i="35"/>
  <c r="B51" i="35"/>
  <c r="B53" i="35"/>
  <c r="B107" i="35"/>
  <c r="B216" i="35"/>
  <c r="B295" i="35"/>
  <c r="B292" i="35"/>
  <c r="B139" i="35"/>
  <c r="B241" i="35"/>
  <c r="B74" i="35"/>
  <c r="B130" i="35"/>
  <c r="B274" i="35"/>
  <c r="B110" i="35"/>
  <c r="B319" i="35"/>
  <c r="B228" i="35"/>
  <c r="B106" i="35"/>
  <c r="B88" i="35"/>
  <c r="B245" i="35"/>
  <c r="B111" i="35"/>
  <c r="B225" i="35"/>
  <c r="B142" i="35"/>
  <c r="B208" i="35"/>
  <c r="B21" i="35"/>
  <c r="B112" i="35"/>
  <c r="B333" i="35"/>
  <c r="B275" i="35"/>
  <c r="B75" i="35"/>
  <c r="B211" i="35"/>
  <c r="B67" i="35"/>
  <c r="B129" i="35"/>
  <c r="B7" i="35"/>
  <c r="B301" i="35"/>
  <c r="B212" i="35"/>
  <c r="B104" i="35"/>
  <c r="B284" i="35"/>
  <c r="B255" i="35"/>
  <c r="B66" i="35"/>
  <c r="B251" i="35"/>
  <c r="B174" i="35"/>
  <c r="B207" i="35"/>
  <c r="B64" i="35"/>
  <c r="B102" i="35"/>
  <c r="B323" i="35"/>
  <c r="B59" i="35"/>
  <c r="B33" i="35"/>
  <c r="B24" i="35"/>
  <c r="B282" i="35"/>
  <c r="B180" i="35"/>
  <c r="B10" i="35"/>
  <c r="B114" i="35"/>
  <c r="B184" i="35"/>
  <c r="B271" i="35"/>
  <c r="B194" i="35"/>
  <c r="B297" i="35"/>
  <c r="B177" i="35"/>
  <c r="B47" i="35"/>
  <c r="B232" i="35"/>
  <c r="B71" i="35"/>
  <c r="B89" i="35"/>
  <c r="B313" i="35"/>
  <c r="B122" i="35"/>
  <c r="B236" i="35"/>
  <c r="B29" i="35"/>
  <c r="B315" i="35"/>
  <c r="B213" i="35"/>
  <c r="B134" i="35"/>
  <c r="B209" i="35"/>
  <c r="B303" i="35"/>
  <c r="B73" i="35"/>
  <c r="B72" i="35"/>
  <c r="B221" i="35"/>
  <c r="B334" i="35"/>
  <c r="B299" i="35"/>
  <c r="B164" i="35"/>
  <c r="B36" i="35"/>
  <c r="B50" i="35"/>
  <c r="B190" i="35"/>
  <c r="B166" i="35"/>
  <c r="B92" i="35"/>
  <c r="B34" i="35"/>
  <c r="B197" i="35"/>
  <c r="B162" i="35"/>
  <c r="B186" i="35"/>
  <c r="B23" i="35"/>
  <c r="B219" i="35"/>
  <c r="B272" i="35"/>
  <c r="B337" i="35"/>
  <c r="B281" i="35"/>
  <c r="B253" i="35"/>
  <c r="B217" i="35"/>
  <c r="B201" i="35"/>
  <c r="B273" i="35"/>
  <c r="B329" i="35"/>
  <c r="B48" i="35"/>
  <c r="B61" i="35"/>
  <c r="B156" i="35"/>
  <c r="B181" i="35"/>
  <c r="B158" i="35"/>
  <c r="B262" i="35"/>
  <c r="B339" i="35"/>
  <c r="B200" i="35"/>
  <c r="B105" i="35"/>
  <c r="B336" i="35"/>
  <c r="B143" i="35"/>
  <c r="B185" i="35"/>
  <c r="B268" i="35"/>
  <c r="B101" i="35"/>
  <c r="B135" i="35"/>
  <c r="B332" i="35"/>
  <c r="B125" i="35"/>
  <c r="B152" i="35"/>
  <c r="B218" i="35"/>
  <c r="B98" i="35"/>
  <c r="B224" i="35"/>
  <c r="B312" i="35"/>
  <c r="B318" i="35"/>
  <c r="B84" i="35"/>
  <c r="B239" i="35"/>
  <c r="B270" i="35"/>
  <c r="B43" i="35"/>
  <c r="B175" i="35"/>
  <c r="B155" i="35"/>
  <c r="B335" i="35"/>
  <c r="B279" i="35"/>
  <c r="B199" i="35"/>
  <c r="B62" i="35"/>
  <c r="B298" i="35"/>
  <c r="B293" i="35"/>
  <c r="B307" i="35"/>
  <c r="B223" i="35"/>
  <c r="B191" i="35"/>
  <c r="B214" i="35"/>
  <c r="B267" i="35"/>
  <c r="B49" i="35"/>
  <c r="B97" i="35"/>
  <c r="B341" i="35"/>
  <c r="B246" i="35"/>
  <c r="B283" i="35"/>
  <c r="B149" i="35"/>
  <c r="B317" i="35"/>
  <c r="B138" i="35"/>
  <c r="B198" i="35"/>
  <c r="B96" i="35"/>
  <c r="B195" i="35"/>
  <c r="B2" i="35"/>
  <c r="B204" i="35"/>
  <c r="B311" i="35"/>
  <c r="B76" i="35"/>
  <c r="B69" i="35"/>
  <c r="B321" i="35"/>
  <c r="B57" i="35"/>
  <c r="B178" i="35"/>
  <c r="B94" i="35"/>
  <c r="B5" i="35"/>
  <c r="B240" i="35"/>
  <c r="B13" i="35"/>
  <c r="B85" i="35"/>
  <c r="B314" i="35"/>
  <c r="B31" i="35"/>
  <c r="B81" i="35"/>
  <c r="B157" i="35"/>
  <c r="B8" i="35"/>
  <c r="B182" i="35"/>
  <c r="B210" i="35"/>
  <c r="B278" i="35"/>
  <c r="B37" i="35"/>
  <c r="B141" i="35"/>
  <c r="B17" i="35"/>
  <c r="B277" i="35"/>
  <c r="B52" i="35"/>
  <c r="B3" i="35"/>
  <c r="B16" i="35"/>
  <c r="B41" i="35"/>
  <c r="B183" i="35"/>
  <c r="B144" i="35"/>
  <c r="B189" i="35"/>
  <c r="B309" i="35"/>
  <c r="B322" i="35"/>
  <c r="B80" i="35"/>
  <c r="B137" i="35"/>
  <c r="B6" i="35"/>
  <c r="B294" i="35"/>
  <c r="B54" i="35"/>
  <c r="B133" i="35"/>
  <c r="B147" i="35"/>
  <c r="B161" i="35"/>
  <c r="B250" i="35"/>
  <c r="B230" i="35"/>
  <c r="B179" i="35"/>
  <c r="B121" i="35"/>
  <c r="B116" i="35"/>
  <c r="B285" i="35"/>
  <c r="B331" i="35"/>
  <c r="B286" i="35"/>
  <c r="B257" i="35"/>
  <c r="B237" i="35"/>
  <c r="B159" i="35"/>
  <c r="B261" i="35"/>
  <c r="B60" i="35"/>
  <c r="B302" i="35"/>
  <c r="B120" i="35"/>
  <c r="B192" i="35"/>
  <c r="B328" i="35"/>
  <c r="B86" i="35"/>
  <c r="B42" i="35"/>
  <c r="B206" i="35"/>
  <c r="B103" i="35"/>
  <c r="B28" i="35"/>
  <c r="B193" i="35"/>
  <c r="B229" i="35"/>
  <c r="B325" i="35"/>
  <c r="B171" i="35"/>
  <c r="B160" i="35"/>
  <c r="B20" i="35"/>
  <c r="B22" i="35"/>
  <c r="B289" i="35"/>
  <c r="B68" i="35"/>
  <c r="B260" i="35"/>
  <c r="B44" i="35"/>
  <c r="B170" i="35"/>
  <c r="B15" i="35"/>
  <c r="B124" i="35"/>
  <c r="B90" i="35"/>
  <c r="B12" i="35"/>
  <c r="B308" i="35"/>
  <c r="B108" i="35"/>
  <c r="B227" i="35"/>
  <c r="B99" i="35"/>
  <c r="B38" i="35"/>
  <c r="B58" i="35"/>
  <c r="B123" i="35"/>
  <c r="B306" i="35"/>
  <c r="B324" i="35"/>
  <c r="B19" i="35"/>
  <c r="B252" i="35"/>
  <c r="B30" i="35"/>
  <c r="B291" i="35"/>
  <c r="B280" i="35"/>
  <c r="B136" i="35"/>
  <c r="B100" i="35"/>
  <c r="B188" i="35"/>
  <c r="B118" i="35"/>
  <c r="B249" i="35"/>
  <c r="B115" i="35"/>
  <c r="B87" i="35"/>
  <c r="B342" i="35"/>
  <c r="B132" i="35"/>
  <c r="B46" i="35"/>
  <c r="B153" i="35"/>
  <c r="B119" i="35"/>
  <c r="B55" i="35"/>
  <c r="B320" i="35"/>
  <c r="B126" i="35"/>
  <c r="B258" i="35"/>
  <c r="B259" i="35"/>
  <c r="B340" i="35"/>
  <c r="B222" i="35"/>
  <c r="B154" i="35"/>
  <c r="B288" i="35"/>
  <c r="B83" i="35"/>
  <c r="B233" i="35"/>
  <c r="B32" i="35"/>
  <c r="B247" i="35"/>
  <c r="B63" i="35"/>
  <c r="B205" i="35"/>
  <c r="B45" i="35"/>
  <c r="B276" i="35"/>
  <c r="B150" i="35"/>
  <c r="B343" i="35"/>
  <c r="B256" i="35"/>
  <c r="B287" i="35"/>
  <c r="B296" i="35"/>
  <c r="B65" i="35"/>
  <c r="B18" i="35"/>
  <c r="B243" i="35"/>
  <c r="B25" i="35"/>
  <c r="B163" i="35"/>
  <c r="B173" i="35"/>
  <c r="B14" i="35"/>
  <c r="B300" i="35"/>
  <c r="B305" i="35"/>
  <c r="B203" i="35"/>
  <c r="B290" i="35"/>
  <c r="B35" i="35"/>
  <c r="B316" i="35"/>
  <c r="B78" i="35"/>
  <c r="B151" i="35"/>
  <c r="B254" i="35"/>
  <c r="B220" i="35"/>
  <c r="B27" i="35"/>
  <c r="B235" i="35"/>
  <c r="B39" i="35"/>
  <c r="B140" i="35"/>
  <c r="B70" i="35"/>
  <c r="B242" i="35"/>
  <c r="B327" i="35"/>
  <c r="B26" i="35"/>
  <c r="B77" i="35"/>
  <c r="B304" i="35"/>
  <c r="B40" i="35"/>
  <c r="B234" i="35"/>
  <c r="B338" i="35"/>
  <c r="C29" i="36" l="1"/>
  <c r="B7" i="38"/>
  <c r="J7" i="38" s="1"/>
  <c r="B8" i="38"/>
  <c r="J8" i="38" s="1"/>
  <c r="B9" i="38"/>
  <c r="J9" i="38" s="1"/>
  <c r="B6" i="38"/>
  <c r="I6" i="38" s="1"/>
  <c r="E9" i="38" l="1"/>
  <c r="G9" i="38"/>
  <c r="I9" i="38"/>
  <c r="I8" i="38"/>
  <c r="E7" i="38"/>
  <c r="G7" i="38"/>
  <c r="I7" i="38"/>
  <c r="E6" i="38"/>
  <c r="E8" i="38"/>
  <c r="D6" i="38"/>
  <c r="F6" i="38"/>
  <c r="H6" i="38"/>
  <c r="J6" i="38"/>
  <c r="G6" i="38"/>
  <c r="D9" i="38"/>
  <c r="F9" i="38"/>
  <c r="H9" i="38"/>
  <c r="G8" i="38"/>
  <c r="D8" i="38"/>
  <c r="F8" i="38"/>
  <c r="H8" i="38"/>
  <c r="D7" i="38"/>
  <c r="F7" i="38"/>
  <c r="H7" i="38"/>
  <c r="U1613" i="10" l="1"/>
  <c r="U1614" i="10"/>
  <c r="U1615" i="10"/>
  <c r="U1616" i="10"/>
  <c r="U1617" i="10"/>
  <c r="U1618" i="10"/>
  <c r="U1619" i="10"/>
  <c r="U1620" i="10"/>
  <c r="U1621" i="10"/>
  <c r="U1622" i="10"/>
  <c r="U1623" i="10"/>
  <c r="U1624" i="10"/>
  <c r="U1625" i="10"/>
  <c r="U1626" i="10"/>
  <c r="U1627" i="10"/>
  <c r="U1628" i="10"/>
  <c r="U1629" i="10"/>
  <c r="U1630" i="10"/>
  <c r="U1631" i="10"/>
  <c r="C32" i="36"/>
  <c r="F31" i="16" l="1"/>
  <c r="U1592" i="10" l="1"/>
  <c r="U1607" i="10"/>
  <c r="U1588" i="10"/>
  <c r="U1594" i="10"/>
  <c r="U1587" i="10"/>
  <c r="U1608" i="10"/>
  <c r="U1609" i="10"/>
  <c r="U1604" i="10"/>
  <c r="U1597" i="10"/>
  <c r="U1601" i="10"/>
  <c r="U1590" i="10"/>
  <c r="U1591" i="10"/>
  <c r="U1611" i="10"/>
  <c r="U1610" i="10"/>
  <c r="U1593" i="10"/>
  <c r="U1598" i="10"/>
  <c r="U1612" i="10"/>
  <c r="U1602" i="10"/>
  <c r="U1595" i="10"/>
  <c r="U1599" i="10"/>
  <c r="U1605" i="10"/>
  <c r="U1589" i="10"/>
  <c r="U1596" i="10"/>
  <c r="U1606" i="10"/>
  <c r="U1600" i="10"/>
  <c r="U1632" i="10"/>
  <c r="U1633" i="10"/>
  <c r="U1634" i="10"/>
  <c r="U1635" i="10"/>
  <c r="U1636" i="10"/>
  <c r="U1637" i="10"/>
  <c r="U1638" i="10"/>
  <c r="U1639" i="10"/>
  <c r="U1640" i="10"/>
  <c r="U1641" i="10"/>
  <c r="U1586" i="10" l="1"/>
  <c r="C6" i="12"/>
  <c r="E6" i="12" s="1"/>
  <c r="C7" i="12"/>
  <c r="E7" i="12" s="1"/>
  <c r="C8" i="12"/>
  <c r="E8" i="12" s="1"/>
  <c r="G7" i="12" l="1"/>
  <c r="G8" i="12"/>
  <c r="O10" i="12" s="1"/>
  <c r="G6" i="12"/>
  <c r="O8" i="12" s="1"/>
  <c r="C9" i="12"/>
  <c r="C7" i="38" l="1"/>
  <c r="K7" i="38" s="1"/>
  <c r="O9" i="12"/>
  <c r="V9" i="12" s="1"/>
  <c r="J7" i="30"/>
  <c r="C6" i="38"/>
  <c r="K6" i="38" s="1"/>
  <c r="K2" i="38" s="1"/>
  <c r="C8" i="38"/>
  <c r="E9" i="12"/>
  <c r="C10" i="12"/>
  <c r="E10" i="12" s="1"/>
  <c r="G10" i="12" s="1"/>
  <c r="O12" i="12" s="1"/>
  <c r="J10" i="12"/>
  <c r="C11" i="12"/>
  <c r="J11" i="12"/>
  <c r="M7" i="38" l="1"/>
  <c r="G9" i="12"/>
  <c r="F8" i="30" s="1"/>
  <c r="P11" i="12"/>
  <c r="T11" i="12" s="1"/>
  <c r="Q11" i="12"/>
  <c r="U11" i="12" s="1"/>
  <c r="E11" i="12"/>
  <c r="G11" i="12" s="1"/>
  <c r="O13" i="12" s="1"/>
  <c r="M8" i="38"/>
  <c r="K8" i="38"/>
  <c r="M6" i="38"/>
  <c r="C12" i="12"/>
  <c r="E12" i="12" s="1"/>
  <c r="G12" i="12" s="1"/>
  <c r="O14" i="12" s="1"/>
  <c r="C14" i="12"/>
  <c r="J12" i="12"/>
  <c r="J13" i="12"/>
  <c r="O11" i="12" l="1"/>
  <c r="V11" i="12" s="1"/>
  <c r="C9" i="38"/>
  <c r="M9" i="38" s="1"/>
  <c r="E14" i="12"/>
  <c r="G14" i="12" s="1"/>
  <c r="C20" i="12"/>
  <c r="D20" i="12"/>
  <c r="C22" i="12"/>
  <c r="D22" i="12"/>
  <c r="C24" i="12"/>
  <c r="D24" i="12"/>
  <c r="C28" i="12"/>
  <c r="D28" i="12"/>
  <c r="C29" i="12"/>
  <c r="D29" i="12"/>
  <c r="K9" i="38" l="1"/>
  <c r="O7" i="12"/>
  <c r="AC3" i="31"/>
  <c r="U1537" i="10"/>
  <c r="U1527" i="10"/>
  <c r="U1533" i="10"/>
  <c r="U1530" i="10"/>
  <c r="U1526" i="10"/>
  <c r="U1534" i="10"/>
  <c r="U1531" i="10"/>
  <c r="U1529" i="10"/>
  <c r="U1536" i="10"/>
  <c r="U1532" i="10"/>
  <c r="U1535" i="10"/>
  <c r="U1505" i="10" l="1"/>
  <c r="U1503" i="10"/>
  <c r="U1506" i="10"/>
  <c r="U1500" i="10"/>
  <c r="U1507" i="10"/>
  <c r="U1499" i="10"/>
  <c r="U1502" i="10"/>
  <c r="U1501" i="10"/>
  <c r="U1504" i="10"/>
  <c r="U1508" i="10"/>
  <c r="U1525" i="10"/>
  <c r="U1510" i="10"/>
  <c r="U1519" i="10"/>
  <c r="U1524" i="10"/>
  <c r="U1520" i="10"/>
  <c r="U1522" i="10"/>
  <c r="U1509" i="10"/>
  <c r="U1515" i="10"/>
  <c r="U1513" i="10"/>
  <c r="U1518" i="10"/>
  <c r="U1517" i="10"/>
  <c r="U1514" i="10"/>
  <c r="U1511" i="10"/>
  <c r="U1512" i="10"/>
  <c r="U1521" i="10"/>
  <c r="U1523" i="10"/>
  <c r="C35" i="36"/>
  <c r="H2" i="37" l="1"/>
  <c r="H1" i="37" s="1"/>
  <c r="I2" i="37"/>
  <c r="I1" i="37" s="1"/>
  <c r="J2" i="37"/>
  <c r="J1" i="37" s="1"/>
  <c r="K2" i="37"/>
  <c r="K1" i="37" s="1"/>
  <c r="F2" i="37"/>
  <c r="F1" i="37" s="1"/>
  <c r="G2" i="37"/>
  <c r="G1" i="37" s="1"/>
  <c r="E2" i="37"/>
  <c r="E1" i="37" s="1"/>
  <c r="B2" i="37" l="1"/>
  <c r="B4" i="37" l="1"/>
  <c r="B12" i="37"/>
  <c r="B20" i="37"/>
  <c r="B28" i="37"/>
  <c r="B36" i="37"/>
  <c r="B44" i="37"/>
  <c r="B52" i="37"/>
  <c r="B60" i="37"/>
  <c r="B68" i="37"/>
  <c r="B76" i="37"/>
  <c r="B84" i="37"/>
  <c r="B92" i="37"/>
  <c r="B100" i="37"/>
  <c r="B108" i="37"/>
  <c r="B116" i="37"/>
  <c r="B124" i="37"/>
  <c r="B132" i="37"/>
  <c r="B148" i="37"/>
  <c r="B66" i="37"/>
  <c r="B130" i="37"/>
  <c r="B5" i="37"/>
  <c r="B13" i="37"/>
  <c r="B21" i="37"/>
  <c r="B29" i="37"/>
  <c r="B37" i="37"/>
  <c r="B45" i="37"/>
  <c r="B53" i="37"/>
  <c r="B61" i="37"/>
  <c r="B69" i="37"/>
  <c r="B77" i="37"/>
  <c r="B85" i="37"/>
  <c r="B93" i="37"/>
  <c r="B101" i="37"/>
  <c r="B109" i="37"/>
  <c r="B117" i="37"/>
  <c r="B125" i="37"/>
  <c r="B133" i="37"/>
  <c r="B141" i="37"/>
  <c r="B26" i="37"/>
  <c r="B42" i="37"/>
  <c r="B74" i="37"/>
  <c r="B98" i="37"/>
  <c r="B138" i="37"/>
  <c r="B6" i="37"/>
  <c r="B14" i="37"/>
  <c r="B22" i="37"/>
  <c r="B30" i="37"/>
  <c r="B38" i="37"/>
  <c r="B46" i="37"/>
  <c r="B54" i="37"/>
  <c r="B62" i="37"/>
  <c r="B70" i="37"/>
  <c r="B78" i="37"/>
  <c r="B86" i="37"/>
  <c r="B94" i="37"/>
  <c r="B102" i="37"/>
  <c r="B110" i="37"/>
  <c r="B118" i="37"/>
  <c r="B126" i="37"/>
  <c r="B134" i="37"/>
  <c r="B142" i="37"/>
  <c r="B150" i="37"/>
  <c r="B151" i="37"/>
  <c r="B34" i="37"/>
  <c r="B82" i="37"/>
  <c r="B146" i="37"/>
  <c r="B7" i="37"/>
  <c r="B15" i="37"/>
  <c r="B23" i="37"/>
  <c r="B31" i="37"/>
  <c r="B39" i="37"/>
  <c r="B47" i="37"/>
  <c r="B55" i="37"/>
  <c r="B63" i="37"/>
  <c r="B71" i="37"/>
  <c r="B79" i="37"/>
  <c r="B87" i="37"/>
  <c r="B95" i="37"/>
  <c r="B103" i="37"/>
  <c r="B111" i="37"/>
  <c r="B119" i="37"/>
  <c r="B127" i="37"/>
  <c r="B135" i="37"/>
  <c r="B143" i="37"/>
  <c r="B153" i="37"/>
  <c r="B122" i="37"/>
  <c r="B8" i="37"/>
  <c r="B16" i="37"/>
  <c r="B24" i="37"/>
  <c r="B32" i="37"/>
  <c r="B40" i="37"/>
  <c r="B48" i="37"/>
  <c r="B56" i="37"/>
  <c r="B64" i="37"/>
  <c r="B72" i="37"/>
  <c r="B80" i="37"/>
  <c r="B88" i="37"/>
  <c r="B96" i="37"/>
  <c r="B104" i="37"/>
  <c r="B112" i="37"/>
  <c r="B120" i="37"/>
  <c r="B128" i="37"/>
  <c r="B136" i="37"/>
  <c r="B144" i="37"/>
  <c r="B152" i="37"/>
  <c r="B106" i="37"/>
  <c r="B9" i="37"/>
  <c r="B17" i="37"/>
  <c r="B25" i="37"/>
  <c r="B33" i="37"/>
  <c r="B41" i="37"/>
  <c r="B49" i="37"/>
  <c r="B57" i="37"/>
  <c r="B65" i="37"/>
  <c r="B73" i="37"/>
  <c r="B81" i="37"/>
  <c r="B89" i="37"/>
  <c r="B97" i="37"/>
  <c r="B105" i="37"/>
  <c r="B113" i="37"/>
  <c r="B121" i="37"/>
  <c r="B129" i="37"/>
  <c r="B137" i="37"/>
  <c r="B145" i="37"/>
  <c r="B50" i="37"/>
  <c r="B90" i="37"/>
  <c r="B10" i="37"/>
  <c r="B18" i="37"/>
  <c r="B11" i="37"/>
  <c r="B19" i="37"/>
  <c r="B27" i="37"/>
  <c r="B35" i="37"/>
  <c r="B43" i="37"/>
  <c r="B51" i="37"/>
  <c r="B59" i="37"/>
  <c r="B67" i="37"/>
  <c r="B75" i="37"/>
  <c r="B83" i="37"/>
  <c r="B91" i="37"/>
  <c r="B99" i="37"/>
  <c r="B107" i="37"/>
  <c r="B115" i="37"/>
  <c r="B123" i="37"/>
  <c r="B131" i="37"/>
  <c r="B139" i="37"/>
  <c r="B147" i="37"/>
  <c r="B140" i="37"/>
  <c r="B149" i="37"/>
  <c r="B58" i="37"/>
  <c r="B114" i="37"/>
  <c r="B3" i="37"/>
  <c r="L2" i="37"/>
  <c r="L1" i="37" s="1"/>
  <c r="G3" i="37"/>
  <c r="L4" i="37"/>
  <c r="I5" i="37"/>
  <c r="F6" i="37"/>
  <c r="K7" i="37"/>
  <c r="H8" i="37"/>
  <c r="P8" i="37"/>
  <c r="M9" i="37"/>
  <c r="U9" i="37"/>
  <c r="E5" i="37"/>
  <c r="H3" i="37"/>
  <c r="J5" i="37"/>
  <c r="G6" i="37"/>
  <c r="L7" i="37"/>
  <c r="I8" i="37"/>
  <c r="Q8" i="37"/>
  <c r="F9" i="37"/>
  <c r="N9" i="37"/>
  <c r="V9" i="37"/>
  <c r="E6" i="37"/>
  <c r="O8" i="37"/>
  <c r="I3" i="37"/>
  <c r="F4" i="37"/>
  <c r="K5" i="37"/>
  <c r="H6" i="37"/>
  <c r="J8" i="37"/>
  <c r="R8" i="37"/>
  <c r="G9" i="37"/>
  <c r="O9" i="37"/>
  <c r="E7" i="37"/>
  <c r="J3" i="37"/>
  <c r="G4" i="37"/>
  <c r="L5" i="37"/>
  <c r="I6" i="37"/>
  <c r="F7" i="37"/>
  <c r="K8" i="37"/>
  <c r="H9" i="37"/>
  <c r="P9" i="37"/>
  <c r="E8" i="37"/>
  <c r="J7" i="37"/>
  <c r="T9" i="37"/>
  <c r="K3" i="37"/>
  <c r="H4" i="37"/>
  <c r="J6" i="37"/>
  <c r="G7" i="37"/>
  <c r="L8" i="37"/>
  <c r="I9" i="37"/>
  <c r="Q9" i="37"/>
  <c r="E9" i="37"/>
  <c r="K4" i="37"/>
  <c r="G8" i="37"/>
  <c r="L3" i="37"/>
  <c r="I4" i="37"/>
  <c r="F5" i="37"/>
  <c r="K6" i="37"/>
  <c r="H7" i="37"/>
  <c r="M8" i="37"/>
  <c r="J9" i="37"/>
  <c r="R9" i="37"/>
  <c r="H5" i="37"/>
  <c r="L9" i="37"/>
  <c r="J4" i="37"/>
  <c r="G5" i="37"/>
  <c r="L6" i="37"/>
  <c r="I7" i="37"/>
  <c r="F8" i="37"/>
  <c r="N8" i="37"/>
  <c r="K9" i="37"/>
  <c r="S9" i="37"/>
  <c r="E3" i="37"/>
  <c r="F3" i="37"/>
  <c r="E4" i="37"/>
  <c r="W9" i="37" l="1"/>
  <c r="S8" i="37"/>
  <c r="M7" i="37"/>
  <c r="M5" i="37"/>
  <c r="M6" i="37"/>
  <c r="M4" i="37"/>
  <c r="M2" i="37"/>
  <c r="M1" i="37" s="1"/>
  <c r="U3" i="28"/>
  <c r="V3" i="28"/>
  <c r="W3" i="28"/>
  <c r="U4" i="28"/>
  <c r="V4" i="28"/>
  <c r="W4" i="28"/>
  <c r="U5" i="28"/>
  <c r="V5" i="28"/>
  <c r="W5" i="28"/>
  <c r="U6" i="28"/>
  <c r="V6" i="28"/>
  <c r="W6" i="28"/>
  <c r="U7" i="28"/>
  <c r="V7" i="28"/>
  <c r="W7" i="28"/>
  <c r="U8" i="28"/>
  <c r="V8" i="28"/>
  <c r="W8" i="28"/>
  <c r="U9" i="28"/>
  <c r="V9" i="28"/>
  <c r="W9" i="28"/>
  <c r="U10" i="28"/>
  <c r="V10" i="28"/>
  <c r="W10" i="28"/>
  <c r="U11" i="28"/>
  <c r="V11" i="28"/>
  <c r="W11" i="28"/>
  <c r="U12" i="28"/>
  <c r="V12" i="28"/>
  <c r="W12" i="28"/>
  <c r="U13" i="28"/>
  <c r="V13" i="28"/>
  <c r="W13" i="28"/>
  <c r="U14" i="28"/>
  <c r="V14" i="28"/>
  <c r="W14" i="28"/>
  <c r="U15" i="28"/>
  <c r="V15" i="28"/>
  <c r="W15" i="28"/>
  <c r="U16" i="28"/>
  <c r="V16" i="28"/>
  <c r="W16" i="28"/>
  <c r="U17" i="28"/>
  <c r="V17" i="28"/>
  <c r="W17" i="28"/>
  <c r="U18" i="28"/>
  <c r="V18" i="28"/>
  <c r="W18" i="28"/>
  <c r="U19" i="28"/>
  <c r="V19" i="28"/>
  <c r="W19" i="28"/>
  <c r="U20" i="28"/>
  <c r="V20" i="28"/>
  <c r="W20" i="28"/>
  <c r="U21" i="28"/>
  <c r="V21" i="28"/>
  <c r="W21" i="28"/>
  <c r="U22" i="28"/>
  <c r="V22" i="28"/>
  <c r="W22" i="28"/>
  <c r="U23" i="28"/>
  <c r="V23" i="28"/>
  <c r="W23" i="28"/>
  <c r="U24" i="28"/>
  <c r="V24" i="28"/>
  <c r="W24" i="28"/>
  <c r="U25" i="28"/>
  <c r="V25" i="28"/>
  <c r="W25" i="28"/>
  <c r="U26" i="28"/>
  <c r="V26" i="28"/>
  <c r="W26" i="28"/>
  <c r="U27" i="28"/>
  <c r="V27" i="28"/>
  <c r="W27" i="28"/>
  <c r="U28" i="28"/>
  <c r="V28" i="28"/>
  <c r="W28" i="28"/>
  <c r="U29" i="28"/>
  <c r="V29" i="28"/>
  <c r="W29" i="28"/>
  <c r="U30" i="28"/>
  <c r="V30" i="28"/>
  <c r="W30" i="28"/>
  <c r="U31" i="28"/>
  <c r="V31" i="28"/>
  <c r="W31" i="28"/>
  <c r="U32" i="28"/>
  <c r="V32" i="28"/>
  <c r="W32" i="28"/>
  <c r="T3" i="27"/>
  <c r="U3" i="27"/>
  <c r="V3" i="27"/>
  <c r="T4" i="27"/>
  <c r="U4" i="27"/>
  <c r="V4" i="27"/>
  <c r="T5" i="27"/>
  <c r="U5" i="27"/>
  <c r="V5" i="27"/>
  <c r="T6" i="27"/>
  <c r="U6" i="27"/>
  <c r="V6" i="27"/>
  <c r="T7" i="27"/>
  <c r="U7" i="27"/>
  <c r="V7" i="27"/>
  <c r="T8" i="27"/>
  <c r="U8" i="27"/>
  <c r="V8" i="27"/>
  <c r="T9" i="27"/>
  <c r="U9" i="27"/>
  <c r="V9" i="27"/>
  <c r="T10" i="27"/>
  <c r="U10" i="27"/>
  <c r="V10" i="27"/>
  <c r="T11" i="27"/>
  <c r="U11" i="27"/>
  <c r="V11" i="27"/>
  <c r="T12" i="27"/>
  <c r="U12" i="27"/>
  <c r="V12" i="27"/>
  <c r="T13" i="27"/>
  <c r="U13" i="27"/>
  <c r="V13" i="27"/>
  <c r="T14" i="27"/>
  <c r="U14" i="27"/>
  <c r="V14" i="27"/>
  <c r="T15" i="27"/>
  <c r="U15" i="27"/>
  <c r="V15" i="27"/>
  <c r="T16" i="27"/>
  <c r="U16" i="27"/>
  <c r="V16" i="27"/>
  <c r="W11" i="12" l="1"/>
  <c r="W9" i="12"/>
  <c r="U2" i="10"/>
  <c r="X9" i="37"/>
  <c r="T8" i="37"/>
  <c r="N7" i="37"/>
  <c r="N5" i="37"/>
  <c r="N6" i="37"/>
  <c r="N4" i="37"/>
  <c r="N2" i="37"/>
  <c r="N1" i="37" s="1"/>
  <c r="M3" i="37"/>
  <c r="C36" i="36"/>
  <c r="D36" i="36" s="1"/>
  <c r="C34" i="36"/>
  <c r="D37" i="36"/>
  <c r="C31" i="36"/>
  <c r="D31" i="36" s="1"/>
  <c r="C30" i="36"/>
  <c r="K69" i="36"/>
  <c r="K68" i="36"/>
  <c r="K67" i="36"/>
  <c r="K66" i="36"/>
  <c r="K65" i="36"/>
  <c r="K64" i="36"/>
  <c r="K63" i="36"/>
  <c r="K62" i="36"/>
  <c r="K61" i="36"/>
  <c r="K60" i="36"/>
  <c r="K59" i="36"/>
  <c r="K58" i="36"/>
  <c r="K57" i="36"/>
  <c r="K56" i="36"/>
  <c r="K55" i="36"/>
  <c r="K54" i="36"/>
  <c r="K53" i="36"/>
  <c r="K52" i="36"/>
  <c r="K51" i="36"/>
  <c r="K50" i="36"/>
  <c r="K49" i="36"/>
  <c r="K48" i="36"/>
  <c r="K47" i="36"/>
  <c r="K46" i="36"/>
  <c r="D45" i="36"/>
  <c r="D44" i="36"/>
  <c r="D43" i="36"/>
  <c r="D42" i="36"/>
  <c r="D41" i="36"/>
  <c r="AI41" i="36"/>
  <c r="AH41" i="36"/>
  <c r="AG41" i="36"/>
  <c r="AF41" i="36"/>
  <c r="AE41" i="36"/>
  <c r="AD41" i="36"/>
  <c r="AC41" i="36"/>
  <c r="AB41" i="36"/>
  <c r="AA41" i="36"/>
  <c r="V41" i="36"/>
  <c r="U41" i="36"/>
  <c r="AJ40" i="36"/>
  <c r="Z40" i="36"/>
  <c r="AJ39" i="36"/>
  <c r="Z39" i="36"/>
  <c r="AJ38" i="36"/>
  <c r="Z38" i="36"/>
  <c r="AJ37" i="36"/>
  <c r="Z37" i="36"/>
  <c r="AJ36" i="36"/>
  <c r="Z36" i="36"/>
  <c r="AJ35" i="36"/>
  <c r="Z35" i="36"/>
  <c r="AJ34" i="36"/>
  <c r="Z34" i="36"/>
  <c r="AJ33" i="36"/>
  <c r="Z33" i="36"/>
  <c r="AJ32" i="36"/>
  <c r="Z32" i="36"/>
  <c r="AJ31" i="36"/>
  <c r="Z31" i="36"/>
  <c r="AJ30" i="36"/>
  <c r="Z30" i="36"/>
  <c r="AJ29" i="36"/>
  <c r="Z29" i="36"/>
  <c r="AJ28" i="36"/>
  <c r="Z28" i="36"/>
  <c r="AJ27" i="36"/>
  <c r="Z27" i="36"/>
  <c r="C26" i="36"/>
  <c r="D26" i="36" s="1"/>
  <c r="AJ26" i="36"/>
  <c r="Z26" i="36"/>
  <c r="AJ25" i="36"/>
  <c r="Z25" i="36"/>
  <c r="AJ24" i="36"/>
  <c r="Z24" i="36"/>
  <c r="AJ23" i="36"/>
  <c r="Z23" i="36"/>
  <c r="AJ22" i="36"/>
  <c r="Z22" i="36"/>
  <c r="AJ21" i="36"/>
  <c r="Z21" i="36"/>
  <c r="Z20" i="36"/>
  <c r="AJ19" i="36"/>
  <c r="Z19" i="36"/>
  <c r="AJ18" i="36"/>
  <c r="Z18" i="36"/>
  <c r="AJ17" i="36"/>
  <c r="Z17" i="36"/>
  <c r="C3" i="36"/>
  <c r="E37" i="36" l="1"/>
  <c r="D58" i="36"/>
  <c r="D30" i="36"/>
  <c r="U8" i="37"/>
  <c r="O7" i="37"/>
  <c r="O5" i="37"/>
  <c r="O6" i="37"/>
  <c r="O4" i="37"/>
  <c r="O2" i="37"/>
  <c r="O1" i="37" s="1"/>
  <c r="N3" i="37"/>
  <c r="D32" i="36"/>
  <c r="C33" i="36"/>
  <c r="D33" i="36" s="1"/>
  <c r="D35" i="36"/>
  <c r="D29" i="36"/>
  <c r="G69" i="36"/>
  <c r="G65" i="36"/>
  <c r="D62" i="36"/>
  <c r="D69" i="36"/>
  <c r="D65" i="36"/>
  <c r="G61" i="36"/>
  <c r="E54" i="36"/>
  <c r="G68" i="36"/>
  <c r="D61" i="36"/>
  <c r="G60" i="36"/>
  <c r="G71" i="36"/>
  <c r="D68" i="36"/>
  <c r="G64" i="36"/>
  <c r="D60" i="36"/>
  <c r="G59" i="36"/>
  <c r="E53" i="36"/>
  <c r="D70" i="36"/>
  <c r="G66" i="36"/>
  <c r="D63" i="36"/>
  <c r="E51" i="36"/>
  <c r="G70" i="36"/>
  <c r="G67" i="36"/>
  <c r="G63" i="36"/>
  <c r="G58" i="36"/>
  <c r="D71" i="36"/>
  <c r="D67" i="36"/>
  <c r="D66" i="36"/>
  <c r="D64" i="36"/>
  <c r="G62" i="36"/>
  <c r="D59" i="36"/>
  <c r="E52" i="36"/>
  <c r="E49" i="36"/>
  <c r="E50" i="36"/>
  <c r="D34" i="36"/>
  <c r="AJ41" i="36"/>
  <c r="AJ20" i="36"/>
  <c r="U1480" i="10" l="1"/>
  <c r="U1477" i="10"/>
  <c r="U1488" i="10"/>
  <c r="U1481" i="10"/>
  <c r="U1478" i="10"/>
  <c r="U1475" i="10"/>
  <c r="U1490" i="10"/>
  <c r="U1483" i="10"/>
  <c r="U1487" i="10"/>
  <c r="U1486" i="10"/>
  <c r="U1479" i="10"/>
  <c r="U1489" i="10"/>
  <c r="U1491" i="10"/>
  <c r="U1474" i="10"/>
  <c r="U1476" i="10"/>
  <c r="U1485" i="10"/>
  <c r="U1495" i="10"/>
  <c r="U1497" i="10"/>
  <c r="U1494" i="10"/>
  <c r="U1493" i="10"/>
  <c r="U1496" i="10"/>
  <c r="U1498" i="10"/>
  <c r="U1492" i="10"/>
  <c r="V8" i="37"/>
  <c r="P7" i="37"/>
  <c r="P5" i="37"/>
  <c r="P6" i="37"/>
  <c r="P4" i="37"/>
  <c r="P2" i="37"/>
  <c r="P1" i="37" s="1"/>
  <c r="O3" i="37"/>
  <c r="U1472" i="10" l="1"/>
  <c r="U1473" i="10"/>
  <c r="W8" i="37"/>
  <c r="P3" i="37"/>
  <c r="Q6" i="37"/>
  <c r="Q4" i="37"/>
  <c r="Q7" i="37"/>
  <c r="Q5" i="37"/>
  <c r="Q2" i="37"/>
  <c r="Q1" i="37" s="1"/>
  <c r="X8" i="37" l="1"/>
  <c r="J10" i="30"/>
  <c r="J9" i="30"/>
  <c r="Q3" i="37"/>
  <c r="R6" i="37"/>
  <c r="R4" i="37"/>
  <c r="R7" i="37"/>
  <c r="R5" i="37"/>
  <c r="R2" i="37"/>
  <c r="R1" i="37" s="1"/>
  <c r="J8" i="30"/>
  <c r="D52" i="35"/>
  <c r="C49" i="35"/>
  <c r="D123" i="35"/>
  <c r="E126" i="35"/>
  <c r="D131" i="35"/>
  <c r="C228" i="35"/>
  <c r="C86" i="35"/>
  <c r="C271" i="35"/>
  <c r="F278" i="35"/>
  <c r="C282" i="35"/>
  <c r="C129" i="35"/>
  <c r="E26" i="35"/>
  <c r="D250" i="35"/>
  <c r="C192" i="35"/>
  <c r="F158" i="35"/>
  <c r="C91" i="35"/>
  <c r="F48" i="35"/>
  <c r="E238" i="35"/>
  <c r="E105" i="35"/>
  <c r="E72" i="35"/>
  <c r="C189" i="35"/>
  <c r="D157" i="35"/>
  <c r="F202" i="35"/>
  <c r="D126" i="35"/>
  <c r="E214" i="35"/>
  <c r="F247" i="35"/>
  <c r="D183" i="35"/>
  <c r="F78" i="35"/>
  <c r="F73" i="35"/>
  <c r="C24" i="35"/>
  <c r="E183" i="35"/>
  <c r="E98" i="35"/>
  <c r="E266" i="35"/>
  <c r="C165" i="35"/>
  <c r="E215" i="35"/>
  <c r="E43" i="35"/>
  <c r="C187" i="35"/>
  <c r="C218" i="35"/>
  <c r="F88" i="35"/>
  <c r="E132" i="35"/>
  <c r="D236" i="35"/>
  <c r="F112" i="35"/>
  <c r="D206" i="35"/>
  <c r="E129" i="35"/>
  <c r="C105" i="35"/>
  <c r="D231" i="35"/>
  <c r="D205" i="35"/>
  <c r="F186" i="35"/>
  <c r="F179" i="35"/>
  <c r="D224" i="35"/>
  <c r="F204" i="35"/>
  <c r="D174" i="35"/>
  <c r="C222" i="35"/>
  <c r="E174" i="35"/>
  <c r="D21" i="35"/>
  <c r="E17" i="35"/>
  <c r="E241" i="35"/>
  <c r="E35" i="35"/>
  <c r="C264" i="35"/>
  <c r="C260" i="35"/>
  <c r="D53" i="35"/>
  <c r="D58" i="35"/>
  <c r="D229" i="35"/>
  <c r="E239" i="35"/>
  <c r="E131" i="35"/>
  <c r="C145" i="35"/>
  <c r="D258" i="35"/>
  <c r="E221" i="35"/>
  <c r="E189" i="35"/>
  <c r="F105" i="35"/>
  <c r="D69" i="35"/>
  <c r="C153" i="35"/>
  <c r="D82" i="35"/>
  <c r="E245" i="35"/>
  <c r="E2" i="35"/>
  <c r="E25" i="35"/>
  <c r="E42" i="35"/>
  <c r="C156" i="35"/>
  <c r="F195" i="35"/>
  <c r="D281" i="35"/>
  <c r="F283" i="35"/>
  <c r="F93" i="35"/>
  <c r="F205" i="35"/>
  <c r="C195" i="35"/>
  <c r="E58" i="35"/>
  <c r="C172" i="35"/>
  <c r="D125" i="35"/>
  <c r="C266" i="35"/>
  <c r="F85" i="35"/>
  <c r="E55" i="35"/>
  <c r="E253" i="35"/>
  <c r="E203" i="35"/>
  <c r="C276" i="35"/>
  <c r="F244" i="35"/>
  <c r="D178" i="35"/>
  <c r="D120" i="35"/>
  <c r="E179" i="35"/>
  <c r="E254" i="35"/>
  <c r="D170" i="35"/>
  <c r="D271" i="35"/>
  <c r="D145" i="35"/>
  <c r="D129" i="35"/>
  <c r="D36" i="35"/>
  <c r="F97" i="35"/>
  <c r="E165" i="35"/>
  <c r="D101" i="35"/>
  <c r="D228" i="35"/>
  <c r="D17" i="35"/>
  <c r="C194" i="35"/>
  <c r="C253" i="35"/>
  <c r="E213" i="35"/>
  <c r="C61" i="35"/>
  <c r="D29" i="35"/>
  <c r="D72" i="35"/>
  <c r="F263" i="35"/>
  <c r="C225" i="35"/>
  <c r="E36" i="35"/>
  <c r="F281" i="35"/>
  <c r="F51" i="35"/>
  <c r="C275" i="35"/>
  <c r="E78" i="35"/>
  <c r="D55" i="35"/>
  <c r="E271" i="35"/>
  <c r="E151" i="35"/>
  <c r="D184" i="35"/>
  <c r="F127" i="35"/>
  <c r="F164" i="35"/>
  <c r="C157" i="35"/>
  <c r="E229" i="35"/>
  <c r="E30" i="35"/>
  <c r="C178" i="35"/>
  <c r="E260" i="35"/>
  <c r="E186" i="35"/>
  <c r="C241" i="35"/>
  <c r="F174" i="35"/>
  <c r="D59" i="35"/>
  <c r="D201" i="35"/>
  <c r="F62" i="35"/>
  <c r="F103" i="35"/>
  <c r="E4" i="35"/>
  <c r="E206" i="35"/>
  <c r="D154" i="35"/>
  <c r="F268" i="35"/>
  <c r="E104" i="35"/>
  <c r="C48" i="35"/>
  <c r="C199" i="35"/>
  <c r="C190" i="35"/>
  <c r="C9" i="35"/>
  <c r="C125" i="35"/>
  <c r="F276" i="35"/>
  <c r="C118" i="35"/>
  <c r="D280" i="35"/>
  <c r="D240" i="35"/>
  <c r="E136" i="35"/>
  <c r="D164" i="35"/>
  <c r="L7" i="38"/>
  <c r="E207" i="35"/>
  <c r="D148" i="35"/>
  <c r="E139" i="35"/>
  <c r="E232" i="35"/>
  <c r="D134" i="35"/>
  <c r="F99" i="35"/>
  <c r="D40" i="35"/>
  <c r="C163" i="35"/>
  <c r="E272" i="35"/>
  <c r="F250" i="35"/>
  <c r="D136" i="35"/>
  <c r="C58" i="35"/>
  <c r="F238" i="35"/>
  <c r="E216" i="35"/>
  <c r="E18" i="35"/>
  <c r="D282" i="35"/>
  <c r="E27" i="35"/>
  <c r="E161" i="35"/>
  <c r="E137" i="35"/>
  <c r="C66" i="35"/>
  <c r="D167" i="35"/>
  <c r="D115" i="35"/>
  <c r="C181" i="35"/>
  <c r="C262" i="35"/>
  <c r="C98" i="35"/>
  <c r="F183" i="35"/>
  <c r="D80" i="35"/>
  <c r="E9" i="35"/>
  <c r="E150" i="35"/>
  <c r="E255" i="35"/>
  <c r="E166" i="35"/>
  <c r="F120" i="35"/>
  <c r="D65" i="35"/>
  <c r="C161" i="35"/>
  <c r="F277" i="35"/>
  <c r="E194" i="35"/>
  <c r="C52" i="35"/>
  <c r="C109" i="35"/>
  <c r="D158" i="35"/>
  <c r="F92" i="35"/>
  <c r="C2" i="35"/>
  <c r="C200" i="35"/>
  <c r="C140" i="35"/>
  <c r="C73" i="35"/>
  <c r="F170" i="35"/>
  <c r="C85" i="35"/>
  <c r="F132" i="35"/>
  <c r="D232" i="35"/>
  <c r="E69" i="35"/>
  <c r="C16" i="35"/>
  <c r="F116" i="35"/>
  <c r="F168" i="35"/>
  <c r="E89" i="35"/>
  <c r="D188" i="35"/>
  <c r="D274" i="35"/>
  <c r="C243" i="35"/>
  <c r="E141" i="35"/>
  <c r="D177" i="35"/>
  <c r="F89" i="35"/>
  <c r="F192" i="35"/>
  <c r="F4" i="35"/>
  <c r="D262" i="35"/>
  <c r="F75" i="35"/>
  <c r="L9" i="38"/>
  <c r="E178" i="35"/>
  <c r="E54" i="35"/>
  <c r="D43" i="35"/>
  <c r="E12" i="35"/>
  <c r="E29" i="35"/>
  <c r="D3" i="35"/>
  <c r="F231" i="35"/>
  <c r="F107" i="35"/>
  <c r="C123" i="35"/>
  <c r="D84" i="35"/>
  <c r="C115" i="35"/>
  <c r="C180" i="35"/>
  <c r="C249" i="35"/>
  <c r="C6" i="35"/>
  <c r="C209" i="35"/>
  <c r="C232" i="35"/>
  <c r="D223" i="35"/>
  <c r="E188" i="35"/>
  <c r="F145" i="35"/>
  <c r="F125" i="35"/>
  <c r="E168" i="35"/>
  <c r="F128" i="35"/>
  <c r="F149" i="35"/>
  <c r="F29" i="35"/>
  <c r="C150" i="35"/>
  <c r="F274" i="35"/>
  <c r="F44" i="35"/>
  <c r="E41" i="35"/>
  <c r="E208" i="35"/>
  <c r="F156" i="35"/>
  <c r="F157" i="35"/>
  <c r="F279" i="35"/>
  <c r="D90" i="35"/>
  <c r="E63" i="35"/>
  <c r="C208" i="35"/>
  <c r="D241" i="35"/>
  <c r="F163" i="35"/>
  <c r="C244" i="35"/>
  <c r="F101" i="35"/>
  <c r="C176" i="35"/>
  <c r="F60" i="35"/>
  <c r="F16" i="35"/>
  <c r="C92" i="35"/>
  <c r="D22" i="35"/>
  <c r="C20" i="35"/>
  <c r="E256" i="35"/>
  <c r="C236" i="35"/>
  <c r="C27" i="35"/>
  <c r="C126" i="35"/>
  <c r="D107" i="35"/>
  <c r="C21" i="35"/>
  <c r="D49" i="35"/>
  <c r="C19" i="35"/>
  <c r="F230" i="35"/>
  <c r="F124" i="35"/>
  <c r="C171" i="35"/>
  <c r="F67" i="35"/>
  <c r="E84" i="35"/>
  <c r="D222" i="35"/>
  <c r="F173" i="35"/>
  <c r="C71" i="35"/>
  <c r="D142" i="35"/>
  <c r="F209" i="35"/>
  <c r="C18" i="35"/>
  <c r="E34" i="35"/>
  <c r="D204" i="35"/>
  <c r="F19" i="35"/>
  <c r="E259" i="35"/>
  <c r="E103" i="35"/>
  <c r="F233" i="35"/>
  <c r="D253" i="35"/>
  <c r="E47" i="35"/>
  <c r="F61" i="35"/>
  <c r="D66" i="35"/>
  <c r="E64" i="35"/>
  <c r="C106" i="35"/>
  <c r="F261" i="35"/>
  <c r="D110" i="35"/>
  <c r="C217" i="35"/>
  <c r="F180" i="35"/>
  <c r="C65" i="35"/>
  <c r="E210" i="35"/>
  <c r="D272" i="35"/>
  <c r="F137" i="35"/>
  <c r="E252" i="35"/>
  <c r="C186" i="35"/>
  <c r="D208" i="35"/>
  <c r="F34" i="35"/>
  <c r="F87" i="35"/>
  <c r="F70" i="35"/>
  <c r="E142" i="35"/>
  <c r="C283" i="35"/>
  <c r="F225" i="35"/>
  <c r="C280" i="35"/>
  <c r="F50" i="35"/>
  <c r="D221" i="35"/>
  <c r="E173" i="35"/>
  <c r="F266" i="35"/>
  <c r="D60" i="35"/>
  <c r="F222" i="35"/>
  <c r="F280" i="35"/>
  <c r="E199" i="35"/>
  <c r="E159" i="35"/>
  <c r="C169" i="35"/>
  <c r="D226" i="35"/>
  <c r="E62" i="35"/>
  <c r="F64" i="35"/>
  <c r="F160" i="35"/>
  <c r="D138" i="35"/>
  <c r="C75" i="35"/>
  <c r="E130" i="35"/>
  <c r="C103" i="35"/>
  <c r="F58" i="35"/>
  <c r="E97" i="35"/>
  <c r="C121" i="35"/>
  <c r="D255" i="35"/>
  <c r="E265" i="35"/>
  <c r="C164" i="35"/>
  <c r="F273" i="35"/>
  <c r="C223" i="35"/>
  <c r="C119" i="35"/>
  <c r="D19" i="35"/>
  <c r="E163" i="35"/>
  <c r="D97" i="35"/>
  <c r="F3" i="35"/>
  <c r="C221" i="35"/>
  <c r="E100" i="35"/>
  <c r="F154" i="35"/>
  <c r="D5" i="35"/>
  <c r="C159" i="35"/>
  <c r="D111" i="35"/>
  <c r="C47" i="35"/>
  <c r="F177" i="35"/>
  <c r="D216" i="35"/>
  <c r="D203" i="35"/>
  <c r="E162" i="35"/>
  <c r="C133" i="35"/>
  <c r="E246" i="35"/>
  <c r="C78" i="35"/>
  <c r="C93" i="35"/>
  <c r="C146" i="35"/>
  <c r="F246" i="35"/>
  <c r="D139" i="35"/>
  <c r="E53" i="35"/>
  <c r="F65" i="35"/>
  <c r="D93" i="35"/>
  <c r="F191" i="35"/>
  <c r="C87" i="35"/>
  <c r="C8" i="35"/>
  <c r="C257" i="35"/>
  <c r="E225" i="35"/>
  <c r="F15" i="35"/>
  <c r="E77" i="35"/>
  <c r="C210" i="35"/>
  <c r="E10" i="35"/>
  <c r="C214" i="35"/>
  <c r="D269" i="35"/>
  <c r="E182" i="35"/>
  <c r="F30" i="35"/>
  <c r="C38" i="35"/>
  <c r="F102" i="35"/>
  <c r="C97" i="35"/>
  <c r="E113" i="35"/>
  <c r="E112" i="35"/>
  <c r="F216" i="35"/>
  <c r="E154" i="35"/>
  <c r="D257" i="35"/>
  <c r="C254" i="35"/>
  <c r="C174" i="35"/>
  <c r="D254" i="35"/>
  <c r="F220" i="35"/>
  <c r="F228" i="35"/>
  <c r="E111" i="35"/>
  <c r="D171" i="35"/>
  <c r="C238" i="35"/>
  <c r="E7" i="35"/>
  <c r="D108" i="35"/>
  <c r="E236" i="35"/>
  <c r="D34" i="35"/>
  <c r="D86" i="35"/>
  <c r="C201" i="35"/>
  <c r="F253" i="35"/>
  <c r="C204" i="35"/>
  <c r="E116" i="35"/>
  <c r="D70" i="35"/>
  <c r="F144" i="35"/>
  <c r="E85" i="35"/>
  <c r="E59" i="35"/>
  <c r="E223" i="35"/>
  <c r="D152" i="35"/>
  <c r="F197" i="35"/>
  <c r="C216" i="35"/>
  <c r="E118" i="35"/>
  <c r="F229" i="35"/>
  <c r="F77" i="35"/>
  <c r="F214" i="35"/>
  <c r="F148" i="35"/>
  <c r="E40" i="35"/>
  <c r="F257" i="35"/>
  <c r="C170" i="35"/>
  <c r="F8" i="35"/>
  <c r="F267" i="35"/>
  <c r="C7" i="35"/>
  <c r="F106" i="35"/>
  <c r="D270" i="35"/>
  <c r="F138" i="35"/>
  <c r="D278" i="35"/>
  <c r="C4" i="35"/>
  <c r="F255" i="35"/>
  <c r="E135" i="35"/>
  <c r="D16" i="35"/>
  <c r="E230" i="35"/>
  <c r="C25" i="35"/>
  <c r="C13" i="35"/>
  <c r="D169" i="35"/>
  <c r="C246" i="35"/>
  <c r="E201" i="35"/>
  <c r="D98" i="35"/>
  <c r="D8" i="35"/>
  <c r="D161" i="35"/>
  <c r="E5" i="35"/>
  <c r="E121" i="35"/>
  <c r="E270" i="35"/>
  <c r="E70" i="35"/>
  <c r="F175" i="35"/>
  <c r="F152" i="35"/>
  <c r="C141" i="35"/>
  <c r="F22" i="35"/>
  <c r="C44" i="35"/>
  <c r="D63" i="35"/>
  <c r="E170" i="35"/>
  <c r="D187" i="35"/>
  <c r="F264" i="35"/>
  <c r="D87" i="35"/>
  <c r="C22" i="35"/>
  <c r="D190" i="35"/>
  <c r="E257" i="35"/>
  <c r="C143" i="35"/>
  <c r="C162" i="35"/>
  <c r="C70" i="35"/>
  <c r="C12" i="35"/>
  <c r="D78" i="35"/>
  <c r="F27" i="35"/>
  <c r="F254" i="35"/>
  <c r="E273" i="35"/>
  <c r="F90" i="35"/>
  <c r="E196" i="35"/>
  <c r="C265" i="35"/>
  <c r="E181" i="35"/>
  <c r="D13" i="35"/>
  <c r="C212" i="35"/>
  <c r="E21" i="35"/>
  <c r="C227" i="35"/>
  <c r="F140" i="35"/>
  <c r="D100" i="35"/>
  <c r="C277" i="35"/>
  <c r="C188" i="35"/>
  <c r="C127" i="35"/>
  <c r="F188" i="35"/>
  <c r="E45" i="35"/>
  <c r="D163" i="35"/>
  <c r="E264" i="35"/>
  <c r="D96" i="35"/>
  <c r="C191" i="35"/>
  <c r="E276" i="35"/>
  <c r="D150" i="35"/>
  <c r="F236" i="35"/>
  <c r="F47" i="35"/>
  <c r="D79" i="35"/>
  <c r="F31" i="35"/>
  <c r="E187" i="35"/>
  <c r="F130" i="35"/>
  <c r="F95" i="35"/>
  <c r="E88" i="35"/>
  <c r="E39" i="35"/>
  <c r="D33" i="35"/>
  <c r="F206" i="35"/>
  <c r="D173" i="35"/>
  <c r="D135" i="35"/>
  <c r="E20" i="35"/>
  <c r="D214" i="35"/>
  <c r="D159" i="35"/>
  <c r="E13" i="35"/>
  <c r="D200" i="35"/>
  <c r="E278" i="35"/>
  <c r="E56" i="35"/>
  <c r="D181" i="35"/>
  <c r="D189" i="35"/>
  <c r="D196" i="35"/>
  <c r="E83" i="35"/>
  <c r="F189" i="35"/>
  <c r="C198" i="35"/>
  <c r="F46" i="35"/>
  <c r="D14" i="35"/>
  <c r="D235" i="35"/>
  <c r="C220" i="35"/>
  <c r="E244" i="35"/>
  <c r="C196" i="35"/>
  <c r="E172" i="35"/>
  <c r="C213" i="35"/>
  <c r="E123" i="35"/>
  <c r="F119" i="35"/>
  <c r="F14" i="35"/>
  <c r="C259" i="35"/>
  <c r="C53" i="35"/>
  <c r="C82" i="35"/>
  <c r="F91" i="35"/>
  <c r="C64" i="35"/>
  <c r="D245" i="35"/>
  <c r="D260" i="35"/>
  <c r="F146" i="35"/>
  <c r="C193" i="35"/>
  <c r="F251" i="35"/>
  <c r="D279" i="35"/>
  <c r="C55" i="35"/>
  <c r="E242" i="35"/>
  <c r="C23" i="35"/>
  <c r="C28" i="35"/>
  <c r="E119" i="35"/>
  <c r="D68" i="35"/>
  <c r="C83" i="35"/>
  <c r="E143" i="35"/>
  <c r="C231" i="35"/>
  <c r="E125" i="35"/>
  <c r="F36" i="35"/>
  <c r="E193" i="35"/>
  <c r="F243" i="35"/>
  <c r="D95" i="35"/>
  <c r="E38" i="35"/>
  <c r="F109" i="35"/>
  <c r="E231" i="35"/>
  <c r="F12" i="35"/>
  <c r="C59" i="35"/>
  <c r="C138" i="35"/>
  <c r="F33" i="35"/>
  <c r="D24" i="35"/>
  <c r="E75" i="35"/>
  <c r="E185" i="35"/>
  <c r="C155" i="35"/>
  <c r="D256" i="35"/>
  <c r="F142" i="35"/>
  <c r="C177" i="35"/>
  <c r="C184" i="35"/>
  <c r="D248" i="35"/>
  <c r="C94" i="35"/>
  <c r="C122" i="35"/>
  <c r="F32" i="35"/>
  <c r="E167" i="35"/>
  <c r="D2" i="35"/>
  <c r="F108" i="35"/>
  <c r="F262" i="35"/>
  <c r="E234" i="35"/>
  <c r="C5" i="35"/>
  <c r="F203" i="35"/>
  <c r="E202" i="35"/>
  <c r="D247" i="35"/>
  <c r="F245" i="35"/>
  <c r="F248" i="35"/>
  <c r="F259" i="35"/>
  <c r="D268" i="35"/>
  <c r="P3" i="38"/>
  <c r="E92" i="35"/>
  <c r="D124" i="35"/>
  <c r="F25" i="35"/>
  <c r="D48" i="35"/>
  <c r="E261" i="35"/>
  <c r="F150" i="35"/>
  <c r="F129" i="35"/>
  <c r="C166" i="35"/>
  <c r="C219" i="35"/>
  <c r="D67" i="35"/>
  <c r="F166" i="35"/>
  <c r="E22" i="35"/>
  <c r="D30" i="35"/>
  <c r="C273" i="35"/>
  <c r="D242" i="35"/>
  <c r="C15" i="35"/>
  <c r="D75" i="35"/>
  <c r="C203" i="35"/>
  <c r="E81" i="35"/>
  <c r="E277" i="35"/>
  <c r="F5" i="35"/>
  <c r="F219" i="35"/>
  <c r="C80" i="35"/>
  <c r="F35" i="35"/>
  <c r="E191" i="35"/>
  <c r="E33" i="35"/>
  <c r="D259" i="35"/>
  <c r="D219" i="35"/>
  <c r="C207" i="35"/>
  <c r="C268" i="35"/>
  <c r="C76" i="35"/>
  <c r="D47" i="35"/>
  <c r="D121" i="35"/>
  <c r="D277" i="35"/>
  <c r="D153" i="35"/>
  <c r="E262" i="35"/>
  <c r="F11" i="35"/>
  <c r="E24" i="35"/>
  <c r="C46" i="35"/>
  <c r="F17" i="35"/>
  <c r="C114" i="35"/>
  <c r="C242" i="35"/>
  <c r="C120" i="35"/>
  <c r="E212" i="35"/>
  <c r="C37" i="35"/>
  <c r="F165" i="35"/>
  <c r="C251" i="35"/>
  <c r="D130" i="35"/>
  <c r="D61" i="35"/>
  <c r="D207" i="35"/>
  <c r="F24" i="35"/>
  <c r="D140" i="35"/>
  <c r="F20" i="35"/>
  <c r="C240" i="35"/>
  <c r="D11" i="35"/>
  <c r="C90" i="35"/>
  <c r="F115" i="35"/>
  <c r="D213" i="35"/>
  <c r="C79" i="35"/>
  <c r="E204" i="35"/>
  <c r="F256" i="35"/>
  <c r="E184" i="35"/>
  <c r="C39" i="35"/>
  <c r="C255" i="35"/>
  <c r="D237" i="35"/>
  <c r="E152" i="35"/>
  <c r="Q3" i="38"/>
  <c r="F249" i="35"/>
  <c r="D39" i="35"/>
  <c r="C51" i="35"/>
  <c r="D9" i="35"/>
  <c r="D46" i="35"/>
  <c r="D109" i="35"/>
  <c r="F223" i="35"/>
  <c r="F26" i="35"/>
  <c r="D6" i="35"/>
  <c r="E247" i="35"/>
  <c r="C34" i="35"/>
  <c r="E145" i="35"/>
  <c r="C68" i="35"/>
  <c r="F131" i="35"/>
  <c r="D62" i="35"/>
  <c r="E28" i="35"/>
  <c r="E218" i="35"/>
  <c r="C72" i="35"/>
  <c r="D91" i="35"/>
  <c r="F151" i="35"/>
  <c r="C96" i="35"/>
  <c r="E120" i="35"/>
  <c r="C179" i="35"/>
  <c r="C57" i="35"/>
  <c r="E32" i="35"/>
  <c r="D42" i="35"/>
  <c r="C60" i="35"/>
  <c r="C160" i="35"/>
  <c r="E197" i="35"/>
  <c r="C134" i="35"/>
  <c r="E157" i="35"/>
  <c r="D151" i="35"/>
  <c r="D146" i="35"/>
  <c r="F212" i="35"/>
  <c r="D28" i="35"/>
  <c r="F83" i="35"/>
  <c r="F98" i="35"/>
  <c r="E227" i="35"/>
  <c r="D155" i="35"/>
  <c r="D210" i="35"/>
  <c r="D202" i="35"/>
  <c r="D117" i="35"/>
  <c r="F272" i="35"/>
  <c r="C67" i="35"/>
  <c r="E176" i="35"/>
  <c r="C77" i="35"/>
  <c r="C62" i="35"/>
  <c r="C110" i="35"/>
  <c r="F171" i="35"/>
  <c r="C248" i="35"/>
  <c r="C108" i="35"/>
  <c r="C152" i="35"/>
  <c r="D141" i="35"/>
  <c r="F122" i="35"/>
  <c r="D103" i="35"/>
  <c r="D209" i="35"/>
  <c r="D18" i="35"/>
  <c r="C100" i="35"/>
  <c r="D218" i="35"/>
  <c r="F135" i="35"/>
  <c r="E73" i="35"/>
  <c r="F169" i="35"/>
  <c r="F72" i="35"/>
  <c r="D45" i="35"/>
  <c r="F6" i="35"/>
  <c r="C197" i="35"/>
  <c r="C132" i="35"/>
  <c r="C185" i="35"/>
  <c r="D10" i="35"/>
  <c r="E144" i="35"/>
  <c r="C202" i="35"/>
  <c r="D211" i="35"/>
  <c r="F54" i="35"/>
  <c r="C50" i="35"/>
  <c r="E249" i="35"/>
  <c r="F181" i="35"/>
  <c r="E67" i="35"/>
  <c r="C29" i="35"/>
  <c r="D112" i="35"/>
  <c r="D32" i="35"/>
  <c r="D76" i="35"/>
  <c r="F141" i="35"/>
  <c r="E169" i="35"/>
  <c r="F114" i="35"/>
  <c r="D239" i="35"/>
  <c r="C147" i="35"/>
  <c r="D252" i="35"/>
  <c r="E14" i="35"/>
  <c r="D56" i="35"/>
  <c r="F176" i="35"/>
  <c r="F162" i="35"/>
  <c r="C229" i="35"/>
  <c r="E148" i="35"/>
  <c r="F194" i="35"/>
  <c r="D44" i="35"/>
  <c r="F53" i="35"/>
  <c r="C279" i="35"/>
  <c r="D198" i="35"/>
  <c r="F226" i="35"/>
  <c r="C205" i="35"/>
  <c r="E52" i="35"/>
  <c r="D172" i="35"/>
  <c r="D182" i="35"/>
  <c r="D85" i="35"/>
  <c r="C89" i="35"/>
  <c r="E87" i="35"/>
  <c r="D273" i="35"/>
  <c r="D194" i="35"/>
  <c r="D64" i="35"/>
  <c r="C17" i="35"/>
  <c r="D244" i="35"/>
  <c r="F199" i="35"/>
  <c r="F39" i="35"/>
  <c r="E86" i="35"/>
  <c r="C102" i="35"/>
  <c r="E177" i="35"/>
  <c r="C250" i="35"/>
  <c r="C168" i="35"/>
  <c r="E76" i="35"/>
  <c r="F63" i="35"/>
  <c r="F10" i="35"/>
  <c r="L6" i="38"/>
  <c r="F172" i="35"/>
  <c r="E68" i="35"/>
  <c r="O3" i="38"/>
  <c r="D54" i="35"/>
  <c r="E200" i="35"/>
  <c r="D99" i="35"/>
  <c r="F178" i="35"/>
  <c r="C69" i="35"/>
  <c r="E134" i="35"/>
  <c r="D132" i="35"/>
  <c r="E243" i="35"/>
  <c r="F187" i="35"/>
  <c r="C274" i="35"/>
  <c r="E149" i="35"/>
  <c r="C116" i="35"/>
  <c r="D162" i="35"/>
  <c r="F198" i="35"/>
  <c r="D137" i="35"/>
  <c r="E275" i="35"/>
  <c r="E160" i="35"/>
  <c r="E235" i="35"/>
  <c r="D25" i="35"/>
  <c r="F96" i="35"/>
  <c r="E50" i="35"/>
  <c r="D127" i="35"/>
  <c r="C237" i="35"/>
  <c r="D50" i="35"/>
  <c r="C43" i="35"/>
  <c r="C41" i="35"/>
  <c r="D176" i="35"/>
  <c r="D149" i="35"/>
  <c r="F104" i="35"/>
  <c r="C95" i="35"/>
  <c r="C263" i="35"/>
  <c r="E65" i="35"/>
  <c r="F161" i="35"/>
  <c r="F147" i="35"/>
  <c r="E115" i="35"/>
  <c r="E198" i="35"/>
  <c r="C124" i="35"/>
  <c r="F240" i="35"/>
  <c r="F155" i="35"/>
  <c r="C56" i="35"/>
  <c r="F136" i="35"/>
  <c r="D276" i="35"/>
  <c r="F260" i="35"/>
  <c r="C111" i="35"/>
  <c r="D175" i="35"/>
  <c r="E23" i="35"/>
  <c r="D71" i="35"/>
  <c r="F133" i="35"/>
  <c r="F2" i="35"/>
  <c r="F167" i="35"/>
  <c r="E237" i="35"/>
  <c r="F68" i="35"/>
  <c r="C154" i="35"/>
  <c r="C128" i="35"/>
  <c r="F57" i="35"/>
  <c r="E138" i="35"/>
  <c r="D217" i="35"/>
  <c r="D74" i="35"/>
  <c r="F159" i="35"/>
  <c r="D212" i="35"/>
  <c r="E158" i="35"/>
  <c r="D265" i="35"/>
  <c r="F224" i="35"/>
  <c r="D191" i="35"/>
  <c r="E91" i="35"/>
  <c r="F193" i="35"/>
  <c r="C137" i="35"/>
  <c r="E110" i="35"/>
  <c r="C272" i="35"/>
  <c r="E281" i="35"/>
  <c r="F84" i="35"/>
  <c r="D12" i="35"/>
  <c r="C54" i="35"/>
  <c r="F139" i="35"/>
  <c r="D104" i="35"/>
  <c r="C45" i="35"/>
  <c r="F126" i="35"/>
  <c r="F232" i="35"/>
  <c r="D92" i="35"/>
  <c r="C230" i="35"/>
  <c r="F201" i="35"/>
  <c r="E222" i="35"/>
  <c r="C258" i="35"/>
  <c r="D156" i="35"/>
  <c r="F184" i="35"/>
  <c r="F218" i="35"/>
  <c r="C113" i="35"/>
  <c r="F270" i="35"/>
  <c r="C167" i="35"/>
  <c r="F59" i="35"/>
  <c r="C224" i="35"/>
  <c r="F66" i="35"/>
  <c r="F52" i="35"/>
  <c r="C74" i="35"/>
  <c r="F69" i="35"/>
  <c r="D160" i="35"/>
  <c r="D143" i="35"/>
  <c r="E8" i="35"/>
  <c r="F94" i="35"/>
  <c r="D220" i="35"/>
  <c r="D122" i="35"/>
  <c r="E82" i="35"/>
  <c r="L8" i="38"/>
  <c r="E46" i="35"/>
  <c r="E95" i="35"/>
  <c r="D251" i="35"/>
  <c r="F80" i="35"/>
  <c r="E66" i="35"/>
  <c r="E19" i="35"/>
  <c r="F234" i="35"/>
  <c r="F215" i="35"/>
  <c r="E101" i="35"/>
  <c r="E124" i="35"/>
  <c r="E31" i="35"/>
  <c r="D57" i="35"/>
  <c r="F55" i="35"/>
  <c r="E282" i="35"/>
  <c r="C252" i="35"/>
  <c r="C144" i="35"/>
  <c r="D35" i="35"/>
  <c r="E127" i="35"/>
  <c r="C30" i="35"/>
  <c r="D37" i="35"/>
  <c r="E224" i="35"/>
  <c r="C182" i="35"/>
  <c r="C215" i="35"/>
  <c r="C26" i="35"/>
  <c r="E268" i="35"/>
  <c r="D266" i="35"/>
  <c r="F79" i="35"/>
  <c r="C139" i="35"/>
  <c r="D51" i="35"/>
  <c r="F269" i="35"/>
  <c r="E106" i="35"/>
  <c r="F207" i="35"/>
  <c r="C131" i="35"/>
  <c r="C32" i="35"/>
  <c r="E140" i="35"/>
  <c r="F37" i="35"/>
  <c r="D165" i="35"/>
  <c r="F71" i="35"/>
  <c r="F217" i="35"/>
  <c r="D144" i="35"/>
  <c r="D195" i="35"/>
  <c r="F40" i="35"/>
  <c r="D193" i="35"/>
  <c r="F239" i="35"/>
  <c r="F190" i="35"/>
  <c r="F134" i="35"/>
  <c r="E226" i="35"/>
  <c r="D38" i="35"/>
  <c r="F76" i="35"/>
  <c r="C63" i="35"/>
  <c r="F13" i="35"/>
  <c r="F282" i="35"/>
  <c r="F196" i="35"/>
  <c r="D133" i="35"/>
  <c r="E61" i="35"/>
  <c r="F18" i="35"/>
  <c r="F28" i="35"/>
  <c r="C99" i="35"/>
  <c r="D230" i="35"/>
  <c r="F21" i="35"/>
  <c r="F56" i="35"/>
  <c r="E6" i="35"/>
  <c r="C36" i="35"/>
  <c r="E117" i="35"/>
  <c r="D102" i="35"/>
  <c r="E128" i="35"/>
  <c r="E51" i="35"/>
  <c r="E146" i="35"/>
  <c r="E274" i="35"/>
  <c r="C117" i="35"/>
  <c r="E147" i="35"/>
  <c r="F208" i="35"/>
  <c r="D118" i="35"/>
  <c r="D15" i="35"/>
  <c r="E16" i="35"/>
  <c r="C226" i="35"/>
  <c r="E217" i="35"/>
  <c r="D264" i="35"/>
  <c r="F43" i="35"/>
  <c r="D128" i="35"/>
  <c r="C10" i="35"/>
  <c r="C211" i="35"/>
  <c r="E155" i="35"/>
  <c r="D166" i="35"/>
  <c r="E74" i="35"/>
  <c r="F23" i="35"/>
  <c r="D215" i="35"/>
  <c r="C269" i="35"/>
  <c r="D199" i="35"/>
  <c r="E190" i="35"/>
  <c r="E280" i="35"/>
  <c r="F113" i="35"/>
  <c r="F221" i="35"/>
  <c r="F38" i="35"/>
  <c r="D246" i="35"/>
  <c r="C88" i="35"/>
  <c r="E44" i="35"/>
  <c r="E219" i="35"/>
  <c r="C31" i="35"/>
  <c r="F42" i="35"/>
  <c r="F143" i="35"/>
  <c r="F9" i="35"/>
  <c r="D243" i="35"/>
  <c r="F200" i="35"/>
  <c r="F258" i="35"/>
  <c r="E248" i="35"/>
  <c r="D186" i="35"/>
  <c r="D20" i="35"/>
  <c r="C35" i="35"/>
  <c r="C173" i="35"/>
  <c r="F45" i="35"/>
  <c r="C33" i="35"/>
  <c r="C142" i="35"/>
  <c r="F86" i="35"/>
  <c r="D27" i="35"/>
  <c r="C3" i="35"/>
  <c r="D114" i="35"/>
  <c r="E263" i="35"/>
  <c r="C247" i="35"/>
  <c r="E180" i="35"/>
  <c r="D192" i="35"/>
  <c r="E109" i="35"/>
  <c r="D41" i="35"/>
  <c r="D119" i="35"/>
  <c r="F41" i="35"/>
  <c r="C81" i="35"/>
  <c r="E102" i="35"/>
  <c r="C234" i="35"/>
  <c r="C42" i="35"/>
  <c r="C101" i="35"/>
  <c r="E209" i="35"/>
  <c r="E108" i="35"/>
  <c r="D168" i="35"/>
  <c r="C256" i="35"/>
  <c r="D23" i="35"/>
  <c r="D233" i="35"/>
  <c r="E233" i="35"/>
  <c r="D106" i="35"/>
  <c r="C136" i="35"/>
  <c r="F210" i="35"/>
  <c r="D261" i="35"/>
  <c r="E175" i="35"/>
  <c r="F235" i="35"/>
  <c r="F252" i="35"/>
  <c r="C11" i="35"/>
  <c r="C175" i="35"/>
  <c r="F81" i="35"/>
  <c r="C270" i="35"/>
  <c r="F121" i="35"/>
  <c r="C112" i="35"/>
  <c r="C235" i="35"/>
  <c r="E211" i="35"/>
  <c r="E251" i="35"/>
  <c r="C281" i="35"/>
  <c r="F74" i="35"/>
  <c r="E122" i="35"/>
  <c r="D185" i="35"/>
  <c r="C14" i="35"/>
  <c r="E279" i="35"/>
  <c r="D73" i="35"/>
  <c r="C40" i="35"/>
  <c r="D94" i="35"/>
  <c r="F227" i="35"/>
  <c r="D83" i="35"/>
  <c r="E267" i="35"/>
  <c r="F237" i="35"/>
  <c r="E71" i="35"/>
  <c r="D234" i="35"/>
  <c r="D81" i="35"/>
  <c r="C149" i="35"/>
  <c r="E269" i="35"/>
  <c r="D267" i="35"/>
  <c r="F153" i="35"/>
  <c r="F111" i="35"/>
  <c r="F117" i="35"/>
  <c r="D89" i="35"/>
  <c r="F241" i="35"/>
  <c r="E240" i="35"/>
  <c r="F123" i="35"/>
  <c r="D26" i="35"/>
  <c r="E94" i="35"/>
  <c r="E15" i="35"/>
  <c r="F7" i="35"/>
  <c r="F265" i="35"/>
  <c r="E114" i="35"/>
  <c r="E205" i="35"/>
  <c r="E49" i="35"/>
  <c r="C135" i="35"/>
  <c r="D105" i="35"/>
  <c r="F82" i="35"/>
  <c r="C148" i="35"/>
  <c r="E37" i="35"/>
  <c r="E11" i="35"/>
  <c r="D227" i="35"/>
  <c r="E171" i="35"/>
  <c r="C245" i="35"/>
  <c r="D88" i="35"/>
  <c r="D31" i="35"/>
  <c r="E3" i="35"/>
  <c r="C84" i="35"/>
  <c r="D179" i="35"/>
  <c r="D249" i="35"/>
  <c r="E192" i="35"/>
  <c r="E96" i="35"/>
  <c r="C239" i="35"/>
  <c r="E153" i="35"/>
  <c r="D147" i="35"/>
  <c r="E133" i="35"/>
  <c r="E60" i="35"/>
  <c r="F213" i="35"/>
  <c r="D197" i="35"/>
  <c r="C158" i="35"/>
  <c r="E156" i="35"/>
  <c r="E228" i="35"/>
  <c r="E93" i="35"/>
  <c r="E99" i="35"/>
  <c r="C261" i="35"/>
  <c r="C267" i="35"/>
  <c r="F110" i="35"/>
  <c r="F211" i="35"/>
  <c r="E57" i="35"/>
  <c r="E107" i="35"/>
  <c r="F100" i="35"/>
  <c r="E164" i="35"/>
  <c r="E195" i="35"/>
  <c r="C104" i="35"/>
  <c r="N3" i="38"/>
  <c r="C278" i="35"/>
  <c r="D77" i="35"/>
  <c r="E48" i="35"/>
  <c r="C233" i="35"/>
  <c r="F275" i="35"/>
  <c r="F185" i="35"/>
  <c r="E220" i="35"/>
  <c r="C206" i="35"/>
  <c r="F49" i="35"/>
  <c r="D4" i="35"/>
  <c r="D7" i="35"/>
  <c r="C107" i="35"/>
  <c r="F118" i="35"/>
  <c r="E79" i="35"/>
  <c r="D225" i="35"/>
  <c r="D116" i="35"/>
  <c r="E258" i="35"/>
  <c r="E283" i="35"/>
  <c r="D275" i="35"/>
  <c r="C183" i="35"/>
  <c r="E250" i="35"/>
  <c r="F242" i="35"/>
  <c r="D113" i="35"/>
  <c r="D283" i="35"/>
  <c r="C130" i="35"/>
  <c r="D263" i="35"/>
  <c r="E90" i="35"/>
  <c r="D238" i="35"/>
  <c r="F182" i="35"/>
  <c r="E80" i="35"/>
  <c r="D180" i="35"/>
  <c r="F271" i="35"/>
  <c r="C151" i="35"/>
  <c r="N7" i="38" l="1"/>
  <c r="N6" i="38"/>
  <c r="N9" i="38"/>
  <c r="N8" i="38"/>
  <c r="O9" i="38"/>
  <c r="O6" i="38"/>
  <c r="O8" i="38"/>
  <c r="O7" i="38"/>
  <c r="U1394" i="10"/>
  <c r="U1389" i="10"/>
  <c r="U1347" i="10"/>
  <c r="U1400" i="10"/>
  <c r="U1381" i="10"/>
  <c r="U1408" i="10"/>
  <c r="U1351" i="10"/>
  <c r="U1327" i="10"/>
  <c r="U1407" i="10"/>
  <c r="U1368" i="10"/>
  <c r="U1328" i="10"/>
  <c r="U1333" i="10"/>
  <c r="U1371" i="10"/>
  <c r="U1331" i="10"/>
  <c r="U1373" i="10"/>
  <c r="U1341" i="10"/>
  <c r="U1398" i="10"/>
  <c r="U1325" i="10"/>
  <c r="U1349" i="10"/>
  <c r="U1326" i="10"/>
  <c r="U1386" i="10"/>
  <c r="U1370" i="10"/>
  <c r="U1342" i="10"/>
  <c r="U1379" i="10"/>
  <c r="U1399" i="10"/>
  <c r="U1416" i="10"/>
  <c r="U1402" i="10"/>
  <c r="U1354" i="10"/>
  <c r="U1372" i="10"/>
  <c r="U1388" i="10"/>
  <c r="U1382" i="10"/>
  <c r="U1378" i="10"/>
  <c r="U1364" i="10"/>
  <c r="U1392" i="10"/>
  <c r="U1367" i="10"/>
  <c r="U1365" i="10"/>
  <c r="U1352" i="10"/>
  <c r="U1393" i="10"/>
  <c r="U1410" i="10"/>
  <c r="U1412" i="10"/>
  <c r="U1415" i="10"/>
  <c r="U1385" i="10"/>
  <c r="U1387" i="10"/>
  <c r="U1390" i="10"/>
  <c r="U1366" i="10"/>
  <c r="U1339" i="10"/>
  <c r="U1403" i="10"/>
  <c r="U1405" i="10"/>
  <c r="U1413" i="10"/>
  <c r="U1414" i="10"/>
  <c r="U1384" i="10"/>
  <c r="U1357" i="10"/>
  <c r="U1377" i="10"/>
  <c r="U1363" i="10"/>
  <c r="U1391" i="10"/>
  <c r="U1411" i="10"/>
  <c r="U1369" i="10"/>
  <c r="U1338" i="10"/>
  <c r="U1401" i="10"/>
  <c r="U1383" i="10"/>
  <c r="U1361" i="10"/>
  <c r="U1362" i="10"/>
  <c r="U1404" i="10"/>
  <c r="U1397" i="10"/>
  <c r="U1450" i="10"/>
  <c r="U1444" i="10"/>
  <c r="U1455" i="10"/>
  <c r="U1436" i="10"/>
  <c r="U1463" i="10"/>
  <c r="U1462" i="10"/>
  <c r="U1423" i="10"/>
  <c r="U1426" i="10"/>
  <c r="U1428" i="10"/>
  <c r="U1453" i="10"/>
  <c r="U1442" i="10"/>
  <c r="U1425" i="10"/>
  <c r="U1434" i="10"/>
  <c r="U1454" i="10"/>
  <c r="U1471" i="10"/>
  <c r="U1457" i="10"/>
  <c r="U1427" i="10"/>
  <c r="U1441" i="10"/>
  <c r="U1437" i="10"/>
  <c r="U1433" i="10"/>
  <c r="U1418" i="10"/>
  <c r="U1447" i="10"/>
  <c r="U1422" i="10"/>
  <c r="U1419" i="10"/>
  <c r="U1448" i="10"/>
  <c r="U1465" i="10"/>
  <c r="U1467" i="10"/>
  <c r="U1470" i="10"/>
  <c r="U1440" i="10"/>
  <c r="U1443" i="10"/>
  <c r="U1445" i="10"/>
  <c r="U1420" i="10"/>
  <c r="U1458" i="10"/>
  <c r="U1460" i="10"/>
  <c r="U1468" i="10"/>
  <c r="U1469" i="10"/>
  <c r="U1439" i="10"/>
  <c r="U1432" i="10"/>
  <c r="U1417" i="10"/>
  <c r="U1446" i="10"/>
  <c r="U1421" i="10"/>
  <c r="U1466" i="10"/>
  <c r="U1424" i="10"/>
  <c r="U1456" i="10"/>
  <c r="U1438" i="10"/>
  <c r="U1459" i="10"/>
  <c r="U1452" i="10"/>
  <c r="R3" i="37"/>
  <c r="S6" i="37"/>
  <c r="S4" i="37"/>
  <c r="S7" i="37"/>
  <c r="S5" i="37"/>
  <c r="S2" i="37"/>
  <c r="S1" i="37" s="1"/>
  <c r="G80" i="35"/>
  <c r="G99" i="35"/>
  <c r="G192" i="35"/>
  <c r="G15" i="35"/>
  <c r="G251" i="35"/>
  <c r="G180" i="35"/>
  <c r="G155" i="35"/>
  <c r="G117" i="35"/>
  <c r="G127" i="35"/>
  <c r="G46" i="35"/>
  <c r="G138" i="35"/>
  <c r="G160" i="35"/>
  <c r="G148" i="35"/>
  <c r="G227" i="35"/>
  <c r="G247" i="35"/>
  <c r="G212" i="35"/>
  <c r="G261" i="35"/>
  <c r="G167" i="35"/>
  <c r="G119" i="35"/>
  <c r="G13" i="35"/>
  <c r="G21" i="35"/>
  <c r="G121" i="35"/>
  <c r="G59" i="35"/>
  <c r="G113" i="35"/>
  <c r="G100" i="35"/>
  <c r="G173" i="35"/>
  <c r="G34" i="35"/>
  <c r="G29" i="35"/>
  <c r="G166" i="35"/>
  <c r="G216" i="35"/>
  <c r="G4" i="35"/>
  <c r="G36" i="35"/>
  <c r="G58" i="35"/>
  <c r="G239" i="35"/>
  <c r="G215" i="35"/>
  <c r="G26" i="35"/>
  <c r="G90" i="35"/>
  <c r="G93" i="35"/>
  <c r="G3" i="35"/>
  <c r="G94" i="35"/>
  <c r="G211" i="35"/>
  <c r="G263" i="35"/>
  <c r="G217" i="35"/>
  <c r="G6" i="35"/>
  <c r="G282" i="35"/>
  <c r="G82" i="35"/>
  <c r="G237" i="35"/>
  <c r="G275" i="35"/>
  <c r="G14" i="35"/>
  <c r="G157" i="35"/>
  <c r="Q9" i="38"/>
  <c r="G24" i="35"/>
  <c r="G92" i="35"/>
  <c r="G185" i="35"/>
  <c r="G242" i="35"/>
  <c r="G20" i="35"/>
  <c r="G181" i="35"/>
  <c r="G5" i="35"/>
  <c r="G85" i="35"/>
  <c r="G182" i="35"/>
  <c r="G163" i="35"/>
  <c r="G142" i="35"/>
  <c r="G84" i="35"/>
  <c r="G12" i="35"/>
  <c r="G255" i="35"/>
  <c r="G272" i="35"/>
  <c r="G186" i="35"/>
  <c r="G213" i="35"/>
  <c r="G42" i="35"/>
  <c r="G35" i="35"/>
  <c r="G266" i="35"/>
  <c r="G126" i="35"/>
  <c r="G250" i="35"/>
  <c r="G228" i="35"/>
  <c r="G171" i="35"/>
  <c r="G240" i="35"/>
  <c r="G175" i="35"/>
  <c r="G248" i="35"/>
  <c r="G16" i="35"/>
  <c r="G61" i="35"/>
  <c r="G31" i="35"/>
  <c r="G8" i="35"/>
  <c r="G23" i="35"/>
  <c r="G149" i="35"/>
  <c r="G68" i="35"/>
  <c r="G169" i="35"/>
  <c r="G197" i="35"/>
  <c r="Q7" i="38"/>
  <c r="G262" i="35"/>
  <c r="P6" i="38"/>
  <c r="G75" i="35"/>
  <c r="G123" i="35"/>
  <c r="G39" i="35"/>
  <c r="G196" i="35"/>
  <c r="G201" i="35"/>
  <c r="G116" i="35"/>
  <c r="G10" i="35"/>
  <c r="G265" i="35"/>
  <c r="G252" i="35"/>
  <c r="G256" i="35"/>
  <c r="G54" i="35"/>
  <c r="G150" i="35"/>
  <c r="G232" i="35"/>
  <c r="G260" i="35"/>
  <c r="G165" i="35"/>
  <c r="G25" i="35"/>
  <c r="G241" i="35"/>
  <c r="G98" i="35"/>
  <c r="G283" i="35"/>
  <c r="G156" i="35"/>
  <c r="G11" i="35"/>
  <c r="G269" i="35"/>
  <c r="G233" i="35"/>
  <c r="G219" i="35"/>
  <c r="G147" i="35"/>
  <c r="G226" i="35"/>
  <c r="G124" i="35"/>
  <c r="G222" i="35"/>
  <c r="G198" i="35"/>
  <c r="G243" i="35"/>
  <c r="G76" i="35"/>
  <c r="G67" i="35"/>
  <c r="G32" i="35"/>
  <c r="Q8" i="38"/>
  <c r="G33" i="35"/>
  <c r="P9" i="38"/>
  <c r="G231" i="35"/>
  <c r="G172" i="35"/>
  <c r="G88" i="35"/>
  <c r="G273" i="35"/>
  <c r="G230" i="35"/>
  <c r="G236" i="35"/>
  <c r="G77" i="35"/>
  <c r="G97" i="35"/>
  <c r="G210" i="35"/>
  <c r="G63" i="35"/>
  <c r="G178" i="35"/>
  <c r="G9" i="35"/>
  <c r="G139" i="35"/>
  <c r="G30" i="35"/>
  <c r="G254" i="35"/>
  <c r="G2" i="35"/>
  <c r="G17" i="35"/>
  <c r="G183" i="35"/>
  <c r="G258" i="35"/>
  <c r="G195" i="35"/>
  <c r="G60" i="35"/>
  <c r="G37" i="35"/>
  <c r="G71" i="35"/>
  <c r="G108" i="35"/>
  <c r="G44" i="35"/>
  <c r="G274" i="35"/>
  <c r="G140" i="35"/>
  <c r="G101" i="35"/>
  <c r="G281" i="35"/>
  <c r="G115" i="35"/>
  <c r="G134" i="35"/>
  <c r="G177" i="35"/>
  <c r="G249" i="35"/>
  <c r="G120" i="35"/>
  <c r="Q6" i="38"/>
  <c r="G191" i="35"/>
  <c r="P8" i="38"/>
  <c r="G38" i="35"/>
  <c r="G244" i="35"/>
  <c r="G187" i="35"/>
  <c r="G257" i="35"/>
  <c r="G135" i="35"/>
  <c r="G7" i="35"/>
  <c r="G225" i="35"/>
  <c r="G130" i="35"/>
  <c r="G64" i="35"/>
  <c r="G208" i="35"/>
  <c r="G141" i="35"/>
  <c r="G137" i="35"/>
  <c r="G207" i="35"/>
  <c r="G229" i="35"/>
  <c r="G179" i="35"/>
  <c r="G245" i="35"/>
  <c r="G174" i="35"/>
  <c r="G214" i="35"/>
  <c r="G79" i="35"/>
  <c r="G164" i="35"/>
  <c r="G133" i="35"/>
  <c r="G49" i="35"/>
  <c r="G267" i="35"/>
  <c r="G209" i="35"/>
  <c r="G280" i="35"/>
  <c r="G146" i="35"/>
  <c r="G106" i="35"/>
  <c r="G19" i="35"/>
  <c r="G110" i="35"/>
  <c r="G65" i="35"/>
  <c r="G200" i="35"/>
  <c r="G86" i="35"/>
  <c r="G144" i="35"/>
  <c r="G218" i="35"/>
  <c r="G152" i="35"/>
  <c r="G277" i="35"/>
  <c r="P7" i="38"/>
  <c r="G193" i="35"/>
  <c r="G83" i="35"/>
  <c r="G276" i="35"/>
  <c r="G170" i="35"/>
  <c r="G40" i="35"/>
  <c r="G111" i="35"/>
  <c r="G53" i="35"/>
  <c r="G62" i="35"/>
  <c r="G47" i="35"/>
  <c r="G41" i="35"/>
  <c r="G89" i="35"/>
  <c r="G161" i="35"/>
  <c r="G136" i="35"/>
  <c r="G151" i="35"/>
  <c r="G203" i="35"/>
  <c r="G189" i="35"/>
  <c r="G129" i="35"/>
  <c r="G72" i="35"/>
  <c r="G220" i="35"/>
  <c r="G107" i="35"/>
  <c r="G153" i="35"/>
  <c r="G205" i="35"/>
  <c r="G279" i="35"/>
  <c r="G102" i="35"/>
  <c r="G190" i="35"/>
  <c r="G51" i="35"/>
  <c r="G268" i="35"/>
  <c r="G66" i="35"/>
  <c r="G91" i="35"/>
  <c r="G50" i="35"/>
  <c r="G87" i="35"/>
  <c r="G73" i="35"/>
  <c r="G28" i="35"/>
  <c r="G184" i="35"/>
  <c r="G81" i="35"/>
  <c r="G202" i="35"/>
  <c r="G125" i="35"/>
  <c r="G56" i="35"/>
  <c r="G264" i="35"/>
  <c r="G70" i="35"/>
  <c r="G118" i="35"/>
  <c r="G154" i="35"/>
  <c r="G246" i="35"/>
  <c r="G159" i="35"/>
  <c r="G103" i="35"/>
  <c r="G168" i="35"/>
  <c r="G69" i="35"/>
  <c r="G27" i="35"/>
  <c r="G104" i="35"/>
  <c r="G271" i="35"/>
  <c r="G253" i="35"/>
  <c r="G221" i="35"/>
  <c r="G132" i="35"/>
  <c r="G105" i="35"/>
  <c r="G48" i="35"/>
  <c r="G57" i="35"/>
  <c r="G96" i="35"/>
  <c r="G114" i="35"/>
  <c r="G122" i="35"/>
  <c r="G109" i="35"/>
  <c r="G74" i="35"/>
  <c r="G128" i="35"/>
  <c r="G224" i="35"/>
  <c r="G95" i="35"/>
  <c r="G158" i="35"/>
  <c r="G235" i="35"/>
  <c r="G52" i="35"/>
  <c r="G176" i="35"/>
  <c r="G145" i="35"/>
  <c r="G204" i="35"/>
  <c r="G22" i="35"/>
  <c r="G234" i="35"/>
  <c r="G143" i="35"/>
  <c r="G278" i="35"/>
  <c r="G45" i="35"/>
  <c r="G270" i="35"/>
  <c r="G223" i="35"/>
  <c r="G112" i="35"/>
  <c r="G162" i="35"/>
  <c r="G199" i="35"/>
  <c r="G259" i="35"/>
  <c r="G188" i="35"/>
  <c r="G194" i="35"/>
  <c r="G18" i="35"/>
  <c r="G206" i="35"/>
  <c r="G78" i="35"/>
  <c r="G55" i="35"/>
  <c r="G131" i="35"/>
  <c r="G43" i="35"/>
  <c r="G238" i="35"/>
  <c r="U942" i="10" l="1"/>
  <c r="U987" i="10"/>
  <c r="U98" i="10"/>
  <c r="U132" i="10"/>
  <c r="U917" i="10"/>
  <c r="U302" i="10"/>
  <c r="U66" i="10"/>
  <c r="U574" i="10"/>
  <c r="U1170" i="10"/>
  <c r="U1312" i="10"/>
  <c r="U47" i="10"/>
  <c r="U889" i="10"/>
  <c r="U550" i="10"/>
  <c r="U1151" i="10"/>
  <c r="U258" i="10"/>
  <c r="U1296" i="10"/>
  <c r="U251" i="10"/>
  <c r="U529" i="10"/>
  <c r="U1138" i="10"/>
  <c r="U1286" i="10"/>
  <c r="U1270" i="10"/>
  <c r="U1105" i="10"/>
  <c r="U466" i="10"/>
  <c r="U443" i="10"/>
  <c r="U1091" i="10"/>
  <c r="U448" i="10"/>
  <c r="U218" i="10"/>
  <c r="U1005" i="10"/>
  <c r="U359" i="10"/>
  <c r="U169" i="10"/>
  <c r="U1045" i="10"/>
  <c r="U558" i="10"/>
  <c r="U1159" i="10"/>
  <c r="U1302" i="10"/>
  <c r="U85" i="10"/>
  <c r="U957" i="10"/>
  <c r="U1062" i="10"/>
  <c r="U277" i="10"/>
  <c r="U846" i="10"/>
  <c r="U1200" i="10"/>
  <c r="U118" i="10"/>
  <c r="U39" i="10"/>
  <c r="U287" i="10"/>
  <c r="U881" i="10"/>
  <c r="U563" i="10"/>
  <c r="U1305" i="10"/>
  <c r="U1162" i="10"/>
  <c r="U1068" i="10"/>
  <c r="U205" i="10"/>
  <c r="U421" i="10"/>
  <c r="U230" i="10"/>
  <c r="U1110" i="10"/>
  <c r="U471" i="10"/>
  <c r="U93" i="10"/>
  <c r="U333" i="10"/>
  <c r="U151" i="10"/>
  <c r="U975" i="10"/>
  <c r="U279" i="10"/>
  <c r="U848" i="10"/>
  <c r="U1202" i="10"/>
  <c r="U212" i="10"/>
  <c r="U1085" i="10"/>
  <c r="U1263" i="10"/>
  <c r="U440" i="10"/>
  <c r="U124" i="10"/>
  <c r="U294" i="10"/>
  <c r="U57" i="10"/>
  <c r="U905" i="10"/>
  <c r="U997" i="10"/>
  <c r="U166" i="10"/>
  <c r="U353" i="10"/>
  <c r="U171" i="10"/>
  <c r="U1007" i="10"/>
  <c r="U361" i="10"/>
  <c r="U1233" i="10"/>
  <c r="U334" i="10"/>
  <c r="U152" i="10"/>
  <c r="U976" i="10"/>
  <c r="U172" i="10"/>
  <c r="U1008" i="10"/>
  <c r="U105" i="10"/>
  <c r="U362" i="10"/>
  <c r="U965" i="10"/>
  <c r="U89" i="10"/>
  <c r="U991" i="10"/>
  <c r="U161" i="10"/>
  <c r="U346" i="10"/>
  <c r="U396" i="10"/>
  <c r="U191" i="10"/>
  <c r="U1047" i="10"/>
  <c r="U1003" i="10"/>
  <c r="U387" i="10"/>
  <c r="U1244" i="10"/>
  <c r="U1033" i="10"/>
  <c r="U561" i="10"/>
  <c r="U1161" i="10"/>
  <c r="U1304" i="10"/>
  <c r="U159" i="10"/>
  <c r="U343" i="10"/>
  <c r="U986" i="10"/>
  <c r="U53" i="10"/>
  <c r="U901" i="10"/>
  <c r="U461" i="10"/>
  <c r="U1101" i="10"/>
  <c r="U223" i="10"/>
  <c r="U158" i="10"/>
  <c r="U342" i="10"/>
  <c r="U984" i="10"/>
  <c r="U214" i="10"/>
  <c r="U1087" i="10"/>
  <c r="U442" i="10"/>
  <c r="U357" i="10"/>
  <c r="U1231" i="10"/>
  <c r="U1002" i="10"/>
  <c r="U1075" i="10"/>
  <c r="U432" i="10"/>
  <c r="U209" i="10"/>
  <c r="U1237" i="10"/>
  <c r="U174" i="10"/>
  <c r="U1014" i="10"/>
  <c r="U367" i="10"/>
  <c r="U6" i="10"/>
  <c r="U815" i="10"/>
  <c r="U1142" i="10"/>
  <c r="U538" i="10"/>
  <c r="U1290" i="10"/>
  <c r="U99" i="10"/>
  <c r="U988" i="10"/>
  <c r="U160" i="10"/>
  <c r="U344" i="10"/>
  <c r="U1226" i="10"/>
  <c r="U1029" i="10"/>
  <c r="U382" i="10"/>
  <c r="U185" i="10"/>
  <c r="U316" i="10"/>
  <c r="U141" i="10"/>
  <c r="U79" i="10"/>
  <c r="U944" i="10"/>
  <c r="U244" i="10"/>
  <c r="U1128" i="10"/>
  <c r="U506" i="10"/>
  <c r="U54" i="10"/>
  <c r="U902" i="10"/>
  <c r="U291" i="10"/>
  <c r="U893" i="10"/>
  <c r="U122" i="10"/>
  <c r="U953" i="10"/>
  <c r="U966" i="10"/>
  <c r="U90" i="10"/>
  <c r="U971" i="10"/>
  <c r="U148" i="10"/>
  <c r="U330" i="10"/>
  <c r="U551" i="10"/>
  <c r="U1152" i="10"/>
  <c r="U1297" i="10"/>
  <c r="U94" i="10"/>
  <c r="U335" i="10"/>
  <c r="U1224" i="10"/>
  <c r="U153" i="10"/>
  <c r="U977" i="10"/>
  <c r="U253" i="10"/>
  <c r="U1141" i="10"/>
  <c r="U536" i="10"/>
  <c r="U1289" i="10"/>
  <c r="U157" i="10"/>
  <c r="U341" i="10"/>
  <c r="U983" i="10"/>
  <c r="U566" i="10"/>
  <c r="U1074" i="10"/>
  <c r="U101" i="10"/>
  <c r="U994" i="10"/>
  <c r="U1220" i="10"/>
  <c r="U959" i="10"/>
  <c r="U322" i="10"/>
  <c r="U119" i="10"/>
  <c r="U40" i="10"/>
  <c r="U288" i="10"/>
  <c r="U880" i="10"/>
  <c r="U195" i="10"/>
  <c r="U1052" i="10"/>
  <c r="U401" i="10"/>
  <c r="U540" i="10"/>
  <c r="U254" i="10"/>
  <c r="U1143" i="10"/>
  <c r="U1291" i="10"/>
  <c r="U555" i="10"/>
  <c r="U1156" i="10"/>
  <c r="U1300" i="10"/>
  <c r="U428" i="10"/>
  <c r="U208" i="10"/>
  <c r="U1073" i="10"/>
  <c r="U1257" i="10"/>
  <c r="U203" i="10"/>
  <c r="U418" i="10"/>
  <c r="U1066" i="10"/>
  <c r="U963" i="10"/>
  <c r="U327" i="10"/>
  <c r="U145" i="10"/>
  <c r="U947" i="10"/>
  <c r="U82" i="10"/>
  <c r="U91" i="10"/>
  <c r="U147" i="10"/>
  <c r="U1223" i="10"/>
  <c r="U329" i="10"/>
  <c r="U970" i="10"/>
  <c r="U109" i="10"/>
  <c r="U1026" i="10"/>
  <c r="U95" i="10"/>
  <c r="U978" i="10"/>
  <c r="U355" i="10"/>
  <c r="U1230" i="10"/>
  <c r="U167" i="10"/>
  <c r="U1000" i="10"/>
  <c r="U318" i="10"/>
  <c r="U143" i="10"/>
  <c r="U81" i="10"/>
  <c r="U946" i="10"/>
  <c r="U1164" i="10"/>
  <c r="U567" i="10"/>
  <c r="U1307" i="10"/>
  <c r="U75" i="10"/>
  <c r="U312" i="10"/>
  <c r="U138" i="10"/>
  <c r="U938" i="10"/>
  <c r="U255" i="10"/>
  <c r="U544" i="10"/>
  <c r="U1146" i="10"/>
  <c r="U1293" i="10"/>
  <c r="U579" i="10"/>
  <c r="U1176" i="10"/>
  <c r="U1317" i="10"/>
  <c r="U930" i="10"/>
  <c r="U1260" i="10"/>
  <c r="U437" i="10"/>
  <c r="U1081" i="10"/>
  <c r="U854" i="10"/>
  <c r="U23" i="10"/>
  <c r="U995" i="10"/>
  <c r="U102" i="10"/>
  <c r="U585" i="10"/>
  <c r="U1320" i="10"/>
  <c r="U1179" i="10"/>
  <c r="U1173" i="10"/>
  <c r="U577" i="10"/>
  <c r="U1315" i="10"/>
  <c r="U553" i="10"/>
  <c r="U1153" i="10"/>
  <c r="U1298" i="10"/>
  <c r="U86" i="10"/>
  <c r="U958" i="10"/>
  <c r="U412" i="10"/>
  <c r="U1060" i="10"/>
  <c r="U199" i="10"/>
  <c r="U1093" i="10"/>
  <c r="U70" i="10"/>
  <c r="U927" i="10"/>
  <c r="U800" i="10"/>
  <c r="U1107" i="10"/>
  <c r="U228" i="10"/>
  <c r="U468" i="10"/>
  <c r="U1271" i="10"/>
  <c r="U315" i="10"/>
  <c r="U943" i="10"/>
  <c r="U1217" i="10"/>
  <c r="U1277" i="10"/>
  <c r="U239" i="10"/>
  <c r="U1121" i="10"/>
  <c r="U490" i="10"/>
  <c r="U1157" i="10"/>
  <c r="U1172" i="10"/>
  <c r="U576" i="10"/>
  <c r="U1314" i="10"/>
  <c r="U1061" i="10"/>
  <c r="U414" i="10"/>
  <c r="U200" i="10"/>
  <c r="U416" i="10"/>
  <c r="U1065" i="10"/>
  <c r="U202" i="10"/>
  <c r="U572" i="10"/>
  <c r="U1311" i="10"/>
  <c r="U1168" i="10"/>
  <c r="U112" i="10"/>
  <c r="U1041" i="10"/>
  <c r="U398" i="10"/>
  <c r="U193" i="10"/>
  <c r="U1049" i="10"/>
  <c r="U459" i="10"/>
  <c r="U1099" i="10"/>
  <c r="U1268" i="10"/>
  <c r="U1135" i="10"/>
  <c r="U248" i="10"/>
  <c r="U521" i="10"/>
  <c r="U324" i="10"/>
  <c r="U1222" i="10"/>
  <c r="U87" i="10"/>
  <c r="U961" i="10"/>
  <c r="U940" i="10"/>
  <c r="U78" i="10"/>
  <c r="U183" i="10"/>
  <c r="U377" i="10"/>
  <c r="U1025" i="10"/>
  <c r="U236" i="10"/>
  <c r="U1276" i="10"/>
  <c r="U486" i="10"/>
  <c r="U1118" i="10"/>
  <c r="U196" i="10"/>
  <c r="U1053" i="10"/>
  <c r="U402" i="10"/>
  <c r="U175" i="10"/>
  <c r="U1015" i="10"/>
  <c r="U369" i="10"/>
  <c r="U1182" i="10"/>
  <c r="U592" i="10"/>
  <c r="U1322" i="10"/>
  <c r="U156" i="10"/>
  <c r="U340" i="10"/>
  <c r="U982" i="10"/>
  <c r="U1059" i="10"/>
  <c r="U1253" i="10"/>
  <c r="U407" i="10"/>
  <c r="U1308" i="10"/>
  <c r="U1165" i="10"/>
  <c r="U568" i="10"/>
  <c r="U317" i="10"/>
  <c r="U142" i="10"/>
  <c r="U80" i="10"/>
  <c r="U945" i="10"/>
  <c r="U165" i="10"/>
  <c r="U998" i="10"/>
  <c r="U352" i="10"/>
  <c r="U71" i="10"/>
  <c r="U929" i="10"/>
  <c r="U964" i="10"/>
  <c r="U328" i="10"/>
  <c r="U146" i="10"/>
  <c r="U460" i="10"/>
  <c r="U1100" i="10"/>
  <c r="U1269" i="10"/>
  <c r="U243" i="10"/>
  <c r="U1126" i="10"/>
  <c r="U504" i="10"/>
  <c r="U1280" i="10"/>
  <c r="U828" i="10"/>
  <c r="U9" i="10"/>
  <c r="U114" i="10"/>
  <c r="U274" i="10"/>
  <c r="U618" i="10"/>
  <c r="U1248" i="10"/>
  <c r="U394" i="10"/>
  <c r="U1042" i="10"/>
  <c r="U123" i="10"/>
  <c r="U293" i="10"/>
  <c r="U56" i="10"/>
  <c r="U904" i="10"/>
  <c r="U415" i="10"/>
  <c r="U1063" i="10"/>
  <c r="U201" i="10"/>
  <c r="U235" i="10"/>
  <c r="U485" i="10"/>
  <c r="U1117" i="10"/>
  <c r="U1275" i="10"/>
  <c r="U1035" i="10"/>
  <c r="U582" i="10"/>
  <c r="U1177" i="10"/>
  <c r="U1318" i="10"/>
  <c r="U979" i="10"/>
  <c r="U96" i="10"/>
  <c r="U337" i="10"/>
  <c r="U154" i="10"/>
  <c r="U134" i="10"/>
  <c r="U305" i="10"/>
  <c r="U1209" i="10"/>
  <c r="U922" i="10"/>
  <c r="U276" i="10"/>
  <c r="U845" i="10"/>
  <c r="U1199" i="10"/>
  <c r="U1166" i="10"/>
  <c r="U569" i="10"/>
  <c r="U1309" i="10"/>
  <c r="U1104" i="10"/>
  <c r="U465" i="10"/>
  <c r="U226" i="10"/>
  <c r="U1175" i="10"/>
  <c r="U1213" i="10"/>
  <c r="U310" i="10"/>
  <c r="U935" i="10"/>
  <c r="U137" i="10"/>
  <c r="U74" i="10"/>
  <c r="U67" i="10"/>
  <c r="U918" i="10"/>
  <c r="U61" i="10"/>
  <c r="U912" i="10"/>
  <c r="U307" i="10"/>
  <c r="U928" i="10"/>
  <c r="U1211" i="10"/>
  <c r="U1013" i="10"/>
  <c r="U1092" i="10"/>
  <c r="U207" i="10"/>
  <c r="U1071" i="10"/>
  <c r="U425" i="10"/>
  <c r="U319" i="10"/>
  <c r="U951" i="10"/>
  <c r="U1218" i="10"/>
  <c r="U1077" i="10"/>
  <c r="U595" i="10"/>
  <c r="U1183" i="10"/>
  <c r="U1323" i="10"/>
  <c r="U292" i="10"/>
  <c r="U1204" i="10"/>
  <c r="U894" i="10"/>
  <c r="U221" i="10"/>
  <c r="U456" i="10"/>
  <c r="U1097" i="10"/>
  <c r="U1267" i="10"/>
  <c r="U475" i="10"/>
  <c r="U1273" i="10"/>
  <c r="U1114" i="10"/>
  <c r="U583" i="10"/>
  <c r="U1319" i="10"/>
  <c r="U1178" i="10"/>
  <c r="U1076" i="10"/>
  <c r="U433" i="10"/>
  <c r="U210" i="10"/>
  <c r="U1258" i="10"/>
  <c r="U97" i="10"/>
  <c r="U985" i="10"/>
  <c r="U1032" i="10"/>
  <c r="U386" i="10"/>
  <c r="U1243" i="10"/>
  <c r="U1292" i="10"/>
  <c r="U541" i="10"/>
  <c r="U1144" i="10"/>
  <c r="U1108" i="10"/>
  <c r="U469" i="10"/>
  <c r="U1272" i="10"/>
  <c r="U1038" i="10"/>
  <c r="U391" i="10"/>
  <c r="U931" i="10"/>
  <c r="U308" i="10"/>
  <c r="U1212" i="10"/>
  <c r="U135" i="10"/>
  <c r="U72" i="10"/>
  <c r="U909" i="10"/>
  <c r="U128" i="10"/>
  <c r="U298" i="10"/>
  <c r="U1284" i="10"/>
  <c r="U517" i="10"/>
  <c r="U1133" i="10"/>
  <c r="U1102" i="10"/>
  <c r="U463" i="10"/>
  <c r="U224" i="10"/>
  <c r="U131" i="10"/>
  <c r="U916" i="10"/>
  <c r="U301" i="10"/>
  <c r="U65" i="10"/>
  <c r="U60" i="10"/>
  <c r="U908" i="10"/>
  <c r="U127" i="10"/>
  <c r="U297" i="10"/>
  <c r="U371" i="10"/>
  <c r="U108" i="10"/>
  <c r="U177" i="10"/>
  <c r="U1017" i="10"/>
  <c r="U59" i="10"/>
  <c r="U907" i="10"/>
  <c r="U1205" i="10"/>
  <c r="U126" i="10"/>
  <c r="U295" i="10"/>
  <c r="U1004" i="10"/>
  <c r="U358" i="10"/>
  <c r="U1232" i="10"/>
  <c r="U231" i="10"/>
  <c r="U1111" i="10"/>
  <c r="U472" i="10"/>
  <c r="U813" i="10"/>
  <c r="U1190" i="10"/>
  <c r="U265" i="10"/>
  <c r="U476" i="10"/>
  <c r="U234" i="10"/>
  <c r="U1115" i="10"/>
  <c r="U554" i="10"/>
  <c r="U1154" i="10"/>
  <c r="U1155" i="10"/>
  <c r="U1299" i="10"/>
  <c r="U1011" i="10"/>
  <c r="U106" i="10"/>
  <c r="U189" i="10"/>
  <c r="U1037" i="10"/>
  <c r="U390" i="10"/>
  <c r="U1247" i="10"/>
  <c r="U545" i="10"/>
  <c r="U1294" i="10"/>
  <c r="U1147" i="10"/>
  <c r="U68" i="10"/>
  <c r="U133" i="10"/>
  <c r="U303" i="10"/>
  <c r="U919" i="10"/>
  <c r="U1207" i="10"/>
  <c r="U139" i="10"/>
  <c r="U77" i="10"/>
  <c r="U1214" i="10"/>
  <c r="U311" i="10"/>
  <c r="U936" i="10"/>
  <c r="U789" i="10"/>
  <c r="U526" i="10"/>
  <c r="U1137" i="10"/>
  <c r="U250" i="10"/>
  <c r="U565" i="10"/>
  <c r="U1306" i="10"/>
  <c r="U1163" i="10"/>
  <c r="U1070" i="10"/>
  <c r="U1255" i="10"/>
  <c r="U424" i="10"/>
  <c r="U83" i="10"/>
  <c r="U948" i="10"/>
  <c r="U445" i="10"/>
  <c r="U216" i="10"/>
  <c r="U1089" i="10"/>
  <c r="U1125" i="10"/>
  <c r="U502" i="10"/>
  <c r="U1279" i="10"/>
  <c r="U242" i="10"/>
  <c r="U144" i="10"/>
  <c r="U320" i="10"/>
  <c r="U952" i="10"/>
  <c r="U1219" i="10"/>
  <c r="U495" i="10"/>
  <c r="U240" i="10"/>
  <c r="U1122" i="10"/>
  <c r="U299" i="10"/>
  <c r="U62" i="10"/>
  <c r="U129" i="10"/>
  <c r="U913" i="10"/>
  <c r="U923" i="10"/>
  <c r="U306" i="10"/>
  <c r="U1210" i="10"/>
  <c r="U1285" i="10"/>
  <c r="U525" i="10"/>
  <c r="U1136" i="10"/>
  <c r="U249" i="10"/>
  <c r="U43" i="10"/>
  <c r="U884" i="10"/>
  <c r="U120" i="10"/>
  <c r="U289" i="10"/>
  <c r="U5" i="10"/>
  <c r="U814" i="10"/>
  <c r="U1167" i="10"/>
  <c r="U570" i="10"/>
  <c r="U1310" i="10"/>
  <c r="U939" i="10"/>
  <c r="U140" i="10"/>
  <c r="U1215" i="10"/>
  <c r="U313" i="10"/>
  <c r="U1181" i="10"/>
  <c r="U591" i="10"/>
  <c r="U1321" i="10"/>
  <c r="U1287" i="10"/>
  <c r="U530" i="10"/>
  <c r="U1139" i="10"/>
  <c r="U588" i="10"/>
  <c r="U331" i="10"/>
  <c r="U972" i="10"/>
  <c r="U149" i="10"/>
  <c r="U332" i="10"/>
  <c r="U150" i="10"/>
  <c r="U974" i="10"/>
  <c r="U895" i="10"/>
  <c r="U49" i="10"/>
  <c r="U286" i="10"/>
  <c r="U878" i="10"/>
  <c r="U1203" i="10"/>
  <c r="U163" i="10"/>
  <c r="U100" i="10"/>
  <c r="U348" i="10"/>
  <c r="U993" i="10"/>
  <c r="U69" i="10"/>
  <c r="U926" i="10"/>
  <c r="U920" i="10"/>
  <c r="U220" i="10"/>
  <c r="U453" i="10"/>
  <c r="U1096" i="10"/>
  <c r="U300" i="10"/>
  <c r="U1206" i="10"/>
  <c r="U63" i="10"/>
  <c r="U130" i="10"/>
  <c r="U914" i="10"/>
  <c r="U915" i="10"/>
  <c r="U64" i="10"/>
  <c r="U229" i="10"/>
  <c r="U1109" i="10"/>
  <c r="U470" i="10"/>
  <c r="U356" i="10"/>
  <c r="U103" i="10"/>
  <c r="U168" i="10"/>
  <c r="U1001" i="10"/>
  <c r="U176" i="10"/>
  <c r="U1016" i="10"/>
  <c r="U370" i="10"/>
  <c r="U990" i="10"/>
  <c r="U345" i="10"/>
  <c r="U1227" i="10"/>
  <c r="U1134" i="10"/>
  <c r="U419" i="10"/>
  <c r="U1067" i="10"/>
  <c r="U204" i="10"/>
  <c r="U213" i="10"/>
  <c r="U1086" i="10"/>
  <c r="U441" i="10"/>
  <c r="U88" i="10"/>
  <c r="U962" i="10"/>
  <c r="U404" i="10"/>
  <c r="U197" i="10"/>
  <c r="U1054" i="10"/>
  <c r="U1124" i="10"/>
  <c r="U1278" i="10"/>
  <c r="U241" i="10"/>
  <c r="U498" i="10"/>
  <c r="U180" i="10"/>
  <c r="U1020" i="10"/>
  <c r="U374" i="10"/>
  <c r="U1239" i="10"/>
  <c r="U125" i="10"/>
  <c r="U296" i="10"/>
  <c r="U58" i="10"/>
  <c r="U906" i="10"/>
  <c r="U1149" i="10"/>
  <c r="U1295" i="10"/>
  <c r="U256" i="10"/>
  <c r="U546" i="10"/>
  <c r="U155" i="10"/>
  <c r="U339" i="10"/>
  <c r="U981" i="10"/>
  <c r="U309" i="10"/>
  <c r="U933" i="10"/>
  <c r="U136" i="10"/>
  <c r="S3" i="37"/>
  <c r="T6" i="37"/>
  <c r="T4" i="37"/>
  <c r="T7" i="37"/>
  <c r="T5" i="37"/>
  <c r="T2" i="37"/>
  <c r="T1" i="37" s="1"/>
  <c r="U7" i="37" l="1"/>
  <c r="U5" i="37"/>
  <c r="U6" i="37"/>
  <c r="U4" i="37"/>
  <c r="U2" i="37"/>
  <c r="U1" i="37" s="1"/>
  <c r="T3" i="37"/>
  <c r="V7" i="37" l="1"/>
  <c r="V5" i="37"/>
  <c r="V6" i="37"/>
  <c r="V4" i="37"/>
  <c r="V2" i="37"/>
  <c r="V1" i="37" s="1"/>
  <c r="U3" i="37"/>
  <c r="W7" i="37" l="1"/>
  <c r="W5" i="37"/>
  <c r="W6" i="37"/>
  <c r="W4" i="37"/>
  <c r="W2" i="37"/>
  <c r="W1" i="37" s="1"/>
  <c r="V3" i="37"/>
  <c r="X7" i="37" l="1"/>
  <c r="X5" i="37"/>
  <c r="X6" i="37"/>
  <c r="X4" i="37"/>
  <c r="X2" i="37"/>
  <c r="X1" i="37" s="1"/>
  <c r="W3" i="37"/>
  <c r="S1" i="10"/>
  <c r="M9" i="33"/>
  <c r="Q9" i="33"/>
  <c r="R9" i="33"/>
  <c r="S9" i="33"/>
  <c r="T9" i="33"/>
  <c r="U9" i="33"/>
  <c r="N9" i="33" s="1"/>
  <c r="V9" i="33"/>
  <c r="W9" i="33"/>
  <c r="X9" i="33"/>
  <c r="Y9" i="33"/>
  <c r="Z9" i="33"/>
  <c r="AA9" i="33"/>
  <c r="K9" i="33"/>
  <c r="H16" i="34"/>
  <c r="H4" i="34"/>
  <c r="B36" i="34"/>
  <c r="B7" i="34"/>
  <c r="H7" i="34"/>
  <c r="B4" i="34"/>
  <c r="H22" i="34"/>
  <c r="H14" i="34"/>
  <c r="B16" i="34"/>
  <c r="B17" i="34"/>
  <c r="B6" i="34"/>
  <c r="B5" i="34"/>
  <c r="H13" i="34"/>
  <c r="H5" i="34"/>
  <c r="B29" i="34"/>
  <c r="H17" i="34"/>
  <c r="H12" i="34"/>
  <c r="B13" i="34"/>
  <c r="B19" i="34"/>
  <c r="H11" i="34"/>
  <c r="H19" i="34"/>
  <c r="B21" i="34"/>
  <c r="H3" i="34"/>
  <c r="B34" i="34"/>
  <c r="H20" i="34"/>
  <c r="B22" i="34"/>
  <c r="B3" i="34"/>
  <c r="H6" i="34"/>
  <c r="B15" i="34"/>
  <c r="B24" i="34"/>
  <c r="B31" i="34"/>
  <c r="H10" i="34"/>
  <c r="H21" i="34"/>
  <c r="B12" i="34"/>
  <c r="B11" i="34"/>
  <c r="H8" i="34"/>
  <c r="B8" i="34"/>
  <c r="B37" i="34"/>
  <c r="B14" i="34"/>
  <c r="B27" i="34"/>
  <c r="H9" i="34"/>
  <c r="H18" i="34"/>
  <c r="B30" i="34"/>
  <c r="H2" i="34"/>
  <c r="B9" i="34"/>
  <c r="B18" i="34"/>
  <c r="B10" i="34"/>
  <c r="B23" i="34"/>
  <c r="B38" i="34"/>
  <c r="B33" i="34"/>
  <c r="B32" i="34"/>
  <c r="H15" i="34"/>
  <c r="B20" i="34"/>
  <c r="B2" i="34"/>
  <c r="B35" i="34"/>
  <c r="B25" i="34"/>
  <c r="B28" i="34"/>
  <c r="B26" i="34"/>
  <c r="I9" i="34"/>
  <c r="I16" i="34"/>
  <c r="I14" i="34"/>
  <c r="I15" i="34"/>
  <c r="I3" i="34"/>
  <c r="I8" i="34"/>
  <c r="I4" i="34"/>
  <c r="I17" i="34"/>
  <c r="I7" i="34"/>
  <c r="I20" i="34"/>
  <c r="I18" i="34"/>
  <c r="I12" i="34"/>
  <c r="I6" i="34"/>
  <c r="I21" i="34"/>
  <c r="I10" i="34"/>
  <c r="I13" i="34"/>
  <c r="I2" i="34"/>
  <c r="I22" i="34"/>
  <c r="I11" i="34"/>
  <c r="I5" i="34"/>
  <c r="I19" i="34"/>
  <c r="X3" i="37" l="1"/>
  <c r="AB9" i="33"/>
  <c r="J20" i="34"/>
  <c r="C18" i="34"/>
  <c r="C36" i="34"/>
  <c r="C20" i="34"/>
  <c r="C33" i="34"/>
  <c r="C5" i="34"/>
  <c r="E37" i="34"/>
  <c r="J5" i="34"/>
  <c r="J18" i="34"/>
  <c r="E22" i="34"/>
  <c r="C3" i="34"/>
  <c r="E19" i="34"/>
  <c r="C19" i="34"/>
  <c r="K4" i="34"/>
  <c r="D30" i="34"/>
  <c r="D28" i="34"/>
  <c r="C12" i="34"/>
  <c r="D4" i="34"/>
  <c r="K8" i="34"/>
  <c r="D14" i="34"/>
  <c r="D13" i="34"/>
  <c r="C35" i="34"/>
  <c r="C26" i="34"/>
  <c r="K9" i="34"/>
  <c r="C6" i="34"/>
  <c r="D32" i="34"/>
  <c r="C24" i="34"/>
  <c r="E36" i="34"/>
  <c r="E12" i="34"/>
  <c r="J6" i="34"/>
  <c r="D16" i="34"/>
  <c r="J21" i="34"/>
  <c r="E24" i="34"/>
  <c r="J2" i="34"/>
  <c r="J7" i="34"/>
  <c r="D12" i="34"/>
  <c r="K19" i="34"/>
  <c r="E31" i="34"/>
  <c r="C17" i="34"/>
  <c r="C29" i="34"/>
  <c r="C23" i="34"/>
  <c r="D11" i="34"/>
  <c r="K7" i="34"/>
  <c r="E18" i="34"/>
  <c r="K15" i="34"/>
  <c r="C7" i="34"/>
  <c r="J4" i="34"/>
  <c r="E5" i="34"/>
  <c r="C28" i="34"/>
  <c r="D15" i="34"/>
  <c r="E21" i="34"/>
  <c r="J12" i="34"/>
  <c r="C25" i="34"/>
  <c r="D18" i="34"/>
  <c r="K21" i="34"/>
  <c r="C37" i="34"/>
  <c r="C21" i="34"/>
  <c r="E33" i="34"/>
  <c r="K14" i="34"/>
  <c r="C10" i="34"/>
  <c r="K5" i="34"/>
  <c r="E38" i="34"/>
  <c r="J13" i="34"/>
  <c r="E8" i="34"/>
  <c r="E9" i="34"/>
  <c r="E17" i="34"/>
  <c r="D35" i="34"/>
  <c r="C16" i="34"/>
  <c r="C14" i="34"/>
  <c r="D3" i="34"/>
  <c r="K3" i="34"/>
  <c r="D24" i="34"/>
  <c r="E35" i="34"/>
  <c r="K18" i="34"/>
  <c r="C11" i="34"/>
  <c r="J19" i="34"/>
  <c r="K22" i="34"/>
  <c r="E16" i="34"/>
  <c r="K11" i="34"/>
  <c r="D26" i="34"/>
  <c r="E23" i="34"/>
  <c r="D29" i="34"/>
  <c r="E10" i="34"/>
  <c r="D8" i="34"/>
  <c r="J15" i="34"/>
  <c r="C27" i="34"/>
  <c r="D33" i="34"/>
  <c r="E6" i="34"/>
  <c r="C2" i="34"/>
  <c r="E3" i="34"/>
  <c r="K16" i="34"/>
  <c r="D27" i="34"/>
  <c r="C31" i="34"/>
  <c r="E29" i="34"/>
  <c r="E28" i="34"/>
  <c r="D36" i="34"/>
  <c r="K20" i="34"/>
  <c r="E7" i="34"/>
  <c r="J14" i="34"/>
  <c r="E25" i="34"/>
  <c r="K2" i="34"/>
  <c r="E4" i="34"/>
  <c r="C32" i="34"/>
  <c r="D22" i="34"/>
  <c r="J10" i="34"/>
  <c r="D37" i="34"/>
  <c r="D31" i="34"/>
  <c r="J11" i="34"/>
  <c r="E20" i="34"/>
  <c r="K10" i="34"/>
  <c r="D5" i="34"/>
  <c r="E27" i="34"/>
  <c r="D2" i="34"/>
  <c r="K13" i="34"/>
  <c r="D38" i="34"/>
  <c r="K17" i="34"/>
  <c r="C34" i="34"/>
  <c r="C4" i="34"/>
  <c r="C38" i="34"/>
  <c r="C8" i="34"/>
  <c r="J22" i="34"/>
  <c r="E30" i="34"/>
  <c r="C15" i="34"/>
  <c r="J17" i="34"/>
  <c r="K6" i="34"/>
  <c r="D6" i="34"/>
  <c r="K12" i="34"/>
  <c r="D10" i="34"/>
  <c r="E11" i="34"/>
  <c r="C13" i="34"/>
  <c r="D19" i="34"/>
  <c r="C30" i="34"/>
  <c r="E26" i="34"/>
  <c r="D9" i="34"/>
  <c r="D7" i="34"/>
  <c r="E2" i="34"/>
  <c r="E32" i="34"/>
  <c r="C22" i="34"/>
  <c r="E14" i="34"/>
  <c r="J9" i="34"/>
  <c r="E34" i="34"/>
  <c r="C9" i="34"/>
  <c r="D25" i="34"/>
  <c r="D21" i="34"/>
  <c r="E15" i="34"/>
  <c r="D20" i="34"/>
  <c r="J16" i="34"/>
  <c r="J8" i="34"/>
  <c r="J3" i="34"/>
  <c r="D34" i="34"/>
  <c r="E13" i="34"/>
  <c r="D23" i="34"/>
  <c r="D17" i="34"/>
  <c r="D3" i="31" l="1"/>
  <c r="T1" i="27"/>
  <c r="T2" i="27"/>
  <c r="U2" i="27"/>
  <c r="V2" i="27"/>
  <c r="U1" i="28"/>
  <c r="U2" i="28"/>
  <c r="V2" i="28"/>
  <c r="W2" i="28"/>
  <c r="I2" i="13"/>
  <c r="C13" i="12" s="1"/>
  <c r="E13" i="12" s="1"/>
  <c r="G13" i="12" s="1"/>
  <c r="O15" i="12" s="1"/>
  <c r="J2" i="13"/>
  <c r="K2" i="13"/>
  <c r="J3" i="13"/>
  <c r="K3" i="13"/>
  <c r="J4" i="13"/>
  <c r="K4" i="13"/>
  <c r="J5" i="13"/>
  <c r="K5" i="13"/>
  <c r="J6" i="13"/>
  <c r="K6" i="13"/>
  <c r="J7" i="13"/>
  <c r="K7" i="13"/>
  <c r="J8" i="13"/>
  <c r="K8" i="13"/>
  <c r="J9" i="13"/>
  <c r="K9" i="13"/>
  <c r="J10" i="13"/>
  <c r="K10" i="13"/>
  <c r="J11" i="13"/>
  <c r="K11" i="13"/>
  <c r="J12" i="13"/>
  <c r="K12" i="13"/>
  <c r="J13" i="13"/>
  <c r="K13" i="13"/>
  <c r="J14" i="13"/>
  <c r="K14" i="13"/>
  <c r="J15" i="13"/>
  <c r="K15" i="13"/>
  <c r="J16" i="13"/>
  <c r="K16" i="13"/>
  <c r="J17" i="13"/>
  <c r="K17" i="13"/>
  <c r="J18" i="13"/>
  <c r="K18" i="13"/>
  <c r="J19" i="13"/>
  <c r="K19" i="13"/>
  <c r="J20" i="13"/>
  <c r="K20" i="13"/>
  <c r="J21" i="13"/>
  <c r="K21" i="13"/>
  <c r="J22" i="13"/>
  <c r="K22" i="13"/>
  <c r="J23" i="13"/>
  <c r="K23" i="13"/>
  <c r="J24" i="13"/>
  <c r="K24" i="13"/>
  <c r="J25" i="13"/>
  <c r="K25" i="13"/>
  <c r="J26" i="13"/>
  <c r="K26" i="13"/>
  <c r="J27" i="13"/>
  <c r="K27" i="13"/>
  <c r="J28" i="13"/>
  <c r="K28" i="13"/>
  <c r="J29" i="13"/>
  <c r="K29" i="13"/>
  <c r="J30" i="13"/>
  <c r="K30" i="13"/>
  <c r="J31" i="13"/>
  <c r="K31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J38" i="13"/>
  <c r="K38" i="13"/>
  <c r="J39" i="13"/>
  <c r="K39" i="13"/>
  <c r="J40" i="13"/>
  <c r="K40" i="13"/>
  <c r="J41" i="13"/>
  <c r="K41" i="13"/>
  <c r="J42" i="13"/>
  <c r="K42" i="13"/>
  <c r="J43" i="13"/>
  <c r="K43" i="13"/>
  <c r="J44" i="13"/>
  <c r="K44" i="13"/>
  <c r="J45" i="13"/>
  <c r="K45" i="13"/>
  <c r="J46" i="13"/>
  <c r="K46" i="13"/>
  <c r="J47" i="13"/>
  <c r="K47" i="13"/>
  <c r="J48" i="13"/>
  <c r="K48" i="13"/>
  <c r="J49" i="13"/>
  <c r="K49" i="13"/>
  <c r="J50" i="13"/>
  <c r="K50" i="13"/>
  <c r="J51" i="13"/>
  <c r="K51" i="13"/>
  <c r="J52" i="13"/>
  <c r="K52" i="13"/>
  <c r="J53" i="13"/>
  <c r="K53" i="13"/>
  <c r="J54" i="13"/>
  <c r="K54" i="13"/>
  <c r="J55" i="13"/>
  <c r="K55" i="13"/>
  <c r="J56" i="13"/>
  <c r="K56" i="13"/>
  <c r="J57" i="13"/>
  <c r="K57" i="13"/>
  <c r="J58" i="13"/>
  <c r="K58" i="13"/>
  <c r="J59" i="13"/>
  <c r="K59" i="13"/>
  <c r="J60" i="13"/>
  <c r="K60" i="13"/>
  <c r="J61" i="13"/>
  <c r="K61" i="13"/>
  <c r="J62" i="13"/>
  <c r="K62" i="13"/>
  <c r="J63" i="13"/>
  <c r="K63" i="13"/>
  <c r="J64" i="13"/>
  <c r="K64" i="13"/>
  <c r="J65" i="13"/>
  <c r="K65" i="13"/>
  <c r="J66" i="13"/>
  <c r="K66" i="13"/>
  <c r="J67" i="13"/>
  <c r="K67" i="13"/>
  <c r="J68" i="13"/>
  <c r="K68" i="13"/>
  <c r="J69" i="13"/>
  <c r="K69" i="13"/>
  <c r="J70" i="13"/>
  <c r="K70" i="13"/>
  <c r="J71" i="13"/>
  <c r="K71" i="13"/>
  <c r="J72" i="13"/>
  <c r="K72" i="13"/>
  <c r="J73" i="13"/>
  <c r="K73" i="13"/>
  <c r="J74" i="13"/>
  <c r="K74" i="13"/>
  <c r="J75" i="13"/>
  <c r="K75" i="13"/>
  <c r="J76" i="13"/>
  <c r="K76" i="13"/>
  <c r="J77" i="13"/>
  <c r="K77" i="13"/>
  <c r="J78" i="13"/>
  <c r="K78" i="13"/>
  <c r="J79" i="13"/>
  <c r="K79" i="13"/>
  <c r="J80" i="13"/>
  <c r="K80" i="13"/>
  <c r="J81" i="13"/>
  <c r="K81" i="13"/>
  <c r="J82" i="13"/>
  <c r="K82" i="13"/>
  <c r="J83" i="13"/>
  <c r="K83" i="13"/>
  <c r="J84" i="13"/>
  <c r="K84" i="13"/>
  <c r="J85" i="13"/>
  <c r="K85" i="13"/>
  <c r="J86" i="13"/>
  <c r="K86" i="13"/>
  <c r="J87" i="13"/>
  <c r="K87" i="13"/>
  <c r="J88" i="13"/>
  <c r="K88" i="13"/>
  <c r="J89" i="13"/>
  <c r="K89" i="13"/>
  <c r="J90" i="13"/>
  <c r="K90" i="13"/>
  <c r="J91" i="13"/>
  <c r="K91" i="13"/>
  <c r="J92" i="13"/>
  <c r="K92" i="13"/>
  <c r="J93" i="13"/>
  <c r="K93" i="13"/>
  <c r="J94" i="13"/>
  <c r="K94" i="13"/>
  <c r="J95" i="13"/>
  <c r="K95" i="13"/>
  <c r="J96" i="13"/>
  <c r="K96" i="13"/>
  <c r="J97" i="13"/>
  <c r="K97" i="13"/>
  <c r="J98" i="13"/>
  <c r="K98" i="13"/>
  <c r="J99" i="13"/>
  <c r="K99" i="13"/>
  <c r="J100" i="13"/>
  <c r="K100" i="13"/>
  <c r="J101" i="13"/>
  <c r="K101" i="13"/>
  <c r="J102" i="13"/>
  <c r="K102" i="13"/>
  <c r="J103" i="13"/>
  <c r="K103" i="13"/>
  <c r="J104" i="13"/>
  <c r="K104" i="13"/>
  <c r="J105" i="13"/>
  <c r="K105" i="13"/>
  <c r="J106" i="13"/>
  <c r="K106" i="13"/>
  <c r="J107" i="13"/>
  <c r="K107" i="13"/>
  <c r="J108" i="13"/>
  <c r="K108" i="13"/>
  <c r="J109" i="13"/>
  <c r="K109" i="13"/>
  <c r="J110" i="13"/>
  <c r="K110" i="13"/>
  <c r="J111" i="13"/>
  <c r="K111" i="13"/>
  <c r="J112" i="13"/>
  <c r="K112" i="13"/>
  <c r="J113" i="13"/>
  <c r="K113" i="13"/>
  <c r="J114" i="13"/>
  <c r="K114" i="13"/>
  <c r="J115" i="13"/>
  <c r="K115" i="13"/>
  <c r="J116" i="13"/>
  <c r="K116" i="13"/>
  <c r="J117" i="13"/>
  <c r="K117" i="13"/>
  <c r="J118" i="13"/>
  <c r="K118" i="13"/>
  <c r="J119" i="13"/>
  <c r="K119" i="13"/>
  <c r="J120" i="13"/>
  <c r="K120" i="13"/>
  <c r="J121" i="13"/>
  <c r="K121" i="13"/>
  <c r="J122" i="13"/>
  <c r="K122" i="13"/>
  <c r="J123" i="13"/>
  <c r="K123" i="13"/>
  <c r="J124" i="13"/>
  <c r="K124" i="13"/>
  <c r="J125" i="13"/>
  <c r="K125" i="13"/>
  <c r="J126" i="13"/>
  <c r="K126" i="13"/>
  <c r="J127" i="13"/>
  <c r="K127" i="13"/>
  <c r="J128" i="13"/>
  <c r="K128" i="13"/>
  <c r="J129" i="13"/>
  <c r="K129" i="13"/>
  <c r="J130" i="13"/>
  <c r="K130" i="13"/>
  <c r="J131" i="13"/>
  <c r="K131" i="13"/>
  <c r="J132" i="13"/>
  <c r="K132" i="13"/>
  <c r="J133" i="13"/>
  <c r="K133" i="13"/>
  <c r="J134" i="13"/>
  <c r="K134" i="13"/>
  <c r="J135" i="13"/>
  <c r="K135" i="13"/>
  <c r="J136" i="13"/>
  <c r="K136" i="13"/>
  <c r="J137" i="13"/>
  <c r="K137" i="13"/>
  <c r="J138" i="13"/>
  <c r="K138" i="13"/>
  <c r="J139" i="13"/>
  <c r="K139" i="13"/>
  <c r="J140" i="13"/>
  <c r="K140" i="13"/>
  <c r="J141" i="13"/>
  <c r="K141" i="13"/>
  <c r="J142" i="13"/>
  <c r="K142" i="13"/>
  <c r="J143" i="13"/>
  <c r="K143" i="13"/>
  <c r="J144" i="13"/>
  <c r="K144" i="13"/>
  <c r="J145" i="13"/>
  <c r="K145" i="13"/>
  <c r="J146" i="13"/>
  <c r="K146" i="13"/>
  <c r="J147" i="13"/>
  <c r="K147" i="13"/>
  <c r="J148" i="13"/>
  <c r="K148" i="13"/>
  <c r="J149" i="13"/>
  <c r="K149" i="13"/>
  <c r="J150" i="13"/>
  <c r="K150" i="13"/>
  <c r="J151" i="13"/>
  <c r="K151" i="13"/>
  <c r="J152" i="13"/>
  <c r="K152" i="13"/>
  <c r="J153" i="13"/>
  <c r="K153" i="13"/>
  <c r="J154" i="13"/>
  <c r="K154" i="13"/>
  <c r="J155" i="13"/>
  <c r="K155" i="13"/>
  <c r="J156" i="13"/>
  <c r="K156" i="13"/>
  <c r="J157" i="13"/>
  <c r="K157" i="13"/>
  <c r="P8" i="12" l="1"/>
  <c r="T8" i="12" s="1"/>
  <c r="Q8" i="12"/>
  <c r="U8" i="12" s="1"/>
  <c r="Q10" i="12"/>
  <c r="U10" i="12" s="1"/>
  <c r="P10" i="12"/>
  <c r="T10" i="12" s="1"/>
  <c r="G15" i="12"/>
  <c r="F11" i="12"/>
  <c r="F14" i="12"/>
  <c r="F10" i="12"/>
  <c r="U1643" i="10"/>
  <c r="F7" i="12"/>
  <c r="F9" i="12"/>
  <c r="F6" i="12"/>
  <c r="F8" i="12"/>
  <c r="F13" i="12"/>
  <c r="F12" i="12"/>
  <c r="U1668" i="10"/>
  <c r="C4" i="36"/>
  <c r="T35" i="36" s="1"/>
  <c r="E20" i="31"/>
  <c r="E15" i="31"/>
  <c r="E24" i="31"/>
  <c r="E17" i="31"/>
  <c r="E11" i="31"/>
  <c r="E14" i="31"/>
  <c r="E12" i="31"/>
  <c r="E18" i="31"/>
  <c r="E16" i="31"/>
  <c r="E13" i="31"/>
  <c r="E19" i="31"/>
  <c r="E44" i="31"/>
  <c r="E40" i="31"/>
  <c r="E36" i="31"/>
  <c r="E32" i="31"/>
  <c r="E28" i="31"/>
  <c r="E41" i="31"/>
  <c r="E37" i="31"/>
  <c r="E33" i="31"/>
  <c r="E29" i="31"/>
  <c r="E25" i="31"/>
  <c r="E21" i="31"/>
  <c r="E43" i="31"/>
  <c r="E39" i="31"/>
  <c r="E35" i="31"/>
  <c r="E31" i="31"/>
  <c r="E27" i="31"/>
  <c r="E23" i="31"/>
  <c r="E10" i="31"/>
  <c r="E9" i="31"/>
  <c r="E8" i="31"/>
  <c r="E7" i="31"/>
  <c r="E6" i="31"/>
  <c r="E22" i="31"/>
  <c r="E42" i="31"/>
  <c r="E38" i="31"/>
  <c r="E34" i="31"/>
  <c r="E30" i="31"/>
  <c r="E26" i="31"/>
  <c r="A2" i="16"/>
  <c r="C5" i="16"/>
  <c r="D5" i="16"/>
  <c r="E5" i="16"/>
  <c r="F5" i="16"/>
  <c r="G5" i="16"/>
  <c r="H5" i="16"/>
  <c r="I5" i="16"/>
  <c r="J5" i="16"/>
  <c r="C6" i="16"/>
  <c r="D6" i="16"/>
  <c r="E6" i="16"/>
  <c r="F6" i="16"/>
  <c r="G6" i="16"/>
  <c r="H6" i="16"/>
  <c r="I6" i="16"/>
  <c r="J6" i="16"/>
  <c r="C7" i="16"/>
  <c r="D7" i="16"/>
  <c r="E7" i="16"/>
  <c r="F7" i="16"/>
  <c r="G7" i="16"/>
  <c r="H7" i="16"/>
  <c r="I7" i="16"/>
  <c r="J7" i="16"/>
  <c r="C8" i="16"/>
  <c r="D8" i="16"/>
  <c r="E8" i="16"/>
  <c r="F8" i="16"/>
  <c r="G8" i="16"/>
  <c r="H8" i="16"/>
  <c r="I8" i="16"/>
  <c r="J8" i="16"/>
  <c r="C9" i="16"/>
  <c r="D9" i="16"/>
  <c r="E9" i="16"/>
  <c r="F9" i="16"/>
  <c r="G9" i="16"/>
  <c r="H9" i="16"/>
  <c r="I9" i="16"/>
  <c r="J9" i="16"/>
  <c r="C10" i="16"/>
  <c r="D10" i="16"/>
  <c r="E10" i="16"/>
  <c r="F10" i="16"/>
  <c r="G10" i="16"/>
  <c r="H10" i="16"/>
  <c r="I10" i="16"/>
  <c r="J10" i="16"/>
  <c r="C11" i="16"/>
  <c r="D11" i="16"/>
  <c r="E11" i="16"/>
  <c r="F11" i="16"/>
  <c r="G11" i="16"/>
  <c r="H11" i="16"/>
  <c r="I11" i="16"/>
  <c r="J11" i="16"/>
  <c r="C12" i="16"/>
  <c r="D12" i="16"/>
  <c r="E12" i="16"/>
  <c r="F12" i="16"/>
  <c r="G12" i="16"/>
  <c r="H12" i="16"/>
  <c r="I12" i="16"/>
  <c r="J12" i="16"/>
  <c r="C13" i="16"/>
  <c r="D13" i="16"/>
  <c r="E13" i="16"/>
  <c r="F13" i="16"/>
  <c r="G13" i="16"/>
  <c r="H13" i="16"/>
  <c r="I13" i="16"/>
  <c r="J13" i="16"/>
  <c r="C14" i="16"/>
  <c r="D14" i="16"/>
  <c r="E14" i="16"/>
  <c r="F14" i="16"/>
  <c r="G14" i="16"/>
  <c r="H14" i="16"/>
  <c r="I14" i="16"/>
  <c r="J14" i="16"/>
  <c r="C15" i="16"/>
  <c r="D15" i="16"/>
  <c r="E15" i="16"/>
  <c r="F15" i="16"/>
  <c r="G15" i="16"/>
  <c r="H15" i="16"/>
  <c r="I15" i="16"/>
  <c r="J15" i="16"/>
  <c r="C16" i="16"/>
  <c r="D16" i="16"/>
  <c r="E16" i="16"/>
  <c r="F16" i="16"/>
  <c r="G16" i="16"/>
  <c r="H16" i="16"/>
  <c r="I16" i="16"/>
  <c r="J16" i="16"/>
  <c r="C17" i="16"/>
  <c r="D17" i="16"/>
  <c r="E17" i="16"/>
  <c r="F17" i="16"/>
  <c r="G17" i="16"/>
  <c r="H17" i="16"/>
  <c r="I17" i="16"/>
  <c r="J17" i="16"/>
  <c r="C18" i="16"/>
  <c r="D18" i="16"/>
  <c r="E18" i="16"/>
  <c r="F18" i="16"/>
  <c r="G18" i="16"/>
  <c r="H18" i="16"/>
  <c r="I18" i="16"/>
  <c r="J18" i="16"/>
  <c r="C19" i="16"/>
  <c r="D19" i="16"/>
  <c r="E19" i="16"/>
  <c r="F19" i="16"/>
  <c r="G19" i="16"/>
  <c r="H19" i="16"/>
  <c r="I19" i="16"/>
  <c r="J19" i="16"/>
  <c r="C20" i="16"/>
  <c r="D20" i="16"/>
  <c r="E20" i="16"/>
  <c r="F20" i="16"/>
  <c r="G20" i="16"/>
  <c r="H20" i="16"/>
  <c r="I20" i="16"/>
  <c r="J20" i="16"/>
  <c r="C21" i="16"/>
  <c r="D21" i="16"/>
  <c r="E21" i="16"/>
  <c r="F21" i="16"/>
  <c r="G21" i="16"/>
  <c r="H21" i="16"/>
  <c r="I21" i="16"/>
  <c r="J21" i="16"/>
  <c r="C22" i="16"/>
  <c r="D22" i="16"/>
  <c r="E22" i="16"/>
  <c r="F22" i="16"/>
  <c r="G22" i="16"/>
  <c r="H22" i="16"/>
  <c r="I22" i="16"/>
  <c r="J22" i="16"/>
  <c r="C23" i="16"/>
  <c r="D23" i="16"/>
  <c r="E23" i="16"/>
  <c r="F23" i="16"/>
  <c r="G23" i="16"/>
  <c r="H23" i="16"/>
  <c r="I23" i="16"/>
  <c r="J23" i="16"/>
  <c r="C24" i="16"/>
  <c r="D24" i="16"/>
  <c r="E24" i="16"/>
  <c r="F24" i="16"/>
  <c r="G24" i="16"/>
  <c r="H24" i="16"/>
  <c r="I24" i="16"/>
  <c r="J24" i="16"/>
  <c r="C25" i="16"/>
  <c r="D25" i="16"/>
  <c r="E25" i="16"/>
  <c r="F25" i="16"/>
  <c r="G25" i="16"/>
  <c r="H25" i="16"/>
  <c r="I25" i="16"/>
  <c r="J25" i="16"/>
  <c r="C26" i="16"/>
  <c r="D26" i="16"/>
  <c r="E26" i="16"/>
  <c r="F26" i="16"/>
  <c r="G26" i="16"/>
  <c r="H26" i="16"/>
  <c r="I26" i="16"/>
  <c r="J26" i="16"/>
  <c r="C27" i="16"/>
  <c r="D27" i="16"/>
  <c r="E27" i="16"/>
  <c r="F27" i="16"/>
  <c r="G27" i="16"/>
  <c r="H27" i="16"/>
  <c r="I27" i="16"/>
  <c r="J27" i="16"/>
  <c r="C28" i="16"/>
  <c r="D28" i="16"/>
  <c r="E28" i="16"/>
  <c r="F28" i="16"/>
  <c r="G28" i="16"/>
  <c r="H28" i="16"/>
  <c r="I28" i="16"/>
  <c r="J28" i="16"/>
  <c r="C29" i="16"/>
  <c r="D29" i="16"/>
  <c r="E29" i="16"/>
  <c r="F29" i="16"/>
  <c r="G29" i="16"/>
  <c r="H29" i="16"/>
  <c r="I29" i="16"/>
  <c r="J29" i="16"/>
  <c r="C30" i="16"/>
  <c r="D30" i="16"/>
  <c r="E30" i="16"/>
  <c r="F30" i="16"/>
  <c r="G30" i="16"/>
  <c r="H30" i="16"/>
  <c r="I30" i="16"/>
  <c r="J30" i="16"/>
  <c r="C31" i="16"/>
  <c r="D31" i="16"/>
  <c r="E31" i="16"/>
  <c r="G31" i="16"/>
  <c r="H31" i="16"/>
  <c r="I31" i="16"/>
  <c r="J31" i="16"/>
  <c r="C32" i="16"/>
  <c r="D32" i="16"/>
  <c r="E32" i="16"/>
  <c r="F32" i="16"/>
  <c r="G32" i="16"/>
  <c r="H32" i="16"/>
  <c r="I32" i="16"/>
  <c r="J32" i="16"/>
  <c r="C33" i="16"/>
  <c r="D33" i="16"/>
  <c r="E33" i="16"/>
  <c r="F33" i="16"/>
  <c r="G33" i="16"/>
  <c r="H33" i="16"/>
  <c r="I33" i="16"/>
  <c r="J33" i="16"/>
  <c r="C34" i="16"/>
  <c r="D34" i="16"/>
  <c r="E34" i="16"/>
  <c r="F34" i="16"/>
  <c r="G34" i="16"/>
  <c r="H34" i="16"/>
  <c r="I34" i="16"/>
  <c r="J34" i="16"/>
  <c r="C35" i="16"/>
  <c r="D35" i="16"/>
  <c r="E35" i="16"/>
  <c r="F35" i="16"/>
  <c r="G35" i="16"/>
  <c r="H35" i="16"/>
  <c r="I35" i="16"/>
  <c r="J35" i="16"/>
  <c r="C36" i="16"/>
  <c r="D36" i="16"/>
  <c r="E36" i="16"/>
  <c r="F36" i="16"/>
  <c r="G36" i="16"/>
  <c r="H36" i="16"/>
  <c r="I36" i="16"/>
  <c r="J36" i="16"/>
  <c r="C37" i="16"/>
  <c r="D37" i="16"/>
  <c r="E37" i="16"/>
  <c r="F37" i="16"/>
  <c r="G37" i="16"/>
  <c r="H37" i="16"/>
  <c r="I37" i="16"/>
  <c r="J37" i="16"/>
  <c r="C38" i="16"/>
  <c r="D38" i="16"/>
  <c r="E38" i="16"/>
  <c r="F38" i="16"/>
  <c r="G38" i="16"/>
  <c r="H38" i="16"/>
  <c r="I38" i="16"/>
  <c r="J38" i="16"/>
  <c r="C39" i="16"/>
  <c r="D39" i="16"/>
  <c r="E39" i="16"/>
  <c r="F39" i="16"/>
  <c r="G39" i="16"/>
  <c r="H39" i="16"/>
  <c r="I39" i="16"/>
  <c r="J39" i="16"/>
  <c r="C40" i="16"/>
  <c r="D40" i="16"/>
  <c r="E40" i="16"/>
  <c r="F40" i="16"/>
  <c r="G40" i="16"/>
  <c r="H40" i="16"/>
  <c r="I40" i="16"/>
  <c r="J40" i="16"/>
  <c r="C41" i="16"/>
  <c r="D41" i="16"/>
  <c r="E41" i="16"/>
  <c r="F41" i="16"/>
  <c r="G41" i="16"/>
  <c r="H41" i="16"/>
  <c r="I41" i="16"/>
  <c r="J41" i="16"/>
  <c r="C42" i="16"/>
  <c r="D42" i="16"/>
  <c r="E42" i="16"/>
  <c r="F42" i="16"/>
  <c r="G42" i="16"/>
  <c r="H42" i="16"/>
  <c r="I42" i="16"/>
  <c r="J42" i="16"/>
  <c r="C43" i="16"/>
  <c r="D43" i="16"/>
  <c r="E43" i="16"/>
  <c r="F43" i="16"/>
  <c r="G43" i="16"/>
  <c r="H43" i="16"/>
  <c r="I43" i="16"/>
  <c r="J43" i="16"/>
  <c r="C44" i="16"/>
  <c r="D44" i="16"/>
  <c r="E44" i="16"/>
  <c r="F44" i="16"/>
  <c r="G44" i="16"/>
  <c r="H44" i="16"/>
  <c r="I44" i="16"/>
  <c r="J44" i="16"/>
  <c r="C45" i="16"/>
  <c r="D45" i="16"/>
  <c r="E45" i="16"/>
  <c r="F45" i="16"/>
  <c r="G45" i="16"/>
  <c r="H45" i="16"/>
  <c r="I45" i="16"/>
  <c r="J45" i="16"/>
  <c r="C46" i="16"/>
  <c r="D46" i="16"/>
  <c r="E46" i="16"/>
  <c r="F46" i="16"/>
  <c r="G46" i="16"/>
  <c r="H46" i="16"/>
  <c r="I46" i="16"/>
  <c r="J46" i="16"/>
  <c r="C47" i="16"/>
  <c r="D47" i="16"/>
  <c r="E47" i="16"/>
  <c r="F47" i="16"/>
  <c r="G47" i="16"/>
  <c r="H47" i="16"/>
  <c r="I47" i="16"/>
  <c r="J47" i="16"/>
  <c r="C48" i="16"/>
  <c r="D48" i="16"/>
  <c r="E48" i="16"/>
  <c r="F48" i="16"/>
  <c r="G48" i="16"/>
  <c r="H48" i="16"/>
  <c r="I48" i="16"/>
  <c r="J48" i="16"/>
  <c r="C50" i="16"/>
  <c r="D50" i="16"/>
  <c r="E50" i="16"/>
  <c r="F50" i="16"/>
  <c r="G50" i="16"/>
  <c r="H50" i="16"/>
  <c r="I50" i="16"/>
  <c r="J50" i="16"/>
  <c r="C51" i="16"/>
  <c r="D51" i="16"/>
  <c r="E51" i="16"/>
  <c r="F51" i="16"/>
  <c r="G51" i="16"/>
  <c r="H51" i="16"/>
  <c r="I51" i="16"/>
  <c r="J51" i="16"/>
  <c r="C52" i="16"/>
  <c r="D52" i="16"/>
  <c r="E52" i="16"/>
  <c r="F52" i="16"/>
  <c r="G52" i="16"/>
  <c r="H52" i="16"/>
  <c r="I52" i="16"/>
  <c r="J52" i="16"/>
  <c r="C53" i="16"/>
  <c r="D53" i="16"/>
  <c r="E53" i="16"/>
  <c r="F53" i="16"/>
  <c r="G53" i="16"/>
  <c r="H53" i="16"/>
  <c r="I53" i="16"/>
  <c r="J53" i="16"/>
  <c r="C54" i="16"/>
  <c r="D54" i="16"/>
  <c r="E54" i="16"/>
  <c r="F54" i="16"/>
  <c r="G54" i="16"/>
  <c r="H54" i="16"/>
  <c r="I54" i="16"/>
  <c r="J54" i="16"/>
  <c r="C55" i="16"/>
  <c r="D55" i="16"/>
  <c r="E55" i="16"/>
  <c r="F55" i="16"/>
  <c r="G55" i="16"/>
  <c r="H55" i="16"/>
  <c r="I55" i="16"/>
  <c r="J55" i="16"/>
  <c r="C56" i="16"/>
  <c r="D56" i="16"/>
  <c r="E56" i="16"/>
  <c r="F56" i="16"/>
  <c r="G56" i="16"/>
  <c r="H56" i="16"/>
  <c r="I56" i="16"/>
  <c r="J56" i="16"/>
  <c r="C57" i="16"/>
  <c r="D57" i="16"/>
  <c r="E57" i="16"/>
  <c r="F57" i="16"/>
  <c r="G57" i="16"/>
  <c r="H57" i="16"/>
  <c r="I57" i="16"/>
  <c r="J57" i="16"/>
  <c r="C58" i="16"/>
  <c r="D58" i="16"/>
  <c r="E58" i="16"/>
  <c r="F58" i="16"/>
  <c r="G58" i="16"/>
  <c r="H58" i="16"/>
  <c r="I58" i="16"/>
  <c r="J58" i="16"/>
  <c r="C59" i="16"/>
  <c r="D59" i="16"/>
  <c r="E59" i="16"/>
  <c r="F59" i="16"/>
  <c r="G59" i="16"/>
  <c r="H59" i="16"/>
  <c r="I59" i="16"/>
  <c r="J59" i="16"/>
  <c r="C60" i="16"/>
  <c r="D60" i="16"/>
  <c r="E60" i="16"/>
  <c r="F60" i="16"/>
  <c r="G60" i="16"/>
  <c r="H60" i="16"/>
  <c r="I60" i="16"/>
  <c r="J60" i="16"/>
  <c r="C61" i="16"/>
  <c r="D61" i="16"/>
  <c r="E61" i="16"/>
  <c r="F61" i="16"/>
  <c r="G61" i="16"/>
  <c r="H61" i="16"/>
  <c r="I61" i="16"/>
  <c r="J61" i="16"/>
  <c r="C62" i="16"/>
  <c r="D62" i="16"/>
  <c r="E62" i="16"/>
  <c r="F62" i="16"/>
  <c r="G62" i="16"/>
  <c r="H62" i="16"/>
  <c r="I62" i="16"/>
  <c r="J62" i="16"/>
  <c r="C63" i="16"/>
  <c r="D63" i="16"/>
  <c r="E63" i="16"/>
  <c r="F63" i="16"/>
  <c r="G63" i="16"/>
  <c r="H63" i="16"/>
  <c r="I63" i="16"/>
  <c r="J63" i="16"/>
  <c r="C64" i="16"/>
  <c r="D64" i="16"/>
  <c r="E64" i="16"/>
  <c r="F64" i="16"/>
  <c r="G64" i="16"/>
  <c r="H64" i="16"/>
  <c r="I64" i="16"/>
  <c r="J64" i="16"/>
  <c r="C65" i="16"/>
  <c r="D65" i="16"/>
  <c r="E65" i="16"/>
  <c r="F65" i="16"/>
  <c r="G65" i="16"/>
  <c r="H65" i="16"/>
  <c r="I65" i="16"/>
  <c r="J65" i="16"/>
  <c r="C66" i="16"/>
  <c r="D66" i="16"/>
  <c r="E66" i="16"/>
  <c r="F66" i="16"/>
  <c r="G66" i="16"/>
  <c r="H66" i="16"/>
  <c r="I66" i="16"/>
  <c r="J66" i="16"/>
  <c r="C67" i="16"/>
  <c r="D67" i="16"/>
  <c r="E67" i="16"/>
  <c r="F67" i="16"/>
  <c r="G67" i="16"/>
  <c r="H67" i="16"/>
  <c r="I67" i="16"/>
  <c r="J67" i="16"/>
  <c r="C68" i="16"/>
  <c r="D68" i="16"/>
  <c r="E68" i="16"/>
  <c r="F68" i="16"/>
  <c r="G68" i="16"/>
  <c r="H68" i="16"/>
  <c r="I68" i="16"/>
  <c r="J68" i="16"/>
  <c r="C69" i="16"/>
  <c r="D69" i="16"/>
  <c r="E69" i="16"/>
  <c r="F69" i="16"/>
  <c r="G69" i="16"/>
  <c r="H69" i="16"/>
  <c r="I69" i="16"/>
  <c r="J69" i="16"/>
  <c r="C70" i="16"/>
  <c r="D70" i="16"/>
  <c r="E70" i="16"/>
  <c r="F70" i="16"/>
  <c r="G70" i="16"/>
  <c r="H70" i="16"/>
  <c r="I70" i="16"/>
  <c r="J70" i="16"/>
  <c r="C71" i="16"/>
  <c r="D71" i="16"/>
  <c r="E71" i="16"/>
  <c r="F71" i="16"/>
  <c r="G71" i="16"/>
  <c r="H71" i="16"/>
  <c r="I71" i="16"/>
  <c r="J71" i="16"/>
  <c r="C72" i="16"/>
  <c r="D72" i="16"/>
  <c r="E72" i="16"/>
  <c r="F72" i="16"/>
  <c r="G72" i="16"/>
  <c r="H72" i="16"/>
  <c r="I72" i="16"/>
  <c r="J72" i="16"/>
  <c r="C73" i="16"/>
  <c r="D73" i="16"/>
  <c r="E73" i="16"/>
  <c r="F73" i="16"/>
  <c r="G73" i="16"/>
  <c r="H73" i="16"/>
  <c r="I73" i="16"/>
  <c r="J73" i="16"/>
  <c r="C74" i="16"/>
  <c r="D74" i="16"/>
  <c r="E74" i="16"/>
  <c r="F74" i="16"/>
  <c r="G74" i="16"/>
  <c r="H74" i="16"/>
  <c r="I74" i="16"/>
  <c r="J74" i="16"/>
  <c r="C75" i="16"/>
  <c r="D75" i="16"/>
  <c r="E75" i="16"/>
  <c r="F75" i="16"/>
  <c r="G75" i="16"/>
  <c r="H75" i="16"/>
  <c r="I75" i="16"/>
  <c r="J75" i="16"/>
  <c r="C76" i="16"/>
  <c r="D76" i="16"/>
  <c r="E76" i="16"/>
  <c r="F76" i="16"/>
  <c r="G76" i="16"/>
  <c r="D78" i="16"/>
  <c r="D79" i="16" s="1"/>
  <c r="E78" i="16"/>
  <c r="E79" i="16" s="1"/>
  <c r="G78" i="16"/>
  <c r="G79" i="16" s="1"/>
  <c r="H78" i="16"/>
  <c r="H79" i="16" s="1"/>
  <c r="I78" i="16"/>
  <c r="I79" i="16" s="1"/>
  <c r="F79" i="16"/>
  <c r="K79" i="16"/>
  <c r="L79" i="16"/>
  <c r="C4" i="33"/>
  <c r="K8" i="33"/>
  <c r="V8" i="33"/>
  <c r="W8" i="33"/>
  <c r="U8" i="33"/>
  <c r="N8" i="33" s="1"/>
  <c r="D9" i="33"/>
  <c r="D10" i="33"/>
  <c r="D11" i="33"/>
  <c r="D12" i="33"/>
  <c r="F12" i="33" s="1"/>
  <c r="D13" i="33"/>
  <c r="D14" i="33"/>
  <c r="D15" i="33"/>
  <c r="F15" i="33" s="1"/>
  <c r="D16" i="33"/>
  <c r="F16" i="33" s="1"/>
  <c r="D17" i="33"/>
  <c r="F17" i="33" s="1"/>
  <c r="D18" i="33"/>
  <c r="F18" i="33" s="1"/>
  <c r="D19" i="33"/>
  <c r="F19" i="33" s="1"/>
  <c r="D20" i="33"/>
  <c r="F20" i="33" s="1"/>
  <c r="D21" i="33"/>
  <c r="F21" i="33" s="1"/>
  <c r="D22" i="33"/>
  <c r="D23" i="33"/>
  <c r="D24" i="33"/>
  <c r="F24" i="33" s="1"/>
  <c r="D25" i="33"/>
  <c r="F25" i="33" s="1"/>
  <c r="T8" i="33"/>
  <c r="M8" i="33"/>
  <c r="Q8" i="33"/>
  <c r="R8" i="33"/>
  <c r="S8" i="33"/>
  <c r="X8" i="33"/>
  <c r="Y8" i="33"/>
  <c r="Z8" i="33"/>
  <c r="AA8" i="33"/>
  <c r="G16" i="12"/>
  <c r="V10" i="12" l="1"/>
  <c r="W10" i="12" s="1"/>
  <c r="V8" i="12"/>
  <c r="W8" i="12" s="1"/>
  <c r="T28" i="36"/>
  <c r="T57" i="36" s="1"/>
  <c r="AB57" i="36" s="1"/>
  <c r="T29" i="36"/>
  <c r="T58" i="36" s="1"/>
  <c r="AB58" i="36" s="1"/>
  <c r="E31" i="36"/>
  <c r="E32" i="36"/>
  <c r="E33" i="36"/>
  <c r="E34" i="36"/>
  <c r="E35" i="36"/>
  <c r="E36" i="36"/>
  <c r="E29" i="36"/>
  <c r="E30" i="36"/>
  <c r="S21" i="36"/>
  <c r="S50" i="36" s="1"/>
  <c r="O17" i="36"/>
  <c r="O18" i="36"/>
  <c r="O47" i="36" s="1"/>
  <c r="O26" i="36"/>
  <c r="O55" i="36" s="1"/>
  <c r="O34" i="36"/>
  <c r="O63" i="36" s="1"/>
  <c r="O36" i="36"/>
  <c r="O65" i="36" s="1"/>
  <c r="O19" i="36"/>
  <c r="O48" i="36" s="1"/>
  <c r="O27" i="36"/>
  <c r="O56" i="36" s="1"/>
  <c r="O35" i="36"/>
  <c r="O64" i="36" s="1"/>
  <c r="O28" i="36"/>
  <c r="O57" i="36" s="1"/>
  <c r="O20" i="36"/>
  <c r="O49" i="36" s="1"/>
  <c r="O21" i="36"/>
  <c r="O50" i="36" s="1"/>
  <c r="O29" i="36"/>
  <c r="O58" i="36" s="1"/>
  <c r="O37" i="36"/>
  <c r="O66" i="36" s="1"/>
  <c r="O30" i="36"/>
  <c r="O59" i="36" s="1"/>
  <c r="O38" i="36"/>
  <c r="O67" i="36" s="1"/>
  <c r="O22" i="36"/>
  <c r="O51" i="36" s="1"/>
  <c r="O23" i="36"/>
  <c r="O52" i="36" s="1"/>
  <c r="O31" i="36"/>
  <c r="O60" i="36" s="1"/>
  <c r="O39" i="36"/>
  <c r="O68" i="36" s="1"/>
  <c r="O24" i="36"/>
  <c r="O53" i="36" s="1"/>
  <c r="O32" i="36"/>
  <c r="O61" i="36" s="1"/>
  <c r="O40" i="36"/>
  <c r="O69" i="36" s="1"/>
  <c r="O25" i="36"/>
  <c r="O54" i="36" s="1"/>
  <c r="O33" i="36"/>
  <c r="O62" i="36" s="1"/>
  <c r="M17" i="36"/>
  <c r="T18" i="36"/>
  <c r="T47" i="36" s="1"/>
  <c r="T33" i="36"/>
  <c r="T62" i="36" s="1"/>
  <c r="AB62" i="36" s="1"/>
  <c r="S18" i="36"/>
  <c r="S47" i="36" s="1"/>
  <c r="S37" i="36"/>
  <c r="S66" i="36" s="1"/>
  <c r="AA66" i="36" s="1"/>
  <c r="S24" i="36"/>
  <c r="S53" i="36" s="1"/>
  <c r="AA53" i="36" s="1"/>
  <c r="R18" i="36"/>
  <c r="R47" i="36" s="1"/>
  <c r="R29" i="36"/>
  <c r="R58" i="36" s="1"/>
  <c r="R24" i="36"/>
  <c r="R53" i="36" s="1"/>
  <c r="N18" i="36"/>
  <c r="N47" i="36" s="1"/>
  <c r="N29" i="36"/>
  <c r="N58" i="36" s="1"/>
  <c r="N25" i="36"/>
  <c r="N54" i="36" s="1"/>
  <c r="M18" i="36"/>
  <c r="M47" i="36" s="1"/>
  <c r="M29" i="36"/>
  <c r="M58" i="36" s="1"/>
  <c r="M31" i="36"/>
  <c r="M60" i="36" s="1"/>
  <c r="P17" i="36"/>
  <c r="L35" i="36"/>
  <c r="L30" i="36"/>
  <c r="L25" i="36"/>
  <c r="P35" i="36"/>
  <c r="P64" i="36" s="1"/>
  <c r="Q40" i="36"/>
  <c r="Q69" i="36" s="1"/>
  <c r="P28" i="36"/>
  <c r="P57" i="36" s="1"/>
  <c r="Q36" i="36"/>
  <c r="Q65" i="36" s="1"/>
  <c r="Q23" i="36"/>
  <c r="Q52" i="36" s="1"/>
  <c r="T19" i="36"/>
  <c r="T48" i="36" s="1"/>
  <c r="T37" i="36"/>
  <c r="T66" i="36" s="1"/>
  <c r="AB66" i="36" s="1"/>
  <c r="T24" i="36"/>
  <c r="T53" i="36" s="1"/>
  <c r="AB53" i="36" s="1"/>
  <c r="S19" i="36"/>
  <c r="S48" i="36" s="1"/>
  <c r="S30" i="36"/>
  <c r="S59" i="36" s="1"/>
  <c r="AA59" i="36" s="1"/>
  <c r="S32" i="36"/>
  <c r="S61" i="36" s="1"/>
  <c r="AA61" i="36" s="1"/>
  <c r="R19" i="36"/>
  <c r="R48" i="36" s="1"/>
  <c r="R37" i="36"/>
  <c r="R66" i="36" s="1"/>
  <c r="R32" i="36"/>
  <c r="R61" i="36" s="1"/>
  <c r="N19" i="36"/>
  <c r="N48" i="36" s="1"/>
  <c r="N37" i="36"/>
  <c r="N66" i="36" s="1"/>
  <c r="N24" i="36"/>
  <c r="N53" i="36" s="1"/>
  <c r="M19" i="36"/>
  <c r="M48" i="36" s="1"/>
  <c r="M37" i="36"/>
  <c r="M66" i="36" s="1"/>
  <c r="M39" i="36"/>
  <c r="M68" i="36" s="1"/>
  <c r="L20" i="36"/>
  <c r="L38" i="36"/>
  <c r="L33" i="36"/>
  <c r="E24" i="36"/>
  <c r="Q33" i="36"/>
  <c r="Q62" i="36" s="1"/>
  <c r="Q26" i="36"/>
  <c r="Q55" i="36" s="1"/>
  <c r="Q19" i="36"/>
  <c r="Q48" i="36" s="1"/>
  <c r="Q29" i="36"/>
  <c r="Q58" i="36" s="1"/>
  <c r="Q28" i="36"/>
  <c r="Q57" i="36" s="1"/>
  <c r="P40" i="36"/>
  <c r="P69" i="36" s="1"/>
  <c r="T27" i="36"/>
  <c r="T56" i="36" s="1"/>
  <c r="AB56" i="36" s="1"/>
  <c r="T22" i="36"/>
  <c r="T51" i="36" s="1"/>
  <c r="T32" i="36"/>
  <c r="T61" i="36" s="1"/>
  <c r="AB61" i="36" s="1"/>
  <c r="S27" i="36"/>
  <c r="S56" i="36" s="1"/>
  <c r="AA56" i="36" s="1"/>
  <c r="S38" i="36"/>
  <c r="S67" i="36" s="1"/>
  <c r="AA67" i="36" s="1"/>
  <c r="S34" i="36"/>
  <c r="S63" i="36" s="1"/>
  <c r="AA63" i="36" s="1"/>
  <c r="R27" i="36"/>
  <c r="R56" i="36" s="1"/>
  <c r="R22" i="36"/>
  <c r="R51" i="36" s="1"/>
  <c r="R25" i="36"/>
  <c r="R54" i="36" s="1"/>
  <c r="N27" i="36"/>
  <c r="N56" i="36" s="1"/>
  <c r="N22" i="36"/>
  <c r="N51" i="36" s="1"/>
  <c r="N32" i="36"/>
  <c r="N61" i="36" s="1"/>
  <c r="M27" i="36"/>
  <c r="M56" i="36" s="1"/>
  <c r="M26" i="36"/>
  <c r="M55" i="36" s="1"/>
  <c r="M33" i="36"/>
  <c r="M62" i="36" s="1"/>
  <c r="C6" i="36"/>
  <c r="C7" i="36" s="1"/>
  <c r="L28" i="36"/>
  <c r="L23" i="36"/>
  <c r="Q17" i="36"/>
  <c r="Q24" i="36"/>
  <c r="Q53" i="36" s="1"/>
  <c r="T64" i="36"/>
  <c r="AB64" i="36" s="1"/>
  <c r="T30" i="36"/>
  <c r="T59" i="36" s="1"/>
  <c r="AB59" i="36" s="1"/>
  <c r="T25" i="36"/>
  <c r="T54" i="36" s="1"/>
  <c r="AB54" i="36" s="1"/>
  <c r="S35" i="36"/>
  <c r="S64" i="36" s="1"/>
  <c r="AA64" i="36" s="1"/>
  <c r="S22" i="36"/>
  <c r="S51" i="36" s="1"/>
  <c r="S25" i="36"/>
  <c r="S54" i="36" s="1"/>
  <c r="AA54" i="36" s="1"/>
  <c r="R35" i="36"/>
  <c r="R64" i="36" s="1"/>
  <c r="R30" i="36"/>
  <c r="R59" i="36" s="1"/>
  <c r="R33" i="36"/>
  <c r="R62" i="36" s="1"/>
  <c r="N35" i="36"/>
  <c r="N64" i="36" s="1"/>
  <c r="N30" i="36"/>
  <c r="N59" i="36" s="1"/>
  <c r="N33" i="36"/>
  <c r="N62" i="36" s="1"/>
  <c r="M35" i="36"/>
  <c r="M64" i="36" s="1"/>
  <c r="M22" i="36"/>
  <c r="M51" i="36" s="1"/>
  <c r="M24" i="36"/>
  <c r="M53" i="36" s="1"/>
  <c r="L18" i="36"/>
  <c r="L36" i="36"/>
  <c r="L31" i="36"/>
  <c r="C24" i="36"/>
  <c r="D24" i="36" s="1"/>
  <c r="P24" i="36"/>
  <c r="P53" i="36" s="1"/>
  <c r="P25" i="36"/>
  <c r="P54" i="36" s="1"/>
  <c r="Q31" i="36"/>
  <c r="Q60" i="36" s="1"/>
  <c r="Q34" i="36"/>
  <c r="Q63" i="36" s="1"/>
  <c r="Q27" i="36"/>
  <c r="Q56" i="36" s="1"/>
  <c r="Q18" i="36"/>
  <c r="Q47" i="36" s="1"/>
  <c r="Q30" i="36"/>
  <c r="Q59" i="36" s="1"/>
  <c r="T20" i="36"/>
  <c r="T49" i="36" s="1"/>
  <c r="T38" i="36"/>
  <c r="T67" i="36" s="1"/>
  <c r="AB67" i="36" s="1"/>
  <c r="T26" i="36"/>
  <c r="T55" i="36" s="1"/>
  <c r="AB55" i="36" s="1"/>
  <c r="S28" i="36"/>
  <c r="S57" i="36" s="1"/>
  <c r="AA57" i="36" s="1"/>
  <c r="S23" i="36"/>
  <c r="S52" i="36" s="1"/>
  <c r="AA52" i="36" s="1"/>
  <c r="S33" i="36"/>
  <c r="S62" i="36" s="1"/>
  <c r="AA62" i="36" s="1"/>
  <c r="R20" i="36"/>
  <c r="R49" i="36" s="1"/>
  <c r="R38" i="36"/>
  <c r="R67" i="36" s="1"/>
  <c r="R26" i="36"/>
  <c r="R55" i="36" s="1"/>
  <c r="N20" i="36"/>
  <c r="N49" i="36" s="1"/>
  <c r="N38" i="36"/>
  <c r="N67" i="36" s="1"/>
  <c r="N26" i="36"/>
  <c r="N55" i="36" s="1"/>
  <c r="M20" i="36"/>
  <c r="M49" i="36" s="1"/>
  <c r="M30" i="36"/>
  <c r="M59" i="36" s="1"/>
  <c r="M32" i="36"/>
  <c r="M61" i="36" s="1"/>
  <c r="L26" i="36"/>
  <c r="L21" i="36"/>
  <c r="L39" i="36"/>
  <c r="Q37" i="36"/>
  <c r="Q66" i="36" s="1"/>
  <c r="P29" i="36"/>
  <c r="P58" i="36" s="1"/>
  <c r="P19" i="36"/>
  <c r="P48" i="36" s="1"/>
  <c r="Q20" i="36"/>
  <c r="Q49" i="36" s="1"/>
  <c r="P39" i="36"/>
  <c r="P68" i="36" s="1"/>
  <c r="T23" i="36"/>
  <c r="T52" i="36" s="1"/>
  <c r="AB52" i="36" s="1"/>
  <c r="T34" i="36"/>
  <c r="T63" i="36" s="1"/>
  <c r="AB63" i="36" s="1"/>
  <c r="S20" i="36"/>
  <c r="S49" i="36" s="1"/>
  <c r="S31" i="36"/>
  <c r="S60" i="36" s="1"/>
  <c r="AA60" i="36" s="1"/>
  <c r="S26" i="36"/>
  <c r="S55" i="36" s="1"/>
  <c r="AA55" i="36" s="1"/>
  <c r="R28" i="36"/>
  <c r="R57" i="36" s="1"/>
  <c r="R23" i="36"/>
  <c r="R52" i="36" s="1"/>
  <c r="R34" i="36"/>
  <c r="R63" i="36" s="1"/>
  <c r="N28" i="36"/>
  <c r="N57" i="36" s="1"/>
  <c r="N23" i="36"/>
  <c r="N52" i="36" s="1"/>
  <c r="N34" i="36"/>
  <c r="N63" i="36" s="1"/>
  <c r="M28" i="36"/>
  <c r="M57" i="36" s="1"/>
  <c r="M38" i="36"/>
  <c r="M67" i="36" s="1"/>
  <c r="M25" i="36"/>
  <c r="M54" i="36" s="1"/>
  <c r="L34" i="36"/>
  <c r="L29" i="36"/>
  <c r="L24" i="36"/>
  <c r="P36" i="36"/>
  <c r="P65" i="36" s="1"/>
  <c r="P34" i="36"/>
  <c r="P63" i="36" s="1"/>
  <c r="P32" i="36"/>
  <c r="P61" i="36" s="1"/>
  <c r="Q32" i="36"/>
  <c r="Q61" i="36" s="1"/>
  <c r="Q21" i="36"/>
  <c r="Q50" i="36" s="1"/>
  <c r="P23" i="36"/>
  <c r="P52" i="36" s="1"/>
  <c r="P22" i="36"/>
  <c r="P51" i="36" s="1"/>
  <c r="T36" i="36"/>
  <c r="T65" i="36" s="1"/>
  <c r="AB65" i="36" s="1"/>
  <c r="T31" i="36"/>
  <c r="T60" i="36" s="1"/>
  <c r="AB60" i="36" s="1"/>
  <c r="S40" i="36"/>
  <c r="S69" i="36" s="1"/>
  <c r="S39" i="36"/>
  <c r="S68" i="36" s="1"/>
  <c r="AA68" i="36" s="1"/>
  <c r="R40" i="36"/>
  <c r="R69" i="36" s="1"/>
  <c r="R36" i="36"/>
  <c r="R65" i="36" s="1"/>
  <c r="R31" i="36"/>
  <c r="R60" i="36" s="1"/>
  <c r="N40" i="36"/>
  <c r="N69" i="36" s="1"/>
  <c r="N36" i="36"/>
  <c r="N65" i="36" s="1"/>
  <c r="N31" i="36"/>
  <c r="N60" i="36" s="1"/>
  <c r="M40" i="36"/>
  <c r="M69" i="36" s="1"/>
  <c r="M36" i="36"/>
  <c r="M65" i="36" s="1"/>
  <c r="M34" i="36"/>
  <c r="M63" i="36" s="1"/>
  <c r="L17" i="36"/>
  <c r="L19" i="36"/>
  <c r="L37" i="36"/>
  <c r="L32" i="36"/>
  <c r="Q39" i="36"/>
  <c r="Q68" i="36" s="1"/>
  <c r="P33" i="36"/>
  <c r="P62" i="36" s="1"/>
  <c r="P37" i="36"/>
  <c r="P66" i="36" s="1"/>
  <c r="Q25" i="36"/>
  <c r="Q54" i="36" s="1"/>
  <c r="P20" i="36"/>
  <c r="P49" i="36" s="1"/>
  <c r="Q38" i="36"/>
  <c r="Q67" i="36" s="1"/>
  <c r="Q22" i="36"/>
  <c r="Q51" i="36" s="1"/>
  <c r="T40" i="36"/>
  <c r="T69" i="36" s="1"/>
  <c r="T21" i="36"/>
  <c r="T50" i="36" s="1"/>
  <c r="T39" i="36"/>
  <c r="T68" i="36" s="1"/>
  <c r="AB68" i="36" s="1"/>
  <c r="T17" i="36"/>
  <c r="S29" i="36"/>
  <c r="S58" i="36" s="1"/>
  <c r="AA58" i="36" s="1"/>
  <c r="S36" i="36"/>
  <c r="S65" i="36" s="1"/>
  <c r="AA65" i="36" s="1"/>
  <c r="S17" i="36"/>
  <c r="R21" i="36"/>
  <c r="R50" i="36" s="1"/>
  <c r="R39" i="36"/>
  <c r="R68" i="36" s="1"/>
  <c r="R17" i="36"/>
  <c r="N21" i="36"/>
  <c r="N50" i="36" s="1"/>
  <c r="N39" i="36"/>
  <c r="N68" i="36" s="1"/>
  <c r="N17" i="36"/>
  <c r="M21" i="36"/>
  <c r="M50" i="36" s="1"/>
  <c r="M23" i="36"/>
  <c r="M52" i="36" s="1"/>
  <c r="L27" i="36"/>
  <c r="L22" i="36"/>
  <c r="L40" i="36"/>
  <c r="P18" i="36"/>
  <c r="P47" i="36" s="1"/>
  <c r="Q35" i="36"/>
  <c r="Q64" i="36" s="1"/>
  <c r="P38" i="36"/>
  <c r="P67" i="36" s="1"/>
  <c r="P27" i="36"/>
  <c r="P56" i="36" s="1"/>
  <c r="P30" i="36"/>
  <c r="P59" i="36" s="1"/>
  <c r="P26" i="36"/>
  <c r="P55" i="36" s="1"/>
  <c r="P21" i="36"/>
  <c r="P50" i="36" s="1"/>
  <c r="P31" i="36"/>
  <c r="P60" i="36" s="1"/>
  <c r="C38" i="33"/>
  <c r="D31" i="33"/>
  <c r="C31" i="33"/>
  <c r="C32" i="33"/>
  <c r="C33" i="33"/>
  <c r="C34" i="33"/>
  <c r="C35" i="33"/>
  <c r="C36" i="33"/>
  <c r="C37" i="33"/>
  <c r="M29" i="16"/>
  <c r="D8" i="33"/>
  <c r="M45" i="16"/>
  <c r="M37" i="16"/>
  <c r="M21" i="16"/>
  <c r="M20" i="16"/>
  <c r="M19" i="16"/>
  <c r="M17" i="16"/>
  <c r="M16" i="16"/>
  <c r="M10" i="16"/>
  <c r="M74" i="16"/>
  <c r="M66" i="16"/>
  <c r="M58" i="16"/>
  <c r="M50" i="16"/>
  <c r="AB8" i="33"/>
  <c r="M72" i="16"/>
  <c r="M64" i="16"/>
  <c r="M46" i="16"/>
  <c r="M36" i="16"/>
  <c r="M31" i="16"/>
  <c r="M22" i="16"/>
  <c r="M47" i="16"/>
  <c r="M28" i="16"/>
  <c r="M27" i="16"/>
  <c r="M25" i="16"/>
  <c r="M23" i="16"/>
  <c r="M18" i="16"/>
  <c r="M40" i="16"/>
  <c r="M15" i="16"/>
  <c r="M14" i="16"/>
  <c r="M13" i="16"/>
  <c r="M11" i="16"/>
  <c r="M5" i="16"/>
  <c r="M68" i="16"/>
  <c r="M60" i="16"/>
  <c r="M52" i="16"/>
  <c r="M41" i="16"/>
  <c r="M32" i="16"/>
  <c r="M9" i="16"/>
  <c r="M8" i="16"/>
  <c r="M7" i="16"/>
  <c r="M6" i="16"/>
  <c r="M69" i="16"/>
  <c r="M61" i="16"/>
  <c r="M53" i="16"/>
  <c r="M42" i="16"/>
  <c r="M33" i="16"/>
  <c r="M24" i="16"/>
  <c r="M75" i="16"/>
  <c r="M73" i="16"/>
  <c r="M70" i="16"/>
  <c r="M67" i="16"/>
  <c r="M65" i="16"/>
  <c r="M62" i="16"/>
  <c r="M59" i="16"/>
  <c r="M57" i="16"/>
  <c r="M56" i="16"/>
  <c r="M54" i="16"/>
  <c r="M51" i="16"/>
  <c r="M43" i="16"/>
  <c r="M38" i="16"/>
  <c r="M34" i="16"/>
  <c r="M12" i="16"/>
  <c r="M71" i="16"/>
  <c r="M63" i="16"/>
  <c r="M55" i="16"/>
  <c r="M44" i="16"/>
  <c r="M39" i="16"/>
  <c r="M35" i="16"/>
  <c r="M30" i="16"/>
  <c r="M26" i="16"/>
  <c r="F10" i="33"/>
  <c r="AC65" i="36" l="1"/>
  <c r="F32" i="36"/>
  <c r="O41" i="36"/>
  <c r="L61" i="36"/>
  <c r="W61" i="36" s="1"/>
  <c r="W32" i="36"/>
  <c r="L55" i="36"/>
  <c r="W55" i="36" s="1"/>
  <c r="W26" i="36"/>
  <c r="O46" i="36"/>
  <c r="O70" i="36" s="1"/>
  <c r="L49" i="36"/>
  <c r="W49" i="36" s="1"/>
  <c r="W20" i="36"/>
  <c r="L66" i="36"/>
  <c r="W66" i="36" s="1"/>
  <c r="W37" i="36"/>
  <c r="Q46" i="36"/>
  <c r="Q70" i="36" s="1"/>
  <c r="Q41" i="36"/>
  <c r="L54" i="36"/>
  <c r="W54" i="36" s="1"/>
  <c r="W25" i="36"/>
  <c r="S46" i="36"/>
  <c r="S70" i="36" s="1"/>
  <c r="S41" i="36"/>
  <c r="L48" i="36"/>
  <c r="W48" i="36" s="1"/>
  <c r="W19" i="36"/>
  <c r="L52" i="36"/>
  <c r="W52" i="36" s="1"/>
  <c r="W23" i="36"/>
  <c r="L59" i="36"/>
  <c r="W59" i="36" s="1"/>
  <c r="W30" i="36"/>
  <c r="L60" i="36"/>
  <c r="W60" i="36" s="1"/>
  <c r="W31" i="36"/>
  <c r="L57" i="36"/>
  <c r="W57" i="36" s="1"/>
  <c r="W28" i="36"/>
  <c r="L64" i="36"/>
  <c r="W64" i="36" s="1"/>
  <c r="W35" i="36"/>
  <c r="L53" i="36"/>
  <c r="W53" i="36" s="1"/>
  <c r="W24" i="36"/>
  <c r="L65" i="36"/>
  <c r="W65" i="36" s="1"/>
  <c r="W36" i="36"/>
  <c r="L69" i="36"/>
  <c r="W69" i="36" s="1"/>
  <c r="W40" i="36"/>
  <c r="L51" i="36"/>
  <c r="W51" i="36" s="1"/>
  <c r="W22" i="36"/>
  <c r="T46" i="36"/>
  <c r="T70" i="36" s="1"/>
  <c r="T41" i="36"/>
  <c r="L58" i="36"/>
  <c r="W58" i="36" s="1"/>
  <c r="W29" i="36"/>
  <c r="L47" i="36"/>
  <c r="W47" i="36" s="1"/>
  <c r="W18" i="36"/>
  <c r="N46" i="36"/>
  <c r="N70" i="36" s="1"/>
  <c r="N41" i="36"/>
  <c r="L56" i="36"/>
  <c r="W56" i="36" s="1"/>
  <c r="W27" i="36"/>
  <c r="L46" i="36"/>
  <c r="L41" i="36"/>
  <c r="W17" i="36"/>
  <c r="L63" i="36"/>
  <c r="W63" i="36" s="1"/>
  <c r="W34" i="36"/>
  <c r="L68" i="36"/>
  <c r="W68" i="36" s="1"/>
  <c r="W39" i="36"/>
  <c r="L62" i="36"/>
  <c r="W62" i="36" s="1"/>
  <c r="W33" i="36"/>
  <c r="R46" i="36"/>
  <c r="R70" i="36" s="1"/>
  <c r="R41" i="36"/>
  <c r="L50" i="36"/>
  <c r="W50" i="36" s="1"/>
  <c r="W21" i="36"/>
  <c r="L67" i="36"/>
  <c r="W67" i="36" s="1"/>
  <c r="W38" i="36"/>
  <c r="P46" i="36"/>
  <c r="P70" i="36" s="1"/>
  <c r="P41" i="36"/>
  <c r="M46" i="36"/>
  <c r="M70" i="36" s="1"/>
  <c r="M41" i="36"/>
  <c r="E31" i="33"/>
  <c r="D38" i="33"/>
  <c r="C8" i="32"/>
  <c r="D8" i="32"/>
  <c r="C9" i="32"/>
  <c r="D9" i="32"/>
  <c r="C10" i="32"/>
  <c r="D26" i="12" s="1"/>
  <c r="D10" i="32"/>
  <c r="C26" i="12" s="1"/>
  <c r="C11" i="32"/>
  <c r="D27" i="12" s="1"/>
  <c r="D11" i="32"/>
  <c r="C27" i="12" s="1"/>
  <c r="C12" i="32"/>
  <c r="D23" i="12" s="1"/>
  <c r="D12" i="32"/>
  <c r="C23" i="12" s="1"/>
  <c r="C13" i="32"/>
  <c r="D25" i="12" s="1"/>
  <c r="D13" i="32"/>
  <c r="C25" i="12" s="1"/>
  <c r="C2" i="33"/>
  <c r="AJ42" i="36" l="1"/>
  <c r="W41" i="36"/>
  <c r="E20" i="36"/>
  <c r="E19" i="36"/>
  <c r="C19" i="36"/>
  <c r="E16" i="36"/>
  <c r="C16" i="36"/>
  <c r="E22" i="36"/>
  <c r="C22" i="36"/>
  <c r="D22" i="36" s="1"/>
  <c r="W46" i="36"/>
  <c r="W70" i="36"/>
  <c r="L70" i="36"/>
  <c r="E17" i="36"/>
  <c r="C17" i="36"/>
  <c r="C20" i="36"/>
  <c r="E21" i="36"/>
  <c r="C21" i="36"/>
  <c r="E18" i="36"/>
  <c r="C18" i="36"/>
  <c r="J8" i="33"/>
  <c r="J9" i="33"/>
  <c r="E38" i="33"/>
  <c r="C39" i="33"/>
  <c r="AH3" i="31"/>
  <c r="D21" i="36" l="1"/>
  <c r="G21" i="36"/>
  <c r="F21" i="36"/>
  <c r="G16" i="36"/>
  <c r="F16" i="36"/>
  <c r="D16" i="36"/>
  <c r="C23" i="36"/>
  <c r="C25" i="36" s="1"/>
  <c r="D25" i="36" s="1"/>
  <c r="D17" i="36"/>
  <c r="F17" i="36"/>
  <c r="G17" i="36"/>
  <c r="F19" i="36"/>
  <c r="D19" i="36"/>
  <c r="G19" i="36"/>
  <c r="D18" i="36"/>
  <c r="G18" i="36"/>
  <c r="F18" i="36"/>
  <c r="F20" i="36"/>
  <c r="G20" i="36"/>
  <c r="D20" i="36"/>
  <c r="AI20" i="31"/>
  <c r="AI21" i="31"/>
  <c r="D26" i="33"/>
  <c r="G25" i="36" l="1"/>
  <c r="F25" i="36"/>
  <c r="E23" i="36"/>
  <c r="E25" i="36" s="1"/>
  <c r="D23" i="36"/>
  <c r="AM3" i="31"/>
  <c r="I3" i="31"/>
  <c r="J66" i="31" l="1"/>
  <c r="J67" i="31"/>
  <c r="J68" i="31"/>
  <c r="J69" i="31"/>
  <c r="J70" i="31"/>
  <c r="F11" i="33"/>
  <c r="F13" i="33"/>
  <c r="F8" i="33"/>
  <c r="F14" i="33" l="1"/>
  <c r="F9" i="33"/>
  <c r="F22" i="33"/>
  <c r="F23" i="33"/>
  <c r="J53" i="31"/>
  <c r="J61" i="31"/>
  <c r="J48" i="31"/>
  <c r="J56" i="31"/>
  <c r="J64" i="31"/>
  <c r="J22" i="31"/>
  <c r="J24" i="31"/>
  <c r="J26" i="31"/>
  <c r="J28" i="31"/>
  <c r="J30" i="31"/>
  <c r="J32" i="31"/>
  <c r="J34" i="31"/>
  <c r="J36" i="31"/>
  <c r="J38" i="31"/>
  <c r="J40" i="31"/>
  <c r="J42" i="31"/>
  <c r="J44" i="31"/>
  <c r="J46" i="31"/>
  <c r="J54" i="31"/>
  <c r="J62" i="31"/>
  <c r="J20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49" i="31"/>
  <c r="J57" i="31"/>
  <c r="J65" i="31"/>
  <c r="J47" i="31"/>
  <c r="J55" i="31"/>
  <c r="J63" i="31"/>
  <c r="J52" i="31"/>
  <c r="J60" i="31"/>
  <c r="J21" i="31"/>
  <c r="J23" i="31"/>
  <c r="J25" i="31"/>
  <c r="J27" i="31"/>
  <c r="J29" i="31"/>
  <c r="J31" i="31"/>
  <c r="J33" i="31"/>
  <c r="J35" i="31"/>
  <c r="J37" i="31"/>
  <c r="J39" i="31"/>
  <c r="J41" i="31"/>
  <c r="J43" i="31"/>
  <c r="J45" i="31"/>
  <c r="J50" i="31"/>
  <c r="J58" i="31"/>
  <c r="J51" i="31"/>
  <c r="J59" i="31"/>
  <c r="AN19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20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X3" i="31"/>
  <c r="F7" i="30"/>
  <c r="D27" i="33"/>
  <c r="S3" i="31"/>
  <c r="F9" i="30"/>
  <c r="N3" i="31"/>
  <c r="F10" i="30"/>
  <c r="G8" i="30" l="1"/>
  <c r="I8" i="30" s="1"/>
  <c r="G7" i="30"/>
  <c r="I7" i="30" s="1"/>
  <c r="G10" i="30"/>
  <c r="I10" i="30" s="1"/>
  <c r="O128" i="31"/>
  <c r="O136" i="31"/>
  <c r="O129" i="31"/>
  <c r="O137" i="31"/>
  <c r="O130" i="31"/>
  <c r="O131" i="31"/>
  <c r="O132" i="31"/>
  <c r="O133" i="31"/>
  <c r="O134" i="31"/>
  <c r="O135" i="31"/>
  <c r="T111" i="31"/>
  <c r="T112" i="31"/>
  <c r="T113" i="31"/>
  <c r="T114" i="31"/>
  <c r="AD19" i="31"/>
  <c r="AD20" i="31"/>
  <c r="AD21" i="31"/>
  <c r="AD22" i="31"/>
  <c r="AD23" i="31"/>
  <c r="AD24" i="31"/>
  <c r="P8" i="33"/>
  <c r="P9" i="33"/>
  <c r="F27" i="33"/>
  <c r="G9" i="30"/>
  <c r="I9" i="30" s="1"/>
  <c r="E26" i="33"/>
  <c r="O21" i="31"/>
  <c r="O23" i="31"/>
  <c r="O25" i="31"/>
  <c r="O27" i="31"/>
  <c r="O29" i="31"/>
  <c r="O31" i="31"/>
  <c r="O33" i="31"/>
  <c r="O35" i="31"/>
  <c r="O37" i="31"/>
  <c r="O39" i="31"/>
  <c r="O41" i="31"/>
  <c r="O43" i="31"/>
  <c r="O45" i="31"/>
  <c r="O50" i="31"/>
  <c r="O58" i="31"/>
  <c r="O118" i="31"/>
  <c r="O126" i="31"/>
  <c r="N4" i="31"/>
  <c r="O53" i="31"/>
  <c r="O61" i="31"/>
  <c r="O67" i="31"/>
  <c r="O71" i="31"/>
  <c r="O75" i="31"/>
  <c r="O79" i="31"/>
  <c r="O83" i="31"/>
  <c r="O87" i="31"/>
  <c r="O91" i="31"/>
  <c r="O95" i="31"/>
  <c r="O99" i="31"/>
  <c r="O103" i="31"/>
  <c r="O107" i="31"/>
  <c r="O111" i="31"/>
  <c r="O119" i="31"/>
  <c r="O127" i="31"/>
  <c r="O20" i="31"/>
  <c r="O51" i="31"/>
  <c r="O59" i="31"/>
  <c r="O68" i="31"/>
  <c r="O72" i="31"/>
  <c r="O76" i="31"/>
  <c r="O80" i="31"/>
  <c r="O84" i="31"/>
  <c r="O92" i="31"/>
  <c r="O96" i="31"/>
  <c r="O100" i="31"/>
  <c r="O88" i="31"/>
  <c r="O22" i="31"/>
  <c r="O24" i="31"/>
  <c r="O26" i="31"/>
  <c r="O28" i="31"/>
  <c r="O30" i="31"/>
  <c r="O32" i="31"/>
  <c r="O34" i="31"/>
  <c r="O36" i="31"/>
  <c r="O38" i="31"/>
  <c r="O40" i="31"/>
  <c r="O42" i="31"/>
  <c r="O44" i="31"/>
  <c r="O46" i="31"/>
  <c r="O54" i="31"/>
  <c r="O62" i="31"/>
  <c r="O114" i="31"/>
  <c r="O122" i="31"/>
  <c r="O52" i="31"/>
  <c r="O60" i="31"/>
  <c r="O116" i="31"/>
  <c r="O124" i="31"/>
  <c r="O6" i="31"/>
  <c r="O7" i="31"/>
  <c r="O8" i="31"/>
  <c r="O9" i="31"/>
  <c r="O10" i="31"/>
  <c r="O11" i="31"/>
  <c r="O12" i="31"/>
  <c r="O13" i="31"/>
  <c r="O14" i="31"/>
  <c r="O15" i="31"/>
  <c r="O16" i="31"/>
  <c r="O17" i="31"/>
  <c r="O18" i="31"/>
  <c r="O19" i="31"/>
  <c r="O49" i="31"/>
  <c r="O57" i="31"/>
  <c r="O65" i="31"/>
  <c r="O69" i="31"/>
  <c r="O73" i="31"/>
  <c r="O77" i="31"/>
  <c r="O81" i="31"/>
  <c r="O85" i="31"/>
  <c r="O89" i="31"/>
  <c r="O93" i="31"/>
  <c r="O97" i="31"/>
  <c r="O101" i="31"/>
  <c r="O105" i="31"/>
  <c r="O109" i="31"/>
  <c r="O115" i="31"/>
  <c r="O123" i="31"/>
  <c r="O47" i="31"/>
  <c r="O55" i="31"/>
  <c r="O63" i="31"/>
  <c r="O66" i="31"/>
  <c r="O70" i="31"/>
  <c r="O74" i="31"/>
  <c r="O78" i="31"/>
  <c r="O82" i="31"/>
  <c r="O86" i="31"/>
  <c r="O90" i="31"/>
  <c r="O94" i="31"/>
  <c r="O98" i="31"/>
  <c r="O102" i="31"/>
  <c r="O106" i="31"/>
  <c r="O110" i="31"/>
  <c r="O117" i="31"/>
  <c r="O125" i="31"/>
  <c r="O48" i="31"/>
  <c r="O56" i="31"/>
  <c r="O64" i="31"/>
  <c r="O112" i="31"/>
  <c r="O120" i="31"/>
  <c r="O104" i="31"/>
  <c r="O108" i="31"/>
  <c r="O113" i="31"/>
  <c r="O121" i="31"/>
  <c r="T47" i="31"/>
  <c r="T55" i="31"/>
  <c r="T63" i="31"/>
  <c r="T66" i="31"/>
  <c r="T70" i="31"/>
  <c r="T74" i="31"/>
  <c r="T78" i="31"/>
  <c r="T82" i="31"/>
  <c r="T86" i="31"/>
  <c r="T90" i="31"/>
  <c r="T94" i="31"/>
  <c r="T98" i="31"/>
  <c r="T102" i="31"/>
  <c r="T106" i="31"/>
  <c r="T110" i="31"/>
  <c r="T21" i="31"/>
  <c r="T23" i="31"/>
  <c r="T25" i="31"/>
  <c r="T27" i="31"/>
  <c r="T29" i="31"/>
  <c r="T31" i="31"/>
  <c r="T33" i="31"/>
  <c r="T35" i="31"/>
  <c r="T37" i="31"/>
  <c r="T39" i="31"/>
  <c r="T41" i="31"/>
  <c r="T43" i="31"/>
  <c r="T45" i="31"/>
  <c r="T50" i="31"/>
  <c r="T58" i="31"/>
  <c r="T48" i="31"/>
  <c r="T56" i="31"/>
  <c r="T64" i="31"/>
  <c r="T20" i="31"/>
  <c r="T51" i="31"/>
  <c r="T59" i="31"/>
  <c r="T68" i="31"/>
  <c r="T72" i="31"/>
  <c r="T76" i="31"/>
  <c r="T80" i="31"/>
  <c r="T84" i="31"/>
  <c r="T88" i="31"/>
  <c r="T92" i="31"/>
  <c r="T96" i="31"/>
  <c r="T100" i="31"/>
  <c r="T104" i="31"/>
  <c r="T108" i="31"/>
  <c r="T49" i="31"/>
  <c r="T57" i="31"/>
  <c r="T65" i="31"/>
  <c r="T69" i="31"/>
  <c r="T73" i="31"/>
  <c r="T77" i="31"/>
  <c r="T81" i="31"/>
  <c r="T85" i="31"/>
  <c r="T89" i="31"/>
  <c r="T93" i="31"/>
  <c r="T97" i="31"/>
  <c r="T101" i="31"/>
  <c r="T105" i="31"/>
  <c r="T109" i="31"/>
  <c r="T22" i="31"/>
  <c r="T24" i="31"/>
  <c r="T26" i="31"/>
  <c r="T28" i="31"/>
  <c r="T30" i="31"/>
  <c r="T32" i="31"/>
  <c r="T34" i="31"/>
  <c r="T36" i="31"/>
  <c r="T38" i="31"/>
  <c r="T40" i="31"/>
  <c r="T42" i="31"/>
  <c r="T44" i="31"/>
  <c r="T46" i="31"/>
  <c r="T54" i="31"/>
  <c r="T62" i="31"/>
  <c r="T6" i="31"/>
  <c r="T7" i="31"/>
  <c r="T8" i="31"/>
  <c r="T9" i="31"/>
  <c r="T10" i="31"/>
  <c r="T11" i="31"/>
  <c r="T12" i="31"/>
  <c r="T13" i="31"/>
  <c r="T14" i="31"/>
  <c r="T15" i="31"/>
  <c r="T16" i="31"/>
  <c r="T17" i="31"/>
  <c r="T18" i="31"/>
  <c r="T19" i="31"/>
  <c r="T52" i="31"/>
  <c r="T60" i="31"/>
  <c r="T53" i="31"/>
  <c r="T61" i="31"/>
  <c r="T67" i="31"/>
  <c r="T71" i="31"/>
  <c r="T75" i="31"/>
  <c r="T79" i="31"/>
  <c r="T83" i="31"/>
  <c r="T87" i="31"/>
  <c r="T91" i="31"/>
  <c r="T95" i="31"/>
  <c r="T99" i="31"/>
  <c r="T103" i="31"/>
  <c r="T107" i="31"/>
  <c r="E16" i="33"/>
  <c r="G16" i="33" s="1"/>
  <c r="E24" i="33"/>
  <c r="G24" i="33" s="1"/>
  <c r="E9" i="33"/>
  <c r="G9" i="33" s="1"/>
  <c r="E17" i="33"/>
  <c r="E25" i="33"/>
  <c r="G25" i="33" s="1"/>
  <c r="E14" i="33"/>
  <c r="E22" i="33"/>
  <c r="D28" i="33"/>
  <c r="E12" i="33"/>
  <c r="G12" i="33" s="1"/>
  <c r="E20" i="33"/>
  <c r="G20" i="33" s="1"/>
  <c r="E15" i="33"/>
  <c r="G15" i="33" s="1"/>
  <c r="E23" i="33"/>
  <c r="E21" i="33"/>
  <c r="G21" i="33" s="1"/>
  <c r="E27" i="33"/>
  <c r="E10" i="33"/>
  <c r="G10" i="33" s="1"/>
  <c r="E19" i="33"/>
  <c r="E11" i="33"/>
  <c r="G11" i="33" s="1"/>
  <c r="E8" i="33"/>
  <c r="E18" i="33"/>
  <c r="E13" i="33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Y6" i="31"/>
  <c r="Y7" i="31"/>
  <c r="Y8" i="31"/>
  <c r="Y9" i="31"/>
  <c r="Y10" i="31"/>
  <c r="Y11" i="31"/>
  <c r="Y12" i="31"/>
  <c r="Y13" i="31"/>
  <c r="Y14" i="31"/>
  <c r="Y15" i="31"/>
  <c r="Y16" i="31"/>
  <c r="Y17" i="31"/>
  <c r="Y18" i="31"/>
  <c r="B14" i="33" l="1"/>
  <c r="B19" i="33"/>
  <c r="B20" i="33"/>
  <c r="G17" i="33"/>
  <c r="B25" i="33"/>
  <c r="B24" i="33"/>
  <c r="B16" i="33"/>
  <c r="B15" i="33"/>
  <c r="G23" i="33"/>
  <c r="G19" i="33"/>
  <c r="G14" i="33"/>
  <c r="B10" i="33"/>
  <c r="G22" i="33"/>
  <c r="B23" i="33"/>
  <c r="G18" i="33"/>
  <c r="G13" i="33"/>
  <c r="B9" i="33"/>
  <c r="G8" i="33"/>
  <c r="G27" i="33" l="1"/>
  <c r="D37" i="33"/>
  <c r="D35" i="33"/>
  <c r="D36" i="33"/>
  <c r="D32" i="33"/>
  <c r="D34" i="33"/>
  <c r="D33" i="33"/>
  <c r="E37" i="33" l="1"/>
  <c r="E33" i="33"/>
  <c r="E35" i="33"/>
  <c r="E34" i="33"/>
  <c r="E32" i="33"/>
  <c r="D39" i="33"/>
  <c r="E36" i="33"/>
  <c r="U1642" i="10" l="1"/>
  <c r="U1659" i="10"/>
  <c r="U1654" i="10"/>
  <c r="U1665" i="10"/>
  <c r="U1646" i="10"/>
  <c r="U1652" i="10"/>
  <c r="U1663" i="10"/>
  <c r="U1645" i="10"/>
  <c r="U1662" i="10"/>
  <c r="U1661" i="10"/>
  <c r="U1649" i="10"/>
  <c r="U1655" i="10"/>
  <c r="U1650" i="10"/>
  <c r="U1660" i="10"/>
  <c r="U1658" i="10"/>
  <c r="U1653" i="10"/>
  <c r="U1666" i="10"/>
  <c r="U1657" i="10"/>
  <c r="U1656" i="10"/>
  <c r="U1664" i="10"/>
  <c r="U1651" i="10"/>
  <c r="U1647" i="10"/>
  <c r="U1644" i="10"/>
  <c r="U1648" i="10"/>
  <c r="U1667" i="10"/>
  <c r="E39" i="33"/>
  <c r="E10" i="37" l="1"/>
  <c r="C8" i="36" s="1"/>
  <c r="F10" i="37" l="1"/>
  <c r="G10" i="37" l="1"/>
  <c r="I10" i="37" l="1"/>
  <c r="H10" i="37"/>
  <c r="J10" i="37" l="1"/>
  <c r="K10" i="37" l="1"/>
  <c r="M10" i="37" l="1"/>
  <c r="L10" i="37"/>
  <c r="N10" i="37" l="1"/>
  <c r="O10" i="37" l="1"/>
  <c r="P10" i="37" l="1"/>
  <c r="Q10" i="37" l="1"/>
  <c r="R10" i="37" l="1"/>
  <c r="T10" i="37" l="1"/>
  <c r="S10" i="37"/>
  <c r="U10" i="37" l="1"/>
  <c r="V10" i="37"/>
  <c r="W10" i="37" l="1"/>
  <c r="X10" i="3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background="1" saveData="1">
    <webPr sourceData="1" parsePre="1" consecutive="1" xl2000="1" url="http://si3.bcentral.cl/Indicadoressiete/secure/Indicadoresdiarios.aspx" htmlTables="1">
      <tables count="1">
        <s v="tblDos"/>
      </tables>
    </webPr>
  </connection>
</connections>
</file>

<file path=xl/sharedStrings.xml><?xml version="1.0" encoding="utf-8"?>
<sst xmlns="http://schemas.openxmlformats.org/spreadsheetml/2006/main" count="18733" uniqueCount="2159">
  <si>
    <t>Fecha</t>
  </si>
  <si>
    <t>porc</t>
  </si>
  <si>
    <t>precio</t>
  </si>
  <si>
    <t>Riesgo</t>
  </si>
  <si>
    <t>IMT E-PLUS</t>
  </si>
  <si>
    <t>AUTOVESNOR</t>
  </si>
  <si>
    <t>UF</t>
  </si>
  <si>
    <t>AA</t>
  </si>
  <si>
    <t>Financieras</t>
  </si>
  <si>
    <t>$</t>
  </si>
  <si>
    <t>BCI SECURI</t>
  </si>
  <si>
    <t>BBCORPBANC</t>
  </si>
  <si>
    <t>TECNOCONTR</t>
  </si>
  <si>
    <t>BCP0600322</t>
  </si>
  <si>
    <t>BCP0600323</t>
  </si>
  <si>
    <t>BBFALABELL</t>
  </si>
  <si>
    <t>BBSANT-CHI</t>
  </si>
  <si>
    <t>BTP0450326</t>
  </si>
  <si>
    <t>BTP0600124</t>
  </si>
  <si>
    <t>BTU0150326</t>
  </si>
  <si>
    <t>BTU0300124</t>
  </si>
  <si>
    <t>BTU0300134</t>
  </si>
  <si>
    <t>PAGARE NR</t>
  </si>
  <si>
    <t>SCOTIABANK</t>
  </si>
  <si>
    <t>BBSECURITY</t>
  </si>
  <si>
    <t>A</t>
  </si>
  <si>
    <t>Leverage</t>
  </si>
  <si>
    <t>BFAL-B0510</t>
  </si>
  <si>
    <t>Banco Falabella</t>
  </si>
  <si>
    <t>C</t>
  </si>
  <si>
    <t>SANT-CHILE</t>
  </si>
  <si>
    <t>BBDESARROL</t>
  </si>
  <si>
    <t>BBSCOTIABA</t>
  </si>
  <si>
    <t>BCP0450620</t>
  </si>
  <si>
    <t>BCU0300221</t>
  </si>
  <si>
    <t>BCU0300322</t>
  </si>
  <si>
    <t>BCU0300718</t>
  </si>
  <si>
    <t>FALAB.SACI</t>
  </si>
  <si>
    <t>LEAS FORUM</t>
  </si>
  <si>
    <t>LOS HEROES</t>
  </si>
  <si>
    <t>ELECDELSUR</t>
  </si>
  <si>
    <t>BTP0600119</t>
  </si>
  <si>
    <t>BTP0600122</t>
  </si>
  <si>
    <t>BTP0600318</t>
  </si>
  <si>
    <t>BTU0260925</t>
  </si>
  <si>
    <t>BTU0300120</t>
  </si>
  <si>
    <t>BTU0300717</t>
  </si>
  <si>
    <t>BTU0450824</t>
  </si>
  <si>
    <t>BTU0451023</t>
  </si>
  <si>
    <t>PAGARE R</t>
  </si>
  <si>
    <t>EM.CAROZZI</t>
  </si>
  <si>
    <t>Banco Security</t>
  </si>
  <si>
    <t>Caja</t>
  </si>
  <si>
    <t>Soc. Conc. Vespucio Norte Express S.A.</t>
  </si>
  <si>
    <t>BBVA</t>
  </si>
  <si>
    <t>BCI</t>
  </si>
  <si>
    <t>BCI Securitizadora</t>
  </si>
  <si>
    <t>Cencosud S.A.</t>
  </si>
  <si>
    <t>COOPEUCH</t>
  </si>
  <si>
    <t>Banco Central de Chile</t>
  </si>
  <si>
    <t>Banco Ripley</t>
  </si>
  <si>
    <t>Banco Santander</t>
  </si>
  <si>
    <t>Tesorería General de la República</t>
  </si>
  <si>
    <t>Caja La Araucana</t>
  </si>
  <si>
    <t>La Polar S.A.</t>
  </si>
  <si>
    <t>Ministerio VYU</t>
  </si>
  <si>
    <t>Caja Los Andes</t>
  </si>
  <si>
    <t>Scotiabank</t>
  </si>
  <si>
    <t>Tanner</t>
  </si>
  <si>
    <t>Caja Los Héroes</t>
  </si>
  <si>
    <t>BICE</t>
  </si>
  <si>
    <t>ENAP</t>
  </si>
  <si>
    <t>INTERNACIO</t>
  </si>
  <si>
    <t>Transa Securitizadora S.A.</t>
  </si>
  <si>
    <t>Banco Estado</t>
  </si>
  <si>
    <t>SAESA S.A.</t>
  </si>
  <si>
    <t>Forum Servicios Financieros S.A.</t>
  </si>
  <si>
    <t>Banco de Chile</t>
  </si>
  <si>
    <t>BTU0300119</t>
  </si>
  <si>
    <t>CTC S.A.</t>
  </si>
  <si>
    <t>Inversiones Security Securitizadora</t>
  </si>
  <si>
    <t>ENDESA S.A.</t>
  </si>
  <si>
    <t>ESVAL</t>
  </si>
  <si>
    <t>Empresas Copec S.A.</t>
  </si>
  <si>
    <t>Sonda S.A.</t>
  </si>
  <si>
    <t>INVERSIONES AYS TRES</t>
  </si>
  <si>
    <t>Empresas CMPC S.A.</t>
  </si>
  <si>
    <t>Emp. de Transporte de Pasajeros Metro S.A.</t>
  </si>
  <si>
    <t>Banco Consorcio</t>
  </si>
  <si>
    <t xml:space="preserve">Net Assets </t>
  </si>
  <si>
    <t>Currency</t>
  </si>
  <si>
    <t>Duration</t>
  </si>
  <si>
    <t>Port %</t>
  </si>
  <si>
    <t>Carry</t>
  </si>
  <si>
    <t>Positioning</t>
  </si>
  <si>
    <t>Dur</t>
  </si>
  <si>
    <t>Ini</t>
  </si>
  <si>
    <t>Fin</t>
  </si>
  <si>
    <t>DP UF</t>
  </si>
  <si>
    <t>DP CLP</t>
  </si>
  <si>
    <t>DP USD</t>
  </si>
  <si>
    <t>CFM</t>
  </si>
  <si>
    <t>Dur Sec.</t>
  </si>
  <si>
    <t>Total</t>
  </si>
  <si>
    <t>CLP</t>
  </si>
  <si>
    <t>USD</t>
  </si>
  <si>
    <t>Moneda</t>
  </si>
  <si>
    <t>Monto</t>
  </si>
  <si>
    <t>Vencimientos</t>
  </si>
  <si>
    <t>BB</t>
  </si>
  <si>
    <t>Eff Duration</t>
  </si>
  <si>
    <t>Cash Dur</t>
  </si>
  <si>
    <t>Curr (fwd/inc)</t>
  </si>
  <si>
    <t>Exposure (CLP)</t>
  </si>
  <si>
    <t>Exposure (USD)</t>
  </si>
  <si>
    <t>BTP</t>
  </si>
  <si>
    <t>BTU</t>
  </si>
  <si>
    <t>BRL</t>
  </si>
  <si>
    <t>COP</t>
  </si>
  <si>
    <t>MXN</t>
  </si>
  <si>
    <t>PEN</t>
  </si>
  <si>
    <t>EUR</t>
  </si>
  <si>
    <t>UF ex FWD/SWAP</t>
  </si>
  <si>
    <t>Curr FWD</t>
  </si>
  <si>
    <t>Fwd UF</t>
  </si>
  <si>
    <t>Fwd USDCLP</t>
  </si>
  <si>
    <t>Fwd USDCOP</t>
  </si>
  <si>
    <t>Fwd USDMXN</t>
  </si>
  <si>
    <t>Fwd USDPEN</t>
  </si>
  <si>
    <t>Rates FWD</t>
  </si>
  <si>
    <t>CLP$ M</t>
  </si>
  <si>
    <t>Sim (CLP$ M)</t>
  </si>
  <si>
    <t>Punta</t>
  </si>
  <si>
    <t>Bench PESO-02</t>
  </si>
  <si>
    <t>Bench PESO-05</t>
  </si>
  <si>
    <t>Bench PESO-10</t>
  </si>
  <si>
    <t>Bench UF-02</t>
  </si>
  <si>
    <t>Bench UF-05</t>
  </si>
  <si>
    <t>Bench UF-10</t>
  </si>
  <si>
    <t>SWAPS</t>
  </si>
  <si>
    <t>CLP/Cám $M</t>
  </si>
  <si>
    <t>UF/Cám $M</t>
  </si>
  <si>
    <t>3m</t>
  </si>
  <si>
    <t>6m</t>
  </si>
  <si>
    <t>9m</t>
  </si>
  <si>
    <t>1y</t>
  </si>
  <si>
    <t>1.5y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</si>
  <si>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</si>
  <si>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</si>
  <si>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</si>
  <si>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</si>
  <si>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</si>
  <si>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</si>
  <si>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</si>
  <si>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</si>
  <si>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</si>
  <si>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/>
  </si>
  <si>
    <t>BCP0600618</t>
  </si>
  <si>
    <t>BCP0600221</t>
  </si>
  <si>
    <t>BTU0150321</t>
  </si>
  <si>
    <t>Cash</t>
  </si>
  <si>
    <t>SPREADCORP</t>
  </si>
  <si>
    <t>Emisor</t>
  </si>
  <si>
    <t>%</t>
  </si>
  <si>
    <t>SANTANDER</t>
  </si>
  <si>
    <t>ESTADO</t>
  </si>
  <si>
    <t>CENCOSUD</t>
  </si>
  <si>
    <t>CHILE</t>
  </si>
  <si>
    <t>BBCHILE</t>
  </si>
  <si>
    <t>SECURITY</t>
  </si>
  <si>
    <t>BBCONSORC</t>
  </si>
  <si>
    <t>CONSORCIO</t>
  </si>
  <si>
    <t>ENDESA</t>
  </si>
  <si>
    <t>BBCREDITO</t>
  </si>
  <si>
    <t>RIPLEY</t>
  </si>
  <si>
    <t>LOS ANDES</t>
  </si>
  <si>
    <t>BBITAU</t>
  </si>
  <si>
    <t>BOSTONSEC</t>
  </si>
  <si>
    <t>TANNER SF</t>
  </si>
  <si>
    <t>FALABELLA</t>
  </si>
  <si>
    <t>BVL</t>
  </si>
  <si>
    <t>AYSTRES</t>
  </si>
  <si>
    <t>BBBVA</t>
  </si>
  <si>
    <t>Posicionamiento Físico</t>
  </si>
  <si>
    <t>Benchmark</t>
  </si>
  <si>
    <t>Bonos</t>
  </si>
  <si>
    <t>BCU0300216</t>
  </si>
  <si>
    <t>BCU0300816</t>
  </si>
  <si>
    <t>BTU0300117</t>
  </si>
  <si>
    <t>BCU0300317</t>
  </si>
  <si>
    <t>BCU0300517</t>
  </si>
  <si>
    <t>BCU0300717</t>
  </si>
  <si>
    <t>BCU0300118</t>
  </si>
  <si>
    <t>BCU0300318</t>
  </si>
  <si>
    <t>BCU0300818</t>
  </si>
  <si>
    <t>BCU0301018</t>
  </si>
  <si>
    <t>BCU0300519</t>
  </si>
  <si>
    <t>BTU0300719</t>
  </si>
  <si>
    <t>BTU0300122</t>
  </si>
  <si>
    <t>BCU0500922</t>
  </si>
  <si>
    <t>BCU0300323</t>
  </si>
  <si>
    <t>BTU0300327</t>
  </si>
  <si>
    <t>BTU0300328</t>
  </si>
  <si>
    <t>BCU0300528</t>
  </si>
  <si>
    <t>BTU0300329</t>
  </si>
  <si>
    <t>BTU0300130</t>
  </si>
  <si>
    <t>BCU0300231</t>
  </si>
  <si>
    <t>BTU0300132</t>
  </si>
  <si>
    <t>BTU0200335</t>
  </si>
  <si>
    <t>BTU0300338</t>
  </si>
  <si>
    <t>BTU0300339</t>
  </si>
  <si>
    <t>BTU0300140</t>
  </si>
  <si>
    <t>BCU0300241</t>
  </si>
  <si>
    <t>BTU0300142</t>
  </si>
  <si>
    <t>BTU0300144</t>
  </si>
  <si>
    <t>BCP0600216</t>
  </si>
  <si>
    <t>BCP0600816</t>
  </si>
  <si>
    <t>BCP0600117</t>
  </si>
  <si>
    <t>BTP0600317</t>
  </si>
  <si>
    <t>BCP0600617</t>
  </si>
  <si>
    <t>BTP0600118</t>
  </si>
  <si>
    <t>BCP0600318</t>
  </si>
  <si>
    <t>BCP0600518</t>
  </si>
  <si>
    <t>BTP0600120</t>
  </si>
  <si>
    <t>BCP0450420</t>
  </si>
  <si>
    <t>BTP0600132</t>
  </si>
  <si>
    <t>BTP0600134</t>
  </si>
  <si>
    <t>BTP0500335</t>
  </si>
  <si>
    <t>BTP0600143</t>
  </si>
  <si>
    <t>VOL</t>
  </si>
  <si>
    <t>AUMxVOL</t>
  </si>
  <si>
    <t>Resolucion</t>
  </si>
  <si>
    <t>Fondo</t>
  </si>
  <si>
    <t>BBRIPLEY</t>
  </si>
  <si>
    <t>DEUDA CORP</t>
  </si>
  <si>
    <t>Año</t>
  </si>
  <si>
    <t>Cuenta</t>
  </si>
  <si>
    <t>Glosa</t>
  </si>
  <si>
    <t>101001001001</t>
  </si>
  <si>
    <t>CAJA</t>
  </si>
  <si>
    <t>101001001002</t>
  </si>
  <si>
    <t>CTA. CTE. IM TRUST CORREDORES DE BOLSA</t>
  </si>
  <si>
    <t>101001001003</t>
  </si>
  <si>
    <t>CAJA DOLAR</t>
  </si>
  <si>
    <t>101001001004</t>
  </si>
  <si>
    <t>DEPOSITOS EN GARANTIA</t>
  </si>
  <si>
    <t>101001001005</t>
  </si>
  <si>
    <t>BANCO CHILE SPREAD CORO LOCAL</t>
  </si>
  <si>
    <t>BANCO CHILE</t>
  </si>
  <si>
    <t>101001002001</t>
  </si>
  <si>
    <t>CAJA PERSHING</t>
  </si>
  <si>
    <t>101001002002</t>
  </si>
  <si>
    <t>101001002003</t>
  </si>
  <si>
    <t>CITIBANK DOLAR</t>
  </si>
  <si>
    <t>101001002004</t>
  </si>
  <si>
    <t>COMISION DE SALIDA APORTANTES POR COBRAR</t>
  </si>
  <si>
    <t>GASTOS POR AMORTIZAR</t>
  </si>
  <si>
    <t>CAJA DOLAR CORREDORA</t>
  </si>
  <si>
    <t>FACTURAS PERSHING POR COBRAR</t>
  </si>
  <si>
    <t>DEPOSITOS EN TRANSITO</t>
  </si>
  <si>
    <t>DEUDA 360</t>
  </si>
  <si>
    <t>SIN BK</t>
  </si>
  <si>
    <t>Bench UF-03</t>
  </si>
  <si>
    <t>Bench UF-04</t>
  </si>
  <si>
    <t>Bench UF-07</t>
  </si>
  <si>
    <t>Bench UF-20</t>
  </si>
  <si>
    <t>Bench UF-30</t>
  </si>
  <si>
    <t>Bench PESO-03</t>
  </si>
  <si>
    <t>Bench PESO-04</t>
  </si>
  <si>
    <t>Bench PESO-07</t>
  </si>
  <si>
    <t>Bench PESO-20</t>
  </si>
  <si>
    <t>Dólar observado</t>
  </si>
  <si>
    <t>Pesos</t>
  </si>
  <si>
    <t>Ver serie</t>
  </si>
  <si>
    <t>Euro</t>
  </si>
  <si>
    <t>Índice de Tipo de Cambio Multilateral</t>
  </si>
  <si>
    <t>Indice</t>
  </si>
  <si>
    <t>Otros tipos de cambio nominal</t>
  </si>
  <si>
    <t>Ver lista</t>
  </si>
  <si>
    <t>GOB CLP</t>
  </si>
  <si>
    <t>GOB UF</t>
  </si>
  <si>
    <t>Asset Class</t>
  </si>
  <si>
    <t>Codelco</t>
  </si>
  <si>
    <t>Forwards</t>
  </si>
  <si>
    <t>Suma de porc</t>
  </si>
  <si>
    <t>AUTONORTE</t>
  </si>
  <si>
    <t>ENAEX</t>
  </si>
  <si>
    <t>CERO</t>
  </si>
  <si>
    <t>COPEC</t>
  </si>
  <si>
    <t>TELEFONOS</t>
  </si>
  <si>
    <t>SONDA</t>
  </si>
  <si>
    <t>METRO</t>
  </si>
  <si>
    <t>BANMEDICA</t>
  </si>
  <si>
    <t xml:space="preserve"> </t>
  </si>
  <si>
    <t>BBESTADO</t>
  </si>
  <si>
    <t>BBICE</t>
  </si>
  <si>
    <t>N-1</t>
  </si>
  <si>
    <t>MACRO 1.5</t>
  </si>
  <si>
    <t>RENTA</t>
  </si>
  <si>
    <t>LIQUIDEZ</t>
  </si>
  <si>
    <t>M_MARKET</t>
  </si>
  <si>
    <t>201001001002</t>
  </si>
  <si>
    <t>RESCATES POR PAGAR</t>
  </si>
  <si>
    <t>201001001003</t>
  </si>
  <si>
    <t>FACTURA PERSHING POR PAGAR</t>
  </si>
  <si>
    <t>ITAUCORP</t>
  </si>
  <si>
    <t>201001001006</t>
  </si>
  <si>
    <t>FACTURAS POR PAGAR IM TRUST</t>
  </si>
  <si>
    <t>101003001001</t>
  </si>
  <si>
    <t>CUPONES POR COBRAR</t>
  </si>
  <si>
    <t>101003001003</t>
  </si>
  <si>
    <t>FACTURAS POR COBRAR</t>
  </si>
  <si>
    <t>101001001008</t>
  </si>
  <si>
    <t>Periodo</t>
  </si>
  <si>
    <t>1. Unidad de fomento (UF)</t>
  </si>
  <si>
    <t>Instrumento</t>
  </si>
  <si>
    <t>Valor_Presente</t>
  </si>
  <si>
    <t>Nominal</t>
  </si>
  <si>
    <t>(No column name)</t>
  </si>
  <si>
    <t>Tasa</t>
  </si>
  <si>
    <t>Vencimiento</t>
  </si>
  <si>
    <t>Dias_venc</t>
  </si>
  <si>
    <t>Duracion</t>
  </si>
  <si>
    <t>Sector</t>
  </si>
  <si>
    <t>AUM</t>
  </si>
  <si>
    <t>Banco Internacional</t>
  </si>
  <si>
    <t>Itau/Corpbanca</t>
  </si>
  <si>
    <t>Banmedica</t>
  </si>
  <si>
    <t>San José Tecnocontrol</t>
  </si>
  <si>
    <t>FALABELLA SACI</t>
  </si>
  <si>
    <t>EF Securitizadora S.A.</t>
  </si>
  <si>
    <t>Aportes/Rescates</t>
  </si>
  <si>
    <t>V</t>
  </si>
  <si>
    <t>OpV</t>
  </si>
  <si>
    <t>OpC</t>
  </si>
  <si>
    <t>Rte</t>
  </si>
  <si>
    <t>Folio</t>
  </si>
  <si>
    <t>Liq</t>
  </si>
  <si>
    <t>D</t>
  </si>
  <si>
    <t>Cantidad</t>
  </si>
  <si>
    <t>Plazo</t>
  </si>
  <si>
    <t>Precio</t>
  </si>
  <si>
    <t>Tir</t>
  </si>
  <si>
    <t>Vende</t>
  </si>
  <si>
    <t>Compra</t>
  </si>
  <si>
    <t>emisor</t>
  </si>
  <si>
    <t>rescate</t>
  </si>
  <si>
    <t>dias</t>
  </si>
  <si>
    <t>tasa</t>
  </si>
  <si>
    <t>captacion</t>
  </si>
  <si>
    <t>nemotecnicoSinFecha</t>
  </si>
  <si>
    <t>nemotecnico</t>
  </si>
  <si>
    <t>Venta</t>
  </si>
  <si>
    <t>MACRO CLP3</t>
  </si>
  <si>
    <t>Punta UF-10</t>
  </si>
  <si>
    <t>Punta UF-05</t>
  </si>
  <si>
    <t>BTP0450321</t>
  </si>
  <si>
    <t>Punta PESO-05</t>
  </si>
  <si>
    <t>Punta PESO-10</t>
  </si>
  <si>
    <t>Punta PESO-20</t>
  </si>
  <si>
    <t>Punta PESO-30</t>
  </si>
  <si>
    <t>Punta UF-20</t>
  </si>
  <si>
    <t>CAJA DOLAR BBH</t>
  </si>
  <si>
    <t>FACTURAS POR PAGAR BCI</t>
  </si>
  <si>
    <t>Codigo_Fdo</t>
  </si>
  <si>
    <t>Tipo_Instrumento</t>
  </si>
  <si>
    <t>Nombre_Emisor</t>
  </si>
  <si>
    <t>Nombre_Instrumento</t>
  </si>
  <si>
    <t>Bono Corporativo</t>
  </si>
  <si>
    <t>US$</t>
  </si>
  <si>
    <t>Spread $</t>
  </si>
  <si>
    <t>Spread UF</t>
  </si>
  <si>
    <t>BBH EURO</t>
  </si>
  <si>
    <t>RF offshore</t>
  </si>
  <si>
    <t>Deposito</t>
  </si>
  <si>
    <t>N-1+</t>
  </si>
  <si>
    <t>Deposito Banco Scotiabank</t>
  </si>
  <si>
    <t>Factura</t>
  </si>
  <si>
    <t>Gobierno</t>
  </si>
  <si>
    <t>AAA</t>
  </si>
  <si>
    <t>Deposito Banco Estado</t>
  </si>
  <si>
    <t>Deposito Banco Consorcio</t>
  </si>
  <si>
    <t>BICECORP</t>
  </si>
  <si>
    <t>Deposito Banco Bice</t>
  </si>
  <si>
    <t>Deposito Banco Santander</t>
  </si>
  <si>
    <t>Deposito Banco Security</t>
  </si>
  <si>
    <t>Deposito Banco BCI</t>
  </si>
  <si>
    <t>Deposito Banco Itaucorp</t>
  </si>
  <si>
    <t>Deposito Banco Falabella</t>
  </si>
  <si>
    <t>Bono Scotiabank</t>
  </si>
  <si>
    <t>Banco BBVA</t>
  </si>
  <si>
    <t>Deposito Banco BBVA</t>
  </si>
  <si>
    <t>AA-</t>
  </si>
  <si>
    <t>Deposito Banco Internacio</t>
  </si>
  <si>
    <t>Bono Banco Santander</t>
  </si>
  <si>
    <t>BCGVI-A</t>
  </si>
  <si>
    <t>CG VIDA</t>
  </si>
  <si>
    <t>2017-03-15</t>
  </si>
  <si>
    <t>Corpgroup Vida Chile</t>
  </si>
  <si>
    <t>Bono Corpgroup Vida Chile</t>
  </si>
  <si>
    <t>Deposito Banco Chile</t>
  </si>
  <si>
    <t>BBBVJ31011</t>
  </si>
  <si>
    <t>Bono Banco BBVA</t>
  </si>
  <si>
    <t>BCOR-L0707</t>
  </si>
  <si>
    <t>Bono Corpbanca</t>
  </si>
  <si>
    <t>BCORAF0710</t>
  </si>
  <si>
    <t>BEST-D0807</t>
  </si>
  <si>
    <t>Bono Banco Estado</t>
  </si>
  <si>
    <t>Deposito Banco Ripley</t>
  </si>
  <si>
    <t>BBECP-B</t>
  </si>
  <si>
    <t>2018-07-15</t>
  </si>
  <si>
    <t>Bono Bice B</t>
  </si>
  <si>
    <t>2017-10-10</t>
  </si>
  <si>
    <t>BSECB21112</t>
  </si>
  <si>
    <t>Bono Banco Security</t>
  </si>
  <si>
    <t>BCAJ-I0315</t>
  </si>
  <si>
    <t>2018-09-15</t>
  </si>
  <si>
    <t>A+</t>
  </si>
  <si>
    <t>Bono Caja Los Andes</t>
  </si>
  <si>
    <t>BSKSA-B</t>
  </si>
  <si>
    <t>SK</t>
  </si>
  <si>
    <t>Industriales</t>
  </si>
  <si>
    <t>Sigdo Koppers S.A.</t>
  </si>
  <si>
    <t>Bono Sk</t>
  </si>
  <si>
    <t>BSTDY30208</t>
  </si>
  <si>
    <t>2018-02-01</t>
  </si>
  <si>
    <t>BCTOR-F</t>
  </si>
  <si>
    <t>CONCHATORO</t>
  </si>
  <si>
    <t>2018-11-05</t>
  </si>
  <si>
    <t>Consumo</t>
  </si>
  <si>
    <t>Concha y Toro</t>
  </si>
  <si>
    <t>Bono Concha Y Toro</t>
  </si>
  <si>
    <t>BCFSA-A</t>
  </si>
  <si>
    <t>CONSOR FIN</t>
  </si>
  <si>
    <t>2018-04-01</t>
  </si>
  <si>
    <t>Consorcio Financiera</t>
  </si>
  <si>
    <t>Bono Consorcio Financiero</t>
  </si>
  <si>
    <t>BBNS-P0413</t>
  </si>
  <si>
    <t>BSECM10109</t>
  </si>
  <si>
    <t>2019-07-01</t>
  </si>
  <si>
    <t>BBBVM21011</t>
  </si>
  <si>
    <t>2018-04-09</t>
  </si>
  <si>
    <t>BBCIAG0513</t>
  </si>
  <si>
    <t>2018-05-01</t>
  </si>
  <si>
    <t>AA+</t>
  </si>
  <si>
    <t>Bono BCI</t>
  </si>
  <si>
    <t>BCENC-E</t>
  </si>
  <si>
    <t>Bono Cencosud S.A.</t>
  </si>
  <si>
    <t>BITAAA0613</t>
  </si>
  <si>
    <t>2018-06-01</t>
  </si>
  <si>
    <t>Bono Banco Itaucorp</t>
  </si>
  <si>
    <t>BCAJ-J1215</t>
  </si>
  <si>
    <t>2019-06-01</t>
  </si>
  <si>
    <t>Bono Banco Chile</t>
  </si>
  <si>
    <t>BBNS-R0613</t>
  </si>
  <si>
    <t>BSTDE20111</t>
  </si>
  <si>
    <t>2018-07-01</t>
  </si>
  <si>
    <t>2018-08-01</t>
  </si>
  <si>
    <t>Bono de Gobierno</t>
  </si>
  <si>
    <t>BMETR-H</t>
  </si>
  <si>
    <t>2020-07-15</t>
  </si>
  <si>
    <t>Transporte</t>
  </si>
  <si>
    <t>Bono Metro</t>
  </si>
  <si>
    <t>BSCCH-B</t>
  </si>
  <si>
    <t>SCCH</t>
  </si>
  <si>
    <t>2018-10-15</t>
  </si>
  <si>
    <t>Santander Consumer Finance</t>
  </si>
  <si>
    <t>Bono Banco Santander Consumer Finance</t>
  </si>
  <si>
    <t>BPLZA-M</t>
  </si>
  <si>
    <t>PLAZA S.A.</t>
  </si>
  <si>
    <t>2020-08-15</t>
  </si>
  <si>
    <t>Plaza S.A.</t>
  </si>
  <si>
    <t>Bono Plaza S.A.</t>
  </si>
  <si>
    <t>BENAP-B</t>
  </si>
  <si>
    <t>Bonos Enap</t>
  </si>
  <si>
    <t>BCAJ-O0816</t>
  </si>
  <si>
    <t>2020-02-01</t>
  </si>
  <si>
    <t>BSECR10611</t>
  </si>
  <si>
    <t>2021-06-01</t>
  </si>
  <si>
    <t>BRPL-A0414</t>
  </si>
  <si>
    <t>2019-04-01</t>
  </si>
  <si>
    <t>Bono Bancario Ripley</t>
  </si>
  <si>
    <t>BSTDSE0614</t>
  </si>
  <si>
    <t>BBBVJ51113</t>
  </si>
  <si>
    <t>BARAU-Q</t>
  </si>
  <si>
    <t>ARAUCO</t>
  </si>
  <si>
    <t>2021-04-01</t>
  </si>
  <si>
    <t>Celulosa Arauco y Constitución</t>
  </si>
  <si>
    <t>Bono Celulosa Arauco</t>
  </si>
  <si>
    <t>BCOSJ-A</t>
  </si>
  <si>
    <t>2021-06-30</t>
  </si>
  <si>
    <t>Bono Constructora San Jose</t>
  </si>
  <si>
    <t>BBBVP20714</t>
  </si>
  <si>
    <t>2020-01-01</t>
  </si>
  <si>
    <t>BBBVM31113</t>
  </si>
  <si>
    <t>2019-11-01</t>
  </si>
  <si>
    <t>BFORU-AX</t>
  </si>
  <si>
    <t>2020-04-01</t>
  </si>
  <si>
    <t>Bono Forum Servicios Financieros</t>
  </si>
  <si>
    <t>BITAAI0415</t>
  </si>
  <si>
    <t>BCORAI0710</t>
  </si>
  <si>
    <t>2020-07-01</t>
  </si>
  <si>
    <t>BFORU-AZ</t>
  </si>
  <si>
    <t>2020-08-01</t>
  </si>
  <si>
    <t>BBIC640116</t>
  </si>
  <si>
    <t>2021-01-01</t>
  </si>
  <si>
    <t>Bono Banco Bice</t>
  </si>
  <si>
    <t>2021-03-01</t>
  </si>
  <si>
    <t>Bono Tesorería en UF</t>
  </si>
  <si>
    <t>BBCIE20811</t>
  </si>
  <si>
    <t>2021-08-01</t>
  </si>
  <si>
    <t>BCNO-I0414</t>
  </si>
  <si>
    <t>Bono Banco Consorcio</t>
  </si>
  <si>
    <t>BEKOP-A</t>
  </si>
  <si>
    <t>KOPOLAR</t>
  </si>
  <si>
    <t>Embotelladoras Coca-Cola Polar S.A.</t>
  </si>
  <si>
    <t>Bono Kopolar</t>
  </si>
  <si>
    <t>BDES-G0607</t>
  </si>
  <si>
    <t>BBNS-O0812</t>
  </si>
  <si>
    <t>BBNS-F1109</t>
  </si>
  <si>
    <t>BAGRS-E</t>
  </si>
  <si>
    <t>AGROSUPER</t>
  </si>
  <si>
    <t>Agrosuper</t>
  </si>
  <si>
    <t>Bono Agrosuper S.A.</t>
  </si>
  <si>
    <t>BITA-B1007</t>
  </si>
  <si>
    <t>BSTD-W1007</t>
  </si>
  <si>
    <t>BBBVM11011</t>
  </si>
  <si>
    <t>BQUIN-G</t>
  </si>
  <si>
    <t>QUINENCO</t>
  </si>
  <si>
    <t>2018-12-01</t>
  </si>
  <si>
    <t>Diversificados</t>
  </si>
  <si>
    <t>Quiñenco S.A.</t>
  </si>
  <si>
    <t>Bono Quinenco</t>
  </si>
  <si>
    <t>BSODI-H</t>
  </si>
  <si>
    <t>SODIMAC</t>
  </si>
  <si>
    <t>2017-12-03</t>
  </si>
  <si>
    <t>Sodimac</t>
  </si>
  <si>
    <t>Bono Sodimac</t>
  </si>
  <si>
    <t>BSECK10108</t>
  </si>
  <si>
    <t>2018-01-01</t>
  </si>
  <si>
    <t>BFORU-AQ</t>
  </si>
  <si>
    <t>BBBVJ40413</t>
  </si>
  <si>
    <t>BAGUA-R</t>
  </si>
  <si>
    <t>AGUAS</t>
  </si>
  <si>
    <t>Aguas Andina S.A.</t>
  </si>
  <si>
    <t>Bono Aguas Andinas</t>
  </si>
  <si>
    <t>BBCIAB0708</t>
  </si>
  <si>
    <t>BCHIAI0213</t>
  </si>
  <si>
    <t>BBCIS-P26A</t>
  </si>
  <si>
    <t>BBANM-I</t>
  </si>
  <si>
    <t>2020-04-10</t>
  </si>
  <si>
    <t>Salud</t>
  </si>
  <si>
    <t>Bono Banmedica</t>
  </si>
  <si>
    <t>BCHIUN1011</t>
  </si>
  <si>
    <t>2018-10-01</t>
  </si>
  <si>
    <t>BESTJ31008</t>
  </si>
  <si>
    <t>BESTK30114</t>
  </si>
  <si>
    <t>2019-01-01</t>
  </si>
  <si>
    <t>BCTCH-Q</t>
  </si>
  <si>
    <t>2019-03-14</t>
  </si>
  <si>
    <t>Comunicaciones</t>
  </si>
  <si>
    <t>Bono Ctc</t>
  </si>
  <si>
    <t>BBCIS-P30A</t>
  </si>
  <si>
    <t>BCNO-H0414</t>
  </si>
  <si>
    <t>BITA-N0612</t>
  </si>
  <si>
    <t>BESTK50714</t>
  </si>
  <si>
    <t>BSECN10109</t>
  </si>
  <si>
    <t>UCHIC20100</t>
  </si>
  <si>
    <t>2022-01-01</t>
  </si>
  <si>
    <t>Bono Subordinado Banco Chile</t>
  </si>
  <si>
    <t>BCHIUJ0811</t>
  </si>
  <si>
    <t>BFRON-C</t>
  </si>
  <si>
    <t>FRONTEL</t>
  </si>
  <si>
    <t>2021-05-15</t>
  </si>
  <si>
    <t>Frontel</t>
  </si>
  <si>
    <t>Bono Frontel</t>
  </si>
  <si>
    <t>BKOEM-C</t>
  </si>
  <si>
    <t>EMBONOR</t>
  </si>
  <si>
    <t>2019-09-01</t>
  </si>
  <si>
    <t>Coca Cola Embonor S.A.</t>
  </si>
  <si>
    <t>Bono Embonor</t>
  </si>
  <si>
    <t>BSOND-E</t>
  </si>
  <si>
    <t>Bono Sonda</t>
  </si>
  <si>
    <t>BBCIJ11014</t>
  </si>
  <si>
    <t>BBNS-V0514</t>
  </si>
  <si>
    <t>BSONA-C</t>
  </si>
  <si>
    <t>SONACOL</t>
  </si>
  <si>
    <t>2021-12-01</t>
  </si>
  <si>
    <t>Soc. Nac. Oleoductos</t>
  </si>
  <si>
    <t>Bono Sociedad Nacional De Oleoductos</t>
  </si>
  <si>
    <t>BSTDP40315</t>
  </si>
  <si>
    <t>2020-03-01</t>
  </si>
  <si>
    <t>BESTO20315</t>
  </si>
  <si>
    <t>BRPL-K0315</t>
  </si>
  <si>
    <t>BPARC-L</t>
  </si>
  <si>
    <t>P.ARAUCO</t>
  </si>
  <si>
    <t>Parque Arauco S.A.</t>
  </si>
  <si>
    <t>Bono Parque Arauco</t>
  </si>
  <si>
    <t>BCNO-O1114</t>
  </si>
  <si>
    <t>2020-05-01</t>
  </si>
  <si>
    <t>BSTDSF1014</t>
  </si>
  <si>
    <t>BFAL-F0615</t>
  </si>
  <si>
    <t>2020-06-30</t>
  </si>
  <si>
    <t>Bono Banco Falabella</t>
  </si>
  <si>
    <t>BBIC480510</t>
  </si>
  <si>
    <t>Bono Bancario Bice 48</t>
  </si>
  <si>
    <t>BSECZ10715</t>
  </si>
  <si>
    <t>BBBVM41113</t>
  </si>
  <si>
    <t>BQUIN-I</t>
  </si>
  <si>
    <t>BFAL-A0510</t>
  </si>
  <si>
    <t>2020-05-15</t>
  </si>
  <si>
    <t>BSECB40615</t>
  </si>
  <si>
    <t>2020-06-01</t>
  </si>
  <si>
    <t>BCOR-R0110</t>
  </si>
  <si>
    <t>SANT0920</t>
  </si>
  <si>
    <t>2020-09-22</t>
  </si>
  <si>
    <t>BCORBW0914</t>
  </si>
  <si>
    <t>2020-09-01</t>
  </si>
  <si>
    <t>BARAU-J</t>
  </si>
  <si>
    <t>BTMOV-I</t>
  </si>
  <si>
    <t>MOVISTAR</t>
  </si>
  <si>
    <t>2020-08-14</t>
  </si>
  <si>
    <t>Movistar</t>
  </si>
  <si>
    <t>Bono Movistar</t>
  </si>
  <si>
    <t>BCNO-U0915</t>
  </si>
  <si>
    <t>BSTDP80315</t>
  </si>
  <si>
    <t>BCHIAM0413</t>
  </si>
  <si>
    <t>UEST-A0799</t>
  </si>
  <si>
    <t>2024-07-01</t>
  </si>
  <si>
    <t>BSTDED0114</t>
  </si>
  <si>
    <t>BCHIS-P18A</t>
  </si>
  <si>
    <t>BANCHILSEC</t>
  </si>
  <si>
    <t>2022-03-01</t>
  </si>
  <si>
    <t>Banchile Securitizadora</t>
  </si>
  <si>
    <t>Bono Banchile Securitizadora</t>
  </si>
  <si>
    <t>BFORU-BD</t>
  </si>
  <si>
    <t>BSTDR10915</t>
  </si>
  <si>
    <t>BBNS-L0511</t>
  </si>
  <si>
    <t>BANOR-B2</t>
  </si>
  <si>
    <t>2024-12-30</t>
  </si>
  <si>
    <t>Autopista Norte</t>
  </si>
  <si>
    <t>BBBVJ71215</t>
  </si>
  <si>
    <t>2021-06-09</t>
  </si>
  <si>
    <t>BCHIAO0713</t>
  </si>
  <si>
    <t>2021-07-01</t>
  </si>
  <si>
    <t>BBBVM50714</t>
  </si>
  <si>
    <t>BCORAJ0710</t>
  </si>
  <si>
    <t>BTMOV-K</t>
  </si>
  <si>
    <t>2021-09-13</t>
  </si>
  <si>
    <t>BCHIAP0213</t>
  </si>
  <si>
    <t>BINDE-A</t>
  </si>
  <si>
    <t>CFIRENTAS</t>
  </si>
  <si>
    <t>2021-07-15</t>
  </si>
  <si>
    <t>Fondo de Inversion Independencia Rentas Inmobiliarias</t>
  </si>
  <si>
    <t>Bono Fondo de Inversion Independencia Rentas Inmobiliarias</t>
  </si>
  <si>
    <t>BITA-K0911</t>
  </si>
  <si>
    <t>2021-09-01</t>
  </si>
  <si>
    <t>BSECK21111</t>
  </si>
  <si>
    <t>BBIC530312</t>
  </si>
  <si>
    <t>BBNS-M0412</t>
  </si>
  <si>
    <t>2022-04-01</t>
  </si>
  <si>
    <t>BSTDE60412</t>
  </si>
  <si>
    <t>BJUMB-B2</t>
  </si>
  <si>
    <t>JUMBO</t>
  </si>
  <si>
    <t>2026-09-01</t>
  </si>
  <si>
    <t>Retail</t>
  </si>
  <si>
    <t>Bono Jumbo</t>
  </si>
  <si>
    <t>BITAAF0614</t>
  </si>
  <si>
    <t>2022-06-01</t>
  </si>
  <si>
    <t>BACEN-A1</t>
  </si>
  <si>
    <t>AUTOCENTRA</t>
  </si>
  <si>
    <t>2026-12-15</t>
  </si>
  <si>
    <t>Consecionaria</t>
  </si>
  <si>
    <t>Soc. Conc. Autopista Central S.A.</t>
  </si>
  <si>
    <t>Bono Autopista Central</t>
  </si>
  <si>
    <t>UEST-C0405</t>
  </si>
  <si>
    <t>2027-04-01</t>
  </si>
  <si>
    <t>Bono Subordinado Banco Estado</t>
  </si>
  <si>
    <t>BESVA-J</t>
  </si>
  <si>
    <t>Bono Esval</t>
  </si>
  <si>
    <t>BBCIF20812</t>
  </si>
  <si>
    <t>2022-08-01</t>
  </si>
  <si>
    <t>BCOLB-F</t>
  </si>
  <si>
    <t>COLBUN</t>
  </si>
  <si>
    <t>2028-05-01</t>
  </si>
  <si>
    <t>Colbún S.A.</t>
  </si>
  <si>
    <t>Bono Colbun S.A.</t>
  </si>
  <si>
    <t>BCHIUQ1011</t>
  </si>
  <si>
    <t>BANSM-A</t>
  </si>
  <si>
    <t>AGUAS NSUR</t>
  </si>
  <si>
    <t>2028-03-21</t>
  </si>
  <si>
    <t>Aguas Nuevo Sur</t>
  </si>
  <si>
    <t>Bono Aguas Nuevo Sur</t>
  </si>
  <si>
    <t>BSECK31112</t>
  </si>
  <si>
    <t>BSTDE90113</t>
  </si>
  <si>
    <t>2023-01-01</t>
  </si>
  <si>
    <t>BANUE-A</t>
  </si>
  <si>
    <t>AGUAS NUEV</t>
  </si>
  <si>
    <t>2028-05-15</t>
  </si>
  <si>
    <t>Bono Aguas Nuevas</t>
  </si>
  <si>
    <t>BCHIUS0212</t>
  </si>
  <si>
    <t>2023-02-01</t>
  </si>
  <si>
    <t>BGENE-N</t>
  </si>
  <si>
    <t>AES Gener S.A.</t>
  </si>
  <si>
    <t>BSECK41013</t>
  </si>
  <si>
    <t>BTMOV-F</t>
  </si>
  <si>
    <t>2023-10-04</t>
  </si>
  <si>
    <t>BCHIUR1011</t>
  </si>
  <si>
    <t>BCOLB-I</t>
  </si>
  <si>
    <t>BBBVK51113</t>
  </si>
  <si>
    <t>BCENC-J</t>
  </si>
  <si>
    <t>2029-10-15</t>
  </si>
  <si>
    <t>BIELC-D</t>
  </si>
  <si>
    <t>2029-06-30</t>
  </si>
  <si>
    <t>Distribuidora de Electrividad del Sur</t>
  </si>
  <si>
    <t>Bono Distribuidora Del Sur</t>
  </si>
  <si>
    <t>BBIC590314</t>
  </si>
  <si>
    <t>2024-03-01</t>
  </si>
  <si>
    <t>BITA-X0613</t>
  </si>
  <si>
    <t>BENDE-M</t>
  </si>
  <si>
    <t>2029-12-15</t>
  </si>
  <si>
    <t>Bono Endesa</t>
  </si>
  <si>
    <t>UBCIS11205</t>
  </si>
  <si>
    <t>2030-12-01</t>
  </si>
  <si>
    <t>Bono Subordinado Bci</t>
  </si>
  <si>
    <t>BARAU-F</t>
  </si>
  <si>
    <t>2029-10-30</t>
  </si>
  <si>
    <t>BESVA-M</t>
  </si>
  <si>
    <t>2030-01-27</t>
  </si>
  <si>
    <t>BBNS-X0814</t>
  </si>
  <si>
    <t>2024-08-01</t>
  </si>
  <si>
    <t>BESTN10814</t>
  </si>
  <si>
    <t>BPLZA-C</t>
  </si>
  <si>
    <t>2030-05-02</t>
  </si>
  <si>
    <t>BECOP-G</t>
  </si>
  <si>
    <t>2024-10-15</t>
  </si>
  <si>
    <t>Bono Copec</t>
  </si>
  <si>
    <t>BCODE-B</t>
  </si>
  <si>
    <t>BSOND-C</t>
  </si>
  <si>
    <t>BBCIJ21014</t>
  </si>
  <si>
    <t>2024-10-01</t>
  </si>
  <si>
    <t>BSECK60315</t>
  </si>
  <si>
    <t>2025-03-01</t>
  </si>
  <si>
    <t>BCOO-C0713</t>
  </si>
  <si>
    <t>2034-07-10</t>
  </si>
  <si>
    <t>Bono Coopeuch</t>
  </si>
  <si>
    <t>BBBVK80714</t>
  </si>
  <si>
    <t>2025-07-01</t>
  </si>
  <si>
    <t>BBNSAB0515</t>
  </si>
  <si>
    <t>2025-05-01</t>
  </si>
  <si>
    <t>BCGVI-B</t>
  </si>
  <si>
    <t>2031-03-15</t>
  </si>
  <si>
    <t>BENAE-A</t>
  </si>
  <si>
    <t>2025-09-01</t>
  </si>
  <si>
    <t>Bono Enaex S.A.</t>
  </si>
  <si>
    <t>BEKOP-C</t>
  </si>
  <si>
    <t>2031-08-15</t>
  </si>
  <si>
    <t>ENAPCL0826</t>
  </si>
  <si>
    <t>2026-08-05</t>
  </si>
  <si>
    <t>Bono Enap</t>
  </si>
  <si>
    <t>BAYS3-A</t>
  </si>
  <si>
    <t>2032-12-15</t>
  </si>
  <si>
    <t>Bono Inversiones Ays Tres</t>
  </si>
  <si>
    <t>BCGEI-I</t>
  </si>
  <si>
    <t>ELECTRICID</t>
  </si>
  <si>
    <t>2029-08-11</t>
  </si>
  <si>
    <t>Cía. General de Electricidad S.A.</t>
  </si>
  <si>
    <t>Bono Cge</t>
  </si>
  <si>
    <t>BCHIAY0213</t>
  </si>
  <si>
    <t>2026-08-01</t>
  </si>
  <si>
    <t>2026-03-01</t>
  </si>
  <si>
    <t>BAGRS-D</t>
  </si>
  <si>
    <t>2032-09-01</t>
  </si>
  <si>
    <t>BQUIN-F</t>
  </si>
  <si>
    <t>2032-06-01</t>
  </si>
  <si>
    <t>BNTRA-D</t>
  </si>
  <si>
    <t>NTRANSELEC</t>
  </si>
  <si>
    <t>2027-12-15</t>
  </si>
  <si>
    <t>Transelec S.A.</t>
  </si>
  <si>
    <t>Serie Transelec S.A.</t>
  </si>
  <si>
    <t>BSKSA-E</t>
  </si>
  <si>
    <t>2033-03-15</t>
  </si>
  <si>
    <t>BLQIF-D</t>
  </si>
  <si>
    <t>LQ Inversiones Financieras</t>
  </si>
  <si>
    <t>BCENC-O</t>
  </si>
  <si>
    <t>2031-06-01</t>
  </si>
  <si>
    <t>BCOOD20514</t>
  </si>
  <si>
    <t>2039-05-05</t>
  </si>
  <si>
    <t>BCFSA-B</t>
  </si>
  <si>
    <t>2034-04-01</t>
  </si>
  <si>
    <t>Bono Consorcio</t>
  </si>
  <si>
    <t>CFIPGMISTR</t>
  </si>
  <si>
    <t>FIP GM</t>
  </si>
  <si>
    <t>Cuota de Fondo</t>
  </si>
  <si>
    <t>BBB</t>
  </si>
  <si>
    <t>Caja de Compensación Gabriela Mistral</t>
  </si>
  <si>
    <t>Cuotas de Fondo Caja Gabriela Mistral</t>
  </si>
  <si>
    <t>CFIPLAPOL1</t>
  </si>
  <si>
    <t>FIP LP 01</t>
  </si>
  <si>
    <t>Cuotas de Fondo La Polar</t>
  </si>
  <si>
    <t>EUROCAP</t>
  </si>
  <si>
    <t>A-</t>
  </si>
  <si>
    <t>BBB-</t>
  </si>
  <si>
    <t>BCCA-D1113</t>
  </si>
  <si>
    <t>BCCA-E0115</t>
  </si>
  <si>
    <t>BCCAR-B</t>
  </si>
  <si>
    <t>BCCA-C0912</t>
  </si>
  <si>
    <t>BCSMU-C</t>
  </si>
  <si>
    <t>SMU</t>
  </si>
  <si>
    <t>SMU S.A.</t>
  </si>
  <si>
    <t>Bono SMU S.A.</t>
  </si>
  <si>
    <t>BTANN-N</t>
  </si>
  <si>
    <t>Bono SF Tanner S.A.</t>
  </si>
  <si>
    <t>BHER-C0413</t>
  </si>
  <si>
    <t>BBB+</t>
  </si>
  <si>
    <t>Bono Los Heroes C.C.A.F.</t>
  </si>
  <si>
    <t>BHER-E0813</t>
  </si>
  <si>
    <t>BHER-A1212</t>
  </si>
  <si>
    <t>2017-12-01</t>
  </si>
  <si>
    <t>BTANN-P</t>
  </si>
  <si>
    <t>BFLIN-I</t>
  </si>
  <si>
    <t>FACTORLINE</t>
  </si>
  <si>
    <t>Factorline S.A.</t>
  </si>
  <si>
    <t>Bono Factorline</t>
  </si>
  <si>
    <t>BSALF-M</t>
  </si>
  <si>
    <t>SALFACORP</t>
  </si>
  <si>
    <t>2019-05-10</t>
  </si>
  <si>
    <t>Salfa Corp.</t>
  </si>
  <si>
    <t>Bono Salfacorp</t>
  </si>
  <si>
    <t>BFORU-AT</t>
  </si>
  <si>
    <t>2019-06-25</t>
  </si>
  <si>
    <t>BTANN-S</t>
  </si>
  <si>
    <t>2019-12-15</t>
  </si>
  <si>
    <t>LATAIR0920</t>
  </si>
  <si>
    <t>LATAM AIR</t>
  </si>
  <si>
    <t>2020-06-09</t>
  </si>
  <si>
    <t>LATAM</t>
  </si>
  <si>
    <t>Bono LATAM Airlines</t>
  </si>
  <si>
    <t>BUDC-A</t>
  </si>
  <si>
    <t>UDECONCE</t>
  </si>
  <si>
    <t>2021-11-10</t>
  </si>
  <si>
    <t>Universidad de Concepción</t>
  </si>
  <si>
    <t>Bono Universidad De Concepcion</t>
  </si>
  <si>
    <t>BMGAS-F</t>
  </si>
  <si>
    <t>METROGAS</t>
  </si>
  <si>
    <t>Metrogas</t>
  </si>
  <si>
    <t>Bono Metrogas</t>
  </si>
  <si>
    <t>BENJO-C</t>
  </si>
  <si>
    <t>BENJO-E</t>
  </si>
  <si>
    <t>BANCOLOMBIA</t>
  </si>
  <si>
    <t>BCAPS-G</t>
  </si>
  <si>
    <t>CAP</t>
  </si>
  <si>
    <t>Bono CAP</t>
  </si>
  <si>
    <t>BMELI-A</t>
  </si>
  <si>
    <t>MELIPILLA</t>
  </si>
  <si>
    <t>2024-12-01</t>
  </si>
  <si>
    <t>Soc. Concesionaria Melipilla S.A.</t>
  </si>
  <si>
    <t>Bono Autopista Melipilla</t>
  </si>
  <si>
    <t>BGASC-F2</t>
  </si>
  <si>
    <t>GASCO</t>
  </si>
  <si>
    <t>2025-12-01</t>
  </si>
  <si>
    <t>Gasco</t>
  </si>
  <si>
    <t>Bono GASCO</t>
  </si>
  <si>
    <t>BNAVI-A</t>
  </si>
  <si>
    <t>NAVIERA</t>
  </si>
  <si>
    <t>2025-02-16</t>
  </si>
  <si>
    <t>Empresas Navieras S.A.</t>
  </si>
  <si>
    <t>Bono Naviera</t>
  </si>
  <si>
    <t>BCHI-O0704</t>
  </si>
  <si>
    <t>UBBV-A1203</t>
  </si>
  <si>
    <t>BBBVK20212</t>
  </si>
  <si>
    <t>2022-02-01</t>
  </si>
  <si>
    <t>UFAL-A0607</t>
  </si>
  <si>
    <t>2028-06-15</t>
  </si>
  <si>
    <t>Bono Subordinado Banco Falabella</t>
  </si>
  <si>
    <t>LBTYA 0124</t>
  </si>
  <si>
    <t>VTR FIN</t>
  </si>
  <si>
    <t>2024-01-15</t>
  </si>
  <si>
    <t>BB+</t>
  </si>
  <si>
    <t>VTR</t>
  </si>
  <si>
    <t>Bono VTR USD</t>
  </si>
  <si>
    <t>BBANM-D</t>
  </si>
  <si>
    <t>2029-05-02</t>
  </si>
  <si>
    <t>Bonos Banmedica</t>
  </si>
  <si>
    <t>BITAQ10512</t>
  </si>
  <si>
    <t>Bono Tesorería en CLP</t>
  </si>
  <si>
    <t>BAVNO-A1</t>
  </si>
  <si>
    <t>2028-12-15</t>
  </si>
  <si>
    <t>Bono Vespucio Norte Express</t>
  </si>
  <si>
    <t>UDES-F1004</t>
  </si>
  <si>
    <t>2029-10-01</t>
  </si>
  <si>
    <t>Bono Subordinado Banco Desarrollo</t>
  </si>
  <si>
    <t>ENTEL3024</t>
  </si>
  <si>
    <t>ENTEL</t>
  </si>
  <si>
    <t>2024-10-30</t>
  </si>
  <si>
    <t>Telecomunicaciones</t>
  </si>
  <si>
    <t>Bono Entel</t>
  </si>
  <si>
    <t>BEMCA-J</t>
  </si>
  <si>
    <t>2030-04-23</t>
  </si>
  <si>
    <t>Empresas Carozzi S.A.</t>
  </si>
  <si>
    <t>Bono Carozzi</t>
  </si>
  <si>
    <t>BRPLY-E</t>
  </si>
  <si>
    <t>RIPLEY S.A</t>
  </si>
  <si>
    <t>2030-06-10</t>
  </si>
  <si>
    <t>Ripley Chile S.A.</t>
  </si>
  <si>
    <t>Bono Ripley</t>
  </si>
  <si>
    <t>USECJ11206</t>
  </si>
  <si>
    <t>2031-12-01</t>
  </si>
  <si>
    <t>Bono Subordinado Banco Security</t>
  </si>
  <si>
    <t>BRITA-F</t>
  </si>
  <si>
    <t>SANTA RITA</t>
  </si>
  <si>
    <t>2030-09-15</t>
  </si>
  <si>
    <t>Santa Rita S.A.</t>
  </si>
  <si>
    <t>Bono Santa Rita</t>
  </si>
  <si>
    <t>BMGAS-D2</t>
  </si>
  <si>
    <t>2026-06-01</t>
  </si>
  <si>
    <t>BWATT-I</t>
  </si>
  <si>
    <t>WATTS</t>
  </si>
  <si>
    <t>Watts</t>
  </si>
  <si>
    <t>Bono Watts S.A.</t>
  </si>
  <si>
    <t>UBICS30207</t>
  </si>
  <si>
    <t>2027-02-01</t>
  </si>
  <si>
    <t>Bono Subordinado BCI</t>
  </si>
  <si>
    <t>BGASC-H</t>
  </si>
  <si>
    <t>2028-09-01</t>
  </si>
  <si>
    <t>BGASC-D</t>
  </si>
  <si>
    <t>2029-03-01</t>
  </si>
  <si>
    <t>BITA-V1212</t>
  </si>
  <si>
    <t>BMOLY-C</t>
  </si>
  <si>
    <t>MOLYMET</t>
  </si>
  <si>
    <t>2028-06-01</t>
  </si>
  <si>
    <t>Bono Molymet</t>
  </si>
  <si>
    <t>BCENC-F</t>
  </si>
  <si>
    <t>2028-05-07</t>
  </si>
  <si>
    <t>BRENT-C</t>
  </si>
  <si>
    <t>RENTAS</t>
  </si>
  <si>
    <t>2034-11-15</t>
  </si>
  <si>
    <t>Sociedad de Rentas Comerciales S.A.</t>
  </si>
  <si>
    <t>Bono Sociedad de Rentas Comerciales</t>
  </si>
  <si>
    <t>BLCON-B</t>
  </si>
  <si>
    <t>LAS CONDES</t>
  </si>
  <si>
    <t>2034-11-30</t>
  </si>
  <si>
    <t>Bono Clinica Las Condes</t>
  </si>
  <si>
    <t>BFAL-C0711</t>
  </si>
  <si>
    <t>UCNO-A1011</t>
  </si>
  <si>
    <t>2031-10-15</t>
  </si>
  <si>
    <t>Bono Subordinado Banco Consorcio</t>
  </si>
  <si>
    <t>UCORBF0710</t>
  </si>
  <si>
    <t>2032-07-01</t>
  </si>
  <si>
    <t>Bono Subordinado Corpbanca</t>
  </si>
  <si>
    <t>UBBVH90607</t>
  </si>
  <si>
    <t>BWATT-L</t>
  </si>
  <si>
    <t>2032-11-15</t>
  </si>
  <si>
    <t>BEMCA-P</t>
  </si>
  <si>
    <t>2035-05-15</t>
  </si>
  <si>
    <t>USECJ20312</t>
  </si>
  <si>
    <t>2037-03-01</t>
  </si>
  <si>
    <t>2035-03-01</t>
  </si>
  <si>
    <t>UCOR-V0808</t>
  </si>
  <si>
    <t>2033-08-01</t>
  </si>
  <si>
    <t>BCOOE20315</t>
  </si>
  <si>
    <t>2040-03-01</t>
  </si>
  <si>
    <t>USECJ31013</t>
  </si>
  <si>
    <t>2038-10-01</t>
  </si>
  <si>
    <t>UCORBI0710</t>
  </si>
  <si>
    <t>2035-07-01</t>
  </si>
  <si>
    <t>BENTE-M</t>
  </si>
  <si>
    <t>2043-01-01</t>
  </si>
  <si>
    <t>BFAL-E0615</t>
  </si>
  <si>
    <t>2040-06-30</t>
  </si>
  <si>
    <t>UCNO-G0414</t>
  </si>
  <si>
    <t>2039-04-01</t>
  </si>
  <si>
    <t>UCNO-K1114</t>
  </si>
  <si>
    <t>2039-11-01</t>
  </si>
  <si>
    <t>BAGUA-AA</t>
  </si>
  <si>
    <t>2040-01-15</t>
  </si>
  <si>
    <t>2044-01-01</t>
  </si>
  <si>
    <t>EU</t>
  </si>
  <si>
    <t>Republica Federativa do Brasil</t>
  </si>
  <si>
    <t>BBOTS-P1A</t>
  </si>
  <si>
    <t>2022-11-25</t>
  </si>
  <si>
    <t>Bono Boston Securitizadora P1A</t>
  </si>
  <si>
    <t>CERO010320</t>
  </si>
  <si>
    <t>Bono Cero Cupon Banco Central de Chile</t>
  </si>
  <si>
    <t>BVL2CX0625</t>
  </si>
  <si>
    <t>2025-06-05</t>
  </si>
  <si>
    <t>Bono Ministerio De Vivienda Leasing</t>
  </si>
  <si>
    <t>BVL2BV0925</t>
  </si>
  <si>
    <t>2025-09-05</t>
  </si>
  <si>
    <t>BVL2CW0928</t>
  </si>
  <si>
    <t>2028-09-05</t>
  </si>
  <si>
    <t>BVL2CW0629</t>
  </si>
  <si>
    <t>2029-06-05</t>
  </si>
  <si>
    <t>BCNO-C0613</t>
  </si>
  <si>
    <t>2018-06-15</t>
  </si>
  <si>
    <t>2032-09-15</t>
  </si>
  <si>
    <t>BBANM-J</t>
  </si>
  <si>
    <t>2034-04-10</t>
  </si>
  <si>
    <t>BSWTR-I</t>
  </si>
  <si>
    <t>SOUTHWATER</t>
  </si>
  <si>
    <t>2036-09-08</t>
  </si>
  <si>
    <t>Inversiones Southwater Ltda</t>
  </si>
  <si>
    <t>Bono Inversiones Southwater</t>
  </si>
  <si>
    <t>BENGE-B</t>
  </si>
  <si>
    <t>ENLASA</t>
  </si>
  <si>
    <t>2023-11-15</t>
  </si>
  <si>
    <t>ENLASA S.A.</t>
  </si>
  <si>
    <t>Bono Enlasa Generacion</t>
  </si>
  <si>
    <t>BARAU-S</t>
  </si>
  <si>
    <t>2026-11-15</t>
  </si>
  <si>
    <t>201010100</t>
  </si>
  <si>
    <t>PACTOS POR PAGAR BANCO PENTA</t>
  </si>
  <si>
    <t>PACTOS POR PAGAR BANCO BBVA</t>
  </si>
  <si>
    <t>201001001005</t>
  </si>
  <si>
    <t>OBLIGACION CONT. FORWARD</t>
  </si>
  <si>
    <t>201010020</t>
  </si>
  <si>
    <t>FACTURAS POR PAGAR</t>
  </si>
  <si>
    <t>201010070</t>
  </si>
  <si>
    <t>PACTOS POR PAGAR BANCOESTADO</t>
  </si>
  <si>
    <t>BCAPS-H</t>
  </si>
  <si>
    <t>SECHOLDING</t>
  </si>
  <si>
    <t>Security Holdings S.A.</t>
  </si>
  <si>
    <t>Fecha_Vcto</t>
  </si>
  <si>
    <t>Moneda_Compra</t>
  </si>
  <si>
    <t>Moneda_Venta</t>
  </si>
  <si>
    <t>BQUIN-C</t>
  </si>
  <si>
    <t>2032-12-01</t>
  </si>
  <si>
    <t>BQUIN-O</t>
  </si>
  <si>
    <t>BFALA-O</t>
  </si>
  <si>
    <t>2022-04-15</t>
  </si>
  <si>
    <t>BCNO-L1114</t>
  </si>
  <si>
    <t>GNL Quintero S.A.</t>
  </si>
  <si>
    <t>Bono Falabella</t>
  </si>
  <si>
    <t>BTANN-U</t>
  </si>
  <si>
    <t>201001001004</t>
  </si>
  <si>
    <t>INT. CONT. FORWARD</t>
  </si>
  <si>
    <t>INTERESES POR PAGAR</t>
  </si>
  <si>
    <t>FACTURAS POR PAGAR OPERACIONES BCI</t>
  </si>
  <si>
    <t>BSWTR-E</t>
  </si>
  <si>
    <t>2034-09-08</t>
  </si>
  <si>
    <t>201001001001</t>
  </si>
  <si>
    <t>INVERSIONES CON RETENCION</t>
  </si>
  <si>
    <t>FACTURA POR PAGAR EURO</t>
  </si>
  <si>
    <t>101003001002</t>
  </si>
  <si>
    <t>VENCIMIENTO POR COBRAR</t>
  </si>
  <si>
    <t>USTD-M0301</t>
  </si>
  <si>
    <t>BECOP-H</t>
  </si>
  <si>
    <t>2023-09-15</t>
  </si>
  <si>
    <t>Bono Empresas Copec</t>
  </si>
  <si>
    <t>Capital</t>
  </si>
  <si>
    <t>BCHIUK0611</t>
  </si>
  <si>
    <t>BSTDP20115</t>
  </si>
  <si>
    <t>BITA-T1112</t>
  </si>
  <si>
    <t>BANDI-B1</t>
  </si>
  <si>
    <t>BBBVP10713</t>
  </si>
  <si>
    <t>BLAPO-F</t>
  </si>
  <si>
    <t>BLAPO-H</t>
  </si>
  <si>
    <t>BSAES-I</t>
  </si>
  <si>
    <t>Ret USD</t>
  </si>
  <si>
    <t>Cont USD</t>
  </si>
  <si>
    <t>Total s/devengo</t>
  </si>
  <si>
    <t>Etiquetas de fila</t>
  </si>
  <si>
    <t>Total general</t>
  </si>
  <si>
    <t>PM</t>
  </si>
  <si>
    <t>PH</t>
  </si>
  <si>
    <t>F</t>
  </si>
  <si>
    <t>AUPIST0622</t>
  </si>
  <si>
    <t>RUTAMAIPO</t>
  </si>
  <si>
    <t>2022-06-15</t>
  </si>
  <si>
    <t>Autopista Ruta del Maipo</t>
  </si>
  <si>
    <t>Bono Ruta del Maipo</t>
  </si>
  <si>
    <t>SELECT</t>
  </si>
  <si>
    <t>VOLATILIDAD</t>
  </si>
  <si>
    <t>MONTO</t>
  </si>
  <si>
    <t>Allocation</t>
  </si>
  <si>
    <t>Trade Size</t>
  </si>
  <si>
    <t>Portfolio</t>
  </si>
  <si>
    <t>Trade Allocation</t>
  </si>
  <si>
    <t xml:space="preserve">     Macro CLP3</t>
  </si>
  <si>
    <t xml:space="preserve">     Renta Estratégica</t>
  </si>
  <si>
    <t xml:space="preserve">     Macro CLP1.5</t>
  </si>
  <si>
    <t xml:space="preserve">     IMT E-Plus</t>
  </si>
  <si>
    <t>E7</t>
  </si>
  <si>
    <t>UD</t>
  </si>
  <si>
    <t>APORTES POR COBRAR</t>
  </si>
  <si>
    <t>CAJA BBH</t>
  </si>
  <si>
    <t>BHER-G0914</t>
  </si>
  <si>
    <t>Caja Inicial</t>
  </si>
  <si>
    <t>Retorno Diario Estimado</t>
  </si>
  <si>
    <t>Pactos</t>
  </si>
  <si>
    <t>Activos/Pasivos</t>
  </si>
  <si>
    <t>TOTAL</t>
  </si>
  <si>
    <t>Aportes</t>
  </si>
  <si>
    <t>Rescates</t>
  </si>
  <si>
    <t>DESARROLLO</t>
  </si>
  <si>
    <t>Letra Hipotecaria</t>
  </si>
  <si>
    <t>BTRA1-6B1</t>
  </si>
  <si>
    <t>BVL3CV1217</t>
  </si>
  <si>
    <t>2017-12-05</t>
  </si>
  <si>
    <t>STD47O0103</t>
  </si>
  <si>
    <t>Lh Sant-Chile-47O (01/03)</t>
  </si>
  <si>
    <t>BVL3AV0618</t>
  </si>
  <si>
    <t>2018-06-05</t>
  </si>
  <si>
    <t>BVL3AV0918</t>
  </si>
  <si>
    <t>2018-09-05</t>
  </si>
  <si>
    <t>FAL50Q0104</t>
  </si>
  <si>
    <t>Lh Falabella-50Q</t>
  </si>
  <si>
    <t>FAL48Q0605</t>
  </si>
  <si>
    <t>Lh Falabella-48Q</t>
  </si>
  <si>
    <t>BITAM21211</t>
  </si>
  <si>
    <t>BFORU-AR</t>
  </si>
  <si>
    <t>2019-01-16</t>
  </si>
  <si>
    <t>ABNA200101</t>
  </si>
  <si>
    <t>Letras Scotiabank</t>
  </si>
  <si>
    <t>ABNE200101</t>
  </si>
  <si>
    <t>FAL48Q0106</t>
  </si>
  <si>
    <t>FAL62V0102</t>
  </si>
  <si>
    <t>Lh Falabella-62V</t>
  </si>
  <si>
    <t>CHI0210103</t>
  </si>
  <si>
    <t>Lh Chile-021</t>
  </si>
  <si>
    <t>BBOTS-P2D</t>
  </si>
  <si>
    <t>2024-01-25</t>
  </si>
  <si>
    <t>Bono Boston Securitizadora P2D</t>
  </si>
  <si>
    <t>BBOTS-P3F</t>
  </si>
  <si>
    <t>2024-11-25</t>
  </si>
  <si>
    <t>Bonos Boston Securitizadora P3F</t>
  </si>
  <si>
    <t>EST4170105</t>
  </si>
  <si>
    <t>2025-01-01</t>
  </si>
  <si>
    <t>Lh Estado-417</t>
  </si>
  <si>
    <t>RPLG0E0105</t>
  </si>
  <si>
    <t>Lh Ripley-G0E (01/05)</t>
  </si>
  <si>
    <t>DES4820106</t>
  </si>
  <si>
    <t>2026-01-01</t>
  </si>
  <si>
    <t>Lh Desarrollo-S48</t>
  </si>
  <si>
    <t>BOT45B0106</t>
  </si>
  <si>
    <t>BOSTON</t>
  </si>
  <si>
    <t>Lh Boston-45B</t>
  </si>
  <si>
    <t>BSECS-12A3</t>
  </si>
  <si>
    <t>SECURITSEC</t>
  </si>
  <si>
    <t>2026-04-01</t>
  </si>
  <si>
    <t>UCHID10402</t>
  </si>
  <si>
    <t>DES4820107</t>
  </si>
  <si>
    <t>2027-01-01</t>
  </si>
  <si>
    <t>Lh Desarrollo-482</t>
  </si>
  <si>
    <t>DES4020707</t>
  </si>
  <si>
    <t>2027-07-01</t>
  </si>
  <si>
    <t>Lh Desarrollo-402</t>
  </si>
  <si>
    <t>BBBVK30212</t>
  </si>
  <si>
    <t>BBNS-Q0513</t>
  </si>
  <si>
    <t>DES45F0105</t>
  </si>
  <si>
    <t>2030-01-01</t>
  </si>
  <si>
    <t>Lh Desarrollo-45F</t>
  </si>
  <si>
    <t>BBNS-W0414</t>
  </si>
  <si>
    <t>BSECK50614</t>
  </si>
  <si>
    <t>BCENC-N</t>
  </si>
  <si>
    <t>2030-05-28</t>
  </si>
  <si>
    <t>EST2070107</t>
  </si>
  <si>
    <t>2037-01-01</t>
  </si>
  <si>
    <t>Lh Estado-207</t>
  </si>
  <si>
    <t>EST2070108</t>
  </si>
  <si>
    <t>2038-01-01</t>
  </si>
  <si>
    <t>BCMPC-F</t>
  </si>
  <si>
    <t>INVCMPC</t>
  </si>
  <si>
    <t>2030-03-24</t>
  </si>
  <si>
    <t>Bono Empresas CMPC S.A.</t>
  </si>
  <si>
    <t>BMETR-K</t>
  </si>
  <si>
    <t>UCHI-F1108</t>
  </si>
  <si>
    <t>BESVA-P</t>
  </si>
  <si>
    <t>2034-01-15</t>
  </si>
  <si>
    <t>2017</t>
  </si>
  <si>
    <t xml:space="preserve">DEUDA 360 </t>
  </si>
  <si>
    <t>ESTRATEGIA</t>
  </si>
  <si>
    <t xml:space="preserve">LIQUIDEZ  </t>
  </si>
  <si>
    <t xml:space="preserve">M_MARKET  </t>
  </si>
  <si>
    <t xml:space="preserve">RENTA     </t>
  </si>
  <si>
    <t xml:space="preserve">MACRO 1.5 </t>
  </si>
  <si>
    <t>Informacion Rescates Base de Datos</t>
  </si>
  <si>
    <t>TOTAL (USD)</t>
  </si>
  <si>
    <t>Informacion Aportes Base de Datos</t>
  </si>
  <si>
    <t>FNBBV-300317</t>
  </si>
  <si>
    <t>BSECU-M</t>
  </si>
  <si>
    <t>Bono Holding Security</t>
  </si>
  <si>
    <t>Alimentos</t>
  </si>
  <si>
    <t>Market Value (CLP)</t>
  </si>
  <si>
    <t>CTD</t>
  </si>
  <si>
    <t>Weight                (%)</t>
  </si>
  <si>
    <t>Corporate</t>
  </si>
  <si>
    <t>Government</t>
  </si>
  <si>
    <t>Deposits</t>
  </si>
  <si>
    <t>Funds</t>
  </si>
  <si>
    <t>Net Exposure (%)</t>
  </si>
  <si>
    <t>Other</t>
  </si>
  <si>
    <t>Exposure (%)</t>
  </si>
  <si>
    <t>Date</t>
  </si>
  <si>
    <t>AUM (CLP)</t>
  </si>
  <si>
    <t>Total (CLP)</t>
  </si>
  <si>
    <t>Total (USD)</t>
  </si>
  <si>
    <t>BCAJ-Q0117</t>
  </si>
  <si>
    <t>BRPLC-D</t>
  </si>
  <si>
    <t>BRPLC-F</t>
  </si>
  <si>
    <t>Forwards (%)</t>
  </si>
  <si>
    <t>BSAAM-C</t>
  </si>
  <si>
    <t>DxP</t>
  </si>
  <si>
    <t>BBANM-Q</t>
  </si>
  <si>
    <t>FNBCI-310317</t>
  </si>
  <si>
    <t>FNINT-020218</t>
  </si>
  <si>
    <t>CERO010418</t>
  </si>
  <si>
    <t>Bono Cero</t>
  </si>
  <si>
    <t>BSAES-G</t>
  </si>
  <si>
    <t>SAESA</t>
  </si>
  <si>
    <t>2026-12-01</t>
  </si>
  <si>
    <t>Bono Saesa-G Flotante Tab Uf 360</t>
  </si>
  <si>
    <t>USECE10506</t>
  </si>
  <si>
    <t>BCENC-P</t>
  </si>
  <si>
    <t>2022-11-07</t>
  </si>
  <si>
    <t>2020-07-02</t>
  </si>
  <si>
    <t>BCAJ-L1215</t>
  </si>
  <si>
    <t>2020-12-01</t>
  </si>
  <si>
    <t>BSTDR40915</t>
  </si>
  <si>
    <t>2023-12-01</t>
  </si>
  <si>
    <t>BESVA-D1</t>
  </si>
  <si>
    <t>2027-06-01</t>
  </si>
  <si>
    <t>SM SAAM</t>
  </si>
  <si>
    <t>Sociedad Matriz SAAM S.A.</t>
  </si>
  <si>
    <t>Bono SM SAAM</t>
  </si>
  <si>
    <t>2018-02-02</t>
  </si>
  <si>
    <t>2018-03-01</t>
  </si>
  <si>
    <t>RIPLEYCORP</t>
  </si>
  <si>
    <t>2021-10-15</t>
  </si>
  <si>
    <t>2037-10-15</t>
  </si>
  <si>
    <t>FNSBLE</t>
  </si>
  <si>
    <t>Servicios Agroindustriales Subsole</t>
  </si>
  <si>
    <t>BSECU-L3</t>
  </si>
  <si>
    <t>2035-11-15</t>
  </si>
  <si>
    <t>2041-10-15</t>
  </si>
  <si>
    <t>FNSTD-030417</t>
  </si>
  <si>
    <t>CMPC</t>
  </si>
  <si>
    <t>BCTOR-K</t>
  </si>
  <si>
    <t>2038-09-01</t>
  </si>
  <si>
    <t>UCORBJ0710</t>
  </si>
  <si>
    <t>2036-07-01</t>
  </si>
  <si>
    <t>MBONO 1224</t>
  </si>
  <si>
    <t>2024-12-05</t>
  </si>
  <si>
    <t>MX</t>
  </si>
  <si>
    <t>Bono Gobierno De Mexico</t>
  </si>
  <si>
    <t>Renta Estratégica</t>
  </si>
  <si>
    <t>Macro CLP1.5</t>
  </si>
  <si>
    <t>Macro CLP3</t>
  </si>
  <si>
    <t>BANDI-C</t>
  </si>
  <si>
    <t>EMB ANDINA</t>
  </si>
  <si>
    <t>2020-08-16</t>
  </si>
  <si>
    <t>Embotelladora Andina S.A.</t>
  </si>
  <si>
    <t>Bono Embotelladora Andina</t>
  </si>
  <si>
    <t>PROVISION SIFICAP</t>
  </si>
  <si>
    <t>Gobierno de Mexico</t>
  </si>
  <si>
    <t>BEST-H1207</t>
  </si>
  <si>
    <t>UEDWA60899</t>
  </si>
  <si>
    <t>BBEDWARDS</t>
  </si>
  <si>
    <t>Banco Edwards Citi</t>
  </si>
  <si>
    <t>Bono Banco Edwards</t>
  </si>
  <si>
    <t>BESAL-B</t>
  </si>
  <si>
    <t>ESSAL</t>
  </si>
  <si>
    <t>Empresa de Servicios Sanitarios de Los Lagos</t>
  </si>
  <si>
    <t>Bono Essal</t>
  </si>
  <si>
    <t>2018-02-05</t>
  </si>
  <si>
    <t>BESTJ50109</t>
  </si>
  <si>
    <t>UITA-C0408</t>
  </si>
  <si>
    <t>2033-04-01</t>
  </si>
  <si>
    <t>Bono Subordinado Banco Itau</t>
  </si>
  <si>
    <t>BENAP-D</t>
  </si>
  <si>
    <t>MBONO05/31</t>
  </si>
  <si>
    <t>2031-05-29</t>
  </si>
  <si>
    <t>2042-11-13</t>
  </si>
  <si>
    <t>BCHIUH0611</t>
  </si>
  <si>
    <t>GNLQCI0729</t>
  </si>
  <si>
    <t>GNLQUINTER</t>
  </si>
  <si>
    <t>2029-07-31</t>
  </si>
  <si>
    <t>Bono GNL Quintero S.A.</t>
  </si>
  <si>
    <t>CITIBANK</t>
  </si>
  <si>
    <t>BANCO BCI</t>
  </si>
  <si>
    <t>CAJA USD</t>
  </si>
  <si>
    <t>UBS PAINEWEBBER</t>
  </si>
  <si>
    <t>BEAR STEARNS</t>
  </si>
  <si>
    <t>TRASPASO POR COBRAR</t>
  </si>
  <si>
    <t>RETIROS POR PAGAR</t>
  </si>
  <si>
    <t>TRASPASO POR PAGAR</t>
  </si>
  <si>
    <t>PERSHING</t>
  </si>
  <si>
    <t>BTG PACTUAL (REALES)</t>
  </si>
  <si>
    <t>BANCO CHILE (USD)</t>
  </si>
  <si>
    <t>2018-02-06</t>
  </si>
  <si>
    <t>Ret MXN</t>
  </si>
  <si>
    <t>Cont MXN</t>
  </si>
  <si>
    <t>CMR</t>
  </si>
  <si>
    <t>BTP0450221</t>
  </si>
  <si>
    <t>Instrument</t>
  </si>
  <si>
    <t>ISIN</t>
  </si>
  <si>
    <t>Maturity</t>
  </si>
  <si>
    <t>CUSIP</t>
  </si>
  <si>
    <t>Yield</t>
  </si>
  <si>
    <t>2018-01-16</t>
  </si>
  <si>
    <t>Spread (bps)</t>
  </si>
  <si>
    <t>IMT E-Plus</t>
  </si>
  <si>
    <t>LA.CAMPANA</t>
  </si>
  <si>
    <t>CH$</t>
  </si>
  <si>
    <t>FNBNS</t>
  </si>
  <si>
    <t>2018-01-08</t>
  </si>
  <si>
    <t>2018-01-29</t>
  </si>
  <si>
    <t>BB-</t>
  </si>
  <si>
    <t>2018-03-08</t>
  </si>
  <si>
    <t>2018-02-20</t>
  </si>
  <si>
    <t>2017-12-27</t>
  </si>
  <si>
    <t>FNBCI-200218</t>
  </si>
  <si>
    <t>2018-03-09</t>
  </si>
  <si>
    <t>MBONO 0529</t>
  </si>
  <si>
    <t>2029-05-31</t>
  </si>
  <si>
    <t>MBONO 1136</t>
  </si>
  <si>
    <t>2036-11-20</t>
  </si>
  <si>
    <t>Factura Servicios Agroindustriales Subsole</t>
  </si>
  <si>
    <t>FNBNS-260118</t>
  </si>
  <si>
    <t>2018-01-26</t>
  </si>
  <si>
    <t>2017-12-07</t>
  </si>
  <si>
    <t>2018-01-11</t>
  </si>
  <si>
    <t>Market Value (USD)</t>
  </si>
  <si>
    <t>MV (%)</t>
  </si>
  <si>
    <t>Spread (Local)</t>
  </si>
  <si>
    <t>Government (CLP)</t>
  </si>
  <si>
    <t>Government (UF)</t>
  </si>
  <si>
    <t>Deposits (CLP)</t>
  </si>
  <si>
    <t>Deposits (UF)</t>
  </si>
  <si>
    <t>Offshore Fixed-Income</t>
  </si>
  <si>
    <t>Cash (CLP)</t>
  </si>
  <si>
    <t>Total Assets</t>
  </si>
  <si>
    <t>Matured &amp; Coupons</t>
  </si>
  <si>
    <t>Duration (w/Leverage)</t>
  </si>
  <si>
    <t>BRLCLP</t>
  </si>
  <si>
    <t>COPCLP</t>
  </si>
  <si>
    <t>PENCLP</t>
  </si>
  <si>
    <t>ARSCLP</t>
  </si>
  <si>
    <t>Offshore</t>
  </si>
  <si>
    <t>Govt $</t>
  </si>
  <si>
    <t>Govt UF</t>
  </si>
  <si>
    <t>Swap $</t>
  </si>
  <si>
    <t>Swap UF</t>
  </si>
  <si>
    <t>Dep $</t>
  </si>
  <si>
    <t>Dep UF</t>
  </si>
  <si>
    <t>Dep USD</t>
  </si>
  <si>
    <t>Energia</t>
  </si>
  <si>
    <t>Servicios Basicos</t>
  </si>
  <si>
    <t>Materiales Basicos</t>
  </si>
  <si>
    <t>Construccion</t>
  </si>
  <si>
    <t>Tecnologia</t>
  </si>
  <si>
    <t>2018-02-28</t>
  </si>
  <si>
    <t>Bono CMPC</t>
  </si>
  <si>
    <t>Banco Davivienda S.A.</t>
  </si>
  <si>
    <t>Global Bank</t>
  </si>
  <si>
    <t>Banco de Credito del Peru</t>
  </si>
  <si>
    <t>Banco Internacional del Peru</t>
  </si>
  <si>
    <t>Gerdau Holdings</t>
  </si>
  <si>
    <t>Oleoducto Central S.A.</t>
  </si>
  <si>
    <t>Corporación Lindley S.A.</t>
  </si>
  <si>
    <t>TGI S.A.</t>
  </si>
  <si>
    <t>Banco BBVA Bancomer</t>
  </si>
  <si>
    <t>Mexichem</t>
  </si>
  <si>
    <t>Gas Natural de Lima y Callao S.A</t>
  </si>
  <si>
    <t>Fondo Mivivienda S.A.</t>
  </si>
  <si>
    <t>Consorcio Transmantaro S.A.</t>
  </si>
  <si>
    <t>Ecopetrol S.A.</t>
  </si>
  <si>
    <t>Alpek S.A.B.</t>
  </si>
  <si>
    <t>Sura Asset Management</t>
  </si>
  <si>
    <t>Fibra UNO</t>
  </si>
  <si>
    <t>Banco BBVA Colombia</t>
  </si>
  <si>
    <t>Engie</t>
  </si>
  <si>
    <t>Southern Copper Corporation</t>
  </si>
  <si>
    <t>Grupo SURA</t>
  </si>
  <si>
    <t>Kallpa Generacion S.A.</t>
  </si>
  <si>
    <t>Sigma Alimentos S.A.</t>
  </si>
  <si>
    <t>Bono Fibria Celulosa</t>
  </si>
  <si>
    <t>BRF Brasil</t>
  </si>
  <si>
    <t>Raizen</t>
  </si>
  <si>
    <t>Embraer S.A.</t>
  </si>
  <si>
    <t>El Puerto de Liverpool</t>
  </si>
  <si>
    <t>Mexico City International Airport</t>
  </si>
  <si>
    <t>Enersis Americas S.A.</t>
  </si>
  <si>
    <t>Comision Federal de Electricidad</t>
  </si>
  <si>
    <t>Fermaca Global</t>
  </si>
  <si>
    <t>E6</t>
  </si>
  <si>
    <t>2017-02-03</t>
  </si>
  <si>
    <t>LOS_CEDROS</t>
  </si>
  <si>
    <t>MUTUALCGE</t>
  </si>
  <si>
    <t>SAN.ESTEBA</t>
  </si>
  <si>
    <t>T1</t>
  </si>
  <si>
    <t>2000-04-01</t>
  </si>
  <si>
    <t>BFORU-BF</t>
  </si>
  <si>
    <t>2000-05-01</t>
  </si>
  <si>
    <t>H1</t>
  </si>
  <si>
    <t>SOFOFA</t>
  </si>
  <si>
    <t>FNRPL</t>
  </si>
  <si>
    <t>FNRPL-130917</t>
  </si>
  <si>
    <t>FNBNS-030417</t>
  </si>
  <si>
    <t>FNCOO</t>
  </si>
  <si>
    <t>FNCOO-150617</t>
  </si>
  <si>
    <t>F*BIC</t>
  </si>
  <si>
    <t>F*BIC-250717</t>
  </si>
  <si>
    <t>E8</t>
  </si>
  <si>
    <t>FNBCI</t>
  </si>
  <si>
    <t>FNBCI-210417</t>
  </si>
  <si>
    <t>PHOD</t>
  </si>
  <si>
    <t>FNSTD</t>
  </si>
  <si>
    <t>FNBBV</t>
  </si>
  <si>
    <t>FNBCI-120417</t>
  </si>
  <si>
    <t>FNCOO-160317</t>
  </si>
  <si>
    <t>RENTAS_HHB</t>
  </si>
  <si>
    <t>F*BCI</t>
  </si>
  <si>
    <t>F*BCI-130617</t>
  </si>
  <si>
    <t>2017-11-24</t>
  </si>
  <si>
    <t>2018-01-10</t>
  </si>
  <si>
    <t>BBNS-U0414</t>
  </si>
  <si>
    <t>UBCIF10599</t>
  </si>
  <si>
    <t>2024-05-01</t>
  </si>
  <si>
    <t>BSTDR61215</t>
  </si>
  <si>
    <t>BBNSAD1015</t>
  </si>
  <si>
    <t>2025-10-01</t>
  </si>
  <si>
    <t>BCORAO0710</t>
  </si>
  <si>
    <t>2026-07-01</t>
  </si>
  <si>
    <t>CMPCCI0427</t>
  </si>
  <si>
    <t>2027-04-04</t>
  </si>
  <si>
    <t>2018-04-13</t>
  </si>
  <si>
    <t>Gruma S.A.B</t>
  </si>
  <si>
    <t>Globo</t>
  </si>
  <si>
    <t>Mexico Generadora de Energia</t>
  </si>
  <si>
    <t>HSBC</t>
  </si>
  <si>
    <t>Deposito Banco Hsbc</t>
  </si>
  <si>
    <t>2018-03-19</t>
  </si>
  <si>
    <t>2018-03-22</t>
  </si>
  <si>
    <t>2018-01-15</t>
  </si>
  <si>
    <t>2018-03-20</t>
  </si>
  <si>
    <t>MBONO 1142</t>
  </si>
  <si>
    <t>FACT. POR PAGAR DOLAR SPOT</t>
  </si>
  <si>
    <t>2018-03-14</t>
  </si>
  <si>
    <t>2018-04-04</t>
  </si>
  <si>
    <t>Educación</t>
  </si>
  <si>
    <t>2018-01-03</t>
  </si>
  <si>
    <t>Volatilidad / TE</t>
  </si>
  <si>
    <t>Duration (Approx)</t>
  </si>
  <si>
    <t>Simulation (Delta Positioning)</t>
  </si>
  <si>
    <t>BSKSA-C</t>
  </si>
  <si>
    <t>2030-03-15</t>
  </si>
  <si>
    <t>2018-03-16</t>
  </si>
  <si>
    <t>2018-04-12</t>
  </si>
  <si>
    <t>2018-01-19</t>
  </si>
  <si>
    <t>FNINT-140318</t>
  </si>
  <si>
    <t>2018-03-07</t>
  </si>
  <si>
    <t>2018-04-11</t>
  </si>
  <si>
    <t>2018-01-17</t>
  </si>
  <si>
    <t>2018-04-30</t>
  </si>
  <si>
    <t>Mineria</t>
  </si>
  <si>
    <t>2018-05-07</t>
  </si>
  <si>
    <t>BCTOR-J</t>
  </si>
  <si>
    <t>Concha Y Toro</t>
  </si>
  <si>
    <t>Aguas Araucania</t>
  </si>
  <si>
    <t>MBONO</t>
  </si>
  <si>
    <t>BSOQU-H</t>
  </si>
  <si>
    <t>SOQUIMICH</t>
  </si>
  <si>
    <t>2030-01-05</t>
  </si>
  <si>
    <t>SQM S.A.</t>
  </si>
  <si>
    <t>Bono SQM</t>
  </si>
  <si>
    <t>Minera Escondida</t>
  </si>
  <si>
    <t>Easy</t>
  </si>
  <si>
    <t>Cia Siderurgica Huachipato</t>
  </si>
  <si>
    <t>BCSMU-G</t>
  </si>
  <si>
    <t>2021-03-25</t>
  </si>
  <si>
    <t>BCSMU-K</t>
  </si>
  <si>
    <t>2018-02-19</t>
  </si>
  <si>
    <t>Gobierno del Peru</t>
  </si>
  <si>
    <t>2018-03-28</t>
  </si>
  <si>
    <t>SOL</t>
  </si>
  <si>
    <t>REA</t>
  </si>
  <si>
    <t>Banco Inbursa</t>
  </si>
  <si>
    <t>2018-05-09</t>
  </si>
  <si>
    <t>Celeo Redes Chile</t>
  </si>
  <si>
    <t>2018-01-12</t>
  </si>
  <si>
    <t>2018-02-27</t>
  </si>
  <si>
    <t>1 PCT of AUM [UF]</t>
  </si>
  <si>
    <t>1 PCT of AUM [CLP]</t>
  </si>
  <si>
    <t>Pesos 5</t>
  </si>
  <si>
    <t>Pesos 10</t>
  </si>
  <si>
    <t>UF 5</t>
  </si>
  <si>
    <t>UF 10</t>
  </si>
  <si>
    <t>2018-02-08</t>
  </si>
  <si>
    <t>BHER-M0117</t>
  </si>
  <si>
    <t>2022-01-05</t>
  </si>
  <si>
    <t>Bono Caja Los Heroes</t>
  </si>
  <si>
    <t>BCP</t>
  </si>
  <si>
    <t>Bono Bullet Bco Central En Pesos</t>
  </si>
  <si>
    <t>Utilities</t>
  </si>
  <si>
    <t>BCELE-A</t>
  </si>
  <si>
    <t>CELEO</t>
  </si>
  <si>
    <t>2047-06-22</t>
  </si>
  <si>
    <t>Bono Celeo Chile</t>
  </si>
  <si>
    <t>2020-07-09</t>
  </si>
  <si>
    <t>BFORU-BA</t>
  </si>
  <si>
    <t>BESTO50615</t>
  </si>
  <si>
    <t>2025-06-01</t>
  </si>
  <si>
    <t>2019-01-12</t>
  </si>
  <si>
    <t>BCFSA-C</t>
  </si>
  <si>
    <t>2022-05-15</t>
  </si>
  <si>
    <t>201010060</t>
  </si>
  <si>
    <t>Documentos por pagar Pactos</t>
  </si>
  <si>
    <t>201010080</t>
  </si>
  <si>
    <t>PACTOS POR PAGAR IM TRUST</t>
  </si>
  <si>
    <t>PACTOS POR PAGAR CORPBANCA</t>
  </si>
  <si>
    <t>201010090</t>
  </si>
  <si>
    <t>PACTOS POR PAGAR CONSORCIO</t>
  </si>
  <si>
    <t>Entretenimiento</t>
  </si>
  <si>
    <t>2018-01-04</t>
  </si>
  <si>
    <t>101003001008</t>
  </si>
  <si>
    <t>CUENTAS POR COBRAR VARIAS</t>
  </si>
  <si>
    <t>FACTURAS POR COBRAR IM TRUST</t>
  </si>
  <si>
    <t>VENCIMIENTOS POR COBRAR BCCAR</t>
  </si>
  <si>
    <t>Gastos bancarios por cobrar</t>
  </si>
  <si>
    <t>Gatos bancarios por cobrar</t>
  </si>
  <si>
    <t>FNBNS-040118</t>
  </si>
  <si>
    <t>UINT-D0111</t>
  </si>
  <si>
    <t>BBINTERNAC</t>
  </si>
  <si>
    <t>2032-01-15</t>
  </si>
  <si>
    <t>Bono Banco Internacional</t>
  </si>
  <si>
    <t>2018-05-10</t>
  </si>
  <si>
    <t>BCHIUU0212</t>
  </si>
  <si>
    <t>2024-02-01</t>
  </si>
  <si>
    <t>BESTO30315</t>
  </si>
  <si>
    <t>2017-11-20</t>
  </si>
  <si>
    <t>BTU0150321 @ 0,86</t>
  </si>
  <si>
    <t>BTU0300120 @ 0,72</t>
  </si>
  <si>
    <t>BCORBX0914</t>
  </si>
  <si>
    <t>BFALA-Q</t>
  </si>
  <si>
    <t>2021-11-25</t>
  </si>
  <si>
    <t>BCAJ-U0517</t>
  </si>
  <si>
    <t>2024-05-05</t>
  </si>
  <si>
    <t>GEOPARK</t>
  </si>
  <si>
    <t>GeoPark</t>
  </si>
  <si>
    <t>Bono GeoPark</t>
  </si>
  <si>
    <t>2017-10-11</t>
  </si>
  <si>
    <t>2018-04-02</t>
  </si>
  <si>
    <t>2018-01-09</t>
  </si>
  <si>
    <t>VENTA  DOLAR SPOT</t>
  </si>
  <si>
    <t>BCHIUI0611</t>
  </si>
  <si>
    <t>BBIC580314</t>
  </si>
  <si>
    <t>2019-03-01</t>
  </si>
  <si>
    <t>ENJOY</t>
  </si>
  <si>
    <t>2024-06-20</t>
  </si>
  <si>
    <t>Enjoy</t>
  </si>
  <si>
    <t>Bono Enjoy</t>
  </si>
  <si>
    <t>2017-11-29</t>
  </si>
  <si>
    <t>2018-05-22</t>
  </si>
  <si>
    <t>BRPL-L0315</t>
  </si>
  <si>
    <t>2017-11-22</t>
  </si>
  <si>
    <t>FACTURAS POR COBRAR IMT</t>
  </si>
  <si>
    <t>2018-04-17</t>
  </si>
  <si>
    <t>Renta</t>
  </si>
  <si>
    <t>Eplus</t>
  </si>
  <si>
    <t>2018-01-05</t>
  </si>
  <si>
    <t>CCB</t>
  </si>
  <si>
    <t>Deposito CCB</t>
  </si>
  <si>
    <t>BINT-G0617</t>
  </si>
  <si>
    <t>China Construction Bank</t>
  </si>
  <si>
    <t>2018-02-22</t>
  </si>
  <si>
    <t>2018-07-19</t>
  </si>
  <si>
    <t>2022-11-01</t>
  </si>
  <si>
    <t>2017-12-13</t>
  </si>
  <si>
    <t>2018-01-23</t>
  </si>
  <si>
    <t>2021-11-01</t>
  </si>
  <si>
    <t>2018-04-27</t>
  </si>
  <si>
    <t>UBBV-G0506</t>
  </si>
  <si>
    <t>2031-05-01</t>
  </si>
  <si>
    <t>BNTRA-H</t>
  </si>
  <si>
    <t>2031-08-01</t>
  </si>
  <si>
    <t>Bono Transelec S.A.</t>
  </si>
  <si>
    <t>Deposito Banco Tanner Sf</t>
  </si>
  <si>
    <t>2018-02-26</t>
  </si>
  <si>
    <t>BREDS-E</t>
  </si>
  <si>
    <t>RED SALUD</t>
  </si>
  <si>
    <t>2022-06-30</t>
  </si>
  <si>
    <t>Red Salud</t>
  </si>
  <si>
    <t>Bono Red Salud</t>
  </si>
  <si>
    <t>2018-05-04</t>
  </si>
  <si>
    <t>Tasa Hoy</t>
  </si>
  <si>
    <t>Tasa Ayer</t>
  </si>
  <si>
    <t>Variación</t>
  </si>
  <si>
    <t>FNBCI-260218</t>
  </si>
  <si>
    <t>Retorno</t>
  </si>
  <si>
    <t>2018-07-09</t>
  </si>
  <si>
    <t>2018-08-16</t>
  </si>
  <si>
    <t>2018-07-06</t>
  </si>
  <si>
    <t>UBCIS21205</t>
  </si>
  <si>
    <t>MASISA0519</t>
  </si>
  <si>
    <t>MASISA</t>
  </si>
  <si>
    <t>2019-05-05</t>
  </si>
  <si>
    <t>Masisa</t>
  </si>
  <si>
    <t>BARAU-P</t>
  </si>
  <si>
    <t>BLATM-A</t>
  </si>
  <si>
    <t>LTM</t>
  </si>
  <si>
    <t>2017-11-21</t>
  </si>
  <si>
    <t>2017-12-04</t>
  </si>
  <si>
    <t>2018-01-02</t>
  </si>
  <si>
    <t>2018-02-12</t>
  </si>
  <si>
    <t>2018-03-23</t>
  </si>
  <si>
    <t>2018-08-06</t>
  </si>
  <si>
    <t>Bono Masisa</t>
  </si>
  <si>
    <t>ENJOY0522</t>
  </si>
  <si>
    <t>2022-05-16</t>
  </si>
  <si>
    <t>BLATM-B</t>
  </si>
  <si>
    <t>2028-01-01</t>
  </si>
  <si>
    <t>DAVIVI0118</t>
  </si>
  <si>
    <t>DAVIVIENDA</t>
  </si>
  <si>
    <t>Bono Banco Davivienda S.A.</t>
  </si>
  <si>
    <t>MXCHF1119</t>
  </si>
  <si>
    <t>MEXICHEM</t>
  </si>
  <si>
    <t>2019-11-06</t>
  </si>
  <si>
    <t>Bono Mexichem</t>
  </si>
  <si>
    <t>GLBACO1019</t>
  </si>
  <si>
    <t>GLOBAL BAN</t>
  </si>
  <si>
    <t>2019-10-30</t>
  </si>
  <si>
    <t>Bono Global Bank</t>
  </si>
  <si>
    <t>SQM0420</t>
  </si>
  <si>
    <t>2020-04-21</t>
  </si>
  <si>
    <t>BCP0920</t>
  </si>
  <si>
    <t>BCPPER</t>
  </si>
  <si>
    <t>2020-09-16</t>
  </si>
  <si>
    <t>Bono BCP</t>
  </si>
  <si>
    <t>BINTPE1020</t>
  </si>
  <si>
    <t>BINTPE</t>
  </si>
  <si>
    <t>2020-10-07</t>
  </si>
  <si>
    <t>Bono Banco Internacional del Peru</t>
  </si>
  <si>
    <t>GERDAU</t>
  </si>
  <si>
    <t>Bono Gerdau Holding</t>
  </si>
  <si>
    <t>BCOLO0621</t>
  </si>
  <si>
    <t>BANCOLOMBI</t>
  </si>
  <si>
    <t>2021-06-03</t>
  </si>
  <si>
    <t>Bono Bancolombia</t>
  </si>
  <si>
    <t>OCENSA0521</t>
  </si>
  <si>
    <t>OLEODUCTO</t>
  </si>
  <si>
    <t>2021-05-07</t>
  </si>
  <si>
    <t>Bono Oleoducto Central S.A.</t>
  </si>
  <si>
    <t>CORJRL1121</t>
  </si>
  <si>
    <t>CORPLINDLE</t>
  </si>
  <si>
    <t>2021-11-23</t>
  </si>
  <si>
    <t>Bono Corporación Lindley S.A.</t>
  </si>
  <si>
    <t>GLBACO1021</t>
  </si>
  <si>
    <t>2021-10-20</t>
  </si>
  <si>
    <t>TRAGSA0322</t>
  </si>
  <si>
    <t>TRANSPGAS</t>
  </si>
  <si>
    <t>2022-03-20</t>
  </si>
  <si>
    <t>Bono TGI S.A.</t>
  </si>
  <si>
    <t>BBVASM0922</t>
  </si>
  <si>
    <t>BBVA BANCO</t>
  </si>
  <si>
    <t>2022-09-30</t>
  </si>
  <si>
    <t>Bono Banco BBVA Bancomer</t>
  </si>
  <si>
    <t>2022-09-19</t>
  </si>
  <si>
    <t>BBVA CONTI</t>
  </si>
  <si>
    <t>Bono Banco BBVA Peru</t>
  </si>
  <si>
    <t>TERRAF1122</t>
  </si>
  <si>
    <t>PLA ADMINI</t>
  </si>
  <si>
    <t>2022-11-10</t>
  </si>
  <si>
    <t>Terrafina</t>
  </si>
  <si>
    <t>Bono Terrafina</t>
  </si>
  <si>
    <t>TREA073122</t>
  </si>
  <si>
    <t>TREASURY</t>
  </si>
  <si>
    <t>2022-07-31</t>
  </si>
  <si>
    <t>U.S. Government National</t>
  </si>
  <si>
    <t>Bono del Tesoro EEUU</t>
  </si>
  <si>
    <t>CENSUD0123</t>
  </si>
  <si>
    <t>2023-01-20</t>
  </si>
  <si>
    <t>CALLAO0423</t>
  </si>
  <si>
    <t>GAS NATURA</t>
  </si>
  <si>
    <t>2023-04-01</t>
  </si>
  <si>
    <t>Bono Gas Natural de Lima y Callao S.A.</t>
  </si>
  <si>
    <t>TRANSM0523</t>
  </si>
  <si>
    <t>TRANSMANTA</t>
  </si>
  <si>
    <t>2023-05-07</t>
  </si>
  <si>
    <t>Bono Transmantaro S.A.</t>
  </si>
  <si>
    <t>ECOPET0923</t>
  </si>
  <si>
    <t>ECOPETL</t>
  </si>
  <si>
    <t>2023-09-18</t>
  </si>
  <si>
    <t>Bono Ecopetrol S.A.</t>
  </si>
  <si>
    <t>FRESLN1123</t>
  </si>
  <si>
    <t>FRESNILLO</t>
  </si>
  <si>
    <t>2023-11-13</t>
  </si>
  <si>
    <t>Fresnillo PLC</t>
  </si>
  <si>
    <t>Bono Fresnillo</t>
  </si>
  <si>
    <t>MINSUR0224</t>
  </si>
  <si>
    <t>MINSUR</t>
  </si>
  <si>
    <t>2024-02-07</t>
  </si>
  <si>
    <t>MINSUR 6 1/4 02/07/24</t>
  </si>
  <si>
    <t>Bono EK056008</t>
  </si>
  <si>
    <t>SUAMSA0424</t>
  </si>
  <si>
    <t>SUAM FINAN</t>
  </si>
  <si>
    <t>2024-04-17</t>
  </si>
  <si>
    <t>Bono Sura Asset Management S.A.</t>
  </si>
  <si>
    <t>FUNOTR1224</t>
  </si>
  <si>
    <t>TRUST F/14</t>
  </si>
  <si>
    <t>2024-12-15</t>
  </si>
  <si>
    <t>Bono Fibra UNO</t>
  </si>
  <si>
    <t>ENAPCL1024</t>
  </si>
  <si>
    <t>CENSUD0225</t>
  </si>
  <si>
    <t>2025-02-12</t>
  </si>
  <si>
    <t>ECLCI0125</t>
  </si>
  <si>
    <t>ENGIE ENER</t>
  </si>
  <si>
    <t>2025-01-29</t>
  </si>
  <si>
    <t>Bono Engie</t>
  </si>
  <si>
    <t>SQM0125</t>
  </si>
  <si>
    <t>2025-01-28</t>
  </si>
  <si>
    <t>BANGAN0425</t>
  </si>
  <si>
    <t>BBVA COLOM</t>
  </si>
  <si>
    <t>2025-04-21</t>
  </si>
  <si>
    <t>Bono Banco BBVA Colombia</t>
  </si>
  <si>
    <t>GRUPOS0426</t>
  </si>
  <si>
    <t>GRUP SURA</t>
  </si>
  <si>
    <t>2026-04-29</t>
  </si>
  <si>
    <t>Bono Grupo SURA</t>
  </si>
  <si>
    <t>SUZANO0726</t>
  </si>
  <si>
    <t>SUZANO</t>
  </si>
  <si>
    <t>2026-07-14</t>
  </si>
  <si>
    <t>Suzano Trading Ltd</t>
  </si>
  <si>
    <t>Bono Suzano</t>
  </si>
  <si>
    <t>ECOPET0626</t>
  </si>
  <si>
    <t>2026-06-26</t>
  </si>
  <si>
    <t>KALLPA0526</t>
  </si>
  <si>
    <t>KALLPA</t>
  </si>
  <si>
    <t>2026-05-24</t>
  </si>
  <si>
    <t>Bono Kallpa Generacion S.A.</t>
  </si>
  <si>
    <t>PEMEX0327</t>
  </si>
  <si>
    <t>PEMEX</t>
  </si>
  <si>
    <t>2027-03-13</t>
  </si>
  <si>
    <t>Petroleos Mexicanos</t>
  </si>
  <si>
    <t>Bono Pemex</t>
  </si>
  <si>
    <t>SIGMA0526</t>
  </si>
  <si>
    <t>SIGMA</t>
  </si>
  <si>
    <t>2026-05-02</t>
  </si>
  <si>
    <t>Bono Sigma Alimentos</t>
  </si>
  <si>
    <t>ENTEL0826</t>
  </si>
  <si>
    <t>BRFGMB0926</t>
  </si>
  <si>
    <t>2026-09-29</t>
  </si>
  <si>
    <t>Bono BRF S.A.</t>
  </si>
  <si>
    <t>FIBRBZ0127</t>
  </si>
  <si>
    <t>FIBRIA</t>
  </si>
  <si>
    <t>2027-01-17</t>
  </si>
  <si>
    <t>Bono Fibria</t>
  </si>
  <si>
    <t>RAIZBZ0127</t>
  </si>
  <si>
    <t>RAIZEN</t>
  </si>
  <si>
    <t>2027-01-20</t>
  </si>
  <si>
    <t>Bono Raizen</t>
  </si>
  <si>
    <t>GLOPAR0327</t>
  </si>
  <si>
    <t>PONTIS</t>
  </si>
  <si>
    <t>2027-03-31</t>
  </si>
  <si>
    <t>Bono Globo</t>
  </si>
  <si>
    <t>EMBRBZ0227</t>
  </si>
  <si>
    <t>EMBRAER</t>
  </si>
  <si>
    <t>Bono Embraer S.A.</t>
  </si>
  <si>
    <t>MEXICO CIT</t>
  </si>
  <si>
    <t>Bono Mexico International Airport</t>
  </si>
  <si>
    <t>LIVEPL1026</t>
  </si>
  <si>
    <t>LIVERPOOL</t>
  </si>
  <si>
    <t>2026-10-06</t>
  </si>
  <si>
    <t>Bono El Puerto de Liverpool</t>
  </si>
  <si>
    <t>ENRSIS1026</t>
  </si>
  <si>
    <t>ENERSIS AM</t>
  </si>
  <si>
    <t>2026-10-25</t>
  </si>
  <si>
    <t>Bono Enersis America S.A.</t>
  </si>
  <si>
    <t>CFELEC0227</t>
  </si>
  <si>
    <t>COMISION F</t>
  </si>
  <si>
    <t>2027-02-23</t>
  </si>
  <si>
    <t>Bono Comision Federal de Electricidad</t>
  </si>
  <si>
    <t>BINBUR0427</t>
  </si>
  <si>
    <t>BIMBUR</t>
  </si>
  <si>
    <t>2027-04-11</t>
  </si>
  <si>
    <t>Bono Banco Inbursa</t>
  </si>
  <si>
    <t>SUAMSA0427</t>
  </si>
  <si>
    <t>CENSUD0727</t>
  </si>
  <si>
    <t>2027-07-17</t>
  </si>
  <si>
    <t>BANBOG0827</t>
  </si>
  <si>
    <t>BANBOG</t>
  </si>
  <si>
    <t>2027-08-03</t>
  </si>
  <si>
    <t>Banco de Bogota</t>
  </si>
  <si>
    <t>Bono Banco De Bogota</t>
  </si>
  <si>
    <t>BANGEN0827</t>
  </si>
  <si>
    <t>BANGEN</t>
  </si>
  <si>
    <t>2027-08-07</t>
  </si>
  <si>
    <t>Banco General</t>
  </si>
  <si>
    <t>Bono Banco General</t>
  </si>
  <si>
    <t>LATAIR1127</t>
  </si>
  <si>
    <t>2027-11-15</t>
  </si>
  <si>
    <t>KALLPA0827</t>
  </si>
  <si>
    <t>2027-08-16</t>
  </si>
  <si>
    <t>TGPERU0428</t>
  </si>
  <si>
    <t>TGPERU</t>
  </si>
  <si>
    <t>2028-04-30</t>
  </si>
  <si>
    <t>Transporte de Gas Peru</t>
  </si>
  <si>
    <t>Bono Transporte de Gas Peru</t>
  </si>
  <si>
    <t>BCOCPE0929</t>
  </si>
  <si>
    <t>2029-09-22</t>
  </si>
  <si>
    <t>GMEXIB1232</t>
  </si>
  <si>
    <t>GMEXIB</t>
  </si>
  <si>
    <t>2032-12-06</t>
  </si>
  <si>
    <t>Bono Mexico Generadora de Energia</t>
  </si>
  <si>
    <t>PETRPE0632</t>
  </si>
  <si>
    <t>PETRPE</t>
  </si>
  <si>
    <t>2032-06-19</t>
  </si>
  <si>
    <t>Bono Petroleos del Peru</t>
  </si>
  <si>
    <t>FERMAC0338</t>
  </si>
  <si>
    <t>FERMACA</t>
  </si>
  <si>
    <t>2038-03-30</t>
  </si>
  <si>
    <t>Bono Fermaca S.A.</t>
  </si>
  <si>
    <t>ECOPET0943</t>
  </si>
  <si>
    <t>2043-09-18</t>
  </si>
  <si>
    <t>Bono EJ828615</t>
  </si>
  <si>
    <t>TELVIS0140</t>
  </si>
  <si>
    <t>TLEVISACPO</t>
  </si>
  <si>
    <t>Grupo Televisa SAB</t>
  </si>
  <si>
    <t>Bono Televisa</t>
  </si>
  <si>
    <t>AMXLMM0340</t>
  </si>
  <si>
    <t>AMXLMM</t>
  </si>
  <si>
    <t>2040-03-30</t>
  </si>
  <si>
    <t>Bono EI336227</t>
  </si>
  <si>
    <t>ECOPET0545</t>
  </si>
  <si>
    <t>2045-05-28</t>
  </si>
  <si>
    <t>Bono EK288577</t>
  </si>
  <si>
    <t>CELEO 0647</t>
  </si>
  <si>
    <t>2018-03-02</t>
  </si>
  <si>
    <t>2018-05-14</t>
  </si>
  <si>
    <t>2018-05-30</t>
  </si>
  <si>
    <t>2018-06-19</t>
  </si>
  <si>
    <t>2018-05-03</t>
  </si>
  <si>
    <t>FNBCI-150118</t>
  </si>
  <si>
    <t>FNBNS-170118</t>
  </si>
  <si>
    <t>2018-06-14</t>
  </si>
  <si>
    <t>2018-07-10</t>
  </si>
  <si>
    <t>BTANN-Z</t>
  </si>
  <si>
    <t>2021-07-05</t>
  </si>
  <si>
    <t>ITAU</t>
  </si>
  <si>
    <t>Deposito Banco Itau</t>
  </si>
  <si>
    <t>2018-04-26</t>
  </si>
  <si>
    <t>2018-07-04</t>
  </si>
  <si>
    <t>BSOQU-O</t>
  </si>
  <si>
    <t>2033-02-01</t>
  </si>
  <si>
    <t>SUZANO1426</t>
  </si>
  <si>
    <t>VALEBZ0826</t>
  </si>
  <si>
    <t>VALEBZ</t>
  </si>
  <si>
    <t>2026-08-10</t>
  </si>
  <si>
    <t>VALEBZ 6 1/4 08/10/26</t>
  </si>
  <si>
    <t>Bono QZ133223</t>
  </si>
  <si>
    <t>FNBNS-290318</t>
  </si>
  <si>
    <t>FNCOR-140318</t>
  </si>
  <si>
    <t>2018-03-29</t>
  </si>
  <si>
    <t>BISTPP0922</t>
  </si>
  <si>
    <t>BANISTMO</t>
  </si>
  <si>
    <t>Banitsmo SA</t>
  </si>
  <si>
    <t>Bono Banistmo</t>
  </si>
  <si>
    <t>GEOPAR0924</t>
  </si>
  <si>
    <t>2024-09-21</t>
  </si>
  <si>
    <t>AEIUS0927</t>
  </si>
  <si>
    <t>FENIX</t>
  </si>
  <si>
    <t>2027-09-20</t>
  </si>
  <si>
    <t>Fenix Power Peru</t>
  </si>
  <si>
    <t>Bono Fenix</t>
  </si>
  <si>
    <t>MEXCAT0428</t>
  </si>
  <si>
    <t>LIMAMT0734</t>
  </si>
  <si>
    <t>LIMAMETRO2</t>
  </si>
  <si>
    <t>2034-07-05</t>
  </si>
  <si>
    <t>Metro de Lima</t>
  </si>
  <si>
    <t>Bono Metro de Lima</t>
  </si>
  <si>
    <t>MEXCAT0747</t>
  </si>
  <si>
    <t>2047-07-31</t>
  </si>
  <si>
    <t>2018-06-04</t>
  </si>
  <si>
    <t>2018-09-26</t>
  </si>
  <si>
    <t>2017-12-14</t>
  </si>
  <si>
    <t>ECOPET0719</t>
  </si>
  <si>
    <t>2019-07-23</t>
  </si>
  <si>
    <t>2018-06-25</t>
  </si>
  <si>
    <t>Bono EH964542</t>
  </si>
  <si>
    <t>2018-10-22</t>
  </si>
  <si>
    <t>BCSMU-P</t>
  </si>
  <si>
    <t>2019-09-25</t>
  </si>
  <si>
    <t>BMASI-E</t>
  </si>
  <si>
    <t>2026-10-15</t>
  </si>
  <si>
    <t>BAMAI-A1</t>
  </si>
  <si>
    <t>AUTOMAIPO</t>
  </si>
  <si>
    <t>2025-06-15</t>
  </si>
  <si>
    <t>Bono Autopista del Maipo</t>
  </si>
  <si>
    <t>MXCHF1027</t>
  </si>
  <si>
    <t>2027-10-04</t>
  </si>
  <si>
    <t>MXCHF0148</t>
  </si>
  <si>
    <t>2048-01-15</t>
  </si>
  <si>
    <t>2018-04-18</t>
  </si>
  <si>
    <t>Efecto de Comercio Tanner</t>
  </si>
  <si>
    <t>FNBNS-090118</t>
  </si>
  <si>
    <t>BBBVK40212</t>
  </si>
  <si>
    <t>FNCOR-180418</t>
  </si>
  <si>
    <t>BSECB50816</t>
  </si>
  <si>
    <t>Concesionaria</t>
  </si>
  <si>
    <t>BSECK70915</t>
  </si>
  <si>
    <t>2018-02-15</t>
  </si>
  <si>
    <t>Ruta del Maipo Soc. Conc.</t>
  </si>
  <si>
    <t>BRASKM0123</t>
  </si>
  <si>
    <t>BRASKEM</t>
  </si>
  <si>
    <t>2023-01-10</t>
  </si>
  <si>
    <t>Braskem Finance Ltd.</t>
  </si>
  <si>
    <t>Bono Braskem</t>
  </si>
  <si>
    <t>BRASKM0128</t>
  </si>
  <si>
    <t>2028-01-10</t>
  </si>
  <si>
    <t>COLBUN1027</t>
  </si>
  <si>
    <t>2027-10-11</t>
  </si>
  <si>
    <t>N/A</t>
  </si>
  <si>
    <t>PDBC</t>
  </si>
  <si>
    <t>CENTRAL</t>
  </si>
  <si>
    <t>Pagare Descontable Banco Central</t>
  </si>
  <si>
    <t>2017-11-28</t>
  </si>
  <si>
    <t>2017-11-23</t>
  </si>
  <si>
    <t>2018-08-13</t>
  </si>
  <si>
    <t>Soc. Conc. Costanera Norte S.A.</t>
  </si>
  <si>
    <t>BITAAG0614</t>
  </si>
  <si>
    <t>2024-06-01</t>
  </si>
  <si>
    <t>CFIAMERIS</t>
  </si>
  <si>
    <t>FIP AMERIS</t>
  </si>
  <si>
    <t>2021-10-16</t>
  </si>
  <si>
    <t>Contempora</t>
  </si>
  <si>
    <t>Cuotas de FIP Ameris</t>
  </si>
  <si>
    <t>FHUACHI</t>
  </si>
  <si>
    <t>Compañía Siderúrgica Huachipato</t>
  </si>
  <si>
    <t>Factura Compañía Siderúrgica Huachipato</t>
  </si>
  <si>
    <t>GGBRBZ1027</t>
  </si>
  <si>
    <t>2027-10-24</t>
  </si>
  <si>
    <t>INTFSI1027</t>
  </si>
  <si>
    <t>INTERCORP</t>
  </si>
  <si>
    <t>2027-10-19</t>
  </si>
  <si>
    <t>Intercorp Financial Services Inc</t>
  </si>
  <si>
    <t>Bono Intercorp</t>
  </si>
  <si>
    <t>2017-12-06</t>
  </si>
  <si>
    <t>Deposito China Construction Bank</t>
  </si>
  <si>
    <t>2018-02-14</t>
  </si>
  <si>
    <t>2018-05-31</t>
  </si>
  <si>
    <t>2018-07-05</t>
  </si>
  <si>
    <t>2018-10-09</t>
  </si>
  <si>
    <t>BCAJ-V0917</t>
  </si>
  <si>
    <t>BFORU-BH</t>
  </si>
  <si>
    <t>FNBBV-231117</t>
  </si>
  <si>
    <t>FNSEC-130818</t>
  </si>
  <si>
    <t>2022-09-25</t>
  </si>
  <si>
    <t>Control</t>
  </si>
  <si>
    <t>FNBCI-090318</t>
  </si>
  <si>
    <t>FNBCI-311017</t>
  </si>
  <si>
    <t>BSECZ20816</t>
  </si>
  <si>
    <t>BFALA1027</t>
  </si>
  <si>
    <t>2027-10-30</t>
  </si>
  <si>
    <t>America Movil</t>
  </si>
  <si>
    <t>BMASI-L</t>
  </si>
  <si>
    <t>INFORMAR MESA</t>
  </si>
  <si>
    <t>OK</t>
  </si>
  <si>
    <t>BNPDBC021117</t>
  </si>
  <si>
    <t>BNPDBC091117</t>
  </si>
  <si>
    <t>BNPDBC231117</t>
  </si>
  <si>
    <t>F*BBV-080118</t>
  </si>
  <si>
    <t>F*BBV-211117</t>
  </si>
  <si>
    <t>F*BBV-281117</t>
  </si>
  <si>
    <t>F*CCB-081117</t>
  </si>
  <si>
    <t>F*CCB-141217</t>
  </si>
  <si>
    <t>F*CCB-171117</t>
  </si>
  <si>
    <t>F*CCB-211117</t>
  </si>
  <si>
    <t>F*CCB-241117</t>
  </si>
  <si>
    <t>F*CNO-031117</t>
  </si>
  <si>
    <t>F*CNO-101117</t>
  </si>
  <si>
    <t>F*STD-021117</t>
  </si>
  <si>
    <t>FNBBV-020118</t>
  </si>
  <si>
    <t>FNBBV-021117</t>
  </si>
  <si>
    <t>FNBBV-050118</t>
  </si>
  <si>
    <t>FNBBV-051217</t>
  </si>
  <si>
    <t>FNBBV-080218</t>
  </si>
  <si>
    <t>FNBBV-081117</t>
  </si>
  <si>
    <t>FNBBV-090118</t>
  </si>
  <si>
    <t>FNBBV-100518</t>
  </si>
  <si>
    <t>FNBBV-101117</t>
  </si>
  <si>
    <t>FNBBV-140318</t>
  </si>
  <si>
    <t>FNBBV-151117</t>
  </si>
  <si>
    <t>FNBBV-161117</t>
  </si>
  <si>
    <t>FNBCI-010318</t>
  </si>
  <si>
    <t>FNBCI-020318</t>
  </si>
  <si>
    <t>FNBCI-021117</t>
  </si>
  <si>
    <t>FNBCI-031117</t>
  </si>
  <si>
    <t>FNBCI-040118</t>
  </si>
  <si>
    <t>FNBCI-050218</t>
  </si>
  <si>
    <t>FNBCI-061117</t>
  </si>
  <si>
    <t>FNBCI-080318</t>
  </si>
  <si>
    <t>FNBCI-090118</t>
  </si>
  <si>
    <t>FNBCI-090518</t>
  </si>
  <si>
    <t>FNBCI-161117</t>
  </si>
  <si>
    <t>FNBCI-290118</t>
  </si>
  <si>
    <t>FNBCI-291117</t>
  </si>
  <si>
    <t>FNBCI-310518</t>
  </si>
  <si>
    <t>FNBIC-010318</t>
  </si>
  <si>
    <t>FNBIC-021117</t>
  </si>
  <si>
    <t>FNBIC-060218</t>
  </si>
  <si>
    <t>FNBIC-090118</t>
  </si>
  <si>
    <t>FNBIC-100118</t>
  </si>
  <si>
    <t>FNBIC-131117</t>
  </si>
  <si>
    <t>FNBIC-160118</t>
  </si>
  <si>
    <t>FNBIC-160318</t>
  </si>
  <si>
    <t>FNBIC-291117</t>
  </si>
  <si>
    <t>FNBNS-010318</t>
  </si>
  <si>
    <t>FNBNS-020118</t>
  </si>
  <si>
    <t>FNBNS-020218</t>
  </si>
  <si>
    <t>FNBNS-021117</t>
  </si>
  <si>
    <t>FNBNS-040518</t>
  </si>
  <si>
    <t>FNBNS-061117</t>
  </si>
  <si>
    <t>FNBNS-071117</t>
  </si>
  <si>
    <t>FNBNS-071217</t>
  </si>
  <si>
    <t>FNBNS-080118</t>
  </si>
  <si>
    <t>FNBNS-091018</t>
  </si>
  <si>
    <t>FNBNS-100118</t>
  </si>
  <si>
    <t>FNBNS-101117</t>
  </si>
  <si>
    <t>FNBNS-120218</t>
  </si>
  <si>
    <t>FNBNS-130718</t>
  </si>
  <si>
    <t>FNBNS-131117</t>
  </si>
  <si>
    <t>FNBNS-161117</t>
  </si>
  <si>
    <t>FNBNS-190318</t>
  </si>
  <si>
    <t>FNBNS-200218</t>
  </si>
  <si>
    <t>FNBNS-220318</t>
  </si>
  <si>
    <t>FNBNS-221018</t>
  </si>
  <si>
    <t>FNBNS-270418</t>
  </si>
  <si>
    <t>FNBNS-271217</t>
  </si>
  <si>
    <t>FNBNS-290118</t>
  </si>
  <si>
    <t>FNCCB-030118</t>
  </si>
  <si>
    <t>FNCHI-021117</t>
  </si>
  <si>
    <t>FNCHI-050118</t>
  </si>
  <si>
    <t>FNCHI-051217</t>
  </si>
  <si>
    <t>FNCHI-071117</t>
  </si>
  <si>
    <t>FNCHI-090118</t>
  </si>
  <si>
    <t>FNCHI-101117</t>
  </si>
  <si>
    <t>FNCHI-120218</t>
  </si>
  <si>
    <t>FNCNO-051217</t>
  </si>
  <si>
    <t>FNCNO-090418</t>
  </si>
  <si>
    <t>FNCNO-110418</t>
  </si>
  <si>
    <t>FNCNO-190618</t>
  </si>
  <si>
    <t>FNCNO-190718</t>
  </si>
  <si>
    <t>FNCNO-220518</t>
  </si>
  <si>
    <t>FNCNO-230118</t>
  </si>
  <si>
    <t>FNCOO-021117</t>
  </si>
  <si>
    <t>FNCOO-091117</t>
  </si>
  <si>
    <t>FNCOR-021117</t>
  </si>
  <si>
    <t>FNCOR-040618</t>
  </si>
  <si>
    <t>FNCOR-041217</t>
  </si>
  <si>
    <t>FNCOR-060718</t>
  </si>
  <si>
    <t>FNCOR-060818</t>
  </si>
  <si>
    <t>FNCOR-061117</t>
  </si>
  <si>
    <t>FNCOR-071217</t>
  </si>
  <si>
    <t>FNCOR-090718</t>
  </si>
  <si>
    <t>FNCOR-140218</t>
  </si>
  <si>
    <t>FNCOR-140618</t>
  </si>
  <si>
    <t>FNCOR-150218</t>
  </si>
  <si>
    <t>FNCOR-160318</t>
  </si>
  <si>
    <t>FNCOR-160818</t>
  </si>
  <si>
    <t>FNCOR-161117</t>
  </si>
  <si>
    <t>FNCOR-190218</t>
  </si>
  <si>
    <t>FNCOR-190318</t>
  </si>
  <si>
    <t>FNCOR-230318</t>
  </si>
  <si>
    <t>FNCOR-260218</t>
  </si>
  <si>
    <t>FNCOR-300518</t>
  </si>
  <si>
    <t>FNEST-020118</t>
  </si>
  <si>
    <t>FNEST-020318</t>
  </si>
  <si>
    <t>FNEST-040518</t>
  </si>
  <si>
    <t>FNEST-040718</t>
  </si>
  <si>
    <t>FNEST-061217</t>
  </si>
  <si>
    <t>FNEST-070318</t>
  </si>
  <si>
    <t>FNEST-080118</t>
  </si>
  <si>
    <t>FNEST-100118</t>
  </si>
  <si>
    <t>FNEST-101117</t>
  </si>
  <si>
    <t>FNEST-110118</t>
  </si>
  <si>
    <t>FNEST-120418</t>
  </si>
  <si>
    <t>FNEST-160118</t>
  </si>
  <si>
    <t>FNEST-190118</t>
  </si>
  <si>
    <t>FNEST-200318</t>
  </si>
  <si>
    <t>FNEST-201117</t>
  </si>
  <si>
    <t>FNEST-241117</t>
  </si>
  <si>
    <t>FNEST-290118</t>
  </si>
  <si>
    <t>FNFAL-030118</t>
  </si>
  <si>
    <t>FNFAL-080118</t>
  </si>
  <si>
    <t>FNFAL-200318</t>
  </si>
  <si>
    <t>FNFAL-311017</t>
  </si>
  <si>
    <t>FNHSB-020418</t>
  </si>
  <si>
    <t>FNHSB-100118</t>
  </si>
  <si>
    <t>2017-12-28</t>
  </si>
  <si>
    <t>2018-05-02</t>
  </si>
  <si>
    <t>2018-10-18</t>
  </si>
  <si>
    <t>2017-11-30</t>
  </si>
  <si>
    <t>2017-12-15</t>
  </si>
  <si>
    <t>CELARA1127</t>
  </si>
  <si>
    <t>CELARA</t>
  </si>
  <si>
    <t>2027-11-02</t>
  </si>
  <si>
    <t>BFSEC-A</t>
  </si>
  <si>
    <t>FACSECU</t>
  </si>
  <si>
    <t>Factoring Security S.A.</t>
  </si>
  <si>
    <t>Bono Factoring Security</t>
  </si>
  <si>
    <t>BPLZA-I</t>
  </si>
  <si>
    <t>2018-01-22</t>
  </si>
  <si>
    <t>BTANN-X</t>
  </si>
  <si>
    <t>2020-09-10</t>
  </si>
  <si>
    <t>Bono Tanner</t>
  </si>
  <si>
    <t>BCORAN0710</t>
  </si>
  <si>
    <t>FARAUCO</t>
  </si>
  <si>
    <t>2017-12-18</t>
  </si>
  <si>
    <t>Factura Celulosa Arauco</t>
  </si>
  <si>
    <t>FAESCOND</t>
  </si>
  <si>
    <t>2017-12-22</t>
  </si>
  <si>
    <t>Factura Minera Escondida</t>
  </si>
  <si>
    <t>FSMXPOR</t>
  </si>
  <si>
    <t>Multiexport</t>
  </si>
  <si>
    <t>Factura Multiexport</t>
  </si>
  <si>
    <t>2017-12-29</t>
  </si>
  <si>
    <t>BEMCA-N</t>
  </si>
  <si>
    <t>2019-05-15</t>
  </si>
  <si>
    <t>MULT1122</t>
  </si>
  <si>
    <t>MULTIBANK</t>
  </si>
  <si>
    <t>2022-11-09</t>
  </si>
  <si>
    <t>Multibank</t>
  </si>
  <si>
    <t>Bono Multibank</t>
  </si>
  <si>
    <t>FIBRBZ0125</t>
  </si>
  <si>
    <t>2025-11-14</t>
  </si>
  <si>
    <t>2018-01-24</t>
  </si>
  <si>
    <t>2017-12-11</t>
  </si>
  <si>
    <t>2019-09-20</t>
  </si>
  <si>
    <t>Bono Saesa</t>
  </si>
  <si>
    <t>2019-05-01</t>
  </si>
  <si>
    <t>BSECB30614</t>
  </si>
  <si>
    <t>2022-07-01</t>
  </si>
  <si>
    <t>2023-10-01</t>
  </si>
  <si>
    <t>2023-11-01</t>
  </si>
  <si>
    <t>BCOOB20609</t>
  </si>
  <si>
    <t>2029-06-01</t>
  </si>
  <si>
    <t>BITA-P0612</t>
  </si>
  <si>
    <t>2017-11-19</t>
  </si>
  <si>
    <t>2018-05-23</t>
  </si>
  <si>
    <t>Gobierno de Chile</t>
  </si>
  <si>
    <t>ARAUCANA</t>
  </si>
  <si>
    <t>2018-01-27</t>
  </si>
  <si>
    <t>B</t>
  </si>
  <si>
    <t>Bono La Araucana C.C.A.F.</t>
  </si>
  <si>
    <t>BCCAR-A</t>
  </si>
  <si>
    <t>Bono Caja De Compensacion La Araucana</t>
  </si>
  <si>
    <t>Gobierno de Peru</t>
  </si>
  <si>
    <t>UINT-C0310</t>
  </si>
  <si>
    <t>2018-02-09</t>
  </si>
  <si>
    <t>2017-11-27</t>
  </si>
  <si>
    <t>2017-12-20</t>
  </si>
  <si>
    <t>LEBAC2017</t>
  </si>
  <si>
    <t>LEBAC</t>
  </si>
  <si>
    <t>ARS</t>
  </si>
  <si>
    <t>Gobierno de Argentina</t>
  </si>
  <si>
    <t>Lebac</t>
  </si>
  <si>
    <t>629,21</t>
  </si>
  <si>
    <t>741,73</t>
  </si>
  <si>
    <t>103,75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</si>
</sst>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$&quot;\ #,##0;[Red]\-&quot;$&quot;\ #,##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_-;\-* #,##0_-;_-* &quot;-&quot;??_-;_-@_-"/>
    <numFmt numFmtId="167" formatCode="_-&quot;$&quot;\ * #,##0_-;\-&quot;$&quot;\ * #,##0_-;_-&quot;$&quot;\ * &quot;-&quot;??_-;_-@_-"/>
    <numFmt numFmtId="168" formatCode="0.0%"/>
    <numFmt numFmtId="169" formatCode="_(* #,##0_);_(* \(#,##0\);_(* &quot;-&quot;??_);_(@_)"/>
    <numFmt numFmtId="170" formatCode="0.000%"/>
    <numFmt numFmtId="171" formatCode="0.000"/>
    <numFmt numFmtId="172" formatCode="0.0000%"/>
    <numFmt numFmtId="173" formatCode="#,##0.00_ ;\-#,##0.00\ "/>
    <numFmt numFmtId="174" formatCode="0.0"/>
    <numFmt numFmtId="175" formatCode="&quot;MM$&quot;\ 0"/>
    <numFmt numFmtId="176" formatCode="_-* #,##0.0_-;\-* #,##0.0_-;_-* &quot;-&quot;??_-;_-@_-"/>
    <numFmt numFmtId="177" formatCode="&quot;DV&quot;0\ &quot;pb&quot;"/>
    <numFmt numFmtId="178" formatCode="0.0\ &quot;pb&quot;"/>
    <numFmt numFmtId="179" formatCode="_-&quot;$&quot;\ * #,##0.0_-;\-&quot;$&quot;\ * #,##0.0_-;_-&quot;$&quot;\ * &quot;-&quot;??_-;_-@_-"/>
    <numFmt numFmtId="180" formatCode="_-[$€-2]\ * #,##0.00_-;\-[$€-2]\ * #,##0.00_-;_-[$€-2]\ * &quot;-&quot;??_-"/>
    <numFmt numFmtId="181" formatCode="\U\F\ #,##0;\-#,##0"/>
    <numFmt numFmtId="182" formatCode="_-* #,##0.000_-;\-* #,##0.000_-;_-* &quot;-&quot;??_-;_-@_-"/>
    <numFmt numFmtId="183" formatCode="dd\.mmm\.yyyy"/>
    <numFmt numFmtId="184" formatCode="0.00\ &quot;pb&quot;"/>
    <numFmt numFmtId="185" formatCode="_-&quot;$&quot;\ * #,##0.000_-;\-&quot;$&quot;\ * #,##0.000_-;_-&quot;$&quot;\ * &quot;-&quot;??_-;_-@_-"/>
    <numFmt numFmtId="186" formatCode="0.00000"/>
    <numFmt numFmtId="187" formatCode="0.000000"/>
    <numFmt numFmtId="188" formatCode="0.00000%"/>
  </numFmts>
  <fonts count="75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8"/>
      <color theme="1"/>
      <name val="Arial"/>
      <family val="2"/>
      <scheme val="minor"/>
    </font>
    <font>
      <b/>
      <sz val="28"/>
      <color theme="4" tint="-0.249977111117893"/>
      <name val="Arial"/>
      <family val="2"/>
      <scheme val="minor"/>
    </font>
    <font>
      <b/>
      <sz val="10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2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 tint="0.499984740745262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9"/>
      <color theme="0"/>
      <name val="Arial"/>
      <family val="2"/>
      <scheme val="minor"/>
    </font>
    <font>
      <sz val="10"/>
      <name val="Arial"/>
      <family val="2"/>
    </font>
    <font>
      <b/>
      <sz val="12"/>
      <name val="Arial"/>
      <family val="2"/>
      <scheme val="minor"/>
    </font>
    <font>
      <sz val="11"/>
      <name val="Arial"/>
      <family val="2"/>
      <scheme val="minor"/>
    </font>
    <font>
      <b/>
      <sz val="11"/>
      <color indexed="9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0"/>
      <name val="Formata Regular"/>
      <family val="2"/>
    </font>
    <font>
      <sz val="11"/>
      <color indexed="8"/>
      <name val="Arial"/>
      <family val="2"/>
      <scheme val="minor"/>
    </font>
    <font>
      <u/>
      <sz val="11"/>
      <color rgb="FF00019F"/>
      <name val="Arial"/>
      <family val="2"/>
      <scheme val="minor"/>
    </font>
    <font>
      <u/>
      <sz val="11"/>
      <color rgb="FF400080"/>
      <name val="Arial"/>
      <family val="2"/>
      <scheme val="minor"/>
    </font>
    <font>
      <sz val="11"/>
      <color indexed="8"/>
      <name val="Arial"/>
      <family val="2"/>
    </font>
    <font>
      <b/>
      <sz val="14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sz val="18"/>
      <color theme="3"/>
      <name val="Arial Narrow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1"/>
      <name val="Calibri Light"/>
      <family val="2"/>
    </font>
    <font>
      <sz val="10"/>
      <color theme="1"/>
      <name val="Calibri Light"/>
      <family val="2"/>
    </font>
    <font>
      <sz val="8"/>
      <color theme="1"/>
      <name val="Calibri Light"/>
      <family val="2"/>
    </font>
    <font>
      <sz val="11"/>
      <color theme="0"/>
      <name val="Calibri Light"/>
      <family val="2"/>
    </font>
    <font>
      <sz val="14"/>
      <color rgb="FF000000"/>
      <name val="Calibri Light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9.5"/>
      <color rgb="FF0000FF"/>
      <name val="Consolas"/>
      <family val="3"/>
    </font>
    <font>
      <sz val="9.5"/>
      <color rgb="FF808080"/>
      <name val="Consolas"/>
      <family val="3"/>
    </font>
    <font>
      <sz val="11"/>
      <color theme="3"/>
      <name val="Arial"/>
      <family val="2"/>
      <scheme val="minor"/>
    </font>
    <font>
      <sz val="11"/>
      <color theme="2"/>
      <name val="Arial"/>
      <family val="2"/>
      <scheme val="minor"/>
    </font>
    <font>
      <b/>
      <sz val="11"/>
      <color theme="2"/>
      <name val="Arial"/>
      <family val="2"/>
      <scheme val="minor"/>
    </font>
    <font>
      <sz val="11"/>
      <color rgb="FF000000"/>
      <name val="Arial"/>
      <family val="2"/>
    </font>
    <font>
      <b/>
      <sz val="22"/>
      <color theme="3"/>
      <name val="Arial"/>
      <family val="2"/>
      <scheme val="minor"/>
    </font>
    <font>
      <sz val="12"/>
      <color theme="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b/>
      <sz val="10"/>
      <color theme="0" tint="-0.499984740745262"/>
      <name val="Arial"/>
      <family val="2"/>
      <scheme val="minor"/>
    </font>
    <font>
      <b/>
      <sz val="11"/>
      <color theme="1" tint="0.499984740745262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b/>
      <sz val="10"/>
      <color theme="1" tint="0.499984740745262"/>
      <name val="Arial"/>
      <family val="2"/>
      <scheme val="minor"/>
    </font>
    <font>
      <sz val="10"/>
      <color theme="1" tint="0.499984740745262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0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0.14999847407452621"/>
        <bgColor theme="4" tint="0.5999938962981048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/>
      <right/>
      <top style="thick">
        <color theme="4"/>
      </top>
      <bottom/>
      <diagonal/>
    </border>
    <border>
      <left style="thin">
        <color theme="0"/>
      </left>
      <right/>
      <top style="thick">
        <color theme="4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/>
      <bottom style="medium">
        <color theme="1" tint="0.499984740745262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theme="1" tint="0.499984740745262"/>
      </top>
      <bottom style="thin">
        <color theme="0" tint="-0.2499465926084170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medium">
        <color theme="1" tint="0.499984740745262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0" tint="-0.24994659260841701"/>
      </top>
      <bottom style="medium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medium">
        <color theme="1" tint="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/>
      <right/>
      <top style="thin">
        <color theme="3"/>
      </top>
      <bottom style="thin">
        <color theme="3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2552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6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7" fillId="0" borderId="0"/>
    <xf numFmtId="0" fontId="20" fillId="14" borderId="0"/>
    <xf numFmtId="0" fontId="17" fillId="0" borderId="0"/>
    <xf numFmtId="180" fontId="17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165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7" fillId="0" borderId="0"/>
    <xf numFmtId="0" fontId="17" fillId="0" borderId="0"/>
    <xf numFmtId="0" fontId="1" fillId="0" borderId="0"/>
    <xf numFmtId="0" fontId="17" fillId="0" borderId="0"/>
    <xf numFmtId="0" fontId="9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17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17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5" borderId="9" applyNumberFormat="0" applyFont="0" applyAlignment="0" applyProtection="0"/>
    <xf numFmtId="0" fontId="22" fillId="5" borderId="9" applyNumberFormat="0" applyFont="0" applyAlignment="0" applyProtection="0"/>
    <xf numFmtId="0" fontId="1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22" fillId="5" borderId="9" applyNumberFormat="0" applyFont="0" applyAlignment="0" applyProtection="0"/>
    <xf numFmtId="0" fontId="1" fillId="0" borderId="0"/>
    <xf numFmtId="0" fontId="1" fillId="0" borderId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0" borderId="0" applyNumberFormat="0" applyFill="0" applyBorder="0" applyAlignment="0" applyProtection="0"/>
    <xf numFmtId="0" fontId="31" fillId="0" borderId="29" applyNumberFormat="0" applyFill="0" applyAlignment="0" applyProtection="0"/>
    <xf numFmtId="0" fontId="32" fillId="0" borderId="30" applyNumberFormat="0" applyFill="0" applyAlignment="0" applyProtection="0"/>
    <xf numFmtId="0" fontId="33" fillId="0" borderId="31" applyNumberFormat="0" applyFill="0" applyAlignment="0" applyProtection="0"/>
    <xf numFmtId="0" fontId="33" fillId="0" borderId="0" applyNumberFormat="0" applyFill="0" applyBorder="0" applyAlignment="0" applyProtection="0"/>
    <xf numFmtId="0" fontId="34" fillId="16" borderId="0" applyNumberFormat="0" applyBorder="0" applyAlignment="0" applyProtection="0"/>
    <xf numFmtId="0" fontId="35" fillId="17" borderId="0" applyNumberFormat="0" applyBorder="0" applyAlignment="0" applyProtection="0"/>
    <xf numFmtId="0" fontId="36" fillId="18" borderId="0" applyNumberFormat="0" applyBorder="0" applyAlignment="0" applyProtection="0"/>
    <xf numFmtId="0" fontId="37" fillId="19" borderId="32" applyNumberFormat="0" applyAlignment="0" applyProtection="0"/>
    <xf numFmtId="0" fontId="38" fillId="20" borderId="33" applyNumberFormat="0" applyAlignment="0" applyProtection="0"/>
    <xf numFmtId="0" fontId="39" fillId="20" borderId="32" applyNumberFormat="0" applyAlignment="0" applyProtection="0"/>
    <xf numFmtId="0" fontId="40" fillId="0" borderId="34" applyNumberFormat="0" applyFill="0" applyAlignment="0" applyProtection="0"/>
    <xf numFmtId="0" fontId="2" fillId="21" borderId="35" applyNumberFormat="0" applyAlignment="0" applyProtection="0"/>
    <xf numFmtId="0" fontId="41" fillId="0" borderId="0" applyNumberFormat="0" applyFill="0" applyBorder="0" applyAlignment="0" applyProtection="0"/>
    <xf numFmtId="0" fontId="1" fillId="5" borderId="9" applyNumberFormat="0" applyFont="0" applyAlignment="0" applyProtection="0"/>
    <xf numFmtId="0" fontId="42" fillId="0" borderId="0" applyNumberFormat="0" applyFill="0" applyBorder="0" applyAlignment="0" applyProtection="0"/>
    <xf numFmtId="0" fontId="3" fillId="0" borderId="36" applyNumberFormat="0" applyFill="0" applyAlignment="0" applyProtection="0"/>
    <xf numFmtId="0" fontId="1" fillId="7" borderId="0" applyNumberFormat="0" applyBorder="0" applyAlignment="0" applyProtection="0"/>
    <xf numFmtId="0" fontId="1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" fillId="9" borderId="0" applyNumberFormat="0" applyBorder="0" applyAlignment="0" applyProtection="0"/>
    <xf numFmtId="0" fontId="1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1" fillId="12" borderId="0" applyNumberFormat="0" applyBorder="0" applyAlignment="0" applyProtection="0"/>
    <xf numFmtId="0" fontId="1" fillId="37" borderId="0" applyNumberFormat="0" applyBorder="0" applyAlignment="0" applyProtection="0"/>
    <xf numFmtId="0" fontId="4" fillId="38" borderId="0" applyNumberFormat="0" applyBorder="0" applyAlignment="0" applyProtection="0"/>
  </cellStyleXfs>
  <cellXfs count="422">
    <xf numFmtId="0" fontId="0" fillId="0" borderId="0" xfId="0"/>
    <xf numFmtId="44" fontId="0" fillId="0" borderId="0" xfId="2" applyFont="1"/>
    <xf numFmtId="10" fontId="0" fillId="0" borderId="0" xfId="3" applyNumberFormat="1" applyFont="1"/>
    <xf numFmtId="0" fontId="0" fillId="0" borderId="0" xfId="0" applyAlignment="1">
      <alignment horizontal="left"/>
    </xf>
    <xf numFmtId="0" fontId="3" fillId="0" borderId="0" xfId="0" applyFont="1"/>
    <xf numFmtId="0" fontId="5" fillId="0" borderId="0" xfId="0" applyFont="1"/>
    <xf numFmtId="169" fontId="5" fillId="0" borderId="0" xfId="5" applyNumberFormat="1" applyFont="1"/>
    <xf numFmtId="0" fontId="7" fillId="0" borderId="0" xfId="0" applyFont="1"/>
    <xf numFmtId="170" fontId="5" fillId="0" borderId="0" xfId="3" applyNumberFormat="1" applyFont="1"/>
    <xf numFmtId="167" fontId="5" fillId="0" borderId="0" xfId="0" applyNumberFormat="1" applyFont="1"/>
    <xf numFmtId="13" fontId="5" fillId="0" borderId="0" xfId="3" applyNumberFormat="1" applyFont="1"/>
    <xf numFmtId="0" fontId="10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/>
    <xf numFmtId="0" fontId="12" fillId="0" borderId="10" xfId="0" applyFont="1" applyBorder="1" applyAlignment="1">
      <alignment horizontal="center" vertical="center"/>
    </xf>
    <xf numFmtId="0" fontId="14" fillId="0" borderId="0" xfId="0" applyFont="1"/>
    <xf numFmtId="0" fontId="9" fillId="0" borderId="0" xfId="0" applyFont="1"/>
    <xf numFmtId="0" fontId="0" fillId="0" borderId="11" xfId="0" applyFont="1" applyBorder="1" applyAlignment="1">
      <alignment horizontal="left"/>
    </xf>
    <xf numFmtId="167" fontId="0" fillId="0" borderId="12" xfId="2" applyNumberFormat="1" applyFont="1" applyBorder="1" applyAlignment="1">
      <alignment horizontal="center"/>
    </xf>
    <xf numFmtId="10" fontId="0" fillId="0" borderId="12" xfId="3" applyNumberFormat="1" applyFont="1" applyBorder="1" applyAlignment="1">
      <alignment horizontal="center"/>
    </xf>
    <xf numFmtId="10" fontId="0" fillId="0" borderId="11" xfId="3" applyNumberFormat="1" applyFont="1" applyBorder="1" applyAlignment="1">
      <alignment horizontal="center"/>
    </xf>
    <xf numFmtId="1" fontId="0" fillId="0" borderId="12" xfId="3" applyNumberFormat="1" applyFont="1" applyBorder="1" applyAlignment="1">
      <alignment horizontal="center"/>
    </xf>
    <xf numFmtId="0" fontId="15" fillId="0" borderId="0" xfId="0" applyFont="1"/>
    <xf numFmtId="0" fontId="0" fillId="0" borderId="0" xfId="0" applyFont="1"/>
    <xf numFmtId="169" fontId="9" fillId="0" borderId="0" xfId="5" applyNumberFormat="1" applyFont="1"/>
    <xf numFmtId="168" fontId="0" fillId="0" borderId="0" xfId="3" applyNumberFormat="1" applyFont="1" applyBorder="1" applyAlignment="1">
      <alignment horizontal="center"/>
    </xf>
    <xf numFmtId="0" fontId="16" fillId="0" borderId="0" xfId="0" applyFont="1"/>
    <xf numFmtId="175" fontId="14" fillId="0" borderId="0" xfId="3" applyNumberFormat="1" applyFont="1" applyBorder="1" applyAlignment="1">
      <alignment horizontal="center"/>
    </xf>
    <xf numFmtId="0" fontId="0" fillId="0" borderId="20" xfId="0" applyFont="1" applyBorder="1" applyAlignment="1">
      <alignment horizontal="left"/>
    </xf>
    <xf numFmtId="167" fontId="0" fillId="0" borderId="21" xfId="2" applyNumberFormat="1" applyFont="1" applyBorder="1" applyAlignment="1">
      <alignment horizontal="center"/>
    </xf>
    <xf numFmtId="10" fontId="0" fillId="0" borderId="21" xfId="3" applyNumberFormat="1" applyFont="1" applyBorder="1" applyAlignment="1">
      <alignment horizontal="center"/>
    </xf>
    <xf numFmtId="2" fontId="0" fillId="0" borderId="21" xfId="3" applyNumberFormat="1" applyFont="1" applyBorder="1" applyAlignment="1">
      <alignment horizontal="center"/>
    </xf>
    <xf numFmtId="0" fontId="18" fillId="0" borderId="22" xfId="0" applyFont="1" applyBorder="1" applyAlignment="1">
      <alignment horizontal="right" vertical="center"/>
    </xf>
    <xf numFmtId="43" fontId="14" fillId="0" borderId="0" xfId="1" applyFont="1"/>
    <xf numFmtId="43" fontId="14" fillId="0" borderId="0" xfId="1" applyFont="1" applyAlignment="1">
      <alignment horizontal="right"/>
    </xf>
    <xf numFmtId="166" fontId="14" fillId="0" borderId="0" xfId="1" applyNumberFormat="1" applyFont="1"/>
    <xf numFmtId="0" fontId="14" fillId="0" borderId="0" xfId="0" applyFont="1" applyAlignment="1">
      <alignment horizontal="right"/>
    </xf>
    <xf numFmtId="43" fontId="14" fillId="0" borderId="0" xfId="1" applyNumberFormat="1" applyFont="1"/>
    <xf numFmtId="10" fontId="5" fillId="0" borderId="0" xfId="0" applyNumberFormat="1" applyFont="1"/>
    <xf numFmtId="14" fontId="5" fillId="0" borderId="0" xfId="3" applyNumberFormat="1" applyFont="1" applyFill="1" applyBorder="1"/>
    <xf numFmtId="164" fontId="5" fillId="0" borderId="0" xfId="6" applyFont="1"/>
    <xf numFmtId="10" fontId="5" fillId="0" borderId="0" xfId="3" applyNumberFormat="1" applyFont="1"/>
    <xf numFmtId="44" fontId="14" fillId="0" borderId="0" xfId="0" applyNumberFormat="1" applyFont="1"/>
    <xf numFmtId="167" fontId="0" fillId="0" borderId="0" xfId="0" applyNumberFormat="1" applyFont="1"/>
    <xf numFmtId="0" fontId="15" fillId="13" borderId="0" xfId="0" applyFont="1" applyFill="1"/>
    <xf numFmtId="178" fontId="0" fillId="0" borderId="0" xfId="3" applyNumberFormat="1" applyFont="1" applyBorder="1" applyAlignment="1">
      <alignment horizontal="center"/>
    </xf>
    <xf numFmtId="167" fontId="0" fillId="0" borderId="11" xfId="2" applyNumberFormat="1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2" fontId="0" fillId="0" borderId="12" xfId="2" applyNumberFormat="1" applyFont="1" applyBorder="1" applyAlignment="1">
      <alignment horizontal="center"/>
    </xf>
    <xf numFmtId="0" fontId="0" fillId="0" borderId="12" xfId="0" applyFont="1" applyBorder="1" applyAlignment="1">
      <alignment horizontal="left"/>
    </xf>
    <xf numFmtId="2" fontId="5" fillId="0" borderId="0" xfId="3" applyNumberFormat="1" applyFont="1"/>
    <xf numFmtId="44" fontId="0" fillId="0" borderId="11" xfId="2" applyFont="1" applyBorder="1" applyAlignment="1">
      <alignment horizontal="left"/>
    </xf>
    <xf numFmtId="0" fontId="5" fillId="13" borderId="0" xfId="0" applyFont="1" applyFill="1" applyBorder="1"/>
    <xf numFmtId="179" fontId="0" fillId="0" borderId="11" xfId="2" applyNumberFormat="1" applyFont="1" applyBorder="1" applyAlignment="1">
      <alignment horizontal="left"/>
    </xf>
    <xf numFmtId="0" fontId="19" fillId="0" borderId="0" xfId="0" applyFont="1"/>
    <xf numFmtId="0" fontId="5" fillId="0" borderId="0" xfId="0" applyFont="1" applyBorder="1"/>
    <xf numFmtId="0" fontId="15" fillId="0" borderId="0" xfId="0" applyFont="1" applyFill="1" applyAlignment="1">
      <alignment horizontal="right" vertical="center"/>
    </xf>
    <xf numFmtId="10" fontId="14" fillId="0" borderId="0" xfId="1" applyNumberFormat="1" applyFont="1" applyAlignment="1">
      <alignment horizontal="right"/>
    </xf>
    <xf numFmtId="0" fontId="0" fillId="0" borderId="20" xfId="3" applyNumberFormat="1" applyFont="1" applyBorder="1" applyAlignment="1">
      <alignment horizontal="center"/>
    </xf>
    <xf numFmtId="174" fontId="0" fillId="0" borderId="12" xfId="3" applyNumberFormat="1" applyFont="1" applyBorder="1" applyAlignment="1">
      <alignment horizontal="center"/>
    </xf>
    <xf numFmtId="166" fontId="0" fillId="0" borderId="0" xfId="1" applyNumberFormat="1" applyFont="1"/>
    <xf numFmtId="0" fontId="3" fillId="0" borderId="26" xfId="0" applyFont="1" applyBorder="1" applyAlignment="1">
      <alignment vertical="center"/>
    </xf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vertical="center"/>
    </xf>
    <xf numFmtId="0" fontId="0" fillId="0" borderId="19" xfId="0" applyFill="1" applyBorder="1"/>
    <xf numFmtId="167" fontId="0" fillId="0" borderId="19" xfId="2" applyNumberFormat="1" applyFont="1" applyBorder="1"/>
    <xf numFmtId="167" fontId="14" fillId="0" borderId="19" xfId="2" applyNumberFormat="1" applyFont="1" applyBorder="1"/>
    <xf numFmtId="167" fontId="14" fillId="0" borderId="28" xfId="2" applyNumberFormat="1" applyFont="1" applyBorder="1"/>
    <xf numFmtId="0" fontId="3" fillId="0" borderId="14" xfId="0" applyFont="1" applyBorder="1" applyAlignment="1">
      <alignment vertical="center"/>
    </xf>
    <xf numFmtId="0" fontId="0" fillId="15" borderId="0" xfId="0" applyFill="1" applyBorder="1"/>
    <xf numFmtId="181" fontId="0" fillId="0" borderId="15" xfId="0" applyNumberFormat="1" applyBorder="1"/>
    <xf numFmtId="181" fontId="0" fillId="0" borderId="16" xfId="0" applyNumberFormat="1" applyBorder="1"/>
    <xf numFmtId="17" fontId="3" fillId="0" borderId="0" xfId="0" applyNumberFormat="1" applyFont="1" applyAlignment="1">
      <alignment horizontal="left"/>
    </xf>
    <xf numFmtId="0" fontId="3" fillId="0" borderId="17" xfId="0" applyFont="1" applyBorder="1" applyAlignment="1">
      <alignment vertical="center"/>
    </xf>
    <xf numFmtId="181" fontId="0" fillId="0" borderId="0" xfId="0" applyNumberFormat="1" applyBorder="1"/>
    <xf numFmtId="181" fontId="0" fillId="0" borderId="18" xfId="0" applyNumberFormat="1" applyBorder="1"/>
    <xf numFmtId="181" fontId="0" fillId="0" borderId="19" xfId="0" applyNumberFormat="1" applyBorder="1"/>
    <xf numFmtId="181" fontId="0" fillId="0" borderId="28" xfId="0" applyNumberFormat="1" applyBorder="1"/>
    <xf numFmtId="0" fontId="3" fillId="0" borderId="7" xfId="0" applyFont="1" applyBorder="1" applyAlignment="1">
      <alignment vertical="center"/>
    </xf>
    <xf numFmtId="0" fontId="0" fillId="0" borderId="25" xfId="0" applyFill="1" applyBorder="1"/>
    <xf numFmtId="167" fontId="0" fillId="0" borderId="25" xfId="2" applyNumberFormat="1" applyFont="1" applyBorder="1"/>
    <xf numFmtId="167" fontId="0" fillId="0" borderId="8" xfId="2" applyNumberFormat="1" applyFont="1" applyBorder="1"/>
    <xf numFmtId="0" fontId="0" fillId="15" borderId="15" xfId="0" applyFill="1" applyBorder="1"/>
    <xf numFmtId="167" fontId="0" fillId="0" borderId="15" xfId="2" applyNumberFormat="1" applyFont="1" applyBorder="1"/>
    <xf numFmtId="167" fontId="0" fillId="0" borderId="16" xfId="2" applyNumberFormat="1" applyFont="1" applyBorder="1"/>
    <xf numFmtId="167" fontId="0" fillId="0" borderId="0" xfId="2" applyNumberFormat="1" applyFont="1" applyBorder="1"/>
    <xf numFmtId="167" fontId="0" fillId="0" borderId="18" xfId="2" applyNumberFormat="1" applyFont="1" applyBorder="1"/>
    <xf numFmtId="0" fontId="0" fillId="15" borderId="19" xfId="0" applyFill="1" applyBorder="1"/>
    <xf numFmtId="167" fontId="0" fillId="0" borderId="28" xfId="2" applyNumberFormat="1" applyFont="1" applyBorder="1"/>
    <xf numFmtId="0" fontId="3" fillId="0" borderId="0" xfId="0" applyFont="1" applyAlignment="1">
      <alignment vertical="center"/>
    </xf>
    <xf numFmtId="167" fontId="13" fillId="0" borderId="13" xfId="2" applyNumberFormat="1" applyFont="1" applyBorder="1"/>
    <xf numFmtId="176" fontId="14" fillId="0" borderId="13" xfId="1" applyNumberFormat="1" applyFont="1" applyBorder="1"/>
    <xf numFmtId="167" fontId="14" fillId="0" borderId="13" xfId="2" applyNumberFormat="1" applyFont="1" applyBorder="1"/>
    <xf numFmtId="0" fontId="3" fillId="0" borderId="13" xfId="0" applyFont="1" applyBorder="1"/>
    <xf numFmtId="0" fontId="0" fillId="0" borderId="13" xfId="0" applyBorder="1"/>
    <xf numFmtId="182" fontId="0" fillId="0" borderId="0" xfId="1" applyNumberFormat="1" applyFont="1"/>
    <xf numFmtId="43" fontId="0" fillId="0" borderId="0" xfId="1" applyFont="1"/>
    <xf numFmtId="0" fontId="0" fillId="0" borderId="0" xfId="0" applyAlignment="1">
      <alignment wrapText="1"/>
    </xf>
    <xf numFmtId="166" fontId="0" fillId="0" borderId="0" xfId="0" applyNumberFormat="1"/>
    <xf numFmtId="0" fontId="0" fillId="0" borderId="0" xfId="0" applyFill="1"/>
    <xf numFmtId="167" fontId="0" fillId="0" borderId="0" xfId="2" applyNumberFormat="1" applyFont="1"/>
    <xf numFmtId="14" fontId="0" fillId="0" borderId="0" xfId="0" applyNumberFormat="1"/>
    <xf numFmtId="2" fontId="0" fillId="0" borderId="0" xfId="0" applyNumberFormat="1"/>
    <xf numFmtId="168" fontId="0" fillId="0" borderId="21" xfId="3" applyNumberFormat="1" applyFont="1" applyBorder="1" applyAlignment="1">
      <alignment horizontal="center"/>
    </xf>
    <xf numFmtId="44" fontId="5" fillId="0" borderId="0" xfId="2" applyFont="1"/>
    <xf numFmtId="0" fontId="0" fillId="0" borderId="0" xfId="0" applyAlignment="1">
      <alignment horizontal="center"/>
    </xf>
    <xf numFmtId="168" fontId="0" fillId="0" borderId="0" xfId="0" applyNumberFormat="1"/>
    <xf numFmtId="3" fontId="0" fillId="0" borderId="0" xfId="0" applyNumberFormat="1"/>
    <xf numFmtId="167" fontId="0" fillId="0" borderId="0" xfId="0" applyNumberFormat="1"/>
    <xf numFmtId="0" fontId="0" fillId="39" borderId="38" xfId="0" applyFill="1" applyBorder="1" applyAlignment="1">
      <alignment wrapText="1"/>
    </xf>
    <xf numFmtId="4" fontId="0" fillId="39" borderId="38" xfId="0" applyNumberFormat="1" applyFill="1" applyBorder="1" applyAlignment="1">
      <alignment wrapText="1"/>
    </xf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0" fontId="3" fillId="0" borderId="0" xfId="0" applyFont="1" applyAlignment="1">
      <alignment horizontal="center"/>
    </xf>
    <xf numFmtId="173" fontId="8" fillId="0" borderId="0" xfId="2" applyNumberFormat="1" applyFont="1" applyAlignment="1"/>
    <xf numFmtId="2" fontId="0" fillId="0" borderId="0" xfId="3" applyNumberFormat="1" applyFont="1"/>
    <xf numFmtId="167" fontId="0" fillId="40" borderId="0" xfId="2" applyNumberFormat="1" applyFont="1" applyFill="1"/>
    <xf numFmtId="170" fontId="0" fillId="0" borderId="0" xfId="3" applyNumberFormat="1" applyFont="1"/>
    <xf numFmtId="10" fontId="0" fillId="0" borderId="0" xfId="3" applyNumberFormat="1" applyFont="1" applyBorder="1" applyAlignment="1">
      <alignment horizontal="center"/>
    </xf>
    <xf numFmtId="10" fontId="8" fillId="0" borderId="0" xfId="3" applyNumberFormat="1" applyFont="1" applyAlignment="1"/>
    <xf numFmtId="0" fontId="0" fillId="0" borderId="0" xfId="0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168" fontId="0" fillId="0" borderId="0" xfId="3" applyNumberFormat="1" applyFont="1"/>
    <xf numFmtId="179" fontId="5" fillId="0" borderId="0" xfId="2" applyNumberFormat="1" applyFont="1"/>
    <xf numFmtId="0" fontId="3" fillId="40" borderId="17" xfId="0" applyFont="1" applyFill="1" applyBorder="1" applyAlignment="1">
      <alignment vertical="center"/>
    </xf>
    <xf numFmtId="0" fontId="0" fillId="40" borderId="0" xfId="0" applyFill="1" applyBorder="1"/>
    <xf numFmtId="181" fontId="0" fillId="40" borderId="0" xfId="0" applyNumberFormat="1" applyFill="1" applyBorder="1"/>
    <xf numFmtId="181" fontId="0" fillId="40" borderId="18" xfId="0" applyNumberFormat="1" applyFill="1" applyBorder="1"/>
    <xf numFmtId="167" fontId="0" fillId="40" borderId="0" xfId="2" applyNumberFormat="1" applyFont="1" applyFill="1" applyBorder="1"/>
    <xf numFmtId="167" fontId="0" fillId="40" borderId="18" xfId="2" applyNumberFormat="1" applyFont="1" applyFill="1" applyBorder="1"/>
    <xf numFmtId="186" fontId="5" fillId="0" borderId="0" xfId="3" applyNumberFormat="1" applyFont="1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44" fontId="0" fillId="0" borderId="0" xfId="2" applyFont="1" applyFill="1"/>
    <xf numFmtId="1" fontId="0" fillId="0" borderId="0" xfId="2" applyNumberFormat="1" applyFont="1"/>
    <xf numFmtId="1" fontId="0" fillId="0" borderId="0" xfId="2" applyNumberFormat="1" applyFont="1" applyFill="1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2" fontId="5" fillId="0" borderId="0" xfId="0" applyNumberFormat="1" applyFont="1"/>
    <xf numFmtId="10" fontId="9" fillId="0" borderId="0" xfId="3" applyNumberFormat="1" applyFont="1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2" fontId="0" fillId="0" borderId="12" xfId="3" applyNumberFormat="1" applyFont="1" applyBorder="1" applyAlignment="1">
      <alignment horizontal="center"/>
    </xf>
    <xf numFmtId="187" fontId="5" fillId="0" borderId="0" xfId="0" applyNumberFormat="1" applyFont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0" fontId="0" fillId="0" borderId="42" xfId="0" applyBorder="1"/>
    <xf numFmtId="0" fontId="0" fillId="0" borderId="0" xfId="0" applyBorder="1"/>
    <xf numFmtId="0" fontId="0" fillId="0" borderId="43" xfId="0" applyBorder="1"/>
    <xf numFmtId="0" fontId="44" fillId="0" borderId="0" xfId="0" applyFont="1" applyBorder="1"/>
    <xf numFmtId="0" fontId="43" fillId="0" borderId="0" xfId="0" applyFont="1" applyBorder="1"/>
    <xf numFmtId="0" fontId="45" fillId="0" borderId="0" xfId="0" applyFont="1" applyBorder="1" applyAlignment="1">
      <alignment horizontal="center"/>
    </xf>
    <xf numFmtId="0" fontId="44" fillId="0" borderId="0" xfId="0" applyFont="1" applyBorder="1" applyAlignment="1">
      <alignment horizontal="center"/>
    </xf>
    <xf numFmtId="0" fontId="45" fillId="0" borderId="0" xfId="0" applyFont="1" applyBorder="1"/>
    <xf numFmtId="0" fontId="0" fillId="0" borderId="44" xfId="0" applyBorder="1"/>
    <xf numFmtId="0" fontId="0" fillId="0" borderId="45" xfId="0" applyBorder="1"/>
    <xf numFmtId="0" fontId="5" fillId="0" borderId="45" xfId="0" applyFont="1" applyBorder="1"/>
    <xf numFmtId="0" fontId="0" fillId="0" borderId="46" xfId="0" applyBorder="1"/>
    <xf numFmtId="0" fontId="0" fillId="41" borderId="39" xfId="0" applyFill="1" applyBorder="1"/>
    <xf numFmtId="0" fontId="0" fillId="41" borderId="40" xfId="0" applyFill="1" applyBorder="1"/>
    <xf numFmtId="0" fontId="0" fillId="41" borderId="41" xfId="0" applyFill="1" applyBorder="1"/>
    <xf numFmtId="0" fontId="46" fillId="41" borderId="40" xfId="0" applyFont="1" applyFill="1" applyBorder="1"/>
    <xf numFmtId="166" fontId="45" fillId="0" borderId="0" xfId="1" applyNumberFormat="1" applyFont="1" applyBorder="1" applyAlignment="1"/>
    <xf numFmtId="0" fontId="3" fillId="0" borderId="0" xfId="0" applyNumberFormat="1" applyFont="1" applyAlignment="1">
      <alignment horizontal="left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166" fontId="5" fillId="0" borderId="0" xfId="1" applyNumberFormat="1" applyFont="1"/>
    <xf numFmtId="0" fontId="0" fillId="0" borderId="23" xfId="0" applyBorder="1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5" fontId="0" fillId="0" borderId="12" xfId="2" applyNumberFormat="1" applyFont="1" applyBorder="1" applyAlignment="1">
      <alignment horizontal="center"/>
    </xf>
    <xf numFmtId="0" fontId="0" fillId="0" borderId="0" xfId="0"/>
    <xf numFmtId="14" fontId="0" fillId="0" borderId="0" xfId="0" applyNumberFormat="1"/>
    <xf numFmtId="10" fontId="0" fillId="0" borderId="0" xfId="0" applyNumberFormat="1"/>
    <xf numFmtId="166" fontId="0" fillId="0" borderId="0" xfId="1" applyNumberFormat="1" applyFont="1" applyAlignment="1">
      <alignment horizontal="lef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0" fontId="4" fillId="46" borderId="0" xfId="0" applyFont="1" applyFill="1"/>
    <xf numFmtId="166" fontId="4" fillId="46" borderId="0" xfId="0" applyNumberFormat="1" applyFont="1" applyFill="1"/>
    <xf numFmtId="2" fontId="4" fillId="46" borderId="0" xfId="0" applyNumberFormat="1" applyFont="1" applyFill="1" applyAlignment="1">
      <alignment horizontal="center"/>
    </xf>
    <xf numFmtId="166" fontId="4" fillId="46" borderId="0" xfId="1" applyNumberFormat="1" applyFont="1" applyFill="1"/>
    <xf numFmtId="0" fontId="0" fillId="0" borderId="48" xfId="0" applyBorder="1"/>
    <xf numFmtId="166" fontId="0" fillId="0" borderId="48" xfId="1" applyNumberFormat="1" applyFont="1" applyBorder="1"/>
    <xf numFmtId="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left"/>
    </xf>
    <xf numFmtId="0" fontId="52" fillId="0" borderId="0" xfId="0" applyFont="1"/>
    <xf numFmtId="0" fontId="2" fillId="46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 wrapText="1"/>
    </xf>
    <xf numFmtId="0" fontId="2" fillId="46" borderId="0" xfId="0" applyFont="1" applyFill="1" applyAlignment="1">
      <alignment horizontal="left" vertical="center" wrapText="1"/>
    </xf>
    <xf numFmtId="171" fontId="0" fillId="0" borderId="0" xfId="0" applyNumberFormat="1"/>
    <xf numFmtId="0" fontId="0" fillId="47" borderId="0" xfId="0" applyFill="1"/>
    <xf numFmtId="14" fontId="0" fillId="13" borderId="0" xfId="0" applyNumberFormat="1" applyFill="1"/>
    <xf numFmtId="0" fontId="0" fillId="13" borderId="0" xfId="0" applyFill="1"/>
    <xf numFmtId="43" fontId="0" fillId="13" borderId="0" xfId="1" applyFont="1" applyFill="1"/>
    <xf numFmtId="10" fontId="0" fillId="13" borderId="0" xfId="3" applyNumberFormat="1" applyFont="1" applyFill="1"/>
    <xf numFmtId="0" fontId="0" fillId="13" borderId="0" xfId="0" applyFill="1" applyAlignment="1">
      <alignment horizontal="right"/>
    </xf>
    <xf numFmtId="0" fontId="4" fillId="0" borderId="0" xfId="0" applyFont="1"/>
    <xf numFmtId="166" fontId="19" fillId="0" borderId="0" xfId="1" applyNumberFormat="1" applyFont="1"/>
    <xf numFmtId="0" fontId="54" fillId="0" borderId="17" xfId="0" applyFont="1" applyBorder="1" applyAlignment="1">
      <alignment vertical="center"/>
    </xf>
    <xf numFmtId="0" fontId="53" fillId="15" borderId="0" xfId="0" applyFont="1" applyFill="1" applyBorder="1"/>
    <xf numFmtId="2" fontId="0" fillId="0" borderId="0" xfId="0" applyNumberFormat="1" applyAlignment="1">
      <alignment horizontal="left"/>
    </xf>
    <xf numFmtId="0" fontId="52" fillId="0" borderId="0" xfId="0" applyFont="1" applyAlignment="1">
      <alignment horizontal="right"/>
    </xf>
    <xf numFmtId="174" fontId="52" fillId="0" borderId="0" xfId="0" applyNumberFormat="1" applyFont="1" applyAlignment="1">
      <alignment horizontal="left"/>
    </xf>
    <xf numFmtId="2" fontId="52" fillId="0" borderId="0" xfId="0" applyNumberFormat="1" applyFont="1" applyAlignment="1">
      <alignment horizontal="left"/>
    </xf>
    <xf numFmtId="2" fontId="52" fillId="0" borderId="23" xfId="0" applyNumberFormat="1" applyFont="1" applyBorder="1" applyAlignment="1">
      <alignment horizontal="left"/>
    </xf>
    <xf numFmtId="166" fontId="0" fillId="47" borderId="0" xfId="1" applyNumberFormat="1" applyFont="1" applyFill="1"/>
    <xf numFmtId="14" fontId="0" fillId="0" borderId="0" xfId="0" applyNumberFormat="1" applyAlignment="1">
      <alignment horizontal="center"/>
    </xf>
    <xf numFmtId="166" fontId="44" fillId="42" borderId="0" xfId="0" applyNumberFormat="1" applyFont="1" applyFill="1" applyBorder="1"/>
    <xf numFmtId="0" fontId="0" fillId="0" borderId="0" xfId="0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0" fontId="0" fillId="0" borderId="23" xfId="0" applyBorder="1" applyAlignment="1">
      <alignment horizontal="center"/>
    </xf>
    <xf numFmtId="2" fontId="3" fillId="0" borderId="0" xfId="0" applyNumberFormat="1" applyFont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" fontId="3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0" fontId="0" fillId="49" borderId="0" xfId="0" applyFill="1"/>
    <xf numFmtId="164" fontId="8" fillId="0" borderId="0" xfId="3" applyNumberFormat="1" applyFont="1" applyAlignment="1">
      <alignment horizontal="left"/>
    </xf>
    <xf numFmtId="167" fontId="8" fillId="0" borderId="0" xfId="2" applyNumberFormat="1" applyFont="1" applyAlignment="1">
      <alignment horizontal="right"/>
    </xf>
    <xf numFmtId="14" fontId="6" fillId="0" borderId="0" xfId="6" applyNumberFormat="1" applyFont="1" applyAlignment="1">
      <alignment horizontal="center"/>
    </xf>
    <xf numFmtId="173" fontId="8" fillId="0" borderId="0" xfId="2" applyNumberFormat="1" applyFont="1" applyAlignment="1">
      <alignment horizontal="right"/>
    </xf>
    <xf numFmtId="0" fontId="0" fillId="0" borderId="0" xfId="0" pivotButton="1"/>
    <xf numFmtId="164" fontId="57" fillId="0" borderId="0" xfId="3" applyNumberFormat="1" applyFont="1" applyAlignment="1">
      <alignment horizontal="left"/>
    </xf>
    <xf numFmtId="174" fontId="0" fillId="0" borderId="0" xfId="0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49" xfId="0" applyFont="1" applyBorder="1" applyAlignment="1">
      <alignment horizontal="left"/>
    </xf>
    <xf numFmtId="167" fontId="0" fillId="0" borderId="50" xfId="2" applyNumberFormat="1" applyFont="1" applyBorder="1" applyAlignment="1">
      <alignment horizontal="center"/>
    </xf>
    <xf numFmtId="10" fontId="0" fillId="0" borderId="50" xfId="3" applyNumberFormat="1" applyFont="1" applyBorder="1" applyAlignment="1">
      <alignment horizontal="center"/>
    </xf>
    <xf numFmtId="10" fontId="0" fillId="0" borderId="49" xfId="3" applyNumberFormat="1" applyFont="1" applyBorder="1" applyAlignment="1">
      <alignment horizontal="center"/>
    </xf>
    <xf numFmtId="1" fontId="0" fillId="0" borderId="50" xfId="3" applyNumberFormat="1" applyFont="1" applyBorder="1" applyAlignment="1">
      <alignment horizontal="center"/>
    </xf>
    <xf numFmtId="1" fontId="0" fillId="0" borderId="51" xfId="0" applyNumberFormat="1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168" fontId="0" fillId="0" borderId="51" xfId="3" applyNumberFormat="1" applyFont="1" applyBorder="1" applyAlignment="1">
      <alignment horizontal="center"/>
    </xf>
    <xf numFmtId="10" fontId="0" fillId="0" borderId="51" xfId="3" applyNumberFormat="1" applyFont="1" applyBorder="1" applyAlignment="1">
      <alignment horizontal="center"/>
    </xf>
    <xf numFmtId="166" fontId="58" fillId="13" borderId="52" xfId="5" applyNumberFormat="1" applyFont="1" applyFill="1" applyBorder="1" applyAlignment="1">
      <alignment horizontal="center" vertical="center"/>
    </xf>
    <xf numFmtId="166" fontId="59" fillId="13" borderId="52" xfId="5" applyNumberFormat="1" applyFont="1" applyFill="1" applyBorder="1" applyAlignment="1">
      <alignment horizontal="center" vertical="center"/>
    </xf>
    <xf numFmtId="0" fontId="0" fillId="0" borderId="53" xfId="0" applyFont="1" applyBorder="1"/>
    <xf numFmtId="10" fontId="0" fillId="0" borderId="53" xfId="3" applyNumberFormat="1" applyFont="1" applyBorder="1" applyAlignment="1">
      <alignment horizontal="center"/>
    </xf>
    <xf numFmtId="168" fontId="19" fillId="0" borderId="53" xfId="0" applyNumberFormat="1" applyFont="1" applyFill="1" applyBorder="1" applyAlignment="1">
      <alignment horizontal="center"/>
    </xf>
    <xf numFmtId="174" fontId="0" fillId="0" borderId="54" xfId="0" applyNumberFormat="1" applyFont="1" applyBorder="1" applyAlignment="1">
      <alignment horizontal="center"/>
    </xf>
    <xf numFmtId="1" fontId="0" fillId="0" borderId="55" xfId="0" applyNumberFormat="1" applyFont="1" applyBorder="1" applyAlignment="1">
      <alignment horizontal="center"/>
    </xf>
    <xf numFmtId="178" fontId="0" fillId="0" borderId="55" xfId="3" applyNumberFormat="1" applyFont="1" applyBorder="1" applyAlignment="1">
      <alignment horizontal="center"/>
    </xf>
    <xf numFmtId="0" fontId="0" fillId="0" borderId="52" xfId="0" applyFont="1" applyBorder="1"/>
    <xf numFmtId="178" fontId="0" fillId="0" borderId="52" xfId="3" applyNumberFormat="1" applyFont="1" applyBorder="1" applyAlignment="1">
      <alignment horizontal="center"/>
    </xf>
    <xf numFmtId="184" fontId="60" fillId="0" borderId="52" xfId="0" applyNumberFormat="1" applyFont="1" applyFill="1" applyBorder="1" applyAlignment="1">
      <alignment horizontal="center"/>
    </xf>
    <xf numFmtId="164" fontId="8" fillId="0" borderId="0" xfId="3" applyNumberFormat="1" applyFont="1" applyAlignment="1">
      <alignment horizontal="left"/>
    </xf>
    <xf numFmtId="10" fontId="8" fillId="0" borderId="0" xfId="3" applyNumberFormat="1" applyFont="1" applyAlignment="1">
      <alignment horizontal="right"/>
    </xf>
    <xf numFmtId="164" fontId="8" fillId="0" borderId="0" xfId="3" applyNumberFormat="1" applyFont="1" applyAlignment="1">
      <alignment horizontal="left"/>
    </xf>
    <xf numFmtId="0" fontId="0" fillId="0" borderId="0" xfId="0" applyFont="1" applyFill="1"/>
    <xf numFmtId="0" fontId="5" fillId="0" borderId="48" xfId="0" applyFont="1" applyBorder="1"/>
    <xf numFmtId="0" fontId="62" fillId="0" borderId="0" xfId="0" applyFont="1"/>
    <xf numFmtId="0" fontId="62" fillId="0" borderId="10" xfId="0" applyFont="1" applyBorder="1" applyAlignment="1">
      <alignment vertical="center"/>
    </xf>
    <xf numFmtId="0" fontId="62" fillId="0" borderId="10" xfId="0" applyFont="1" applyBorder="1" applyAlignment="1">
      <alignment horizontal="left" vertical="center"/>
    </xf>
    <xf numFmtId="0" fontId="62" fillId="0" borderId="10" xfId="0" applyFont="1" applyBorder="1" applyAlignment="1">
      <alignment horizontal="center" vertical="center"/>
    </xf>
    <xf numFmtId="0" fontId="61" fillId="0" borderId="10" xfId="0" applyFont="1" applyBorder="1" applyAlignment="1">
      <alignment vertical="center"/>
    </xf>
    <xf numFmtId="0" fontId="61" fillId="0" borderId="10" xfId="0" applyFont="1" applyBorder="1" applyAlignment="1">
      <alignment horizontal="center" vertical="center"/>
    </xf>
    <xf numFmtId="0" fontId="63" fillId="0" borderId="0" xfId="0" applyFont="1" applyFill="1"/>
    <xf numFmtId="171" fontId="63" fillId="0" borderId="57" xfId="0" applyNumberFormat="1" applyFont="1" applyFill="1" applyBorder="1" applyAlignment="1">
      <alignment horizontal="center"/>
    </xf>
    <xf numFmtId="174" fontId="63" fillId="0" borderId="0" xfId="0" applyNumberFormat="1" applyFont="1" applyBorder="1" applyAlignment="1">
      <alignment horizontal="center"/>
    </xf>
    <xf numFmtId="175" fontId="63" fillId="0" borderId="0" xfId="3" applyNumberFormat="1" applyFont="1" applyBorder="1" applyAlignment="1">
      <alignment horizontal="center"/>
    </xf>
    <xf numFmtId="1" fontId="63" fillId="0" borderId="0" xfId="0" applyNumberFormat="1" applyFont="1" applyBorder="1" applyAlignment="1">
      <alignment horizontal="center"/>
    </xf>
    <xf numFmtId="0" fontId="63" fillId="0" borderId="56" xfId="0" applyFont="1" applyFill="1" applyBorder="1"/>
    <xf numFmtId="175" fontId="63" fillId="0" borderId="56" xfId="3" applyNumberFormat="1" applyFont="1" applyFill="1" applyBorder="1" applyAlignment="1">
      <alignment horizontal="center"/>
    </xf>
    <xf numFmtId="175" fontId="63" fillId="0" borderId="56" xfId="0" applyNumberFormat="1" applyFont="1" applyFill="1" applyBorder="1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23" xfId="1" applyNumberFormat="1" applyFont="1" applyBorder="1" applyAlignment="1">
      <alignment horizontal="center"/>
    </xf>
    <xf numFmtId="10" fontId="14" fillId="0" borderId="0" xfId="1" applyNumberFormat="1" applyFont="1"/>
    <xf numFmtId="166" fontId="0" fillId="0" borderId="0" xfId="1" applyNumberFormat="1" applyFont="1" applyBorder="1"/>
    <xf numFmtId="183" fontId="0" fillId="0" borderId="59" xfId="0" applyNumberFormat="1" applyBorder="1" applyAlignment="1">
      <alignment wrapText="1"/>
    </xf>
    <xf numFmtId="4" fontId="0" fillId="0" borderId="60" xfId="0" applyNumberFormat="1" applyBorder="1" applyAlignment="1">
      <alignment wrapText="1"/>
    </xf>
    <xf numFmtId="166" fontId="9" fillId="0" borderId="0" xfId="1" applyNumberFormat="1" applyFont="1"/>
    <xf numFmtId="168" fontId="9" fillId="0" borderId="0" xfId="3" applyNumberFormat="1" applyFont="1"/>
    <xf numFmtId="166" fontId="9" fillId="0" borderId="0" xfId="0" applyNumberFormat="1" applyFont="1" applyAlignment="1">
      <alignment horizontal="center"/>
    </xf>
    <xf numFmtId="43" fontId="9" fillId="0" borderId="0" xfId="1" applyFont="1" applyAlignment="1">
      <alignment horizontal="center"/>
    </xf>
    <xf numFmtId="0" fontId="64" fillId="0" borderId="0" xfId="0" applyFont="1"/>
    <xf numFmtId="0" fontId="64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9" fillId="0" borderId="0" xfId="1" applyNumberFormat="1" applyFont="1" applyAlignment="1">
      <alignment horizontal="center"/>
    </xf>
    <xf numFmtId="176" fontId="3" fillId="0" borderId="0" xfId="1" applyNumberFormat="1" applyFont="1" applyAlignment="1">
      <alignment horizontal="left"/>
    </xf>
    <xf numFmtId="166" fontId="0" fillId="0" borderId="0" xfId="1" applyNumberFormat="1" applyFont="1" applyFill="1" applyBorder="1"/>
    <xf numFmtId="166" fontId="0" fillId="0" borderId="23" xfId="1" applyNumberFormat="1" applyFont="1" applyBorder="1"/>
    <xf numFmtId="0" fontId="0" fillId="0" borderId="0" xfId="0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14" fontId="9" fillId="0" borderId="0" xfId="0" applyNumberFormat="1" applyFont="1" applyFill="1"/>
    <xf numFmtId="49" fontId="9" fillId="0" borderId="0" xfId="0" applyNumberFormat="1" applyFont="1" applyFill="1"/>
    <xf numFmtId="0" fontId="9" fillId="0" borderId="0" xfId="0" applyFont="1" applyFill="1"/>
    <xf numFmtId="10" fontId="65" fillId="0" borderId="0" xfId="0" applyNumberFormat="1" applyFont="1" applyFill="1"/>
    <xf numFmtId="4" fontId="0" fillId="0" borderId="38" xfId="0" applyNumberFormat="1" applyBorder="1" applyAlignment="1">
      <alignment wrapText="1"/>
    </xf>
    <xf numFmtId="183" fontId="0" fillId="0" borderId="38" xfId="0" applyNumberFormat="1" applyBorder="1" applyAlignment="1">
      <alignment wrapText="1"/>
    </xf>
    <xf numFmtId="0" fontId="66" fillId="2" borderId="1" xfId="0" applyFont="1" applyFill="1" applyBorder="1"/>
    <xf numFmtId="0" fontId="66" fillId="2" borderId="2" xfId="0" applyFont="1" applyFill="1" applyBorder="1"/>
    <xf numFmtId="44" fontId="66" fillId="2" borderId="2" xfId="2" applyFont="1" applyFill="1" applyBorder="1"/>
    <xf numFmtId="10" fontId="66" fillId="2" borderId="2" xfId="3" applyNumberFormat="1" applyFont="1" applyFill="1" applyBorder="1"/>
    <xf numFmtId="2" fontId="66" fillId="2" borderId="2" xfId="0" applyNumberFormat="1" applyFont="1" applyFill="1" applyBorder="1"/>
    <xf numFmtId="188" fontId="66" fillId="2" borderId="2" xfId="3" applyNumberFormat="1" applyFont="1" applyFill="1" applyBorder="1"/>
    <xf numFmtId="0" fontId="66" fillId="2" borderId="2" xfId="0" applyFont="1" applyFill="1" applyBorder="1" applyAlignment="1">
      <alignment horizontal="center"/>
    </xf>
    <xf numFmtId="0" fontId="67" fillId="0" borderId="0" xfId="0" applyFont="1"/>
    <xf numFmtId="0" fontId="68" fillId="3" borderId="3" xfId="0" applyFont="1" applyFill="1" applyBorder="1"/>
    <xf numFmtId="0" fontId="68" fillId="3" borderId="4" xfId="0" applyFont="1" applyFill="1" applyBorder="1"/>
    <xf numFmtId="44" fontId="68" fillId="3" borderId="4" xfId="2" applyFont="1" applyFill="1" applyBorder="1"/>
    <xf numFmtId="44" fontId="68" fillId="3" borderId="37" xfId="2" applyFont="1" applyFill="1" applyBorder="1"/>
    <xf numFmtId="10" fontId="68" fillId="3" borderId="5" xfId="3" applyNumberFormat="1" applyFont="1" applyFill="1" applyBorder="1"/>
    <xf numFmtId="2" fontId="68" fillId="3" borderId="4" xfId="0" applyNumberFormat="1" applyFont="1" applyFill="1" applyBorder="1"/>
    <xf numFmtId="0" fontId="68" fillId="0" borderId="0" xfId="0" applyFont="1"/>
    <xf numFmtId="0" fontId="68" fillId="4" borderId="6" xfId="0" applyFont="1" applyFill="1" applyBorder="1"/>
    <xf numFmtId="0" fontId="68" fillId="4" borderId="5" xfId="0" applyFont="1" applyFill="1" applyBorder="1"/>
    <xf numFmtId="44" fontId="68" fillId="4" borderId="5" xfId="2" applyFont="1" applyFill="1" applyBorder="1"/>
    <xf numFmtId="2" fontId="68" fillId="4" borderId="5" xfId="0" applyNumberFormat="1" applyFont="1" applyFill="1" applyBorder="1"/>
    <xf numFmtId="0" fontId="68" fillId="3" borderId="6" xfId="0" applyFont="1" applyFill="1" applyBorder="1"/>
    <xf numFmtId="0" fontId="68" fillId="3" borderId="5" xfId="0" applyFont="1" applyFill="1" applyBorder="1"/>
    <xf numFmtId="44" fontId="68" fillId="3" borderId="5" xfId="2" applyFont="1" applyFill="1" applyBorder="1"/>
    <xf numFmtId="2" fontId="68" fillId="3" borderId="5" xfId="0" applyNumberFormat="1" applyFont="1" applyFill="1" applyBorder="1"/>
    <xf numFmtId="10" fontId="68" fillId="0" borderId="0" xfId="3" applyNumberFormat="1" applyFont="1"/>
    <xf numFmtId="43" fontId="68" fillId="4" borderId="5" xfId="1" applyFont="1" applyFill="1" applyBorder="1"/>
    <xf numFmtId="0" fontId="68" fillId="0" borderId="6" xfId="0" applyFont="1" applyBorder="1"/>
    <xf numFmtId="0" fontId="68" fillId="0" borderId="5" xfId="0" applyFont="1" applyBorder="1"/>
    <xf numFmtId="2" fontId="68" fillId="0" borderId="5" xfId="0" applyNumberFormat="1" applyFont="1" applyBorder="1"/>
    <xf numFmtId="44" fontId="68" fillId="0" borderId="5" xfId="2" applyFont="1" applyBorder="1"/>
    <xf numFmtId="43" fontId="68" fillId="0" borderId="5" xfId="1" applyNumberFormat="1" applyFont="1" applyBorder="1"/>
    <xf numFmtId="10" fontId="68" fillId="0" borderId="5" xfId="3" applyNumberFormat="1" applyFont="1" applyBorder="1"/>
    <xf numFmtId="2" fontId="68" fillId="4" borderId="5" xfId="2" applyNumberFormat="1" applyFont="1" applyFill="1" applyBorder="1"/>
    <xf numFmtId="0" fontId="68" fillId="48" borderId="5" xfId="0" applyFont="1" applyFill="1" applyBorder="1"/>
    <xf numFmtId="43" fontId="68" fillId="3" borderId="5" xfId="1" applyFont="1" applyFill="1" applyBorder="1"/>
    <xf numFmtId="2" fontId="68" fillId="3" borderId="5" xfId="1" applyNumberFormat="1" applyFont="1" applyFill="1" applyBorder="1"/>
    <xf numFmtId="2" fontId="68" fillId="3" borderId="5" xfId="2" applyNumberFormat="1" applyFont="1" applyFill="1" applyBorder="1"/>
    <xf numFmtId="14" fontId="68" fillId="4" borderId="6" xfId="0" applyNumberFormat="1" applyFont="1" applyFill="1" applyBorder="1"/>
    <xf numFmtId="2" fontId="68" fillId="4" borderId="5" xfId="1" applyNumberFormat="1" applyFont="1" applyFill="1" applyBorder="1"/>
    <xf numFmtId="167" fontId="68" fillId="4" borderId="5" xfId="2" applyNumberFormat="1" applyFont="1" applyFill="1" applyBorder="1"/>
    <xf numFmtId="44" fontId="68" fillId="0" borderId="5" xfId="2" applyNumberFormat="1" applyFont="1" applyBorder="1"/>
    <xf numFmtId="176" fontId="68" fillId="0" borderId="5" xfId="1" applyNumberFormat="1" applyFont="1" applyBorder="1"/>
    <xf numFmtId="43" fontId="68" fillId="0" borderId="5" xfId="1" applyFont="1" applyBorder="1"/>
    <xf numFmtId="44" fontId="68" fillId="4" borderId="5" xfId="0" applyNumberFormat="1" applyFont="1" applyFill="1" applyBorder="1"/>
    <xf numFmtId="167" fontId="68" fillId="3" borderId="5" xfId="2" applyNumberFormat="1" applyFont="1" applyFill="1" applyBorder="1"/>
    <xf numFmtId="170" fontId="68" fillId="4" borderId="5" xfId="3" applyNumberFormat="1" applyFont="1" applyFill="1" applyBorder="1"/>
    <xf numFmtId="172" fontId="68" fillId="4" borderId="5" xfId="3" applyNumberFormat="1" applyFont="1" applyFill="1" applyBorder="1"/>
    <xf numFmtId="44" fontId="68" fillId="3" borderId="5" xfId="0" applyNumberFormat="1" applyFont="1" applyFill="1" applyBorder="1"/>
    <xf numFmtId="166" fontId="68" fillId="0" borderId="5" xfId="1" applyNumberFormat="1" applyFont="1" applyBorder="1"/>
    <xf numFmtId="43" fontId="68" fillId="3" borderId="5" xfId="1" applyNumberFormat="1" applyFont="1" applyFill="1" applyBorder="1"/>
    <xf numFmtId="167" fontId="68" fillId="0" borderId="5" xfId="1" applyNumberFormat="1" applyFont="1" applyBorder="1"/>
    <xf numFmtId="167" fontId="68" fillId="0" borderId="5" xfId="2" applyNumberFormat="1" applyFont="1" applyBorder="1"/>
    <xf numFmtId="2" fontId="68" fillId="0" borderId="5" xfId="3" applyNumberFormat="1" applyFont="1" applyBorder="1"/>
    <xf numFmtId="0" fontId="68" fillId="3" borderId="0" xfId="0" applyFont="1" applyFill="1" applyBorder="1"/>
    <xf numFmtId="44" fontId="68" fillId="3" borderId="0" xfId="2" applyFont="1" applyFill="1" applyBorder="1"/>
    <xf numFmtId="10" fontId="68" fillId="3" borderId="0" xfId="3" applyNumberFormat="1" applyFont="1" applyFill="1" applyBorder="1"/>
    <xf numFmtId="0" fontId="68" fillId="4" borderId="0" xfId="0" applyFont="1" applyFill="1" applyBorder="1"/>
    <xf numFmtId="44" fontId="68" fillId="4" borderId="0" xfId="2" applyFont="1" applyFill="1" applyBorder="1"/>
    <xf numFmtId="2" fontId="68" fillId="4" borderId="0" xfId="0" applyNumberFormat="1" applyFont="1" applyFill="1" applyBorder="1"/>
    <xf numFmtId="2" fontId="68" fillId="3" borderId="0" xfId="0" applyNumberFormat="1" applyFont="1" applyFill="1" applyBorder="1"/>
    <xf numFmtId="0" fontId="68" fillId="0" borderId="0" xfId="0" applyFont="1" applyBorder="1"/>
    <xf numFmtId="43" fontId="68" fillId="0" borderId="0" xfId="1" applyNumberFormat="1" applyFont="1" applyBorder="1"/>
    <xf numFmtId="2" fontId="68" fillId="0" borderId="0" xfId="0" applyNumberFormat="1" applyFont="1" applyBorder="1"/>
    <xf numFmtId="43" fontId="68" fillId="0" borderId="0" xfId="1" applyFont="1" applyBorder="1"/>
    <xf numFmtId="166" fontId="68" fillId="0" borderId="0" xfId="1" applyNumberFormat="1" applyFont="1" applyBorder="1"/>
    <xf numFmtId="2" fontId="68" fillId="3" borderId="0" xfId="2" applyNumberFormat="1" applyFont="1" applyFill="1" applyBorder="1"/>
    <xf numFmtId="188" fontId="68" fillId="0" borderId="0" xfId="3" applyNumberFormat="1" applyFont="1"/>
    <xf numFmtId="14" fontId="68" fillId="4" borderId="0" xfId="0" applyNumberFormat="1" applyFont="1" applyFill="1" applyBorder="1"/>
    <xf numFmtId="14" fontId="68" fillId="3" borderId="0" xfId="0" applyNumberFormat="1" applyFont="1" applyFill="1" applyBorder="1"/>
    <xf numFmtId="2" fontId="68" fillId="0" borderId="0" xfId="0" applyNumberFormat="1" applyFont="1"/>
    <xf numFmtId="43" fontId="68" fillId="0" borderId="0" xfId="1" applyFont="1"/>
    <xf numFmtId="4" fontId="0" fillId="0" borderId="38" xfId="0" applyNumberFormat="1" applyBorder="1" applyAlignment="1">
      <alignment wrapText="1"/>
    </xf>
    <xf numFmtId="14" fontId="9" fillId="50" borderId="0" xfId="0" applyNumberFormat="1" applyFont="1" applyFill="1"/>
    <xf numFmtId="0" fontId="9" fillId="50" borderId="0" xfId="0" applyFont="1" applyFill="1"/>
    <xf numFmtId="0" fontId="69" fillId="0" borderId="0" xfId="0" applyFont="1"/>
    <xf numFmtId="14" fontId="69" fillId="0" borderId="0" xfId="0" applyNumberFormat="1" applyFont="1" applyAlignment="1">
      <alignment horizontal="left"/>
    </xf>
    <xf numFmtId="0" fontId="70" fillId="0" borderId="0" xfId="0" applyFont="1"/>
    <xf numFmtId="0" fontId="70" fillId="0" borderId="0" xfId="0" applyFont="1" applyBorder="1"/>
    <xf numFmtId="0" fontId="71" fillId="41" borderId="0" xfId="0" applyFont="1" applyFill="1" applyBorder="1" applyAlignment="1">
      <alignment horizontal="center" vertical="center" wrapText="1"/>
    </xf>
    <xf numFmtId="0" fontId="70" fillId="43" borderId="5" xfId="0" applyFont="1" applyFill="1" applyBorder="1"/>
    <xf numFmtId="166" fontId="70" fillId="43" borderId="5" xfId="1" applyNumberFormat="1" applyFont="1" applyFill="1" applyBorder="1"/>
    <xf numFmtId="0" fontId="73" fillId="0" borderId="0" xfId="0" applyFont="1" applyAlignment="1">
      <alignment horizontal="center"/>
    </xf>
    <xf numFmtId="0" fontId="70" fillId="44" borderId="5" xfId="0" applyFont="1" applyFill="1" applyBorder="1"/>
    <xf numFmtId="166" fontId="70" fillId="44" borderId="5" xfId="1" applyNumberFormat="1" applyFont="1" applyFill="1" applyBorder="1"/>
    <xf numFmtId="43" fontId="70" fillId="43" borderId="5" xfId="1" applyNumberFormat="1" applyFont="1" applyFill="1" applyBorder="1"/>
    <xf numFmtId="43" fontId="70" fillId="44" borderId="5" xfId="1" applyNumberFormat="1" applyFont="1" applyFill="1" applyBorder="1"/>
    <xf numFmtId="182" fontId="70" fillId="44" borderId="5" xfId="1" applyNumberFormat="1" applyFont="1" applyFill="1" applyBorder="1"/>
    <xf numFmtId="182" fontId="70" fillId="43" borderId="5" xfId="1" applyNumberFormat="1" applyFont="1" applyFill="1" applyBorder="1"/>
    <xf numFmtId="3" fontId="70" fillId="0" borderId="0" xfId="0" applyNumberFormat="1" applyFont="1"/>
    <xf numFmtId="0" fontId="71" fillId="45" borderId="0" xfId="0" applyFont="1" applyFill="1" applyBorder="1"/>
    <xf numFmtId="166" fontId="73" fillId="45" borderId="0" xfId="1" applyNumberFormat="1" applyFont="1" applyFill="1" applyBorder="1"/>
    <xf numFmtId="166" fontId="71" fillId="45" borderId="0" xfId="1" applyNumberFormat="1" applyFont="1" applyFill="1" applyBorder="1"/>
    <xf numFmtId="170" fontId="70" fillId="0" borderId="0" xfId="3" applyNumberFormat="1" applyFont="1"/>
    <xf numFmtId="166" fontId="70" fillId="43" borderId="47" xfId="1" applyNumberFormat="1" applyFont="1" applyFill="1" applyBorder="1"/>
    <xf numFmtId="43" fontId="70" fillId="43" borderId="47" xfId="1" applyNumberFormat="1" applyFont="1" applyFill="1" applyBorder="1"/>
    <xf numFmtId="0" fontId="71" fillId="41" borderId="0" xfId="0" applyFont="1" applyFill="1" applyBorder="1"/>
    <xf numFmtId="166" fontId="73" fillId="41" borderId="0" xfId="1" applyNumberFormat="1" applyFont="1" applyFill="1" applyBorder="1"/>
    <xf numFmtId="166" fontId="71" fillId="41" borderId="0" xfId="1" applyNumberFormat="1" applyFont="1" applyFill="1" applyBorder="1"/>
    <xf numFmtId="44" fontId="70" fillId="0" borderId="0" xfId="2" applyFont="1"/>
    <xf numFmtId="170" fontId="70" fillId="0" borderId="0" xfId="3" applyNumberFormat="1" applyFont="1" applyBorder="1"/>
    <xf numFmtId="166" fontId="70" fillId="0" borderId="0" xfId="1" applyNumberFormat="1" applyFont="1"/>
    <xf numFmtId="10" fontId="70" fillId="0" borderId="0" xfId="2" applyNumberFormat="1" applyFont="1"/>
    <xf numFmtId="167" fontId="70" fillId="0" borderId="0" xfId="0" applyNumberFormat="1" applyFont="1"/>
    <xf numFmtId="10" fontId="70" fillId="0" borderId="0" xfId="3" applyNumberFormat="1" applyFont="1"/>
    <xf numFmtId="10" fontId="70" fillId="0" borderId="0" xfId="0" applyNumberFormat="1" applyFont="1"/>
    <xf numFmtId="14" fontId="69" fillId="0" borderId="0" xfId="0" applyNumberFormat="1" applyFont="1" applyAlignment="1">
      <alignment horizontal="center"/>
    </xf>
    <xf numFmtId="0" fontId="70" fillId="0" borderId="0" xfId="0" applyNumberFormat="1" applyFont="1"/>
    <xf numFmtId="14" fontId="70" fillId="0" borderId="0" xfId="0" applyNumberFormat="1" applyFont="1"/>
    <xf numFmtId="170" fontId="70" fillId="0" borderId="0" xfId="0" applyNumberFormat="1" applyFont="1"/>
    <xf numFmtId="0" fontId="70" fillId="0" borderId="0" xfId="0" applyFont="1" applyFill="1" applyBorder="1"/>
    <xf numFmtId="6" fontId="74" fillId="0" borderId="0" xfId="0" applyNumberFormat="1" applyFont="1" applyFill="1" applyBorder="1" applyAlignment="1">
      <alignment horizontal="right" vertical="center"/>
    </xf>
    <xf numFmtId="9" fontId="70" fillId="0" borderId="0" xfId="0" applyNumberFormat="1" applyFont="1"/>
    <xf numFmtId="170" fontId="70" fillId="0" borderId="0" xfId="3" applyNumberFormat="1" applyFont="1" applyFill="1" applyBorder="1"/>
    <xf numFmtId="0" fontId="0" fillId="0" borderId="5" xfId="0" applyFont="1" applyBorder="1"/>
    <xf numFmtId="0" fontId="72" fillId="41" borderId="0" xfId="0" applyFont="1" applyFill="1" applyBorder="1" applyAlignment="1">
      <alignment horizontal="center" vertical="center" wrapText="1"/>
    </xf>
    <xf numFmtId="177" fontId="61" fillId="0" borderId="23" xfId="0" applyNumberFormat="1" applyFont="1" applyBorder="1" applyAlignment="1">
      <alignment horizontal="left" vertical="center"/>
    </xf>
    <xf numFmtId="167" fontId="8" fillId="0" borderId="0" xfId="2" applyNumberFormat="1" applyFont="1" applyAlignment="1">
      <alignment horizontal="right"/>
    </xf>
    <xf numFmtId="14" fontId="56" fillId="0" borderId="58" xfId="6" applyNumberFormat="1" applyFont="1" applyBorder="1" applyAlignment="1">
      <alignment horizontal="left"/>
    </xf>
    <xf numFmtId="164" fontId="8" fillId="0" borderId="0" xfId="3" applyNumberFormat="1" applyFont="1" applyAlignment="1">
      <alignment horizontal="left"/>
    </xf>
    <xf numFmtId="0" fontId="28" fillId="0" borderId="0" xfId="0" applyFont="1" applyAlignment="1">
      <alignment horizontal="center" vertical="center"/>
    </xf>
    <xf numFmtId="14" fontId="3" fillId="0" borderId="23" xfId="0" applyNumberFormat="1" applyFont="1" applyBorder="1" applyAlignment="1">
      <alignment horizontal="center" vertical="center"/>
    </xf>
  </cellXfs>
  <cellStyles count="32552">
    <cellStyle name="_x000a_386grabber=M" xfId="70" xr:uid="{00000000-0005-0000-0000-000000000000}"/>
    <cellStyle name="1 2" xfId="71" xr:uid="{00000000-0005-0000-0000-000001000000}"/>
    <cellStyle name="20% - Énfasis1" xfId="32529" builtinId="30" customBuiltin="1"/>
    <cellStyle name="20% - Énfasis1 10 10" xfId="72" xr:uid="{00000000-0005-0000-0000-000003000000}"/>
    <cellStyle name="20% - Énfasis1 10 11" xfId="73" xr:uid="{00000000-0005-0000-0000-000004000000}"/>
    <cellStyle name="20% - Énfasis1 10 12" xfId="74" xr:uid="{00000000-0005-0000-0000-000005000000}"/>
    <cellStyle name="20% - Énfasis1 10 13" xfId="75" xr:uid="{00000000-0005-0000-0000-000006000000}"/>
    <cellStyle name="20% - Énfasis1 10 14" xfId="76" xr:uid="{00000000-0005-0000-0000-000007000000}"/>
    <cellStyle name="20% - Énfasis1 10 15" xfId="77" xr:uid="{00000000-0005-0000-0000-000008000000}"/>
    <cellStyle name="20% - Énfasis1 10 16" xfId="78" xr:uid="{00000000-0005-0000-0000-000009000000}"/>
    <cellStyle name="20% - Énfasis1 10 17" xfId="79" xr:uid="{00000000-0005-0000-0000-00000A000000}"/>
    <cellStyle name="20% - Énfasis1 10 18" xfId="80" xr:uid="{00000000-0005-0000-0000-00000B000000}"/>
    <cellStyle name="20% - Énfasis1 10 2" xfId="81" xr:uid="{00000000-0005-0000-0000-00000C000000}"/>
    <cellStyle name="20% - Énfasis1 10 3" xfId="82" xr:uid="{00000000-0005-0000-0000-00000D000000}"/>
    <cellStyle name="20% - Énfasis1 10 4" xfId="83" xr:uid="{00000000-0005-0000-0000-00000E000000}"/>
    <cellStyle name="20% - Énfasis1 10 5" xfId="84" xr:uid="{00000000-0005-0000-0000-00000F000000}"/>
    <cellStyle name="20% - Énfasis1 10 6" xfId="85" xr:uid="{00000000-0005-0000-0000-000010000000}"/>
    <cellStyle name="20% - Énfasis1 10 7" xfId="86" xr:uid="{00000000-0005-0000-0000-000011000000}"/>
    <cellStyle name="20% - Énfasis1 10 8" xfId="87" xr:uid="{00000000-0005-0000-0000-000012000000}"/>
    <cellStyle name="20% - Énfasis1 10 9" xfId="88" xr:uid="{00000000-0005-0000-0000-000013000000}"/>
    <cellStyle name="20% - Énfasis1 11 10" xfId="89" xr:uid="{00000000-0005-0000-0000-000014000000}"/>
    <cellStyle name="20% - Énfasis1 11 11" xfId="90" xr:uid="{00000000-0005-0000-0000-000015000000}"/>
    <cellStyle name="20% - Énfasis1 11 12" xfId="91" xr:uid="{00000000-0005-0000-0000-000016000000}"/>
    <cellStyle name="20% - Énfasis1 11 13" xfId="92" xr:uid="{00000000-0005-0000-0000-000017000000}"/>
    <cellStyle name="20% - Énfasis1 11 14" xfId="93" xr:uid="{00000000-0005-0000-0000-000018000000}"/>
    <cellStyle name="20% - Énfasis1 11 15" xfId="94" xr:uid="{00000000-0005-0000-0000-000019000000}"/>
    <cellStyle name="20% - Énfasis1 11 16" xfId="95" xr:uid="{00000000-0005-0000-0000-00001A000000}"/>
    <cellStyle name="20% - Énfasis1 11 17" xfId="96" xr:uid="{00000000-0005-0000-0000-00001B000000}"/>
    <cellStyle name="20% - Énfasis1 11 18" xfId="97" xr:uid="{00000000-0005-0000-0000-00001C000000}"/>
    <cellStyle name="20% - Énfasis1 11 2" xfId="98" xr:uid="{00000000-0005-0000-0000-00001D000000}"/>
    <cellStyle name="20% - Énfasis1 11 3" xfId="99" xr:uid="{00000000-0005-0000-0000-00001E000000}"/>
    <cellStyle name="20% - Énfasis1 11 4" xfId="100" xr:uid="{00000000-0005-0000-0000-00001F000000}"/>
    <cellStyle name="20% - Énfasis1 11 5" xfId="101" xr:uid="{00000000-0005-0000-0000-000020000000}"/>
    <cellStyle name="20% - Énfasis1 11 6" xfId="102" xr:uid="{00000000-0005-0000-0000-000021000000}"/>
    <cellStyle name="20% - Énfasis1 11 7" xfId="103" xr:uid="{00000000-0005-0000-0000-000022000000}"/>
    <cellStyle name="20% - Énfasis1 11 8" xfId="104" xr:uid="{00000000-0005-0000-0000-000023000000}"/>
    <cellStyle name="20% - Énfasis1 11 9" xfId="105" xr:uid="{00000000-0005-0000-0000-000024000000}"/>
    <cellStyle name="20% - Énfasis1 12 10" xfId="106" xr:uid="{00000000-0005-0000-0000-000025000000}"/>
    <cellStyle name="20% - Énfasis1 12 11" xfId="107" xr:uid="{00000000-0005-0000-0000-000026000000}"/>
    <cellStyle name="20% - Énfasis1 12 12" xfId="108" xr:uid="{00000000-0005-0000-0000-000027000000}"/>
    <cellStyle name="20% - Énfasis1 12 13" xfId="109" xr:uid="{00000000-0005-0000-0000-000028000000}"/>
    <cellStyle name="20% - Énfasis1 12 14" xfId="110" xr:uid="{00000000-0005-0000-0000-000029000000}"/>
    <cellStyle name="20% - Énfasis1 12 15" xfId="111" xr:uid="{00000000-0005-0000-0000-00002A000000}"/>
    <cellStyle name="20% - Énfasis1 12 16" xfId="112" xr:uid="{00000000-0005-0000-0000-00002B000000}"/>
    <cellStyle name="20% - Énfasis1 12 17" xfId="113" xr:uid="{00000000-0005-0000-0000-00002C000000}"/>
    <cellStyle name="20% - Énfasis1 12 18" xfId="114" xr:uid="{00000000-0005-0000-0000-00002D000000}"/>
    <cellStyle name="20% - Énfasis1 12 2" xfId="115" xr:uid="{00000000-0005-0000-0000-00002E000000}"/>
    <cellStyle name="20% - Énfasis1 12 3" xfId="116" xr:uid="{00000000-0005-0000-0000-00002F000000}"/>
    <cellStyle name="20% - Énfasis1 12 4" xfId="117" xr:uid="{00000000-0005-0000-0000-000030000000}"/>
    <cellStyle name="20% - Énfasis1 12 5" xfId="118" xr:uid="{00000000-0005-0000-0000-000031000000}"/>
    <cellStyle name="20% - Énfasis1 12 6" xfId="119" xr:uid="{00000000-0005-0000-0000-000032000000}"/>
    <cellStyle name="20% - Énfasis1 12 7" xfId="120" xr:uid="{00000000-0005-0000-0000-000033000000}"/>
    <cellStyle name="20% - Énfasis1 12 8" xfId="121" xr:uid="{00000000-0005-0000-0000-000034000000}"/>
    <cellStyle name="20% - Énfasis1 12 9" xfId="122" xr:uid="{00000000-0005-0000-0000-000035000000}"/>
    <cellStyle name="20% - Énfasis1 13 10" xfId="123" xr:uid="{00000000-0005-0000-0000-000036000000}"/>
    <cellStyle name="20% - Énfasis1 13 11" xfId="124" xr:uid="{00000000-0005-0000-0000-000037000000}"/>
    <cellStyle name="20% - Énfasis1 13 12" xfId="125" xr:uid="{00000000-0005-0000-0000-000038000000}"/>
    <cellStyle name="20% - Énfasis1 13 13" xfId="126" xr:uid="{00000000-0005-0000-0000-000039000000}"/>
    <cellStyle name="20% - Énfasis1 13 14" xfId="127" xr:uid="{00000000-0005-0000-0000-00003A000000}"/>
    <cellStyle name="20% - Énfasis1 13 15" xfId="128" xr:uid="{00000000-0005-0000-0000-00003B000000}"/>
    <cellStyle name="20% - Énfasis1 13 16" xfId="129" xr:uid="{00000000-0005-0000-0000-00003C000000}"/>
    <cellStyle name="20% - Énfasis1 13 17" xfId="130" xr:uid="{00000000-0005-0000-0000-00003D000000}"/>
    <cellStyle name="20% - Énfasis1 13 18" xfId="131" xr:uid="{00000000-0005-0000-0000-00003E000000}"/>
    <cellStyle name="20% - Énfasis1 13 2" xfId="132" xr:uid="{00000000-0005-0000-0000-00003F000000}"/>
    <cellStyle name="20% - Énfasis1 13 3" xfId="133" xr:uid="{00000000-0005-0000-0000-000040000000}"/>
    <cellStyle name="20% - Énfasis1 13 4" xfId="134" xr:uid="{00000000-0005-0000-0000-000041000000}"/>
    <cellStyle name="20% - Énfasis1 13 5" xfId="135" xr:uid="{00000000-0005-0000-0000-000042000000}"/>
    <cellStyle name="20% - Énfasis1 13 6" xfId="136" xr:uid="{00000000-0005-0000-0000-000043000000}"/>
    <cellStyle name="20% - Énfasis1 13 7" xfId="137" xr:uid="{00000000-0005-0000-0000-000044000000}"/>
    <cellStyle name="20% - Énfasis1 13 8" xfId="138" xr:uid="{00000000-0005-0000-0000-000045000000}"/>
    <cellStyle name="20% - Énfasis1 13 9" xfId="139" xr:uid="{00000000-0005-0000-0000-000046000000}"/>
    <cellStyle name="20% - Énfasis1 14 10" xfId="140" xr:uid="{00000000-0005-0000-0000-000047000000}"/>
    <cellStyle name="20% - Énfasis1 14 11" xfId="141" xr:uid="{00000000-0005-0000-0000-000048000000}"/>
    <cellStyle name="20% - Énfasis1 14 12" xfId="142" xr:uid="{00000000-0005-0000-0000-000049000000}"/>
    <cellStyle name="20% - Énfasis1 14 13" xfId="143" xr:uid="{00000000-0005-0000-0000-00004A000000}"/>
    <cellStyle name="20% - Énfasis1 14 14" xfId="144" xr:uid="{00000000-0005-0000-0000-00004B000000}"/>
    <cellStyle name="20% - Énfasis1 14 15" xfId="145" xr:uid="{00000000-0005-0000-0000-00004C000000}"/>
    <cellStyle name="20% - Énfasis1 14 16" xfId="146" xr:uid="{00000000-0005-0000-0000-00004D000000}"/>
    <cellStyle name="20% - Énfasis1 14 17" xfId="147" xr:uid="{00000000-0005-0000-0000-00004E000000}"/>
    <cellStyle name="20% - Énfasis1 14 18" xfId="148" xr:uid="{00000000-0005-0000-0000-00004F000000}"/>
    <cellStyle name="20% - Énfasis1 14 2" xfId="149" xr:uid="{00000000-0005-0000-0000-000050000000}"/>
    <cellStyle name="20% - Énfasis1 14 3" xfId="150" xr:uid="{00000000-0005-0000-0000-000051000000}"/>
    <cellStyle name="20% - Énfasis1 14 4" xfId="151" xr:uid="{00000000-0005-0000-0000-000052000000}"/>
    <cellStyle name="20% - Énfasis1 14 5" xfId="152" xr:uid="{00000000-0005-0000-0000-000053000000}"/>
    <cellStyle name="20% - Énfasis1 14 6" xfId="153" xr:uid="{00000000-0005-0000-0000-000054000000}"/>
    <cellStyle name="20% - Énfasis1 14 7" xfId="154" xr:uid="{00000000-0005-0000-0000-000055000000}"/>
    <cellStyle name="20% - Énfasis1 14 8" xfId="155" xr:uid="{00000000-0005-0000-0000-000056000000}"/>
    <cellStyle name="20% - Énfasis1 14 9" xfId="156" xr:uid="{00000000-0005-0000-0000-000057000000}"/>
    <cellStyle name="20% - Énfasis1 15 10" xfId="157" xr:uid="{00000000-0005-0000-0000-000058000000}"/>
    <cellStyle name="20% - Énfasis1 15 11" xfId="158" xr:uid="{00000000-0005-0000-0000-000059000000}"/>
    <cellStyle name="20% - Énfasis1 15 12" xfId="159" xr:uid="{00000000-0005-0000-0000-00005A000000}"/>
    <cellStyle name="20% - Énfasis1 15 13" xfId="160" xr:uid="{00000000-0005-0000-0000-00005B000000}"/>
    <cellStyle name="20% - Énfasis1 15 14" xfId="161" xr:uid="{00000000-0005-0000-0000-00005C000000}"/>
    <cellStyle name="20% - Énfasis1 15 15" xfId="162" xr:uid="{00000000-0005-0000-0000-00005D000000}"/>
    <cellStyle name="20% - Énfasis1 15 16" xfId="163" xr:uid="{00000000-0005-0000-0000-00005E000000}"/>
    <cellStyle name="20% - Énfasis1 15 17" xfId="164" xr:uid="{00000000-0005-0000-0000-00005F000000}"/>
    <cellStyle name="20% - Énfasis1 15 18" xfId="165" xr:uid="{00000000-0005-0000-0000-000060000000}"/>
    <cellStyle name="20% - Énfasis1 15 2" xfId="166" xr:uid="{00000000-0005-0000-0000-000061000000}"/>
    <cellStyle name="20% - Énfasis1 15 3" xfId="167" xr:uid="{00000000-0005-0000-0000-000062000000}"/>
    <cellStyle name="20% - Énfasis1 15 4" xfId="168" xr:uid="{00000000-0005-0000-0000-000063000000}"/>
    <cellStyle name="20% - Énfasis1 15 5" xfId="169" xr:uid="{00000000-0005-0000-0000-000064000000}"/>
    <cellStyle name="20% - Énfasis1 15 6" xfId="170" xr:uid="{00000000-0005-0000-0000-000065000000}"/>
    <cellStyle name="20% - Énfasis1 15 7" xfId="171" xr:uid="{00000000-0005-0000-0000-000066000000}"/>
    <cellStyle name="20% - Énfasis1 15 8" xfId="172" xr:uid="{00000000-0005-0000-0000-000067000000}"/>
    <cellStyle name="20% - Énfasis1 15 9" xfId="173" xr:uid="{00000000-0005-0000-0000-000068000000}"/>
    <cellStyle name="20% - Énfasis1 16 10" xfId="174" xr:uid="{00000000-0005-0000-0000-000069000000}"/>
    <cellStyle name="20% - Énfasis1 16 11" xfId="175" xr:uid="{00000000-0005-0000-0000-00006A000000}"/>
    <cellStyle name="20% - Énfasis1 16 12" xfId="176" xr:uid="{00000000-0005-0000-0000-00006B000000}"/>
    <cellStyle name="20% - Énfasis1 16 13" xfId="177" xr:uid="{00000000-0005-0000-0000-00006C000000}"/>
    <cellStyle name="20% - Énfasis1 16 14" xfId="178" xr:uid="{00000000-0005-0000-0000-00006D000000}"/>
    <cellStyle name="20% - Énfasis1 16 15" xfId="179" xr:uid="{00000000-0005-0000-0000-00006E000000}"/>
    <cellStyle name="20% - Énfasis1 16 16" xfId="180" xr:uid="{00000000-0005-0000-0000-00006F000000}"/>
    <cellStyle name="20% - Énfasis1 16 17" xfId="181" xr:uid="{00000000-0005-0000-0000-000070000000}"/>
    <cellStyle name="20% - Énfasis1 16 18" xfId="182" xr:uid="{00000000-0005-0000-0000-000071000000}"/>
    <cellStyle name="20% - Énfasis1 16 2" xfId="183" xr:uid="{00000000-0005-0000-0000-000072000000}"/>
    <cellStyle name="20% - Énfasis1 16 3" xfId="184" xr:uid="{00000000-0005-0000-0000-000073000000}"/>
    <cellStyle name="20% - Énfasis1 16 4" xfId="185" xr:uid="{00000000-0005-0000-0000-000074000000}"/>
    <cellStyle name="20% - Énfasis1 16 5" xfId="186" xr:uid="{00000000-0005-0000-0000-000075000000}"/>
    <cellStyle name="20% - Énfasis1 16 6" xfId="187" xr:uid="{00000000-0005-0000-0000-000076000000}"/>
    <cellStyle name="20% - Énfasis1 16 7" xfId="188" xr:uid="{00000000-0005-0000-0000-000077000000}"/>
    <cellStyle name="20% - Énfasis1 16 8" xfId="189" xr:uid="{00000000-0005-0000-0000-000078000000}"/>
    <cellStyle name="20% - Énfasis1 16 9" xfId="190" xr:uid="{00000000-0005-0000-0000-000079000000}"/>
    <cellStyle name="20% - Énfasis1 17 10" xfId="191" xr:uid="{00000000-0005-0000-0000-00007A000000}"/>
    <cellStyle name="20% - Énfasis1 17 11" xfId="192" xr:uid="{00000000-0005-0000-0000-00007B000000}"/>
    <cellStyle name="20% - Énfasis1 17 12" xfId="193" xr:uid="{00000000-0005-0000-0000-00007C000000}"/>
    <cellStyle name="20% - Énfasis1 17 13" xfId="194" xr:uid="{00000000-0005-0000-0000-00007D000000}"/>
    <cellStyle name="20% - Énfasis1 17 14" xfId="195" xr:uid="{00000000-0005-0000-0000-00007E000000}"/>
    <cellStyle name="20% - Énfasis1 17 15" xfId="196" xr:uid="{00000000-0005-0000-0000-00007F000000}"/>
    <cellStyle name="20% - Énfasis1 17 16" xfId="197" xr:uid="{00000000-0005-0000-0000-000080000000}"/>
    <cellStyle name="20% - Énfasis1 17 17" xfId="198" xr:uid="{00000000-0005-0000-0000-000081000000}"/>
    <cellStyle name="20% - Énfasis1 17 18" xfId="199" xr:uid="{00000000-0005-0000-0000-000082000000}"/>
    <cellStyle name="20% - Énfasis1 17 2" xfId="200" xr:uid="{00000000-0005-0000-0000-000083000000}"/>
    <cellStyle name="20% - Énfasis1 17 3" xfId="201" xr:uid="{00000000-0005-0000-0000-000084000000}"/>
    <cellStyle name="20% - Énfasis1 17 4" xfId="202" xr:uid="{00000000-0005-0000-0000-000085000000}"/>
    <cellStyle name="20% - Énfasis1 17 5" xfId="203" xr:uid="{00000000-0005-0000-0000-000086000000}"/>
    <cellStyle name="20% - Énfasis1 17 6" xfId="204" xr:uid="{00000000-0005-0000-0000-000087000000}"/>
    <cellStyle name="20% - Énfasis1 17 7" xfId="205" xr:uid="{00000000-0005-0000-0000-000088000000}"/>
    <cellStyle name="20% - Énfasis1 17 8" xfId="206" xr:uid="{00000000-0005-0000-0000-000089000000}"/>
    <cellStyle name="20% - Énfasis1 17 9" xfId="207" xr:uid="{00000000-0005-0000-0000-00008A000000}"/>
    <cellStyle name="20% - Énfasis1 18 10" xfId="208" xr:uid="{00000000-0005-0000-0000-00008B000000}"/>
    <cellStyle name="20% - Énfasis1 18 11" xfId="209" xr:uid="{00000000-0005-0000-0000-00008C000000}"/>
    <cellStyle name="20% - Énfasis1 18 12" xfId="210" xr:uid="{00000000-0005-0000-0000-00008D000000}"/>
    <cellStyle name="20% - Énfasis1 18 13" xfId="211" xr:uid="{00000000-0005-0000-0000-00008E000000}"/>
    <cellStyle name="20% - Énfasis1 18 14" xfId="212" xr:uid="{00000000-0005-0000-0000-00008F000000}"/>
    <cellStyle name="20% - Énfasis1 18 15" xfId="213" xr:uid="{00000000-0005-0000-0000-000090000000}"/>
    <cellStyle name="20% - Énfasis1 18 16" xfId="214" xr:uid="{00000000-0005-0000-0000-000091000000}"/>
    <cellStyle name="20% - Énfasis1 18 17" xfId="215" xr:uid="{00000000-0005-0000-0000-000092000000}"/>
    <cellStyle name="20% - Énfasis1 18 18" xfId="216" xr:uid="{00000000-0005-0000-0000-000093000000}"/>
    <cellStyle name="20% - Énfasis1 18 2" xfId="217" xr:uid="{00000000-0005-0000-0000-000094000000}"/>
    <cellStyle name="20% - Énfasis1 18 3" xfId="218" xr:uid="{00000000-0005-0000-0000-000095000000}"/>
    <cellStyle name="20% - Énfasis1 18 4" xfId="219" xr:uid="{00000000-0005-0000-0000-000096000000}"/>
    <cellStyle name="20% - Énfasis1 18 5" xfId="220" xr:uid="{00000000-0005-0000-0000-000097000000}"/>
    <cellStyle name="20% - Énfasis1 18 6" xfId="221" xr:uid="{00000000-0005-0000-0000-000098000000}"/>
    <cellStyle name="20% - Énfasis1 18 7" xfId="222" xr:uid="{00000000-0005-0000-0000-000099000000}"/>
    <cellStyle name="20% - Énfasis1 18 8" xfId="223" xr:uid="{00000000-0005-0000-0000-00009A000000}"/>
    <cellStyle name="20% - Énfasis1 18 9" xfId="224" xr:uid="{00000000-0005-0000-0000-00009B000000}"/>
    <cellStyle name="20% - Énfasis1 19 10" xfId="225" xr:uid="{00000000-0005-0000-0000-00009C000000}"/>
    <cellStyle name="20% - Énfasis1 19 11" xfId="226" xr:uid="{00000000-0005-0000-0000-00009D000000}"/>
    <cellStyle name="20% - Énfasis1 19 12" xfId="227" xr:uid="{00000000-0005-0000-0000-00009E000000}"/>
    <cellStyle name="20% - Énfasis1 19 13" xfId="228" xr:uid="{00000000-0005-0000-0000-00009F000000}"/>
    <cellStyle name="20% - Énfasis1 19 14" xfId="229" xr:uid="{00000000-0005-0000-0000-0000A0000000}"/>
    <cellStyle name="20% - Énfasis1 19 15" xfId="230" xr:uid="{00000000-0005-0000-0000-0000A1000000}"/>
    <cellStyle name="20% - Énfasis1 19 16" xfId="231" xr:uid="{00000000-0005-0000-0000-0000A2000000}"/>
    <cellStyle name="20% - Énfasis1 19 17" xfId="232" xr:uid="{00000000-0005-0000-0000-0000A3000000}"/>
    <cellStyle name="20% - Énfasis1 19 18" xfId="233" xr:uid="{00000000-0005-0000-0000-0000A4000000}"/>
    <cellStyle name="20% - Énfasis1 19 2" xfId="234" xr:uid="{00000000-0005-0000-0000-0000A5000000}"/>
    <cellStyle name="20% - Énfasis1 19 3" xfId="235" xr:uid="{00000000-0005-0000-0000-0000A6000000}"/>
    <cellStyle name="20% - Énfasis1 19 4" xfId="236" xr:uid="{00000000-0005-0000-0000-0000A7000000}"/>
    <cellStyle name="20% - Énfasis1 19 5" xfId="237" xr:uid="{00000000-0005-0000-0000-0000A8000000}"/>
    <cellStyle name="20% - Énfasis1 19 6" xfId="238" xr:uid="{00000000-0005-0000-0000-0000A9000000}"/>
    <cellStyle name="20% - Énfasis1 19 7" xfId="239" xr:uid="{00000000-0005-0000-0000-0000AA000000}"/>
    <cellStyle name="20% - Énfasis1 19 8" xfId="240" xr:uid="{00000000-0005-0000-0000-0000AB000000}"/>
    <cellStyle name="20% - Énfasis1 19 9" xfId="241" xr:uid="{00000000-0005-0000-0000-0000AC000000}"/>
    <cellStyle name="20% - Énfasis1 2 10" xfId="242" xr:uid="{00000000-0005-0000-0000-0000AD000000}"/>
    <cellStyle name="20% - Énfasis1 2 11" xfId="243" xr:uid="{00000000-0005-0000-0000-0000AE000000}"/>
    <cellStyle name="20% - Énfasis1 2 12" xfId="244" xr:uid="{00000000-0005-0000-0000-0000AF000000}"/>
    <cellStyle name="20% - Énfasis1 2 13" xfId="245" xr:uid="{00000000-0005-0000-0000-0000B0000000}"/>
    <cellStyle name="20% - Énfasis1 2 14" xfId="246" xr:uid="{00000000-0005-0000-0000-0000B1000000}"/>
    <cellStyle name="20% - Énfasis1 2 15" xfId="247" xr:uid="{00000000-0005-0000-0000-0000B2000000}"/>
    <cellStyle name="20% - Énfasis1 2 16" xfId="248" xr:uid="{00000000-0005-0000-0000-0000B3000000}"/>
    <cellStyle name="20% - Énfasis1 2 17" xfId="249" xr:uid="{00000000-0005-0000-0000-0000B4000000}"/>
    <cellStyle name="20% - Énfasis1 2 18" xfId="250" xr:uid="{00000000-0005-0000-0000-0000B5000000}"/>
    <cellStyle name="20% - Énfasis1 2 2" xfId="251" xr:uid="{00000000-0005-0000-0000-0000B6000000}"/>
    <cellStyle name="20% - Énfasis1 2 3" xfId="252" xr:uid="{00000000-0005-0000-0000-0000B7000000}"/>
    <cellStyle name="20% - Énfasis1 2 4" xfId="253" xr:uid="{00000000-0005-0000-0000-0000B8000000}"/>
    <cellStyle name="20% - Énfasis1 2 5" xfId="254" xr:uid="{00000000-0005-0000-0000-0000B9000000}"/>
    <cellStyle name="20% - Énfasis1 2 6" xfId="255" xr:uid="{00000000-0005-0000-0000-0000BA000000}"/>
    <cellStyle name="20% - Énfasis1 2 7" xfId="256" xr:uid="{00000000-0005-0000-0000-0000BB000000}"/>
    <cellStyle name="20% - Énfasis1 2 8" xfId="257" xr:uid="{00000000-0005-0000-0000-0000BC000000}"/>
    <cellStyle name="20% - Énfasis1 2 9" xfId="258" xr:uid="{00000000-0005-0000-0000-0000BD000000}"/>
    <cellStyle name="20% - Énfasis1 20 10" xfId="259" xr:uid="{00000000-0005-0000-0000-0000BE000000}"/>
    <cellStyle name="20% - Énfasis1 20 11" xfId="260" xr:uid="{00000000-0005-0000-0000-0000BF000000}"/>
    <cellStyle name="20% - Énfasis1 20 12" xfId="261" xr:uid="{00000000-0005-0000-0000-0000C0000000}"/>
    <cellStyle name="20% - Énfasis1 20 13" xfId="262" xr:uid="{00000000-0005-0000-0000-0000C1000000}"/>
    <cellStyle name="20% - Énfasis1 20 14" xfId="263" xr:uid="{00000000-0005-0000-0000-0000C2000000}"/>
    <cellStyle name="20% - Énfasis1 20 15" xfId="264" xr:uid="{00000000-0005-0000-0000-0000C3000000}"/>
    <cellStyle name="20% - Énfasis1 20 16" xfId="265" xr:uid="{00000000-0005-0000-0000-0000C4000000}"/>
    <cellStyle name="20% - Énfasis1 20 17" xfId="266" xr:uid="{00000000-0005-0000-0000-0000C5000000}"/>
    <cellStyle name="20% - Énfasis1 20 18" xfId="267" xr:uid="{00000000-0005-0000-0000-0000C6000000}"/>
    <cellStyle name="20% - Énfasis1 20 2" xfId="268" xr:uid="{00000000-0005-0000-0000-0000C7000000}"/>
    <cellStyle name="20% - Énfasis1 20 3" xfId="269" xr:uid="{00000000-0005-0000-0000-0000C8000000}"/>
    <cellStyle name="20% - Énfasis1 20 4" xfId="270" xr:uid="{00000000-0005-0000-0000-0000C9000000}"/>
    <cellStyle name="20% - Énfasis1 20 5" xfId="271" xr:uid="{00000000-0005-0000-0000-0000CA000000}"/>
    <cellStyle name="20% - Énfasis1 20 6" xfId="272" xr:uid="{00000000-0005-0000-0000-0000CB000000}"/>
    <cellStyle name="20% - Énfasis1 20 7" xfId="273" xr:uid="{00000000-0005-0000-0000-0000CC000000}"/>
    <cellStyle name="20% - Énfasis1 20 8" xfId="274" xr:uid="{00000000-0005-0000-0000-0000CD000000}"/>
    <cellStyle name="20% - Énfasis1 20 9" xfId="275" xr:uid="{00000000-0005-0000-0000-0000CE000000}"/>
    <cellStyle name="20% - Énfasis1 21 10" xfId="276" xr:uid="{00000000-0005-0000-0000-0000CF000000}"/>
    <cellStyle name="20% - Énfasis1 21 11" xfId="277" xr:uid="{00000000-0005-0000-0000-0000D0000000}"/>
    <cellStyle name="20% - Énfasis1 21 12" xfId="278" xr:uid="{00000000-0005-0000-0000-0000D1000000}"/>
    <cellStyle name="20% - Énfasis1 21 13" xfId="279" xr:uid="{00000000-0005-0000-0000-0000D2000000}"/>
    <cellStyle name="20% - Énfasis1 21 14" xfId="280" xr:uid="{00000000-0005-0000-0000-0000D3000000}"/>
    <cellStyle name="20% - Énfasis1 21 15" xfId="281" xr:uid="{00000000-0005-0000-0000-0000D4000000}"/>
    <cellStyle name="20% - Énfasis1 21 16" xfId="282" xr:uid="{00000000-0005-0000-0000-0000D5000000}"/>
    <cellStyle name="20% - Énfasis1 21 17" xfId="283" xr:uid="{00000000-0005-0000-0000-0000D6000000}"/>
    <cellStyle name="20% - Énfasis1 21 18" xfId="284" xr:uid="{00000000-0005-0000-0000-0000D7000000}"/>
    <cellStyle name="20% - Énfasis1 21 2" xfId="285" xr:uid="{00000000-0005-0000-0000-0000D8000000}"/>
    <cellStyle name="20% - Énfasis1 21 3" xfId="286" xr:uid="{00000000-0005-0000-0000-0000D9000000}"/>
    <cellStyle name="20% - Énfasis1 21 4" xfId="287" xr:uid="{00000000-0005-0000-0000-0000DA000000}"/>
    <cellStyle name="20% - Énfasis1 21 5" xfId="288" xr:uid="{00000000-0005-0000-0000-0000DB000000}"/>
    <cellStyle name="20% - Énfasis1 21 6" xfId="289" xr:uid="{00000000-0005-0000-0000-0000DC000000}"/>
    <cellStyle name="20% - Énfasis1 21 7" xfId="290" xr:uid="{00000000-0005-0000-0000-0000DD000000}"/>
    <cellStyle name="20% - Énfasis1 21 8" xfId="291" xr:uid="{00000000-0005-0000-0000-0000DE000000}"/>
    <cellStyle name="20% - Énfasis1 21 9" xfId="292" xr:uid="{00000000-0005-0000-0000-0000DF000000}"/>
    <cellStyle name="20% - Énfasis1 22 10" xfId="293" xr:uid="{00000000-0005-0000-0000-0000E0000000}"/>
    <cellStyle name="20% - Énfasis1 22 11" xfId="294" xr:uid="{00000000-0005-0000-0000-0000E1000000}"/>
    <cellStyle name="20% - Énfasis1 22 12" xfId="295" xr:uid="{00000000-0005-0000-0000-0000E2000000}"/>
    <cellStyle name="20% - Énfasis1 22 13" xfId="296" xr:uid="{00000000-0005-0000-0000-0000E3000000}"/>
    <cellStyle name="20% - Énfasis1 22 14" xfId="297" xr:uid="{00000000-0005-0000-0000-0000E4000000}"/>
    <cellStyle name="20% - Énfasis1 22 15" xfId="298" xr:uid="{00000000-0005-0000-0000-0000E5000000}"/>
    <cellStyle name="20% - Énfasis1 22 16" xfId="299" xr:uid="{00000000-0005-0000-0000-0000E6000000}"/>
    <cellStyle name="20% - Énfasis1 22 17" xfId="300" xr:uid="{00000000-0005-0000-0000-0000E7000000}"/>
    <cellStyle name="20% - Énfasis1 22 18" xfId="301" xr:uid="{00000000-0005-0000-0000-0000E8000000}"/>
    <cellStyle name="20% - Énfasis1 22 2" xfId="302" xr:uid="{00000000-0005-0000-0000-0000E9000000}"/>
    <cellStyle name="20% - Énfasis1 22 3" xfId="303" xr:uid="{00000000-0005-0000-0000-0000EA000000}"/>
    <cellStyle name="20% - Énfasis1 22 4" xfId="304" xr:uid="{00000000-0005-0000-0000-0000EB000000}"/>
    <cellStyle name="20% - Énfasis1 22 5" xfId="305" xr:uid="{00000000-0005-0000-0000-0000EC000000}"/>
    <cellStyle name="20% - Énfasis1 22 6" xfId="306" xr:uid="{00000000-0005-0000-0000-0000ED000000}"/>
    <cellStyle name="20% - Énfasis1 22 7" xfId="307" xr:uid="{00000000-0005-0000-0000-0000EE000000}"/>
    <cellStyle name="20% - Énfasis1 22 8" xfId="308" xr:uid="{00000000-0005-0000-0000-0000EF000000}"/>
    <cellStyle name="20% - Énfasis1 22 9" xfId="309" xr:uid="{00000000-0005-0000-0000-0000F0000000}"/>
    <cellStyle name="20% - Énfasis1 23 10" xfId="310" xr:uid="{00000000-0005-0000-0000-0000F1000000}"/>
    <cellStyle name="20% - Énfasis1 23 11" xfId="311" xr:uid="{00000000-0005-0000-0000-0000F2000000}"/>
    <cellStyle name="20% - Énfasis1 23 12" xfId="312" xr:uid="{00000000-0005-0000-0000-0000F3000000}"/>
    <cellStyle name="20% - Énfasis1 23 13" xfId="313" xr:uid="{00000000-0005-0000-0000-0000F4000000}"/>
    <cellStyle name="20% - Énfasis1 23 14" xfId="314" xr:uid="{00000000-0005-0000-0000-0000F5000000}"/>
    <cellStyle name="20% - Énfasis1 23 15" xfId="315" xr:uid="{00000000-0005-0000-0000-0000F6000000}"/>
    <cellStyle name="20% - Énfasis1 23 16" xfId="316" xr:uid="{00000000-0005-0000-0000-0000F7000000}"/>
    <cellStyle name="20% - Énfasis1 23 17" xfId="317" xr:uid="{00000000-0005-0000-0000-0000F8000000}"/>
    <cellStyle name="20% - Énfasis1 23 18" xfId="318" xr:uid="{00000000-0005-0000-0000-0000F9000000}"/>
    <cellStyle name="20% - Énfasis1 23 2" xfId="319" xr:uid="{00000000-0005-0000-0000-0000FA000000}"/>
    <cellStyle name="20% - Énfasis1 23 3" xfId="320" xr:uid="{00000000-0005-0000-0000-0000FB000000}"/>
    <cellStyle name="20% - Énfasis1 23 4" xfId="321" xr:uid="{00000000-0005-0000-0000-0000FC000000}"/>
    <cellStyle name="20% - Énfasis1 23 5" xfId="322" xr:uid="{00000000-0005-0000-0000-0000FD000000}"/>
    <cellStyle name="20% - Énfasis1 23 6" xfId="323" xr:uid="{00000000-0005-0000-0000-0000FE000000}"/>
    <cellStyle name="20% - Énfasis1 23 7" xfId="324" xr:uid="{00000000-0005-0000-0000-0000FF000000}"/>
    <cellStyle name="20% - Énfasis1 23 8" xfId="325" xr:uid="{00000000-0005-0000-0000-000000010000}"/>
    <cellStyle name="20% - Énfasis1 23 9" xfId="326" xr:uid="{00000000-0005-0000-0000-000001010000}"/>
    <cellStyle name="20% - Énfasis1 24 10" xfId="327" xr:uid="{00000000-0005-0000-0000-000002010000}"/>
    <cellStyle name="20% - Énfasis1 24 11" xfId="328" xr:uid="{00000000-0005-0000-0000-000003010000}"/>
    <cellStyle name="20% - Énfasis1 24 12" xfId="329" xr:uid="{00000000-0005-0000-0000-000004010000}"/>
    <cellStyle name="20% - Énfasis1 24 13" xfId="330" xr:uid="{00000000-0005-0000-0000-000005010000}"/>
    <cellStyle name="20% - Énfasis1 24 14" xfId="331" xr:uid="{00000000-0005-0000-0000-000006010000}"/>
    <cellStyle name="20% - Énfasis1 24 15" xfId="332" xr:uid="{00000000-0005-0000-0000-000007010000}"/>
    <cellStyle name="20% - Énfasis1 24 16" xfId="333" xr:uid="{00000000-0005-0000-0000-000008010000}"/>
    <cellStyle name="20% - Énfasis1 24 17" xfId="334" xr:uid="{00000000-0005-0000-0000-000009010000}"/>
    <cellStyle name="20% - Énfasis1 24 18" xfId="335" xr:uid="{00000000-0005-0000-0000-00000A010000}"/>
    <cellStyle name="20% - Énfasis1 24 2" xfId="336" xr:uid="{00000000-0005-0000-0000-00000B010000}"/>
    <cellStyle name="20% - Énfasis1 24 3" xfId="337" xr:uid="{00000000-0005-0000-0000-00000C010000}"/>
    <cellStyle name="20% - Énfasis1 24 4" xfId="338" xr:uid="{00000000-0005-0000-0000-00000D010000}"/>
    <cellStyle name="20% - Énfasis1 24 5" xfId="339" xr:uid="{00000000-0005-0000-0000-00000E010000}"/>
    <cellStyle name="20% - Énfasis1 24 6" xfId="340" xr:uid="{00000000-0005-0000-0000-00000F010000}"/>
    <cellStyle name="20% - Énfasis1 24 7" xfId="341" xr:uid="{00000000-0005-0000-0000-000010010000}"/>
    <cellStyle name="20% - Énfasis1 24 8" xfId="342" xr:uid="{00000000-0005-0000-0000-000011010000}"/>
    <cellStyle name="20% - Énfasis1 24 9" xfId="343" xr:uid="{00000000-0005-0000-0000-000012010000}"/>
    <cellStyle name="20% - Énfasis1 25 10" xfId="344" xr:uid="{00000000-0005-0000-0000-000013010000}"/>
    <cellStyle name="20% - Énfasis1 25 11" xfId="345" xr:uid="{00000000-0005-0000-0000-000014010000}"/>
    <cellStyle name="20% - Énfasis1 25 12" xfId="346" xr:uid="{00000000-0005-0000-0000-000015010000}"/>
    <cellStyle name="20% - Énfasis1 25 13" xfId="347" xr:uid="{00000000-0005-0000-0000-000016010000}"/>
    <cellStyle name="20% - Énfasis1 25 14" xfId="348" xr:uid="{00000000-0005-0000-0000-000017010000}"/>
    <cellStyle name="20% - Énfasis1 25 15" xfId="349" xr:uid="{00000000-0005-0000-0000-000018010000}"/>
    <cellStyle name="20% - Énfasis1 25 16" xfId="350" xr:uid="{00000000-0005-0000-0000-000019010000}"/>
    <cellStyle name="20% - Énfasis1 25 17" xfId="351" xr:uid="{00000000-0005-0000-0000-00001A010000}"/>
    <cellStyle name="20% - Énfasis1 25 18" xfId="352" xr:uid="{00000000-0005-0000-0000-00001B010000}"/>
    <cellStyle name="20% - Énfasis1 25 2" xfId="353" xr:uid="{00000000-0005-0000-0000-00001C010000}"/>
    <cellStyle name="20% - Énfasis1 25 3" xfId="354" xr:uid="{00000000-0005-0000-0000-00001D010000}"/>
    <cellStyle name="20% - Énfasis1 25 4" xfId="355" xr:uid="{00000000-0005-0000-0000-00001E010000}"/>
    <cellStyle name="20% - Énfasis1 25 5" xfId="356" xr:uid="{00000000-0005-0000-0000-00001F010000}"/>
    <cellStyle name="20% - Énfasis1 25 6" xfId="357" xr:uid="{00000000-0005-0000-0000-000020010000}"/>
    <cellStyle name="20% - Énfasis1 25 7" xfId="358" xr:uid="{00000000-0005-0000-0000-000021010000}"/>
    <cellStyle name="20% - Énfasis1 25 8" xfId="359" xr:uid="{00000000-0005-0000-0000-000022010000}"/>
    <cellStyle name="20% - Énfasis1 25 9" xfId="360" xr:uid="{00000000-0005-0000-0000-000023010000}"/>
    <cellStyle name="20% - Énfasis1 26 10" xfId="361" xr:uid="{00000000-0005-0000-0000-000024010000}"/>
    <cellStyle name="20% - Énfasis1 26 11" xfId="362" xr:uid="{00000000-0005-0000-0000-000025010000}"/>
    <cellStyle name="20% - Énfasis1 26 12" xfId="363" xr:uid="{00000000-0005-0000-0000-000026010000}"/>
    <cellStyle name="20% - Énfasis1 26 13" xfId="364" xr:uid="{00000000-0005-0000-0000-000027010000}"/>
    <cellStyle name="20% - Énfasis1 26 14" xfId="365" xr:uid="{00000000-0005-0000-0000-000028010000}"/>
    <cellStyle name="20% - Énfasis1 26 15" xfId="366" xr:uid="{00000000-0005-0000-0000-000029010000}"/>
    <cellStyle name="20% - Énfasis1 26 16" xfId="367" xr:uid="{00000000-0005-0000-0000-00002A010000}"/>
    <cellStyle name="20% - Énfasis1 26 17" xfId="368" xr:uid="{00000000-0005-0000-0000-00002B010000}"/>
    <cellStyle name="20% - Énfasis1 26 18" xfId="369" xr:uid="{00000000-0005-0000-0000-00002C010000}"/>
    <cellStyle name="20% - Énfasis1 26 2" xfId="370" xr:uid="{00000000-0005-0000-0000-00002D010000}"/>
    <cellStyle name="20% - Énfasis1 26 3" xfId="371" xr:uid="{00000000-0005-0000-0000-00002E010000}"/>
    <cellStyle name="20% - Énfasis1 26 4" xfId="372" xr:uid="{00000000-0005-0000-0000-00002F010000}"/>
    <cellStyle name="20% - Énfasis1 26 5" xfId="373" xr:uid="{00000000-0005-0000-0000-000030010000}"/>
    <cellStyle name="20% - Énfasis1 26 6" xfId="374" xr:uid="{00000000-0005-0000-0000-000031010000}"/>
    <cellStyle name="20% - Énfasis1 26 7" xfId="375" xr:uid="{00000000-0005-0000-0000-000032010000}"/>
    <cellStyle name="20% - Énfasis1 26 8" xfId="376" xr:uid="{00000000-0005-0000-0000-000033010000}"/>
    <cellStyle name="20% - Énfasis1 26 9" xfId="377" xr:uid="{00000000-0005-0000-0000-000034010000}"/>
    <cellStyle name="20% - Énfasis1 27 10" xfId="378" xr:uid="{00000000-0005-0000-0000-000035010000}"/>
    <cellStyle name="20% - Énfasis1 27 11" xfId="379" xr:uid="{00000000-0005-0000-0000-000036010000}"/>
    <cellStyle name="20% - Énfasis1 27 12" xfId="380" xr:uid="{00000000-0005-0000-0000-000037010000}"/>
    <cellStyle name="20% - Énfasis1 27 13" xfId="381" xr:uid="{00000000-0005-0000-0000-000038010000}"/>
    <cellStyle name="20% - Énfasis1 27 14" xfId="382" xr:uid="{00000000-0005-0000-0000-000039010000}"/>
    <cellStyle name="20% - Énfasis1 27 15" xfId="383" xr:uid="{00000000-0005-0000-0000-00003A010000}"/>
    <cellStyle name="20% - Énfasis1 27 16" xfId="384" xr:uid="{00000000-0005-0000-0000-00003B010000}"/>
    <cellStyle name="20% - Énfasis1 27 17" xfId="385" xr:uid="{00000000-0005-0000-0000-00003C010000}"/>
    <cellStyle name="20% - Énfasis1 27 18" xfId="386" xr:uid="{00000000-0005-0000-0000-00003D010000}"/>
    <cellStyle name="20% - Énfasis1 27 2" xfId="387" xr:uid="{00000000-0005-0000-0000-00003E010000}"/>
    <cellStyle name="20% - Énfasis1 27 3" xfId="388" xr:uid="{00000000-0005-0000-0000-00003F010000}"/>
    <cellStyle name="20% - Énfasis1 27 4" xfId="389" xr:uid="{00000000-0005-0000-0000-000040010000}"/>
    <cellStyle name="20% - Énfasis1 27 5" xfId="390" xr:uid="{00000000-0005-0000-0000-000041010000}"/>
    <cellStyle name="20% - Énfasis1 27 6" xfId="391" xr:uid="{00000000-0005-0000-0000-000042010000}"/>
    <cellStyle name="20% - Énfasis1 27 7" xfId="392" xr:uid="{00000000-0005-0000-0000-000043010000}"/>
    <cellStyle name="20% - Énfasis1 27 8" xfId="393" xr:uid="{00000000-0005-0000-0000-000044010000}"/>
    <cellStyle name="20% - Énfasis1 27 9" xfId="394" xr:uid="{00000000-0005-0000-0000-000045010000}"/>
    <cellStyle name="20% - Énfasis1 28 10" xfId="395" xr:uid="{00000000-0005-0000-0000-000046010000}"/>
    <cellStyle name="20% - Énfasis1 28 11" xfId="396" xr:uid="{00000000-0005-0000-0000-000047010000}"/>
    <cellStyle name="20% - Énfasis1 28 12" xfId="397" xr:uid="{00000000-0005-0000-0000-000048010000}"/>
    <cellStyle name="20% - Énfasis1 28 13" xfId="398" xr:uid="{00000000-0005-0000-0000-000049010000}"/>
    <cellStyle name="20% - Énfasis1 28 14" xfId="399" xr:uid="{00000000-0005-0000-0000-00004A010000}"/>
    <cellStyle name="20% - Énfasis1 28 15" xfId="400" xr:uid="{00000000-0005-0000-0000-00004B010000}"/>
    <cellStyle name="20% - Énfasis1 28 16" xfId="401" xr:uid="{00000000-0005-0000-0000-00004C010000}"/>
    <cellStyle name="20% - Énfasis1 28 17" xfId="402" xr:uid="{00000000-0005-0000-0000-00004D010000}"/>
    <cellStyle name="20% - Énfasis1 28 18" xfId="403" xr:uid="{00000000-0005-0000-0000-00004E010000}"/>
    <cellStyle name="20% - Énfasis1 28 2" xfId="404" xr:uid="{00000000-0005-0000-0000-00004F010000}"/>
    <cellStyle name="20% - Énfasis1 28 3" xfId="405" xr:uid="{00000000-0005-0000-0000-000050010000}"/>
    <cellStyle name="20% - Énfasis1 28 4" xfId="406" xr:uid="{00000000-0005-0000-0000-000051010000}"/>
    <cellStyle name="20% - Énfasis1 28 5" xfId="407" xr:uid="{00000000-0005-0000-0000-000052010000}"/>
    <cellStyle name="20% - Énfasis1 28 6" xfId="408" xr:uid="{00000000-0005-0000-0000-000053010000}"/>
    <cellStyle name="20% - Énfasis1 28 7" xfId="409" xr:uid="{00000000-0005-0000-0000-000054010000}"/>
    <cellStyle name="20% - Énfasis1 28 8" xfId="410" xr:uid="{00000000-0005-0000-0000-000055010000}"/>
    <cellStyle name="20% - Énfasis1 28 9" xfId="411" xr:uid="{00000000-0005-0000-0000-000056010000}"/>
    <cellStyle name="20% - Énfasis1 29 10" xfId="412" xr:uid="{00000000-0005-0000-0000-000057010000}"/>
    <cellStyle name="20% - Énfasis1 29 11" xfId="413" xr:uid="{00000000-0005-0000-0000-000058010000}"/>
    <cellStyle name="20% - Énfasis1 29 12" xfId="414" xr:uid="{00000000-0005-0000-0000-000059010000}"/>
    <cellStyle name="20% - Énfasis1 29 13" xfId="415" xr:uid="{00000000-0005-0000-0000-00005A010000}"/>
    <cellStyle name="20% - Énfasis1 29 14" xfId="416" xr:uid="{00000000-0005-0000-0000-00005B010000}"/>
    <cellStyle name="20% - Énfasis1 29 15" xfId="417" xr:uid="{00000000-0005-0000-0000-00005C010000}"/>
    <cellStyle name="20% - Énfasis1 29 16" xfId="418" xr:uid="{00000000-0005-0000-0000-00005D010000}"/>
    <cellStyle name="20% - Énfasis1 29 17" xfId="419" xr:uid="{00000000-0005-0000-0000-00005E010000}"/>
    <cellStyle name="20% - Énfasis1 29 18" xfId="420" xr:uid="{00000000-0005-0000-0000-00005F010000}"/>
    <cellStyle name="20% - Énfasis1 29 2" xfId="421" xr:uid="{00000000-0005-0000-0000-000060010000}"/>
    <cellStyle name="20% - Énfasis1 29 3" xfId="422" xr:uid="{00000000-0005-0000-0000-000061010000}"/>
    <cellStyle name="20% - Énfasis1 29 4" xfId="423" xr:uid="{00000000-0005-0000-0000-000062010000}"/>
    <cellStyle name="20% - Énfasis1 29 5" xfId="424" xr:uid="{00000000-0005-0000-0000-000063010000}"/>
    <cellStyle name="20% - Énfasis1 29 6" xfId="425" xr:uid="{00000000-0005-0000-0000-000064010000}"/>
    <cellStyle name="20% - Énfasis1 29 7" xfId="426" xr:uid="{00000000-0005-0000-0000-000065010000}"/>
    <cellStyle name="20% - Énfasis1 29 8" xfId="427" xr:uid="{00000000-0005-0000-0000-000066010000}"/>
    <cellStyle name="20% - Énfasis1 29 9" xfId="428" xr:uid="{00000000-0005-0000-0000-000067010000}"/>
    <cellStyle name="20% - Énfasis1 3 10" xfId="429" xr:uid="{00000000-0005-0000-0000-000068010000}"/>
    <cellStyle name="20% - Énfasis1 3 11" xfId="430" xr:uid="{00000000-0005-0000-0000-000069010000}"/>
    <cellStyle name="20% - Énfasis1 3 12" xfId="431" xr:uid="{00000000-0005-0000-0000-00006A010000}"/>
    <cellStyle name="20% - Énfasis1 3 13" xfId="432" xr:uid="{00000000-0005-0000-0000-00006B010000}"/>
    <cellStyle name="20% - Énfasis1 3 14" xfId="433" xr:uid="{00000000-0005-0000-0000-00006C010000}"/>
    <cellStyle name="20% - Énfasis1 3 15" xfId="434" xr:uid="{00000000-0005-0000-0000-00006D010000}"/>
    <cellStyle name="20% - Énfasis1 3 16" xfId="435" xr:uid="{00000000-0005-0000-0000-00006E010000}"/>
    <cellStyle name="20% - Énfasis1 3 17" xfId="436" xr:uid="{00000000-0005-0000-0000-00006F010000}"/>
    <cellStyle name="20% - Énfasis1 3 18" xfId="437" xr:uid="{00000000-0005-0000-0000-000070010000}"/>
    <cellStyle name="20% - Énfasis1 3 2" xfId="438" xr:uid="{00000000-0005-0000-0000-000071010000}"/>
    <cellStyle name="20% - Énfasis1 3 3" xfId="439" xr:uid="{00000000-0005-0000-0000-000072010000}"/>
    <cellStyle name="20% - Énfasis1 3 4" xfId="440" xr:uid="{00000000-0005-0000-0000-000073010000}"/>
    <cellStyle name="20% - Énfasis1 3 5" xfId="441" xr:uid="{00000000-0005-0000-0000-000074010000}"/>
    <cellStyle name="20% - Énfasis1 3 6" xfId="442" xr:uid="{00000000-0005-0000-0000-000075010000}"/>
    <cellStyle name="20% - Énfasis1 3 7" xfId="443" xr:uid="{00000000-0005-0000-0000-000076010000}"/>
    <cellStyle name="20% - Énfasis1 3 8" xfId="444" xr:uid="{00000000-0005-0000-0000-000077010000}"/>
    <cellStyle name="20% - Énfasis1 3 9" xfId="445" xr:uid="{00000000-0005-0000-0000-000078010000}"/>
    <cellStyle name="20% - Énfasis1 30 10" xfId="446" xr:uid="{00000000-0005-0000-0000-000079010000}"/>
    <cellStyle name="20% - Énfasis1 30 11" xfId="447" xr:uid="{00000000-0005-0000-0000-00007A010000}"/>
    <cellStyle name="20% - Énfasis1 30 12" xfId="448" xr:uid="{00000000-0005-0000-0000-00007B010000}"/>
    <cellStyle name="20% - Énfasis1 30 13" xfId="449" xr:uid="{00000000-0005-0000-0000-00007C010000}"/>
    <cellStyle name="20% - Énfasis1 30 14" xfId="450" xr:uid="{00000000-0005-0000-0000-00007D010000}"/>
    <cellStyle name="20% - Énfasis1 30 15" xfId="451" xr:uid="{00000000-0005-0000-0000-00007E010000}"/>
    <cellStyle name="20% - Énfasis1 30 16" xfId="452" xr:uid="{00000000-0005-0000-0000-00007F010000}"/>
    <cellStyle name="20% - Énfasis1 30 17" xfId="453" xr:uid="{00000000-0005-0000-0000-000080010000}"/>
    <cellStyle name="20% - Énfasis1 30 18" xfId="454" xr:uid="{00000000-0005-0000-0000-000081010000}"/>
    <cellStyle name="20% - Énfasis1 30 2" xfId="455" xr:uid="{00000000-0005-0000-0000-000082010000}"/>
    <cellStyle name="20% - Énfasis1 30 3" xfId="456" xr:uid="{00000000-0005-0000-0000-000083010000}"/>
    <cellStyle name="20% - Énfasis1 30 4" xfId="457" xr:uid="{00000000-0005-0000-0000-000084010000}"/>
    <cellStyle name="20% - Énfasis1 30 5" xfId="458" xr:uid="{00000000-0005-0000-0000-000085010000}"/>
    <cellStyle name="20% - Énfasis1 30 6" xfId="459" xr:uid="{00000000-0005-0000-0000-000086010000}"/>
    <cellStyle name="20% - Énfasis1 30 7" xfId="460" xr:uid="{00000000-0005-0000-0000-000087010000}"/>
    <cellStyle name="20% - Énfasis1 30 8" xfId="461" xr:uid="{00000000-0005-0000-0000-000088010000}"/>
    <cellStyle name="20% - Énfasis1 30 9" xfId="462" xr:uid="{00000000-0005-0000-0000-000089010000}"/>
    <cellStyle name="20% - Énfasis1 31 10" xfId="463" xr:uid="{00000000-0005-0000-0000-00008A010000}"/>
    <cellStyle name="20% - Énfasis1 31 11" xfId="464" xr:uid="{00000000-0005-0000-0000-00008B010000}"/>
    <cellStyle name="20% - Énfasis1 31 12" xfId="465" xr:uid="{00000000-0005-0000-0000-00008C010000}"/>
    <cellStyle name="20% - Énfasis1 31 13" xfId="466" xr:uid="{00000000-0005-0000-0000-00008D010000}"/>
    <cellStyle name="20% - Énfasis1 31 14" xfId="467" xr:uid="{00000000-0005-0000-0000-00008E010000}"/>
    <cellStyle name="20% - Énfasis1 31 15" xfId="468" xr:uid="{00000000-0005-0000-0000-00008F010000}"/>
    <cellStyle name="20% - Énfasis1 31 16" xfId="469" xr:uid="{00000000-0005-0000-0000-000090010000}"/>
    <cellStyle name="20% - Énfasis1 31 17" xfId="470" xr:uid="{00000000-0005-0000-0000-000091010000}"/>
    <cellStyle name="20% - Énfasis1 31 18" xfId="471" xr:uid="{00000000-0005-0000-0000-000092010000}"/>
    <cellStyle name="20% - Énfasis1 31 2" xfId="472" xr:uid="{00000000-0005-0000-0000-000093010000}"/>
    <cellStyle name="20% - Énfasis1 31 3" xfId="473" xr:uid="{00000000-0005-0000-0000-000094010000}"/>
    <cellStyle name="20% - Énfasis1 31 4" xfId="474" xr:uid="{00000000-0005-0000-0000-000095010000}"/>
    <cellStyle name="20% - Énfasis1 31 5" xfId="475" xr:uid="{00000000-0005-0000-0000-000096010000}"/>
    <cellStyle name="20% - Énfasis1 31 6" xfId="476" xr:uid="{00000000-0005-0000-0000-000097010000}"/>
    <cellStyle name="20% - Énfasis1 31 7" xfId="477" xr:uid="{00000000-0005-0000-0000-000098010000}"/>
    <cellStyle name="20% - Énfasis1 31 8" xfId="478" xr:uid="{00000000-0005-0000-0000-000099010000}"/>
    <cellStyle name="20% - Énfasis1 31 9" xfId="479" xr:uid="{00000000-0005-0000-0000-00009A010000}"/>
    <cellStyle name="20% - Énfasis1 32 10" xfId="480" xr:uid="{00000000-0005-0000-0000-00009B010000}"/>
    <cellStyle name="20% - Énfasis1 32 11" xfId="481" xr:uid="{00000000-0005-0000-0000-00009C010000}"/>
    <cellStyle name="20% - Énfasis1 32 12" xfId="482" xr:uid="{00000000-0005-0000-0000-00009D010000}"/>
    <cellStyle name="20% - Énfasis1 32 13" xfId="483" xr:uid="{00000000-0005-0000-0000-00009E010000}"/>
    <cellStyle name="20% - Énfasis1 32 14" xfId="484" xr:uid="{00000000-0005-0000-0000-00009F010000}"/>
    <cellStyle name="20% - Énfasis1 32 15" xfId="485" xr:uid="{00000000-0005-0000-0000-0000A0010000}"/>
    <cellStyle name="20% - Énfasis1 32 16" xfId="486" xr:uid="{00000000-0005-0000-0000-0000A1010000}"/>
    <cellStyle name="20% - Énfasis1 32 17" xfId="487" xr:uid="{00000000-0005-0000-0000-0000A2010000}"/>
    <cellStyle name="20% - Énfasis1 32 18" xfId="488" xr:uid="{00000000-0005-0000-0000-0000A3010000}"/>
    <cellStyle name="20% - Énfasis1 32 2" xfId="489" xr:uid="{00000000-0005-0000-0000-0000A4010000}"/>
    <cellStyle name="20% - Énfasis1 32 3" xfId="490" xr:uid="{00000000-0005-0000-0000-0000A5010000}"/>
    <cellStyle name="20% - Énfasis1 32 4" xfId="491" xr:uid="{00000000-0005-0000-0000-0000A6010000}"/>
    <cellStyle name="20% - Énfasis1 32 5" xfId="492" xr:uid="{00000000-0005-0000-0000-0000A7010000}"/>
    <cellStyle name="20% - Énfasis1 32 6" xfId="493" xr:uid="{00000000-0005-0000-0000-0000A8010000}"/>
    <cellStyle name="20% - Énfasis1 32 7" xfId="494" xr:uid="{00000000-0005-0000-0000-0000A9010000}"/>
    <cellStyle name="20% - Énfasis1 32 8" xfId="495" xr:uid="{00000000-0005-0000-0000-0000AA010000}"/>
    <cellStyle name="20% - Énfasis1 32 9" xfId="496" xr:uid="{00000000-0005-0000-0000-0000AB010000}"/>
    <cellStyle name="20% - Énfasis1 33 10" xfId="497" xr:uid="{00000000-0005-0000-0000-0000AC010000}"/>
    <cellStyle name="20% - Énfasis1 33 11" xfId="498" xr:uid="{00000000-0005-0000-0000-0000AD010000}"/>
    <cellStyle name="20% - Énfasis1 33 12" xfId="499" xr:uid="{00000000-0005-0000-0000-0000AE010000}"/>
    <cellStyle name="20% - Énfasis1 33 13" xfId="500" xr:uid="{00000000-0005-0000-0000-0000AF010000}"/>
    <cellStyle name="20% - Énfasis1 33 14" xfId="501" xr:uid="{00000000-0005-0000-0000-0000B0010000}"/>
    <cellStyle name="20% - Énfasis1 33 15" xfId="502" xr:uid="{00000000-0005-0000-0000-0000B1010000}"/>
    <cellStyle name="20% - Énfasis1 33 16" xfId="503" xr:uid="{00000000-0005-0000-0000-0000B2010000}"/>
    <cellStyle name="20% - Énfasis1 33 17" xfId="504" xr:uid="{00000000-0005-0000-0000-0000B3010000}"/>
    <cellStyle name="20% - Énfasis1 33 18" xfId="505" xr:uid="{00000000-0005-0000-0000-0000B4010000}"/>
    <cellStyle name="20% - Énfasis1 33 2" xfId="506" xr:uid="{00000000-0005-0000-0000-0000B5010000}"/>
    <cellStyle name="20% - Énfasis1 33 3" xfId="507" xr:uid="{00000000-0005-0000-0000-0000B6010000}"/>
    <cellStyle name="20% - Énfasis1 33 4" xfId="508" xr:uid="{00000000-0005-0000-0000-0000B7010000}"/>
    <cellStyle name="20% - Énfasis1 33 5" xfId="509" xr:uid="{00000000-0005-0000-0000-0000B8010000}"/>
    <cellStyle name="20% - Énfasis1 33 6" xfId="510" xr:uid="{00000000-0005-0000-0000-0000B9010000}"/>
    <cellStyle name="20% - Énfasis1 33 7" xfId="511" xr:uid="{00000000-0005-0000-0000-0000BA010000}"/>
    <cellStyle name="20% - Énfasis1 33 8" xfId="512" xr:uid="{00000000-0005-0000-0000-0000BB010000}"/>
    <cellStyle name="20% - Énfasis1 33 9" xfId="513" xr:uid="{00000000-0005-0000-0000-0000BC010000}"/>
    <cellStyle name="20% - Énfasis1 34 10" xfId="514" xr:uid="{00000000-0005-0000-0000-0000BD010000}"/>
    <cellStyle name="20% - Énfasis1 34 11" xfId="515" xr:uid="{00000000-0005-0000-0000-0000BE010000}"/>
    <cellStyle name="20% - Énfasis1 34 12" xfId="516" xr:uid="{00000000-0005-0000-0000-0000BF010000}"/>
    <cellStyle name="20% - Énfasis1 34 13" xfId="517" xr:uid="{00000000-0005-0000-0000-0000C0010000}"/>
    <cellStyle name="20% - Énfasis1 34 14" xfId="518" xr:uid="{00000000-0005-0000-0000-0000C1010000}"/>
    <cellStyle name="20% - Énfasis1 34 15" xfId="519" xr:uid="{00000000-0005-0000-0000-0000C2010000}"/>
    <cellStyle name="20% - Énfasis1 34 16" xfId="520" xr:uid="{00000000-0005-0000-0000-0000C3010000}"/>
    <cellStyle name="20% - Énfasis1 34 17" xfId="521" xr:uid="{00000000-0005-0000-0000-0000C4010000}"/>
    <cellStyle name="20% - Énfasis1 34 18" xfId="522" xr:uid="{00000000-0005-0000-0000-0000C5010000}"/>
    <cellStyle name="20% - Énfasis1 34 2" xfId="523" xr:uid="{00000000-0005-0000-0000-0000C6010000}"/>
    <cellStyle name="20% - Énfasis1 34 3" xfId="524" xr:uid="{00000000-0005-0000-0000-0000C7010000}"/>
    <cellStyle name="20% - Énfasis1 34 4" xfId="525" xr:uid="{00000000-0005-0000-0000-0000C8010000}"/>
    <cellStyle name="20% - Énfasis1 34 5" xfId="526" xr:uid="{00000000-0005-0000-0000-0000C9010000}"/>
    <cellStyle name="20% - Énfasis1 34 6" xfId="527" xr:uid="{00000000-0005-0000-0000-0000CA010000}"/>
    <cellStyle name="20% - Énfasis1 34 7" xfId="528" xr:uid="{00000000-0005-0000-0000-0000CB010000}"/>
    <cellStyle name="20% - Énfasis1 34 8" xfId="529" xr:uid="{00000000-0005-0000-0000-0000CC010000}"/>
    <cellStyle name="20% - Énfasis1 34 9" xfId="530" xr:uid="{00000000-0005-0000-0000-0000CD010000}"/>
    <cellStyle name="20% - Énfasis1 35 10" xfId="531" xr:uid="{00000000-0005-0000-0000-0000CE010000}"/>
    <cellStyle name="20% - Énfasis1 35 11" xfId="532" xr:uid="{00000000-0005-0000-0000-0000CF010000}"/>
    <cellStyle name="20% - Énfasis1 35 12" xfId="533" xr:uid="{00000000-0005-0000-0000-0000D0010000}"/>
    <cellStyle name="20% - Énfasis1 35 13" xfId="534" xr:uid="{00000000-0005-0000-0000-0000D1010000}"/>
    <cellStyle name="20% - Énfasis1 35 14" xfId="535" xr:uid="{00000000-0005-0000-0000-0000D2010000}"/>
    <cellStyle name="20% - Énfasis1 35 15" xfId="536" xr:uid="{00000000-0005-0000-0000-0000D3010000}"/>
    <cellStyle name="20% - Énfasis1 35 16" xfId="537" xr:uid="{00000000-0005-0000-0000-0000D4010000}"/>
    <cellStyle name="20% - Énfasis1 35 17" xfId="538" xr:uid="{00000000-0005-0000-0000-0000D5010000}"/>
    <cellStyle name="20% - Énfasis1 35 18" xfId="539" xr:uid="{00000000-0005-0000-0000-0000D6010000}"/>
    <cellStyle name="20% - Énfasis1 35 2" xfId="540" xr:uid="{00000000-0005-0000-0000-0000D7010000}"/>
    <cellStyle name="20% - Énfasis1 35 3" xfId="541" xr:uid="{00000000-0005-0000-0000-0000D8010000}"/>
    <cellStyle name="20% - Énfasis1 35 4" xfId="542" xr:uid="{00000000-0005-0000-0000-0000D9010000}"/>
    <cellStyle name="20% - Énfasis1 35 5" xfId="543" xr:uid="{00000000-0005-0000-0000-0000DA010000}"/>
    <cellStyle name="20% - Énfasis1 35 6" xfId="544" xr:uid="{00000000-0005-0000-0000-0000DB010000}"/>
    <cellStyle name="20% - Énfasis1 35 7" xfId="545" xr:uid="{00000000-0005-0000-0000-0000DC010000}"/>
    <cellStyle name="20% - Énfasis1 35 8" xfId="546" xr:uid="{00000000-0005-0000-0000-0000DD010000}"/>
    <cellStyle name="20% - Énfasis1 35 9" xfId="547" xr:uid="{00000000-0005-0000-0000-0000DE010000}"/>
    <cellStyle name="20% - Énfasis1 36 10" xfId="548" xr:uid="{00000000-0005-0000-0000-0000DF010000}"/>
    <cellStyle name="20% - Énfasis1 36 11" xfId="549" xr:uid="{00000000-0005-0000-0000-0000E0010000}"/>
    <cellStyle name="20% - Énfasis1 36 12" xfId="550" xr:uid="{00000000-0005-0000-0000-0000E1010000}"/>
    <cellStyle name="20% - Énfasis1 36 13" xfId="551" xr:uid="{00000000-0005-0000-0000-0000E2010000}"/>
    <cellStyle name="20% - Énfasis1 36 14" xfId="552" xr:uid="{00000000-0005-0000-0000-0000E3010000}"/>
    <cellStyle name="20% - Énfasis1 36 15" xfId="553" xr:uid="{00000000-0005-0000-0000-0000E4010000}"/>
    <cellStyle name="20% - Énfasis1 36 16" xfId="554" xr:uid="{00000000-0005-0000-0000-0000E5010000}"/>
    <cellStyle name="20% - Énfasis1 36 17" xfId="555" xr:uid="{00000000-0005-0000-0000-0000E6010000}"/>
    <cellStyle name="20% - Énfasis1 36 18" xfId="556" xr:uid="{00000000-0005-0000-0000-0000E7010000}"/>
    <cellStyle name="20% - Énfasis1 36 2" xfId="557" xr:uid="{00000000-0005-0000-0000-0000E8010000}"/>
    <cellStyle name="20% - Énfasis1 36 3" xfId="558" xr:uid="{00000000-0005-0000-0000-0000E9010000}"/>
    <cellStyle name="20% - Énfasis1 36 4" xfId="559" xr:uid="{00000000-0005-0000-0000-0000EA010000}"/>
    <cellStyle name="20% - Énfasis1 36 5" xfId="560" xr:uid="{00000000-0005-0000-0000-0000EB010000}"/>
    <cellStyle name="20% - Énfasis1 36 6" xfId="561" xr:uid="{00000000-0005-0000-0000-0000EC010000}"/>
    <cellStyle name="20% - Énfasis1 36 7" xfId="562" xr:uid="{00000000-0005-0000-0000-0000ED010000}"/>
    <cellStyle name="20% - Énfasis1 36 8" xfId="563" xr:uid="{00000000-0005-0000-0000-0000EE010000}"/>
    <cellStyle name="20% - Énfasis1 36 9" xfId="564" xr:uid="{00000000-0005-0000-0000-0000EF010000}"/>
    <cellStyle name="20% - Énfasis1 37 10" xfId="565" xr:uid="{00000000-0005-0000-0000-0000F0010000}"/>
    <cellStyle name="20% - Énfasis1 37 11" xfId="566" xr:uid="{00000000-0005-0000-0000-0000F1010000}"/>
    <cellStyle name="20% - Énfasis1 37 12" xfId="567" xr:uid="{00000000-0005-0000-0000-0000F2010000}"/>
    <cellStyle name="20% - Énfasis1 37 13" xfId="568" xr:uid="{00000000-0005-0000-0000-0000F3010000}"/>
    <cellStyle name="20% - Énfasis1 37 14" xfId="569" xr:uid="{00000000-0005-0000-0000-0000F4010000}"/>
    <cellStyle name="20% - Énfasis1 37 15" xfId="570" xr:uid="{00000000-0005-0000-0000-0000F5010000}"/>
    <cellStyle name="20% - Énfasis1 37 16" xfId="571" xr:uid="{00000000-0005-0000-0000-0000F6010000}"/>
    <cellStyle name="20% - Énfasis1 37 17" xfId="572" xr:uid="{00000000-0005-0000-0000-0000F7010000}"/>
    <cellStyle name="20% - Énfasis1 37 18" xfId="573" xr:uid="{00000000-0005-0000-0000-0000F8010000}"/>
    <cellStyle name="20% - Énfasis1 37 2" xfId="574" xr:uid="{00000000-0005-0000-0000-0000F9010000}"/>
    <cellStyle name="20% - Énfasis1 37 3" xfId="575" xr:uid="{00000000-0005-0000-0000-0000FA010000}"/>
    <cellStyle name="20% - Énfasis1 37 4" xfId="576" xr:uid="{00000000-0005-0000-0000-0000FB010000}"/>
    <cellStyle name="20% - Énfasis1 37 5" xfId="577" xr:uid="{00000000-0005-0000-0000-0000FC010000}"/>
    <cellStyle name="20% - Énfasis1 37 6" xfId="578" xr:uid="{00000000-0005-0000-0000-0000FD010000}"/>
    <cellStyle name="20% - Énfasis1 37 7" xfId="579" xr:uid="{00000000-0005-0000-0000-0000FE010000}"/>
    <cellStyle name="20% - Énfasis1 37 8" xfId="580" xr:uid="{00000000-0005-0000-0000-0000FF010000}"/>
    <cellStyle name="20% - Énfasis1 37 9" xfId="581" xr:uid="{00000000-0005-0000-0000-000000020000}"/>
    <cellStyle name="20% - Énfasis1 38 10" xfId="582" xr:uid="{00000000-0005-0000-0000-000001020000}"/>
    <cellStyle name="20% - Énfasis1 38 11" xfId="583" xr:uid="{00000000-0005-0000-0000-000002020000}"/>
    <cellStyle name="20% - Énfasis1 38 12" xfId="584" xr:uid="{00000000-0005-0000-0000-000003020000}"/>
    <cellStyle name="20% - Énfasis1 38 13" xfId="585" xr:uid="{00000000-0005-0000-0000-000004020000}"/>
    <cellStyle name="20% - Énfasis1 38 14" xfId="586" xr:uid="{00000000-0005-0000-0000-000005020000}"/>
    <cellStyle name="20% - Énfasis1 38 15" xfId="587" xr:uid="{00000000-0005-0000-0000-000006020000}"/>
    <cellStyle name="20% - Énfasis1 38 16" xfId="588" xr:uid="{00000000-0005-0000-0000-000007020000}"/>
    <cellStyle name="20% - Énfasis1 38 17" xfId="589" xr:uid="{00000000-0005-0000-0000-000008020000}"/>
    <cellStyle name="20% - Énfasis1 38 18" xfId="590" xr:uid="{00000000-0005-0000-0000-000009020000}"/>
    <cellStyle name="20% - Énfasis1 38 2" xfId="591" xr:uid="{00000000-0005-0000-0000-00000A020000}"/>
    <cellStyle name="20% - Énfasis1 38 3" xfId="592" xr:uid="{00000000-0005-0000-0000-00000B020000}"/>
    <cellStyle name="20% - Énfasis1 38 4" xfId="593" xr:uid="{00000000-0005-0000-0000-00000C020000}"/>
    <cellStyle name="20% - Énfasis1 38 5" xfId="594" xr:uid="{00000000-0005-0000-0000-00000D020000}"/>
    <cellStyle name="20% - Énfasis1 38 6" xfId="595" xr:uid="{00000000-0005-0000-0000-00000E020000}"/>
    <cellStyle name="20% - Énfasis1 38 7" xfId="596" xr:uid="{00000000-0005-0000-0000-00000F020000}"/>
    <cellStyle name="20% - Énfasis1 38 8" xfId="597" xr:uid="{00000000-0005-0000-0000-000010020000}"/>
    <cellStyle name="20% - Énfasis1 38 9" xfId="598" xr:uid="{00000000-0005-0000-0000-000011020000}"/>
    <cellStyle name="20% - Énfasis1 39" xfId="599" xr:uid="{00000000-0005-0000-0000-000012020000}"/>
    <cellStyle name="20% - Énfasis1 39 10" xfId="600" xr:uid="{00000000-0005-0000-0000-000013020000}"/>
    <cellStyle name="20% - Énfasis1 39 11" xfId="601" xr:uid="{00000000-0005-0000-0000-000014020000}"/>
    <cellStyle name="20% - Énfasis1 39 12" xfId="602" xr:uid="{00000000-0005-0000-0000-000015020000}"/>
    <cellStyle name="20% - Énfasis1 39 13" xfId="603" xr:uid="{00000000-0005-0000-0000-000016020000}"/>
    <cellStyle name="20% - Énfasis1 39 14" xfId="604" xr:uid="{00000000-0005-0000-0000-000017020000}"/>
    <cellStyle name="20% - Énfasis1 39 15" xfId="605" xr:uid="{00000000-0005-0000-0000-000018020000}"/>
    <cellStyle name="20% - Énfasis1 39 2" xfId="606" xr:uid="{00000000-0005-0000-0000-000019020000}"/>
    <cellStyle name="20% - Énfasis1 39 3" xfId="607" xr:uid="{00000000-0005-0000-0000-00001A020000}"/>
    <cellStyle name="20% - Énfasis1 39 4" xfId="608" xr:uid="{00000000-0005-0000-0000-00001B020000}"/>
    <cellStyle name="20% - Énfasis1 39 5" xfId="609" xr:uid="{00000000-0005-0000-0000-00001C020000}"/>
    <cellStyle name="20% - Énfasis1 39 6" xfId="610" xr:uid="{00000000-0005-0000-0000-00001D020000}"/>
    <cellStyle name="20% - Énfasis1 39 7" xfId="611" xr:uid="{00000000-0005-0000-0000-00001E020000}"/>
    <cellStyle name="20% - Énfasis1 39 8" xfId="612" xr:uid="{00000000-0005-0000-0000-00001F020000}"/>
    <cellStyle name="20% - Énfasis1 39 9" xfId="613" xr:uid="{00000000-0005-0000-0000-000020020000}"/>
    <cellStyle name="20% - Énfasis1 4 10" xfId="614" xr:uid="{00000000-0005-0000-0000-000021020000}"/>
    <cellStyle name="20% - Énfasis1 4 11" xfId="615" xr:uid="{00000000-0005-0000-0000-000022020000}"/>
    <cellStyle name="20% - Énfasis1 4 12" xfId="616" xr:uid="{00000000-0005-0000-0000-000023020000}"/>
    <cellStyle name="20% - Énfasis1 4 13" xfId="617" xr:uid="{00000000-0005-0000-0000-000024020000}"/>
    <cellStyle name="20% - Énfasis1 4 14" xfId="618" xr:uid="{00000000-0005-0000-0000-000025020000}"/>
    <cellStyle name="20% - Énfasis1 4 15" xfId="619" xr:uid="{00000000-0005-0000-0000-000026020000}"/>
    <cellStyle name="20% - Énfasis1 4 16" xfId="620" xr:uid="{00000000-0005-0000-0000-000027020000}"/>
    <cellStyle name="20% - Énfasis1 4 17" xfId="621" xr:uid="{00000000-0005-0000-0000-000028020000}"/>
    <cellStyle name="20% - Énfasis1 4 18" xfId="622" xr:uid="{00000000-0005-0000-0000-000029020000}"/>
    <cellStyle name="20% - Énfasis1 4 2" xfId="623" xr:uid="{00000000-0005-0000-0000-00002A020000}"/>
    <cellStyle name="20% - Énfasis1 4 3" xfId="624" xr:uid="{00000000-0005-0000-0000-00002B020000}"/>
    <cellStyle name="20% - Énfasis1 4 4" xfId="625" xr:uid="{00000000-0005-0000-0000-00002C020000}"/>
    <cellStyle name="20% - Énfasis1 4 5" xfId="626" xr:uid="{00000000-0005-0000-0000-00002D020000}"/>
    <cellStyle name="20% - Énfasis1 4 6" xfId="627" xr:uid="{00000000-0005-0000-0000-00002E020000}"/>
    <cellStyle name="20% - Énfasis1 4 7" xfId="628" xr:uid="{00000000-0005-0000-0000-00002F020000}"/>
    <cellStyle name="20% - Énfasis1 4 8" xfId="629" xr:uid="{00000000-0005-0000-0000-000030020000}"/>
    <cellStyle name="20% - Énfasis1 4 9" xfId="630" xr:uid="{00000000-0005-0000-0000-000031020000}"/>
    <cellStyle name="20% - Énfasis1 40" xfId="631" xr:uid="{00000000-0005-0000-0000-000032020000}"/>
    <cellStyle name="20% - Énfasis1 40 10" xfId="632" xr:uid="{00000000-0005-0000-0000-000033020000}"/>
    <cellStyle name="20% - Énfasis1 40 11" xfId="633" xr:uid="{00000000-0005-0000-0000-000034020000}"/>
    <cellStyle name="20% - Énfasis1 40 12" xfId="634" xr:uid="{00000000-0005-0000-0000-000035020000}"/>
    <cellStyle name="20% - Énfasis1 40 13" xfId="635" xr:uid="{00000000-0005-0000-0000-000036020000}"/>
    <cellStyle name="20% - Énfasis1 40 14" xfId="636" xr:uid="{00000000-0005-0000-0000-000037020000}"/>
    <cellStyle name="20% - Énfasis1 40 15" xfId="637" xr:uid="{00000000-0005-0000-0000-000038020000}"/>
    <cellStyle name="20% - Énfasis1 40 2" xfId="638" xr:uid="{00000000-0005-0000-0000-000039020000}"/>
    <cellStyle name="20% - Énfasis1 40 3" xfId="639" xr:uid="{00000000-0005-0000-0000-00003A020000}"/>
    <cellStyle name="20% - Énfasis1 40 4" xfId="640" xr:uid="{00000000-0005-0000-0000-00003B020000}"/>
    <cellStyle name="20% - Énfasis1 40 5" xfId="641" xr:uid="{00000000-0005-0000-0000-00003C020000}"/>
    <cellStyle name="20% - Énfasis1 40 6" xfId="642" xr:uid="{00000000-0005-0000-0000-00003D020000}"/>
    <cellStyle name="20% - Énfasis1 40 7" xfId="643" xr:uid="{00000000-0005-0000-0000-00003E020000}"/>
    <cellStyle name="20% - Énfasis1 40 8" xfId="644" xr:uid="{00000000-0005-0000-0000-00003F020000}"/>
    <cellStyle name="20% - Énfasis1 40 9" xfId="645" xr:uid="{00000000-0005-0000-0000-000040020000}"/>
    <cellStyle name="20% - Énfasis1 41" xfId="646" xr:uid="{00000000-0005-0000-0000-000041020000}"/>
    <cellStyle name="20% - Énfasis1 41 10" xfId="647" xr:uid="{00000000-0005-0000-0000-000042020000}"/>
    <cellStyle name="20% - Énfasis1 41 11" xfId="648" xr:uid="{00000000-0005-0000-0000-000043020000}"/>
    <cellStyle name="20% - Énfasis1 41 12" xfId="649" xr:uid="{00000000-0005-0000-0000-000044020000}"/>
    <cellStyle name="20% - Énfasis1 41 13" xfId="650" xr:uid="{00000000-0005-0000-0000-000045020000}"/>
    <cellStyle name="20% - Énfasis1 41 14" xfId="651" xr:uid="{00000000-0005-0000-0000-000046020000}"/>
    <cellStyle name="20% - Énfasis1 41 15" xfId="652" xr:uid="{00000000-0005-0000-0000-000047020000}"/>
    <cellStyle name="20% - Énfasis1 41 2" xfId="653" xr:uid="{00000000-0005-0000-0000-000048020000}"/>
    <cellStyle name="20% - Énfasis1 41 3" xfId="654" xr:uid="{00000000-0005-0000-0000-000049020000}"/>
    <cellStyle name="20% - Énfasis1 41 4" xfId="655" xr:uid="{00000000-0005-0000-0000-00004A020000}"/>
    <cellStyle name="20% - Énfasis1 41 5" xfId="656" xr:uid="{00000000-0005-0000-0000-00004B020000}"/>
    <cellStyle name="20% - Énfasis1 41 6" xfId="657" xr:uid="{00000000-0005-0000-0000-00004C020000}"/>
    <cellStyle name="20% - Énfasis1 41 7" xfId="658" xr:uid="{00000000-0005-0000-0000-00004D020000}"/>
    <cellStyle name="20% - Énfasis1 41 8" xfId="659" xr:uid="{00000000-0005-0000-0000-00004E020000}"/>
    <cellStyle name="20% - Énfasis1 41 9" xfId="660" xr:uid="{00000000-0005-0000-0000-00004F020000}"/>
    <cellStyle name="20% - Énfasis1 42" xfId="661" xr:uid="{00000000-0005-0000-0000-000050020000}"/>
    <cellStyle name="20% - Énfasis1 43" xfId="662" xr:uid="{00000000-0005-0000-0000-000051020000}"/>
    <cellStyle name="20% - Énfasis1 44" xfId="663" xr:uid="{00000000-0005-0000-0000-000052020000}"/>
    <cellStyle name="20% - Énfasis1 45" xfId="664" xr:uid="{00000000-0005-0000-0000-000053020000}"/>
    <cellStyle name="20% - Énfasis1 46" xfId="665" xr:uid="{00000000-0005-0000-0000-000054020000}"/>
    <cellStyle name="20% - Énfasis1 47" xfId="666" xr:uid="{00000000-0005-0000-0000-000055020000}"/>
    <cellStyle name="20% - Énfasis1 48" xfId="667" xr:uid="{00000000-0005-0000-0000-000056020000}"/>
    <cellStyle name="20% - Énfasis1 49" xfId="668" xr:uid="{00000000-0005-0000-0000-000057020000}"/>
    <cellStyle name="20% - Énfasis1 5 10" xfId="669" xr:uid="{00000000-0005-0000-0000-000058020000}"/>
    <cellStyle name="20% - Énfasis1 5 11" xfId="670" xr:uid="{00000000-0005-0000-0000-000059020000}"/>
    <cellStyle name="20% - Énfasis1 5 12" xfId="671" xr:uid="{00000000-0005-0000-0000-00005A020000}"/>
    <cellStyle name="20% - Énfasis1 5 13" xfId="672" xr:uid="{00000000-0005-0000-0000-00005B020000}"/>
    <cellStyle name="20% - Énfasis1 5 14" xfId="673" xr:uid="{00000000-0005-0000-0000-00005C020000}"/>
    <cellStyle name="20% - Énfasis1 5 15" xfId="674" xr:uid="{00000000-0005-0000-0000-00005D020000}"/>
    <cellStyle name="20% - Énfasis1 5 16" xfId="675" xr:uid="{00000000-0005-0000-0000-00005E020000}"/>
    <cellStyle name="20% - Énfasis1 5 17" xfId="676" xr:uid="{00000000-0005-0000-0000-00005F020000}"/>
    <cellStyle name="20% - Énfasis1 5 18" xfId="677" xr:uid="{00000000-0005-0000-0000-000060020000}"/>
    <cellStyle name="20% - Énfasis1 5 2" xfId="678" xr:uid="{00000000-0005-0000-0000-000061020000}"/>
    <cellStyle name="20% - Énfasis1 5 3" xfId="679" xr:uid="{00000000-0005-0000-0000-000062020000}"/>
    <cellStyle name="20% - Énfasis1 5 4" xfId="680" xr:uid="{00000000-0005-0000-0000-000063020000}"/>
    <cellStyle name="20% - Énfasis1 5 5" xfId="681" xr:uid="{00000000-0005-0000-0000-000064020000}"/>
    <cellStyle name="20% - Énfasis1 5 6" xfId="682" xr:uid="{00000000-0005-0000-0000-000065020000}"/>
    <cellStyle name="20% - Énfasis1 5 7" xfId="683" xr:uid="{00000000-0005-0000-0000-000066020000}"/>
    <cellStyle name="20% - Énfasis1 5 8" xfId="684" xr:uid="{00000000-0005-0000-0000-000067020000}"/>
    <cellStyle name="20% - Énfasis1 5 9" xfId="685" xr:uid="{00000000-0005-0000-0000-000068020000}"/>
    <cellStyle name="20% - Énfasis1 50" xfId="686" xr:uid="{00000000-0005-0000-0000-000069020000}"/>
    <cellStyle name="20% - Énfasis1 51" xfId="687" xr:uid="{00000000-0005-0000-0000-00006A020000}"/>
    <cellStyle name="20% - Énfasis1 52" xfId="688" xr:uid="{00000000-0005-0000-0000-00006B020000}"/>
    <cellStyle name="20% - Énfasis1 53" xfId="689" xr:uid="{00000000-0005-0000-0000-00006C020000}"/>
    <cellStyle name="20% - Énfasis1 54" xfId="690" xr:uid="{00000000-0005-0000-0000-00006D020000}"/>
    <cellStyle name="20% - Énfasis1 55" xfId="691" xr:uid="{00000000-0005-0000-0000-00006E020000}"/>
    <cellStyle name="20% - Énfasis1 56" xfId="692" xr:uid="{00000000-0005-0000-0000-00006F020000}"/>
    <cellStyle name="20% - Énfasis1 57" xfId="693" xr:uid="{00000000-0005-0000-0000-000070020000}"/>
    <cellStyle name="20% - Énfasis1 58" xfId="694" xr:uid="{00000000-0005-0000-0000-000071020000}"/>
    <cellStyle name="20% - Énfasis1 59" xfId="695" xr:uid="{00000000-0005-0000-0000-000072020000}"/>
    <cellStyle name="20% - Énfasis1 6 10" xfId="696" xr:uid="{00000000-0005-0000-0000-000073020000}"/>
    <cellStyle name="20% - Énfasis1 6 11" xfId="697" xr:uid="{00000000-0005-0000-0000-000074020000}"/>
    <cellStyle name="20% - Énfasis1 6 12" xfId="698" xr:uid="{00000000-0005-0000-0000-000075020000}"/>
    <cellStyle name="20% - Énfasis1 6 13" xfId="699" xr:uid="{00000000-0005-0000-0000-000076020000}"/>
    <cellStyle name="20% - Énfasis1 6 14" xfId="700" xr:uid="{00000000-0005-0000-0000-000077020000}"/>
    <cellStyle name="20% - Énfasis1 6 15" xfId="701" xr:uid="{00000000-0005-0000-0000-000078020000}"/>
    <cellStyle name="20% - Énfasis1 6 16" xfId="702" xr:uid="{00000000-0005-0000-0000-000079020000}"/>
    <cellStyle name="20% - Énfasis1 6 17" xfId="703" xr:uid="{00000000-0005-0000-0000-00007A020000}"/>
    <cellStyle name="20% - Énfasis1 6 18" xfId="704" xr:uid="{00000000-0005-0000-0000-00007B020000}"/>
    <cellStyle name="20% - Énfasis1 6 2" xfId="705" xr:uid="{00000000-0005-0000-0000-00007C020000}"/>
    <cellStyle name="20% - Énfasis1 6 3" xfId="706" xr:uid="{00000000-0005-0000-0000-00007D020000}"/>
    <cellStyle name="20% - Énfasis1 6 4" xfId="707" xr:uid="{00000000-0005-0000-0000-00007E020000}"/>
    <cellStyle name="20% - Énfasis1 6 5" xfId="708" xr:uid="{00000000-0005-0000-0000-00007F020000}"/>
    <cellStyle name="20% - Énfasis1 6 6" xfId="709" xr:uid="{00000000-0005-0000-0000-000080020000}"/>
    <cellStyle name="20% - Énfasis1 6 7" xfId="710" xr:uid="{00000000-0005-0000-0000-000081020000}"/>
    <cellStyle name="20% - Énfasis1 6 8" xfId="711" xr:uid="{00000000-0005-0000-0000-000082020000}"/>
    <cellStyle name="20% - Énfasis1 6 9" xfId="712" xr:uid="{00000000-0005-0000-0000-000083020000}"/>
    <cellStyle name="20% - Énfasis1 60" xfId="713" xr:uid="{00000000-0005-0000-0000-000084020000}"/>
    <cellStyle name="20% - Énfasis1 61" xfId="714" xr:uid="{00000000-0005-0000-0000-000085020000}"/>
    <cellStyle name="20% - Énfasis1 62" xfId="715" xr:uid="{00000000-0005-0000-0000-000086020000}"/>
    <cellStyle name="20% - Énfasis1 63" xfId="716" xr:uid="{00000000-0005-0000-0000-000087020000}"/>
    <cellStyle name="20% - Énfasis1 64" xfId="717" xr:uid="{00000000-0005-0000-0000-000088020000}"/>
    <cellStyle name="20% - Énfasis1 7 10" xfId="718" xr:uid="{00000000-0005-0000-0000-000089020000}"/>
    <cellStyle name="20% - Énfasis1 7 11" xfId="719" xr:uid="{00000000-0005-0000-0000-00008A020000}"/>
    <cellStyle name="20% - Énfasis1 7 12" xfId="720" xr:uid="{00000000-0005-0000-0000-00008B020000}"/>
    <cellStyle name="20% - Énfasis1 7 13" xfId="721" xr:uid="{00000000-0005-0000-0000-00008C020000}"/>
    <cellStyle name="20% - Énfasis1 7 14" xfId="722" xr:uid="{00000000-0005-0000-0000-00008D020000}"/>
    <cellStyle name="20% - Énfasis1 7 15" xfId="723" xr:uid="{00000000-0005-0000-0000-00008E020000}"/>
    <cellStyle name="20% - Énfasis1 7 16" xfId="724" xr:uid="{00000000-0005-0000-0000-00008F020000}"/>
    <cellStyle name="20% - Énfasis1 7 17" xfId="725" xr:uid="{00000000-0005-0000-0000-000090020000}"/>
    <cellStyle name="20% - Énfasis1 7 18" xfId="726" xr:uid="{00000000-0005-0000-0000-000091020000}"/>
    <cellStyle name="20% - Énfasis1 7 2" xfId="727" xr:uid="{00000000-0005-0000-0000-000092020000}"/>
    <cellStyle name="20% - Énfasis1 7 3" xfId="728" xr:uid="{00000000-0005-0000-0000-000093020000}"/>
    <cellStyle name="20% - Énfasis1 7 4" xfId="729" xr:uid="{00000000-0005-0000-0000-000094020000}"/>
    <cellStyle name="20% - Énfasis1 7 5" xfId="730" xr:uid="{00000000-0005-0000-0000-000095020000}"/>
    <cellStyle name="20% - Énfasis1 7 6" xfId="731" xr:uid="{00000000-0005-0000-0000-000096020000}"/>
    <cellStyle name="20% - Énfasis1 7 7" xfId="732" xr:uid="{00000000-0005-0000-0000-000097020000}"/>
    <cellStyle name="20% - Énfasis1 7 8" xfId="733" xr:uid="{00000000-0005-0000-0000-000098020000}"/>
    <cellStyle name="20% - Énfasis1 7 9" xfId="734" xr:uid="{00000000-0005-0000-0000-000099020000}"/>
    <cellStyle name="20% - Énfasis1 8 10" xfId="735" xr:uid="{00000000-0005-0000-0000-00009A020000}"/>
    <cellStyle name="20% - Énfasis1 8 11" xfId="736" xr:uid="{00000000-0005-0000-0000-00009B020000}"/>
    <cellStyle name="20% - Énfasis1 8 12" xfId="737" xr:uid="{00000000-0005-0000-0000-00009C020000}"/>
    <cellStyle name="20% - Énfasis1 8 13" xfId="738" xr:uid="{00000000-0005-0000-0000-00009D020000}"/>
    <cellStyle name="20% - Énfasis1 8 14" xfId="739" xr:uid="{00000000-0005-0000-0000-00009E020000}"/>
    <cellStyle name="20% - Énfasis1 8 15" xfId="740" xr:uid="{00000000-0005-0000-0000-00009F020000}"/>
    <cellStyle name="20% - Énfasis1 8 16" xfId="741" xr:uid="{00000000-0005-0000-0000-0000A0020000}"/>
    <cellStyle name="20% - Énfasis1 8 17" xfId="742" xr:uid="{00000000-0005-0000-0000-0000A1020000}"/>
    <cellStyle name="20% - Énfasis1 8 18" xfId="743" xr:uid="{00000000-0005-0000-0000-0000A2020000}"/>
    <cellStyle name="20% - Énfasis1 8 2" xfId="744" xr:uid="{00000000-0005-0000-0000-0000A3020000}"/>
    <cellStyle name="20% - Énfasis1 8 3" xfId="745" xr:uid="{00000000-0005-0000-0000-0000A4020000}"/>
    <cellStyle name="20% - Énfasis1 8 4" xfId="746" xr:uid="{00000000-0005-0000-0000-0000A5020000}"/>
    <cellStyle name="20% - Énfasis1 8 5" xfId="747" xr:uid="{00000000-0005-0000-0000-0000A6020000}"/>
    <cellStyle name="20% - Énfasis1 8 6" xfId="748" xr:uid="{00000000-0005-0000-0000-0000A7020000}"/>
    <cellStyle name="20% - Énfasis1 8 7" xfId="749" xr:uid="{00000000-0005-0000-0000-0000A8020000}"/>
    <cellStyle name="20% - Énfasis1 8 8" xfId="750" xr:uid="{00000000-0005-0000-0000-0000A9020000}"/>
    <cellStyle name="20% - Énfasis1 8 9" xfId="751" xr:uid="{00000000-0005-0000-0000-0000AA020000}"/>
    <cellStyle name="20% - Énfasis1 9 10" xfId="752" xr:uid="{00000000-0005-0000-0000-0000AB020000}"/>
    <cellStyle name="20% - Énfasis1 9 11" xfId="753" xr:uid="{00000000-0005-0000-0000-0000AC020000}"/>
    <cellStyle name="20% - Énfasis1 9 12" xfId="754" xr:uid="{00000000-0005-0000-0000-0000AD020000}"/>
    <cellStyle name="20% - Énfasis1 9 13" xfId="755" xr:uid="{00000000-0005-0000-0000-0000AE020000}"/>
    <cellStyle name="20% - Énfasis1 9 14" xfId="756" xr:uid="{00000000-0005-0000-0000-0000AF020000}"/>
    <cellStyle name="20% - Énfasis1 9 15" xfId="757" xr:uid="{00000000-0005-0000-0000-0000B0020000}"/>
    <cellStyle name="20% - Énfasis1 9 16" xfId="758" xr:uid="{00000000-0005-0000-0000-0000B1020000}"/>
    <cellStyle name="20% - Énfasis1 9 17" xfId="759" xr:uid="{00000000-0005-0000-0000-0000B2020000}"/>
    <cellStyle name="20% - Énfasis1 9 18" xfId="760" xr:uid="{00000000-0005-0000-0000-0000B3020000}"/>
    <cellStyle name="20% - Énfasis1 9 2" xfId="761" xr:uid="{00000000-0005-0000-0000-0000B4020000}"/>
    <cellStyle name="20% - Énfasis1 9 3" xfId="762" xr:uid="{00000000-0005-0000-0000-0000B5020000}"/>
    <cellStyle name="20% - Énfasis1 9 4" xfId="763" xr:uid="{00000000-0005-0000-0000-0000B6020000}"/>
    <cellStyle name="20% - Énfasis1 9 5" xfId="764" xr:uid="{00000000-0005-0000-0000-0000B7020000}"/>
    <cellStyle name="20% - Énfasis1 9 6" xfId="765" xr:uid="{00000000-0005-0000-0000-0000B8020000}"/>
    <cellStyle name="20% - Énfasis1 9 7" xfId="766" xr:uid="{00000000-0005-0000-0000-0000B9020000}"/>
    <cellStyle name="20% - Énfasis1 9 8" xfId="767" xr:uid="{00000000-0005-0000-0000-0000BA020000}"/>
    <cellStyle name="20% - Énfasis1 9 9" xfId="768" xr:uid="{00000000-0005-0000-0000-0000BB020000}"/>
    <cellStyle name="20% - Énfasis2" xfId="32533" builtinId="34" customBuiltin="1"/>
    <cellStyle name="20% - Énfasis2 10 10" xfId="769" xr:uid="{00000000-0005-0000-0000-0000BD020000}"/>
    <cellStyle name="20% - Énfasis2 10 11" xfId="770" xr:uid="{00000000-0005-0000-0000-0000BE020000}"/>
    <cellStyle name="20% - Énfasis2 10 12" xfId="771" xr:uid="{00000000-0005-0000-0000-0000BF020000}"/>
    <cellStyle name="20% - Énfasis2 10 13" xfId="772" xr:uid="{00000000-0005-0000-0000-0000C0020000}"/>
    <cellStyle name="20% - Énfasis2 10 14" xfId="773" xr:uid="{00000000-0005-0000-0000-0000C1020000}"/>
    <cellStyle name="20% - Énfasis2 10 15" xfId="774" xr:uid="{00000000-0005-0000-0000-0000C2020000}"/>
    <cellStyle name="20% - Énfasis2 10 16" xfId="775" xr:uid="{00000000-0005-0000-0000-0000C3020000}"/>
    <cellStyle name="20% - Énfasis2 10 17" xfId="776" xr:uid="{00000000-0005-0000-0000-0000C4020000}"/>
    <cellStyle name="20% - Énfasis2 10 18" xfId="777" xr:uid="{00000000-0005-0000-0000-0000C5020000}"/>
    <cellStyle name="20% - Énfasis2 10 2" xfId="778" xr:uid="{00000000-0005-0000-0000-0000C6020000}"/>
    <cellStyle name="20% - Énfasis2 10 3" xfId="779" xr:uid="{00000000-0005-0000-0000-0000C7020000}"/>
    <cellStyle name="20% - Énfasis2 10 4" xfId="780" xr:uid="{00000000-0005-0000-0000-0000C8020000}"/>
    <cellStyle name="20% - Énfasis2 10 5" xfId="781" xr:uid="{00000000-0005-0000-0000-0000C9020000}"/>
    <cellStyle name="20% - Énfasis2 10 6" xfId="782" xr:uid="{00000000-0005-0000-0000-0000CA020000}"/>
    <cellStyle name="20% - Énfasis2 10 7" xfId="783" xr:uid="{00000000-0005-0000-0000-0000CB020000}"/>
    <cellStyle name="20% - Énfasis2 10 8" xfId="784" xr:uid="{00000000-0005-0000-0000-0000CC020000}"/>
    <cellStyle name="20% - Énfasis2 10 9" xfId="785" xr:uid="{00000000-0005-0000-0000-0000CD020000}"/>
    <cellStyle name="20% - Énfasis2 11 10" xfId="786" xr:uid="{00000000-0005-0000-0000-0000CE020000}"/>
    <cellStyle name="20% - Énfasis2 11 11" xfId="787" xr:uid="{00000000-0005-0000-0000-0000CF020000}"/>
    <cellStyle name="20% - Énfasis2 11 12" xfId="788" xr:uid="{00000000-0005-0000-0000-0000D0020000}"/>
    <cellStyle name="20% - Énfasis2 11 13" xfId="789" xr:uid="{00000000-0005-0000-0000-0000D1020000}"/>
    <cellStyle name="20% - Énfasis2 11 14" xfId="790" xr:uid="{00000000-0005-0000-0000-0000D2020000}"/>
    <cellStyle name="20% - Énfasis2 11 15" xfId="791" xr:uid="{00000000-0005-0000-0000-0000D3020000}"/>
    <cellStyle name="20% - Énfasis2 11 16" xfId="792" xr:uid="{00000000-0005-0000-0000-0000D4020000}"/>
    <cellStyle name="20% - Énfasis2 11 17" xfId="793" xr:uid="{00000000-0005-0000-0000-0000D5020000}"/>
    <cellStyle name="20% - Énfasis2 11 18" xfId="794" xr:uid="{00000000-0005-0000-0000-0000D6020000}"/>
    <cellStyle name="20% - Énfasis2 11 2" xfId="795" xr:uid="{00000000-0005-0000-0000-0000D7020000}"/>
    <cellStyle name="20% - Énfasis2 11 3" xfId="796" xr:uid="{00000000-0005-0000-0000-0000D8020000}"/>
    <cellStyle name="20% - Énfasis2 11 4" xfId="797" xr:uid="{00000000-0005-0000-0000-0000D9020000}"/>
    <cellStyle name="20% - Énfasis2 11 5" xfId="798" xr:uid="{00000000-0005-0000-0000-0000DA020000}"/>
    <cellStyle name="20% - Énfasis2 11 6" xfId="799" xr:uid="{00000000-0005-0000-0000-0000DB020000}"/>
    <cellStyle name="20% - Énfasis2 11 7" xfId="800" xr:uid="{00000000-0005-0000-0000-0000DC020000}"/>
    <cellStyle name="20% - Énfasis2 11 8" xfId="801" xr:uid="{00000000-0005-0000-0000-0000DD020000}"/>
    <cellStyle name="20% - Énfasis2 11 9" xfId="802" xr:uid="{00000000-0005-0000-0000-0000DE020000}"/>
    <cellStyle name="20% - Énfasis2 12 10" xfId="803" xr:uid="{00000000-0005-0000-0000-0000DF020000}"/>
    <cellStyle name="20% - Énfasis2 12 11" xfId="804" xr:uid="{00000000-0005-0000-0000-0000E0020000}"/>
    <cellStyle name="20% - Énfasis2 12 12" xfId="805" xr:uid="{00000000-0005-0000-0000-0000E1020000}"/>
    <cellStyle name="20% - Énfasis2 12 13" xfId="806" xr:uid="{00000000-0005-0000-0000-0000E2020000}"/>
    <cellStyle name="20% - Énfasis2 12 14" xfId="807" xr:uid="{00000000-0005-0000-0000-0000E3020000}"/>
    <cellStyle name="20% - Énfasis2 12 15" xfId="808" xr:uid="{00000000-0005-0000-0000-0000E4020000}"/>
    <cellStyle name="20% - Énfasis2 12 16" xfId="809" xr:uid="{00000000-0005-0000-0000-0000E5020000}"/>
    <cellStyle name="20% - Énfasis2 12 17" xfId="810" xr:uid="{00000000-0005-0000-0000-0000E6020000}"/>
    <cellStyle name="20% - Énfasis2 12 18" xfId="811" xr:uid="{00000000-0005-0000-0000-0000E7020000}"/>
    <cellStyle name="20% - Énfasis2 12 2" xfId="812" xr:uid="{00000000-0005-0000-0000-0000E8020000}"/>
    <cellStyle name="20% - Énfasis2 12 3" xfId="813" xr:uid="{00000000-0005-0000-0000-0000E9020000}"/>
    <cellStyle name="20% - Énfasis2 12 4" xfId="814" xr:uid="{00000000-0005-0000-0000-0000EA020000}"/>
    <cellStyle name="20% - Énfasis2 12 5" xfId="815" xr:uid="{00000000-0005-0000-0000-0000EB020000}"/>
    <cellStyle name="20% - Énfasis2 12 6" xfId="816" xr:uid="{00000000-0005-0000-0000-0000EC020000}"/>
    <cellStyle name="20% - Énfasis2 12 7" xfId="817" xr:uid="{00000000-0005-0000-0000-0000ED020000}"/>
    <cellStyle name="20% - Énfasis2 12 8" xfId="818" xr:uid="{00000000-0005-0000-0000-0000EE020000}"/>
    <cellStyle name="20% - Énfasis2 12 9" xfId="819" xr:uid="{00000000-0005-0000-0000-0000EF020000}"/>
    <cellStyle name="20% - Énfasis2 13 10" xfId="820" xr:uid="{00000000-0005-0000-0000-0000F0020000}"/>
    <cellStyle name="20% - Énfasis2 13 11" xfId="821" xr:uid="{00000000-0005-0000-0000-0000F1020000}"/>
    <cellStyle name="20% - Énfasis2 13 12" xfId="822" xr:uid="{00000000-0005-0000-0000-0000F2020000}"/>
    <cellStyle name="20% - Énfasis2 13 13" xfId="823" xr:uid="{00000000-0005-0000-0000-0000F3020000}"/>
    <cellStyle name="20% - Énfasis2 13 14" xfId="824" xr:uid="{00000000-0005-0000-0000-0000F4020000}"/>
    <cellStyle name="20% - Énfasis2 13 15" xfId="825" xr:uid="{00000000-0005-0000-0000-0000F5020000}"/>
    <cellStyle name="20% - Énfasis2 13 16" xfId="826" xr:uid="{00000000-0005-0000-0000-0000F6020000}"/>
    <cellStyle name="20% - Énfasis2 13 17" xfId="827" xr:uid="{00000000-0005-0000-0000-0000F7020000}"/>
    <cellStyle name="20% - Énfasis2 13 18" xfId="828" xr:uid="{00000000-0005-0000-0000-0000F8020000}"/>
    <cellStyle name="20% - Énfasis2 13 2" xfId="829" xr:uid="{00000000-0005-0000-0000-0000F9020000}"/>
    <cellStyle name="20% - Énfasis2 13 3" xfId="830" xr:uid="{00000000-0005-0000-0000-0000FA020000}"/>
    <cellStyle name="20% - Énfasis2 13 4" xfId="831" xr:uid="{00000000-0005-0000-0000-0000FB020000}"/>
    <cellStyle name="20% - Énfasis2 13 5" xfId="832" xr:uid="{00000000-0005-0000-0000-0000FC020000}"/>
    <cellStyle name="20% - Énfasis2 13 6" xfId="833" xr:uid="{00000000-0005-0000-0000-0000FD020000}"/>
    <cellStyle name="20% - Énfasis2 13 7" xfId="834" xr:uid="{00000000-0005-0000-0000-0000FE020000}"/>
    <cellStyle name="20% - Énfasis2 13 8" xfId="835" xr:uid="{00000000-0005-0000-0000-0000FF020000}"/>
    <cellStyle name="20% - Énfasis2 13 9" xfId="836" xr:uid="{00000000-0005-0000-0000-000000030000}"/>
    <cellStyle name="20% - Énfasis2 14 10" xfId="837" xr:uid="{00000000-0005-0000-0000-000001030000}"/>
    <cellStyle name="20% - Énfasis2 14 11" xfId="838" xr:uid="{00000000-0005-0000-0000-000002030000}"/>
    <cellStyle name="20% - Énfasis2 14 12" xfId="839" xr:uid="{00000000-0005-0000-0000-000003030000}"/>
    <cellStyle name="20% - Énfasis2 14 13" xfId="840" xr:uid="{00000000-0005-0000-0000-000004030000}"/>
    <cellStyle name="20% - Énfasis2 14 14" xfId="841" xr:uid="{00000000-0005-0000-0000-000005030000}"/>
    <cellStyle name="20% - Énfasis2 14 15" xfId="842" xr:uid="{00000000-0005-0000-0000-000006030000}"/>
    <cellStyle name="20% - Énfasis2 14 16" xfId="843" xr:uid="{00000000-0005-0000-0000-000007030000}"/>
    <cellStyle name="20% - Énfasis2 14 17" xfId="844" xr:uid="{00000000-0005-0000-0000-000008030000}"/>
    <cellStyle name="20% - Énfasis2 14 18" xfId="845" xr:uid="{00000000-0005-0000-0000-000009030000}"/>
    <cellStyle name="20% - Énfasis2 14 2" xfId="846" xr:uid="{00000000-0005-0000-0000-00000A030000}"/>
    <cellStyle name="20% - Énfasis2 14 3" xfId="847" xr:uid="{00000000-0005-0000-0000-00000B030000}"/>
    <cellStyle name="20% - Énfasis2 14 4" xfId="848" xr:uid="{00000000-0005-0000-0000-00000C030000}"/>
    <cellStyle name="20% - Énfasis2 14 5" xfId="849" xr:uid="{00000000-0005-0000-0000-00000D030000}"/>
    <cellStyle name="20% - Énfasis2 14 6" xfId="850" xr:uid="{00000000-0005-0000-0000-00000E030000}"/>
    <cellStyle name="20% - Énfasis2 14 7" xfId="851" xr:uid="{00000000-0005-0000-0000-00000F030000}"/>
    <cellStyle name="20% - Énfasis2 14 8" xfId="852" xr:uid="{00000000-0005-0000-0000-000010030000}"/>
    <cellStyle name="20% - Énfasis2 14 9" xfId="853" xr:uid="{00000000-0005-0000-0000-000011030000}"/>
    <cellStyle name="20% - Énfasis2 15 10" xfId="854" xr:uid="{00000000-0005-0000-0000-000012030000}"/>
    <cellStyle name="20% - Énfasis2 15 11" xfId="855" xr:uid="{00000000-0005-0000-0000-000013030000}"/>
    <cellStyle name="20% - Énfasis2 15 12" xfId="856" xr:uid="{00000000-0005-0000-0000-000014030000}"/>
    <cellStyle name="20% - Énfasis2 15 13" xfId="857" xr:uid="{00000000-0005-0000-0000-000015030000}"/>
    <cellStyle name="20% - Énfasis2 15 14" xfId="858" xr:uid="{00000000-0005-0000-0000-000016030000}"/>
    <cellStyle name="20% - Énfasis2 15 15" xfId="859" xr:uid="{00000000-0005-0000-0000-000017030000}"/>
    <cellStyle name="20% - Énfasis2 15 16" xfId="860" xr:uid="{00000000-0005-0000-0000-000018030000}"/>
    <cellStyle name="20% - Énfasis2 15 17" xfId="861" xr:uid="{00000000-0005-0000-0000-000019030000}"/>
    <cellStyle name="20% - Énfasis2 15 18" xfId="862" xr:uid="{00000000-0005-0000-0000-00001A030000}"/>
    <cellStyle name="20% - Énfasis2 15 2" xfId="863" xr:uid="{00000000-0005-0000-0000-00001B030000}"/>
    <cellStyle name="20% - Énfasis2 15 3" xfId="864" xr:uid="{00000000-0005-0000-0000-00001C030000}"/>
    <cellStyle name="20% - Énfasis2 15 4" xfId="865" xr:uid="{00000000-0005-0000-0000-00001D030000}"/>
    <cellStyle name="20% - Énfasis2 15 5" xfId="866" xr:uid="{00000000-0005-0000-0000-00001E030000}"/>
    <cellStyle name="20% - Énfasis2 15 6" xfId="867" xr:uid="{00000000-0005-0000-0000-00001F030000}"/>
    <cellStyle name="20% - Énfasis2 15 7" xfId="868" xr:uid="{00000000-0005-0000-0000-000020030000}"/>
    <cellStyle name="20% - Énfasis2 15 8" xfId="869" xr:uid="{00000000-0005-0000-0000-000021030000}"/>
    <cellStyle name="20% - Énfasis2 15 9" xfId="870" xr:uid="{00000000-0005-0000-0000-000022030000}"/>
    <cellStyle name="20% - Énfasis2 16 10" xfId="871" xr:uid="{00000000-0005-0000-0000-000023030000}"/>
    <cellStyle name="20% - Énfasis2 16 11" xfId="872" xr:uid="{00000000-0005-0000-0000-000024030000}"/>
    <cellStyle name="20% - Énfasis2 16 12" xfId="873" xr:uid="{00000000-0005-0000-0000-000025030000}"/>
    <cellStyle name="20% - Énfasis2 16 13" xfId="874" xr:uid="{00000000-0005-0000-0000-000026030000}"/>
    <cellStyle name="20% - Énfasis2 16 14" xfId="875" xr:uid="{00000000-0005-0000-0000-000027030000}"/>
    <cellStyle name="20% - Énfasis2 16 15" xfId="876" xr:uid="{00000000-0005-0000-0000-000028030000}"/>
    <cellStyle name="20% - Énfasis2 16 16" xfId="877" xr:uid="{00000000-0005-0000-0000-000029030000}"/>
    <cellStyle name="20% - Énfasis2 16 17" xfId="878" xr:uid="{00000000-0005-0000-0000-00002A030000}"/>
    <cellStyle name="20% - Énfasis2 16 18" xfId="879" xr:uid="{00000000-0005-0000-0000-00002B030000}"/>
    <cellStyle name="20% - Énfasis2 16 2" xfId="880" xr:uid="{00000000-0005-0000-0000-00002C030000}"/>
    <cellStyle name="20% - Énfasis2 16 3" xfId="881" xr:uid="{00000000-0005-0000-0000-00002D030000}"/>
    <cellStyle name="20% - Énfasis2 16 4" xfId="882" xr:uid="{00000000-0005-0000-0000-00002E030000}"/>
    <cellStyle name="20% - Énfasis2 16 5" xfId="883" xr:uid="{00000000-0005-0000-0000-00002F030000}"/>
    <cellStyle name="20% - Énfasis2 16 6" xfId="884" xr:uid="{00000000-0005-0000-0000-000030030000}"/>
    <cellStyle name="20% - Énfasis2 16 7" xfId="885" xr:uid="{00000000-0005-0000-0000-000031030000}"/>
    <cellStyle name="20% - Énfasis2 16 8" xfId="886" xr:uid="{00000000-0005-0000-0000-000032030000}"/>
    <cellStyle name="20% - Énfasis2 16 9" xfId="887" xr:uid="{00000000-0005-0000-0000-000033030000}"/>
    <cellStyle name="20% - Énfasis2 17 10" xfId="888" xr:uid="{00000000-0005-0000-0000-000034030000}"/>
    <cellStyle name="20% - Énfasis2 17 11" xfId="889" xr:uid="{00000000-0005-0000-0000-000035030000}"/>
    <cellStyle name="20% - Énfasis2 17 12" xfId="890" xr:uid="{00000000-0005-0000-0000-000036030000}"/>
    <cellStyle name="20% - Énfasis2 17 13" xfId="891" xr:uid="{00000000-0005-0000-0000-000037030000}"/>
    <cellStyle name="20% - Énfasis2 17 14" xfId="892" xr:uid="{00000000-0005-0000-0000-000038030000}"/>
    <cellStyle name="20% - Énfasis2 17 15" xfId="893" xr:uid="{00000000-0005-0000-0000-000039030000}"/>
    <cellStyle name="20% - Énfasis2 17 16" xfId="894" xr:uid="{00000000-0005-0000-0000-00003A030000}"/>
    <cellStyle name="20% - Énfasis2 17 17" xfId="895" xr:uid="{00000000-0005-0000-0000-00003B030000}"/>
    <cellStyle name="20% - Énfasis2 17 18" xfId="896" xr:uid="{00000000-0005-0000-0000-00003C030000}"/>
    <cellStyle name="20% - Énfasis2 17 2" xfId="897" xr:uid="{00000000-0005-0000-0000-00003D030000}"/>
    <cellStyle name="20% - Énfasis2 17 3" xfId="898" xr:uid="{00000000-0005-0000-0000-00003E030000}"/>
    <cellStyle name="20% - Énfasis2 17 4" xfId="899" xr:uid="{00000000-0005-0000-0000-00003F030000}"/>
    <cellStyle name="20% - Énfasis2 17 5" xfId="900" xr:uid="{00000000-0005-0000-0000-000040030000}"/>
    <cellStyle name="20% - Énfasis2 17 6" xfId="901" xr:uid="{00000000-0005-0000-0000-000041030000}"/>
    <cellStyle name="20% - Énfasis2 17 7" xfId="902" xr:uid="{00000000-0005-0000-0000-000042030000}"/>
    <cellStyle name="20% - Énfasis2 17 8" xfId="903" xr:uid="{00000000-0005-0000-0000-000043030000}"/>
    <cellStyle name="20% - Énfasis2 17 9" xfId="904" xr:uid="{00000000-0005-0000-0000-000044030000}"/>
    <cellStyle name="20% - Énfasis2 18 10" xfId="905" xr:uid="{00000000-0005-0000-0000-000045030000}"/>
    <cellStyle name="20% - Énfasis2 18 11" xfId="906" xr:uid="{00000000-0005-0000-0000-000046030000}"/>
    <cellStyle name="20% - Énfasis2 18 12" xfId="907" xr:uid="{00000000-0005-0000-0000-000047030000}"/>
    <cellStyle name="20% - Énfasis2 18 13" xfId="908" xr:uid="{00000000-0005-0000-0000-000048030000}"/>
    <cellStyle name="20% - Énfasis2 18 14" xfId="909" xr:uid="{00000000-0005-0000-0000-000049030000}"/>
    <cellStyle name="20% - Énfasis2 18 15" xfId="910" xr:uid="{00000000-0005-0000-0000-00004A030000}"/>
    <cellStyle name="20% - Énfasis2 18 16" xfId="911" xr:uid="{00000000-0005-0000-0000-00004B030000}"/>
    <cellStyle name="20% - Énfasis2 18 17" xfId="912" xr:uid="{00000000-0005-0000-0000-00004C030000}"/>
    <cellStyle name="20% - Énfasis2 18 18" xfId="913" xr:uid="{00000000-0005-0000-0000-00004D030000}"/>
    <cellStyle name="20% - Énfasis2 18 2" xfId="914" xr:uid="{00000000-0005-0000-0000-00004E030000}"/>
    <cellStyle name="20% - Énfasis2 18 3" xfId="915" xr:uid="{00000000-0005-0000-0000-00004F030000}"/>
    <cellStyle name="20% - Énfasis2 18 4" xfId="916" xr:uid="{00000000-0005-0000-0000-000050030000}"/>
    <cellStyle name="20% - Énfasis2 18 5" xfId="917" xr:uid="{00000000-0005-0000-0000-000051030000}"/>
    <cellStyle name="20% - Énfasis2 18 6" xfId="918" xr:uid="{00000000-0005-0000-0000-000052030000}"/>
    <cellStyle name="20% - Énfasis2 18 7" xfId="919" xr:uid="{00000000-0005-0000-0000-000053030000}"/>
    <cellStyle name="20% - Énfasis2 18 8" xfId="920" xr:uid="{00000000-0005-0000-0000-000054030000}"/>
    <cellStyle name="20% - Énfasis2 18 9" xfId="921" xr:uid="{00000000-0005-0000-0000-000055030000}"/>
    <cellStyle name="20% - Énfasis2 19 10" xfId="922" xr:uid="{00000000-0005-0000-0000-000056030000}"/>
    <cellStyle name="20% - Énfasis2 19 11" xfId="923" xr:uid="{00000000-0005-0000-0000-000057030000}"/>
    <cellStyle name="20% - Énfasis2 19 12" xfId="924" xr:uid="{00000000-0005-0000-0000-000058030000}"/>
    <cellStyle name="20% - Énfasis2 19 13" xfId="925" xr:uid="{00000000-0005-0000-0000-000059030000}"/>
    <cellStyle name="20% - Énfasis2 19 14" xfId="926" xr:uid="{00000000-0005-0000-0000-00005A030000}"/>
    <cellStyle name="20% - Énfasis2 19 15" xfId="927" xr:uid="{00000000-0005-0000-0000-00005B030000}"/>
    <cellStyle name="20% - Énfasis2 19 16" xfId="928" xr:uid="{00000000-0005-0000-0000-00005C030000}"/>
    <cellStyle name="20% - Énfasis2 19 17" xfId="929" xr:uid="{00000000-0005-0000-0000-00005D030000}"/>
    <cellStyle name="20% - Énfasis2 19 18" xfId="930" xr:uid="{00000000-0005-0000-0000-00005E030000}"/>
    <cellStyle name="20% - Énfasis2 19 2" xfId="931" xr:uid="{00000000-0005-0000-0000-00005F030000}"/>
    <cellStyle name="20% - Énfasis2 19 3" xfId="932" xr:uid="{00000000-0005-0000-0000-000060030000}"/>
    <cellStyle name="20% - Énfasis2 19 4" xfId="933" xr:uid="{00000000-0005-0000-0000-000061030000}"/>
    <cellStyle name="20% - Énfasis2 19 5" xfId="934" xr:uid="{00000000-0005-0000-0000-000062030000}"/>
    <cellStyle name="20% - Énfasis2 19 6" xfId="935" xr:uid="{00000000-0005-0000-0000-000063030000}"/>
    <cellStyle name="20% - Énfasis2 19 7" xfId="936" xr:uid="{00000000-0005-0000-0000-000064030000}"/>
    <cellStyle name="20% - Énfasis2 19 8" xfId="937" xr:uid="{00000000-0005-0000-0000-000065030000}"/>
    <cellStyle name="20% - Énfasis2 19 9" xfId="938" xr:uid="{00000000-0005-0000-0000-000066030000}"/>
    <cellStyle name="20% - Énfasis2 2 10" xfId="939" xr:uid="{00000000-0005-0000-0000-000067030000}"/>
    <cellStyle name="20% - Énfasis2 2 11" xfId="940" xr:uid="{00000000-0005-0000-0000-000068030000}"/>
    <cellStyle name="20% - Énfasis2 2 12" xfId="941" xr:uid="{00000000-0005-0000-0000-000069030000}"/>
    <cellStyle name="20% - Énfasis2 2 13" xfId="942" xr:uid="{00000000-0005-0000-0000-00006A030000}"/>
    <cellStyle name="20% - Énfasis2 2 14" xfId="943" xr:uid="{00000000-0005-0000-0000-00006B030000}"/>
    <cellStyle name="20% - Énfasis2 2 15" xfId="944" xr:uid="{00000000-0005-0000-0000-00006C030000}"/>
    <cellStyle name="20% - Énfasis2 2 16" xfId="945" xr:uid="{00000000-0005-0000-0000-00006D030000}"/>
    <cellStyle name="20% - Énfasis2 2 17" xfId="946" xr:uid="{00000000-0005-0000-0000-00006E030000}"/>
    <cellStyle name="20% - Énfasis2 2 18" xfId="947" xr:uid="{00000000-0005-0000-0000-00006F030000}"/>
    <cellStyle name="20% - Énfasis2 2 2" xfId="948" xr:uid="{00000000-0005-0000-0000-000070030000}"/>
    <cellStyle name="20% - Énfasis2 2 3" xfId="949" xr:uid="{00000000-0005-0000-0000-000071030000}"/>
    <cellStyle name="20% - Énfasis2 2 4" xfId="950" xr:uid="{00000000-0005-0000-0000-000072030000}"/>
    <cellStyle name="20% - Énfasis2 2 5" xfId="951" xr:uid="{00000000-0005-0000-0000-000073030000}"/>
    <cellStyle name="20% - Énfasis2 2 6" xfId="952" xr:uid="{00000000-0005-0000-0000-000074030000}"/>
    <cellStyle name="20% - Énfasis2 2 7" xfId="953" xr:uid="{00000000-0005-0000-0000-000075030000}"/>
    <cellStyle name="20% - Énfasis2 2 8" xfId="954" xr:uid="{00000000-0005-0000-0000-000076030000}"/>
    <cellStyle name="20% - Énfasis2 2 9" xfId="955" xr:uid="{00000000-0005-0000-0000-000077030000}"/>
    <cellStyle name="20% - Énfasis2 20 10" xfId="956" xr:uid="{00000000-0005-0000-0000-000078030000}"/>
    <cellStyle name="20% - Énfasis2 20 11" xfId="957" xr:uid="{00000000-0005-0000-0000-000079030000}"/>
    <cellStyle name="20% - Énfasis2 20 12" xfId="958" xr:uid="{00000000-0005-0000-0000-00007A030000}"/>
    <cellStyle name="20% - Énfasis2 20 13" xfId="959" xr:uid="{00000000-0005-0000-0000-00007B030000}"/>
    <cellStyle name="20% - Énfasis2 20 14" xfId="960" xr:uid="{00000000-0005-0000-0000-00007C030000}"/>
    <cellStyle name="20% - Énfasis2 20 15" xfId="961" xr:uid="{00000000-0005-0000-0000-00007D030000}"/>
    <cellStyle name="20% - Énfasis2 20 16" xfId="962" xr:uid="{00000000-0005-0000-0000-00007E030000}"/>
    <cellStyle name="20% - Énfasis2 20 17" xfId="963" xr:uid="{00000000-0005-0000-0000-00007F030000}"/>
    <cellStyle name="20% - Énfasis2 20 18" xfId="964" xr:uid="{00000000-0005-0000-0000-000080030000}"/>
    <cellStyle name="20% - Énfasis2 20 2" xfId="965" xr:uid="{00000000-0005-0000-0000-000081030000}"/>
    <cellStyle name="20% - Énfasis2 20 3" xfId="966" xr:uid="{00000000-0005-0000-0000-000082030000}"/>
    <cellStyle name="20% - Énfasis2 20 4" xfId="967" xr:uid="{00000000-0005-0000-0000-000083030000}"/>
    <cellStyle name="20% - Énfasis2 20 5" xfId="968" xr:uid="{00000000-0005-0000-0000-000084030000}"/>
    <cellStyle name="20% - Énfasis2 20 6" xfId="969" xr:uid="{00000000-0005-0000-0000-000085030000}"/>
    <cellStyle name="20% - Énfasis2 20 7" xfId="970" xr:uid="{00000000-0005-0000-0000-000086030000}"/>
    <cellStyle name="20% - Énfasis2 20 8" xfId="971" xr:uid="{00000000-0005-0000-0000-000087030000}"/>
    <cellStyle name="20% - Énfasis2 20 9" xfId="972" xr:uid="{00000000-0005-0000-0000-000088030000}"/>
    <cellStyle name="20% - Énfasis2 21 10" xfId="973" xr:uid="{00000000-0005-0000-0000-000089030000}"/>
    <cellStyle name="20% - Énfasis2 21 11" xfId="974" xr:uid="{00000000-0005-0000-0000-00008A030000}"/>
    <cellStyle name="20% - Énfasis2 21 12" xfId="975" xr:uid="{00000000-0005-0000-0000-00008B030000}"/>
    <cellStyle name="20% - Énfasis2 21 13" xfId="976" xr:uid="{00000000-0005-0000-0000-00008C030000}"/>
    <cellStyle name="20% - Énfasis2 21 14" xfId="977" xr:uid="{00000000-0005-0000-0000-00008D030000}"/>
    <cellStyle name="20% - Énfasis2 21 15" xfId="978" xr:uid="{00000000-0005-0000-0000-00008E030000}"/>
    <cellStyle name="20% - Énfasis2 21 16" xfId="979" xr:uid="{00000000-0005-0000-0000-00008F030000}"/>
    <cellStyle name="20% - Énfasis2 21 17" xfId="980" xr:uid="{00000000-0005-0000-0000-000090030000}"/>
    <cellStyle name="20% - Énfasis2 21 18" xfId="981" xr:uid="{00000000-0005-0000-0000-000091030000}"/>
    <cellStyle name="20% - Énfasis2 21 2" xfId="982" xr:uid="{00000000-0005-0000-0000-000092030000}"/>
    <cellStyle name="20% - Énfasis2 21 3" xfId="983" xr:uid="{00000000-0005-0000-0000-000093030000}"/>
    <cellStyle name="20% - Énfasis2 21 4" xfId="984" xr:uid="{00000000-0005-0000-0000-000094030000}"/>
    <cellStyle name="20% - Énfasis2 21 5" xfId="985" xr:uid="{00000000-0005-0000-0000-000095030000}"/>
    <cellStyle name="20% - Énfasis2 21 6" xfId="986" xr:uid="{00000000-0005-0000-0000-000096030000}"/>
    <cellStyle name="20% - Énfasis2 21 7" xfId="987" xr:uid="{00000000-0005-0000-0000-000097030000}"/>
    <cellStyle name="20% - Énfasis2 21 8" xfId="988" xr:uid="{00000000-0005-0000-0000-000098030000}"/>
    <cellStyle name="20% - Énfasis2 21 9" xfId="989" xr:uid="{00000000-0005-0000-0000-000099030000}"/>
    <cellStyle name="20% - Énfasis2 22 10" xfId="990" xr:uid="{00000000-0005-0000-0000-00009A030000}"/>
    <cellStyle name="20% - Énfasis2 22 11" xfId="991" xr:uid="{00000000-0005-0000-0000-00009B030000}"/>
    <cellStyle name="20% - Énfasis2 22 12" xfId="992" xr:uid="{00000000-0005-0000-0000-00009C030000}"/>
    <cellStyle name="20% - Énfasis2 22 13" xfId="993" xr:uid="{00000000-0005-0000-0000-00009D030000}"/>
    <cellStyle name="20% - Énfasis2 22 14" xfId="994" xr:uid="{00000000-0005-0000-0000-00009E030000}"/>
    <cellStyle name="20% - Énfasis2 22 15" xfId="995" xr:uid="{00000000-0005-0000-0000-00009F030000}"/>
    <cellStyle name="20% - Énfasis2 22 16" xfId="996" xr:uid="{00000000-0005-0000-0000-0000A0030000}"/>
    <cellStyle name="20% - Énfasis2 22 17" xfId="997" xr:uid="{00000000-0005-0000-0000-0000A1030000}"/>
    <cellStyle name="20% - Énfasis2 22 18" xfId="998" xr:uid="{00000000-0005-0000-0000-0000A2030000}"/>
    <cellStyle name="20% - Énfasis2 22 2" xfId="999" xr:uid="{00000000-0005-0000-0000-0000A3030000}"/>
    <cellStyle name="20% - Énfasis2 22 3" xfId="1000" xr:uid="{00000000-0005-0000-0000-0000A4030000}"/>
    <cellStyle name="20% - Énfasis2 22 4" xfId="1001" xr:uid="{00000000-0005-0000-0000-0000A5030000}"/>
    <cellStyle name="20% - Énfasis2 22 5" xfId="1002" xr:uid="{00000000-0005-0000-0000-0000A6030000}"/>
    <cellStyle name="20% - Énfasis2 22 6" xfId="1003" xr:uid="{00000000-0005-0000-0000-0000A7030000}"/>
    <cellStyle name="20% - Énfasis2 22 7" xfId="1004" xr:uid="{00000000-0005-0000-0000-0000A8030000}"/>
    <cellStyle name="20% - Énfasis2 22 8" xfId="1005" xr:uid="{00000000-0005-0000-0000-0000A9030000}"/>
    <cellStyle name="20% - Énfasis2 22 9" xfId="1006" xr:uid="{00000000-0005-0000-0000-0000AA030000}"/>
    <cellStyle name="20% - Énfasis2 23 10" xfId="1007" xr:uid="{00000000-0005-0000-0000-0000AB030000}"/>
    <cellStyle name="20% - Énfasis2 23 11" xfId="1008" xr:uid="{00000000-0005-0000-0000-0000AC030000}"/>
    <cellStyle name="20% - Énfasis2 23 12" xfId="1009" xr:uid="{00000000-0005-0000-0000-0000AD030000}"/>
    <cellStyle name="20% - Énfasis2 23 13" xfId="1010" xr:uid="{00000000-0005-0000-0000-0000AE030000}"/>
    <cellStyle name="20% - Énfasis2 23 14" xfId="1011" xr:uid="{00000000-0005-0000-0000-0000AF030000}"/>
    <cellStyle name="20% - Énfasis2 23 15" xfId="1012" xr:uid="{00000000-0005-0000-0000-0000B0030000}"/>
    <cellStyle name="20% - Énfasis2 23 16" xfId="1013" xr:uid="{00000000-0005-0000-0000-0000B1030000}"/>
    <cellStyle name="20% - Énfasis2 23 17" xfId="1014" xr:uid="{00000000-0005-0000-0000-0000B2030000}"/>
    <cellStyle name="20% - Énfasis2 23 18" xfId="1015" xr:uid="{00000000-0005-0000-0000-0000B3030000}"/>
    <cellStyle name="20% - Énfasis2 23 2" xfId="1016" xr:uid="{00000000-0005-0000-0000-0000B4030000}"/>
    <cellStyle name="20% - Énfasis2 23 3" xfId="1017" xr:uid="{00000000-0005-0000-0000-0000B5030000}"/>
    <cellStyle name="20% - Énfasis2 23 4" xfId="1018" xr:uid="{00000000-0005-0000-0000-0000B6030000}"/>
    <cellStyle name="20% - Énfasis2 23 5" xfId="1019" xr:uid="{00000000-0005-0000-0000-0000B7030000}"/>
    <cellStyle name="20% - Énfasis2 23 6" xfId="1020" xr:uid="{00000000-0005-0000-0000-0000B8030000}"/>
    <cellStyle name="20% - Énfasis2 23 7" xfId="1021" xr:uid="{00000000-0005-0000-0000-0000B9030000}"/>
    <cellStyle name="20% - Énfasis2 23 8" xfId="1022" xr:uid="{00000000-0005-0000-0000-0000BA030000}"/>
    <cellStyle name="20% - Énfasis2 23 9" xfId="1023" xr:uid="{00000000-0005-0000-0000-0000BB030000}"/>
    <cellStyle name="20% - Énfasis2 24 10" xfId="1024" xr:uid="{00000000-0005-0000-0000-0000BC030000}"/>
    <cellStyle name="20% - Énfasis2 24 11" xfId="1025" xr:uid="{00000000-0005-0000-0000-0000BD030000}"/>
    <cellStyle name="20% - Énfasis2 24 12" xfId="1026" xr:uid="{00000000-0005-0000-0000-0000BE030000}"/>
    <cellStyle name="20% - Énfasis2 24 13" xfId="1027" xr:uid="{00000000-0005-0000-0000-0000BF030000}"/>
    <cellStyle name="20% - Énfasis2 24 14" xfId="1028" xr:uid="{00000000-0005-0000-0000-0000C0030000}"/>
    <cellStyle name="20% - Énfasis2 24 15" xfId="1029" xr:uid="{00000000-0005-0000-0000-0000C1030000}"/>
    <cellStyle name="20% - Énfasis2 24 16" xfId="1030" xr:uid="{00000000-0005-0000-0000-0000C2030000}"/>
    <cellStyle name="20% - Énfasis2 24 17" xfId="1031" xr:uid="{00000000-0005-0000-0000-0000C3030000}"/>
    <cellStyle name="20% - Énfasis2 24 18" xfId="1032" xr:uid="{00000000-0005-0000-0000-0000C4030000}"/>
    <cellStyle name="20% - Énfasis2 24 2" xfId="1033" xr:uid="{00000000-0005-0000-0000-0000C5030000}"/>
    <cellStyle name="20% - Énfasis2 24 3" xfId="1034" xr:uid="{00000000-0005-0000-0000-0000C6030000}"/>
    <cellStyle name="20% - Énfasis2 24 4" xfId="1035" xr:uid="{00000000-0005-0000-0000-0000C7030000}"/>
    <cellStyle name="20% - Énfasis2 24 5" xfId="1036" xr:uid="{00000000-0005-0000-0000-0000C8030000}"/>
    <cellStyle name="20% - Énfasis2 24 6" xfId="1037" xr:uid="{00000000-0005-0000-0000-0000C9030000}"/>
    <cellStyle name="20% - Énfasis2 24 7" xfId="1038" xr:uid="{00000000-0005-0000-0000-0000CA030000}"/>
    <cellStyle name="20% - Énfasis2 24 8" xfId="1039" xr:uid="{00000000-0005-0000-0000-0000CB030000}"/>
    <cellStyle name="20% - Énfasis2 24 9" xfId="1040" xr:uid="{00000000-0005-0000-0000-0000CC030000}"/>
    <cellStyle name="20% - Énfasis2 25 10" xfId="1041" xr:uid="{00000000-0005-0000-0000-0000CD030000}"/>
    <cellStyle name="20% - Énfasis2 25 11" xfId="1042" xr:uid="{00000000-0005-0000-0000-0000CE030000}"/>
    <cellStyle name="20% - Énfasis2 25 12" xfId="1043" xr:uid="{00000000-0005-0000-0000-0000CF030000}"/>
    <cellStyle name="20% - Énfasis2 25 13" xfId="1044" xr:uid="{00000000-0005-0000-0000-0000D0030000}"/>
    <cellStyle name="20% - Énfasis2 25 14" xfId="1045" xr:uid="{00000000-0005-0000-0000-0000D1030000}"/>
    <cellStyle name="20% - Énfasis2 25 15" xfId="1046" xr:uid="{00000000-0005-0000-0000-0000D2030000}"/>
    <cellStyle name="20% - Énfasis2 25 16" xfId="1047" xr:uid="{00000000-0005-0000-0000-0000D3030000}"/>
    <cellStyle name="20% - Énfasis2 25 17" xfId="1048" xr:uid="{00000000-0005-0000-0000-0000D4030000}"/>
    <cellStyle name="20% - Énfasis2 25 18" xfId="1049" xr:uid="{00000000-0005-0000-0000-0000D5030000}"/>
    <cellStyle name="20% - Énfasis2 25 2" xfId="1050" xr:uid="{00000000-0005-0000-0000-0000D6030000}"/>
    <cellStyle name="20% - Énfasis2 25 3" xfId="1051" xr:uid="{00000000-0005-0000-0000-0000D7030000}"/>
    <cellStyle name="20% - Énfasis2 25 4" xfId="1052" xr:uid="{00000000-0005-0000-0000-0000D8030000}"/>
    <cellStyle name="20% - Énfasis2 25 5" xfId="1053" xr:uid="{00000000-0005-0000-0000-0000D9030000}"/>
    <cellStyle name="20% - Énfasis2 25 6" xfId="1054" xr:uid="{00000000-0005-0000-0000-0000DA030000}"/>
    <cellStyle name="20% - Énfasis2 25 7" xfId="1055" xr:uid="{00000000-0005-0000-0000-0000DB030000}"/>
    <cellStyle name="20% - Énfasis2 25 8" xfId="1056" xr:uid="{00000000-0005-0000-0000-0000DC030000}"/>
    <cellStyle name="20% - Énfasis2 25 9" xfId="1057" xr:uid="{00000000-0005-0000-0000-0000DD030000}"/>
    <cellStyle name="20% - Énfasis2 26 10" xfId="1058" xr:uid="{00000000-0005-0000-0000-0000DE030000}"/>
    <cellStyle name="20% - Énfasis2 26 11" xfId="1059" xr:uid="{00000000-0005-0000-0000-0000DF030000}"/>
    <cellStyle name="20% - Énfasis2 26 12" xfId="1060" xr:uid="{00000000-0005-0000-0000-0000E0030000}"/>
    <cellStyle name="20% - Énfasis2 26 13" xfId="1061" xr:uid="{00000000-0005-0000-0000-0000E1030000}"/>
    <cellStyle name="20% - Énfasis2 26 14" xfId="1062" xr:uid="{00000000-0005-0000-0000-0000E2030000}"/>
    <cellStyle name="20% - Énfasis2 26 15" xfId="1063" xr:uid="{00000000-0005-0000-0000-0000E3030000}"/>
    <cellStyle name="20% - Énfasis2 26 16" xfId="1064" xr:uid="{00000000-0005-0000-0000-0000E4030000}"/>
    <cellStyle name="20% - Énfasis2 26 17" xfId="1065" xr:uid="{00000000-0005-0000-0000-0000E5030000}"/>
    <cellStyle name="20% - Énfasis2 26 18" xfId="1066" xr:uid="{00000000-0005-0000-0000-0000E6030000}"/>
    <cellStyle name="20% - Énfasis2 26 2" xfId="1067" xr:uid="{00000000-0005-0000-0000-0000E7030000}"/>
    <cellStyle name="20% - Énfasis2 26 3" xfId="1068" xr:uid="{00000000-0005-0000-0000-0000E8030000}"/>
    <cellStyle name="20% - Énfasis2 26 4" xfId="1069" xr:uid="{00000000-0005-0000-0000-0000E9030000}"/>
    <cellStyle name="20% - Énfasis2 26 5" xfId="1070" xr:uid="{00000000-0005-0000-0000-0000EA030000}"/>
    <cellStyle name="20% - Énfasis2 26 6" xfId="1071" xr:uid="{00000000-0005-0000-0000-0000EB030000}"/>
    <cellStyle name="20% - Énfasis2 26 7" xfId="1072" xr:uid="{00000000-0005-0000-0000-0000EC030000}"/>
    <cellStyle name="20% - Énfasis2 26 8" xfId="1073" xr:uid="{00000000-0005-0000-0000-0000ED030000}"/>
    <cellStyle name="20% - Énfasis2 26 9" xfId="1074" xr:uid="{00000000-0005-0000-0000-0000EE030000}"/>
    <cellStyle name="20% - Énfasis2 27 10" xfId="1075" xr:uid="{00000000-0005-0000-0000-0000EF030000}"/>
    <cellStyle name="20% - Énfasis2 27 11" xfId="1076" xr:uid="{00000000-0005-0000-0000-0000F0030000}"/>
    <cellStyle name="20% - Énfasis2 27 12" xfId="1077" xr:uid="{00000000-0005-0000-0000-0000F1030000}"/>
    <cellStyle name="20% - Énfasis2 27 13" xfId="1078" xr:uid="{00000000-0005-0000-0000-0000F2030000}"/>
    <cellStyle name="20% - Énfasis2 27 14" xfId="1079" xr:uid="{00000000-0005-0000-0000-0000F3030000}"/>
    <cellStyle name="20% - Énfasis2 27 15" xfId="1080" xr:uid="{00000000-0005-0000-0000-0000F4030000}"/>
    <cellStyle name="20% - Énfasis2 27 16" xfId="1081" xr:uid="{00000000-0005-0000-0000-0000F5030000}"/>
    <cellStyle name="20% - Énfasis2 27 17" xfId="1082" xr:uid="{00000000-0005-0000-0000-0000F6030000}"/>
    <cellStyle name="20% - Énfasis2 27 18" xfId="1083" xr:uid="{00000000-0005-0000-0000-0000F7030000}"/>
    <cellStyle name="20% - Énfasis2 27 2" xfId="1084" xr:uid="{00000000-0005-0000-0000-0000F8030000}"/>
    <cellStyle name="20% - Énfasis2 27 3" xfId="1085" xr:uid="{00000000-0005-0000-0000-0000F9030000}"/>
    <cellStyle name="20% - Énfasis2 27 4" xfId="1086" xr:uid="{00000000-0005-0000-0000-0000FA030000}"/>
    <cellStyle name="20% - Énfasis2 27 5" xfId="1087" xr:uid="{00000000-0005-0000-0000-0000FB030000}"/>
    <cellStyle name="20% - Énfasis2 27 6" xfId="1088" xr:uid="{00000000-0005-0000-0000-0000FC030000}"/>
    <cellStyle name="20% - Énfasis2 27 7" xfId="1089" xr:uid="{00000000-0005-0000-0000-0000FD030000}"/>
    <cellStyle name="20% - Énfasis2 27 8" xfId="1090" xr:uid="{00000000-0005-0000-0000-0000FE030000}"/>
    <cellStyle name="20% - Énfasis2 27 9" xfId="1091" xr:uid="{00000000-0005-0000-0000-0000FF030000}"/>
    <cellStyle name="20% - Énfasis2 28 10" xfId="1092" xr:uid="{00000000-0005-0000-0000-000000040000}"/>
    <cellStyle name="20% - Énfasis2 28 11" xfId="1093" xr:uid="{00000000-0005-0000-0000-000001040000}"/>
    <cellStyle name="20% - Énfasis2 28 12" xfId="1094" xr:uid="{00000000-0005-0000-0000-000002040000}"/>
    <cellStyle name="20% - Énfasis2 28 13" xfId="1095" xr:uid="{00000000-0005-0000-0000-000003040000}"/>
    <cellStyle name="20% - Énfasis2 28 14" xfId="1096" xr:uid="{00000000-0005-0000-0000-000004040000}"/>
    <cellStyle name="20% - Énfasis2 28 15" xfId="1097" xr:uid="{00000000-0005-0000-0000-000005040000}"/>
    <cellStyle name="20% - Énfasis2 28 16" xfId="1098" xr:uid="{00000000-0005-0000-0000-000006040000}"/>
    <cellStyle name="20% - Énfasis2 28 17" xfId="1099" xr:uid="{00000000-0005-0000-0000-000007040000}"/>
    <cellStyle name="20% - Énfasis2 28 18" xfId="1100" xr:uid="{00000000-0005-0000-0000-000008040000}"/>
    <cellStyle name="20% - Énfasis2 28 2" xfId="1101" xr:uid="{00000000-0005-0000-0000-000009040000}"/>
    <cellStyle name="20% - Énfasis2 28 3" xfId="1102" xr:uid="{00000000-0005-0000-0000-00000A040000}"/>
    <cellStyle name="20% - Énfasis2 28 4" xfId="1103" xr:uid="{00000000-0005-0000-0000-00000B040000}"/>
    <cellStyle name="20% - Énfasis2 28 5" xfId="1104" xr:uid="{00000000-0005-0000-0000-00000C040000}"/>
    <cellStyle name="20% - Énfasis2 28 6" xfId="1105" xr:uid="{00000000-0005-0000-0000-00000D040000}"/>
    <cellStyle name="20% - Énfasis2 28 7" xfId="1106" xr:uid="{00000000-0005-0000-0000-00000E040000}"/>
    <cellStyle name="20% - Énfasis2 28 8" xfId="1107" xr:uid="{00000000-0005-0000-0000-00000F040000}"/>
    <cellStyle name="20% - Énfasis2 28 9" xfId="1108" xr:uid="{00000000-0005-0000-0000-000010040000}"/>
    <cellStyle name="20% - Énfasis2 29 10" xfId="1109" xr:uid="{00000000-0005-0000-0000-000011040000}"/>
    <cellStyle name="20% - Énfasis2 29 11" xfId="1110" xr:uid="{00000000-0005-0000-0000-000012040000}"/>
    <cellStyle name="20% - Énfasis2 29 12" xfId="1111" xr:uid="{00000000-0005-0000-0000-000013040000}"/>
    <cellStyle name="20% - Énfasis2 29 13" xfId="1112" xr:uid="{00000000-0005-0000-0000-000014040000}"/>
    <cellStyle name="20% - Énfasis2 29 14" xfId="1113" xr:uid="{00000000-0005-0000-0000-000015040000}"/>
    <cellStyle name="20% - Énfasis2 29 15" xfId="1114" xr:uid="{00000000-0005-0000-0000-000016040000}"/>
    <cellStyle name="20% - Énfasis2 29 16" xfId="1115" xr:uid="{00000000-0005-0000-0000-000017040000}"/>
    <cellStyle name="20% - Énfasis2 29 17" xfId="1116" xr:uid="{00000000-0005-0000-0000-000018040000}"/>
    <cellStyle name="20% - Énfasis2 29 18" xfId="1117" xr:uid="{00000000-0005-0000-0000-000019040000}"/>
    <cellStyle name="20% - Énfasis2 29 2" xfId="1118" xr:uid="{00000000-0005-0000-0000-00001A040000}"/>
    <cellStyle name="20% - Énfasis2 29 3" xfId="1119" xr:uid="{00000000-0005-0000-0000-00001B040000}"/>
    <cellStyle name="20% - Énfasis2 29 4" xfId="1120" xr:uid="{00000000-0005-0000-0000-00001C040000}"/>
    <cellStyle name="20% - Énfasis2 29 5" xfId="1121" xr:uid="{00000000-0005-0000-0000-00001D040000}"/>
    <cellStyle name="20% - Énfasis2 29 6" xfId="1122" xr:uid="{00000000-0005-0000-0000-00001E040000}"/>
    <cellStyle name="20% - Énfasis2 29 7" xfId="1123" xr:uid="{00000000-0005-0000-0000-00001F040000}"/>
    <cellStyle name="20% - Énfasis2 29 8" xfId="1124" xr:uid="{00000000-0005-0000-0000-000020040000}"/>
    <cellStyle name="20% - Énfasis2 29 9" xfId="1125" xr:uid="{00000000-0005-0000-0000-000021040000}"/>
    <cellStyle name="20% - Énfasis2 3 10" xfId="1126" xr:uid="{00000000-0005-0000-0000-000022040000}"/>
    <cellStyle name="20% - Énfasis2 3 11" xfId="1127" xr:uid="{00000000-0005-0000-0000-000023040000}"/>
    <cellStyle name="20% - Énfasis2 3 12" xfId="1128" xr:uid="{00000000-0005-0000-0000-000024040000}"/>
    <cellStyle name="20% - Énfasis2 3 13" xfId="1129" xr:uid="{00000000-0005-0000-0000-000025040000}"/>
    <cellStyle name="20% - Énfasis2 3 14" xfId="1130" xr:uid="{00000000-0005-0000-0000-000026040000}"/>
    <cellStyle name="20% - Énfasis2 3 15" xfId="1131" xr:uid="{00000000-0005-0000-0000-000027040000}"/>
    <cellStyle name="20% - Énfasis2 3 16" xfId="1132" xr:uid="{00000000-0005-0000-0000-000028040000}"/>
    <cellStyle name="20% - Énfasis2 3 17" xfId="1133" xr:uid="{00000000-0005-0000-0000-000029040000}"/>
    <cellStyle name="20% - Énfasis2 3 18" xfId="1134" xr:uid="{00000000-0005-0000-0000-00002A040000}"/>
    <cellStyle name="20% - Énfasis2 3 2" xfId="1135" xr:uid="{00000000-0005-0000-0000-00002B040000}"/>
    <cellStyle name="20% - Énfasis2 3 3" xfId="1136" xr:uid="{00000000-0005-0000-0000-00002C040000}"/>
    <cellStyle name="20% - Énfasis2 3 4" xfId="1137" xr:uid="{00000000-0005-0000-0000-00002D040000}"/>
    <cellStyle name="20% - Énfasis2 3 5" xfId="1138" xr:uid="{00000000-0005-0000-0000-00002E040000}"/>
    <cellStyle name="20% - Énfasis2 3 6" xfId="1139" xr:uid="{00000000-0005-0000-0000-00002F040000}"/>
    <cellStyle name="20% - Énfasis2 3 7" xfId="1140" xr:uid="{00000000-0005-0000-0000-000030040000}"/>
    <cellStyle name="20% - Énfasis2 3 8" xfId="1141" xr:uid="{00000000-0005-0000-0000-000031040000}"/>
    <cellStyle name="20% - Énfasis2 3 9" xfId="1142" xr:uid="{00000000-0005-0000-0000-000032040000}"/>
    <cellStyle name="20% - Énfasis2 30 10" xfId="1143" xr:uid="{00000000-0005-0000-0000-000033040000}"/>
    <cellStyle name="20% - Énfasis2 30 11" xfId="1144" xr:uid="{00000000-0005-0000-0000-000034040000}"/>
    <cellStyle name="20% - Énfasis2 30 12" xfId="1145" xr:uid="{00000000-0005-0000-0000-000035040000}"/>
    <cellStyle name="20% - Énfasis2 30 13" xfId="1146" xr:uid="{00000000-0005-0000-0000-000036040000}"/>
    <cellStyle name="20% - Énfasis2 30 14" xfId="1147" xr:uid="{00000000-0005-0000-0000-000037040000}"/>
    <cellStyle name="20% - Énfasis2 30 15" xfId="1148" xr:uid="{00000000-0005-0000-0000-000038040000}"/>
    <cellStyle name="20% - Énfasis2 30 16" xfId="1149" xr:uid="{00000000-0005-0000-0000-000039040000}"/>
    <cellStyle name="20% - Énfasis2 30 17" xfId="1150" xr:uid="{00000000-0005-0000-0000-00003A040000}"/>
    <cellStyle name="20% - Énfasis2 30 18" xfId="1151" xr:uid="{00000000-0005-0000-0000-00003B040000}"/>
    <cellStyle name="20% - Énfasis2 30 2" xfId="1152" xr:uid="{00000000-0005-0000-0000-00003C040000}"/>
    <cellStyle name="20% - Énfasis2 30 3" xfId="1153" xr:uid="{00000000-0005-0000-0000-00003D040000}"/>
    <cellStyle name="20% - Énfasis2 30 4" xfId="1154" xr:uid="{00000000-0005-0000-0000-00003E040000}"/>
    <cellStyle name="20% - Énfasis2 30 5" xfId="1155" xr:uid="{00000000-0005-0000-0000-00003F040000}"/>
    <cellStyle name="20% - Énfasis2 30 6" xfId="1156" xr:uid="{00000000-0005-0000-0000-000040040000}"/>
    <cellStyle name="20% - Énfasis2 30 7" xfId="1157" xr:uid="{00000000-0005-0000-0000-000041040000}"/>
    <cellStyle name="20% - Énfasis2 30 8" xfId="1158" xr:uid="{00000000-0005-0000-0000-000042040000}"/>
    <cellStyle name="20% - Énfasis2 30 9" xfId="1159" xr:uid="{00000000-0005-0000-0000-000043040000}"/>
    <cellStyle name="20% - Énfasis2 31 10" xfId="1160" xr:uid="{00000000-0005-0000-0000-000044040000}"/>
    <cellStyle name="20% - Énfasis2 31 11" xfId="1161" xr:uid="{00000000-0005-0000-0000-000045040000}"/>
    <cellStyle name="20% - Énfasis2 31 12" xfId="1162" xr:uid="{00000000-0005-0000-0000-000046040000}"/>
    <cellStyle name="20% - Énfasis2 31 13" xfId="1163" xr:uid="{00000000-0005-0000-0000-000047040000}"/>
    <cellStyle name="20% - Énfasis2 31 14" xfId="1164" xr:uid="{00000000-0005-0000-0000-000048040000}"/>
    <cellStyle name="20% - Énfasis2 31 15" xfId="1165" xr:uid="{00000000-0005-0000-0000-000049040000}"/>
    <cellStyle name="20% - Énfasis2 31 16" xfId="1166" xr:uid="{00000000-0005-0000-0000-00004A040000}"/>
    <cellStyle name="20% - Énfasis2 31 17" xfId="1167" xr:uid="{00000000-0005-0000-0000-00004B040000}"/>
    <cellStyle name="20% - Énfasis2 31 18" xfId="1168" xr:uid="{00000000-0005-0000-0000-00004C040000}"/>
    <cellStyle name="20% - Énfasis2 31 2" xfId="1169" xr:uid="{00000000-0005-0000-0000-00004D040000}"/>
    <cellStyle name="20% - Énfasis2 31 3" xfId="1170" xr:uid="{00000000-0005-0000-0000-00004E040000}"/>
    <cellStyle name="20% - Énfasis2 31 4" xfId="1171" xr:uid="{00000000-0005-0000-0000-00004F040000}"/>
    <cellStyle name="20% - Énfasis2 31 5" xfId="1172" xr:uid="{00000000-0005-0000-0000-000050040000}"/>
    <cellStyle name="20% - Énfasis2 31 6" xfId="1173" xr:uid="{00000000-0005-0000-0000-000051040000}"/>
    <cellStyle name="20% - Énfasis2 31 7" xfId="1174" xr:uid="{00000000-0005-0000-0000-000052040000}"/>
    <cellStyle name="20% - Énfasis2 31 8" xfId="1175" xr:uid="{00000000-0005-0000-0000-000053040000}"/>
    <cellStyle name="20% - Énfasis2 31 9" xfId="1176" xr:uid="{00000000-0005-0000-0000-000054040000}"/>
    <cellStyle name="20% - Énfasis2 32 10" xfId="1177" xr:uid="{00000000-0005-0000-0000-000055040000}"/>
    <cellStyle name="20% - Énfasis2 32 11" xfId="1178" xr:uid="{00000000-0005-0000-0000-000056040000}"/>
    <cellStyle name="20% - Énfasis2 32 12" xfId="1179" xr:uid="{00000000-0005-0000-0000-000057040000}"/>
    <cellStyle name="20% - Énfasis2 32 13" xfId="1180" xr:uid="{00000000-0005-0000-0000-000058040000}"/>
    <cellStyle name="20% - Énfasis2 32 14" xfId="1181" xr:uid="{00000000-0005-0000-0000-000059040000}"/>
    <cellStyle name="20% - Énfasis2 32 15" xfId="1182" xr:uid="{00000000-0005-0000-0000-00005A040000}"/>
    <cellStyle name="20% - Énfasis2 32 16" xfId="1183" xr:uid="{00000000-0005-0000-0000-00005B040000}"/>
    <cellStyle name="20% - Énfasis2 32 17" xfId="1184" xr:uid="{00000000-0005-0000-0000-00005C040000}"/>
    <cellStyle name="20% - Énfasis2 32 18" xfId="1185" xr:uid="{00000000-0005-0000-0000-00005D040000}"/>
    <cellStyle name="20% - Énfasis2 32 2" xfId="1186" xr:uid="{00000000-0005-0000-0000-00005E040000}"/>
    <cellStyle name="20% - Énfasis2 32 3" xfId="1187" xr:uid="{00000000-0005-0000-0000-00005F040000}"/>
    <cellStyle name="20% - Énfasis2 32 4" xfId="1188" xr:uid="{00000000-0005-0000-0000-000060040000}"/>
    <cellStyle name="20% - Énfasis2 32 5" xfId="1189" xr:uid="{00000000-0005-0000-0000-000061040000}"/>
    <cellStyle name="20% - Énfasis2 32 6" xfId="1190" xr:uid="{00000000-0005-0000-0000-000062040000}"/>
    <cellStyle name="20% - Énfasis2 32 7" xfId="1191" xr:uid="{00000000-0005-0000-0000-000063040000}"/>
    <cellStyle name="20% - Énfasis2 32 8" xfId="1192" xr:uid="{00000000-0005-0000-0000-000064040000}"/>
    <cellStyle name="20% - Énfasis2 32 9" xfId="1193" xr:uid="{00000000-0005-0000-0000-000065040000}"/>
    <cellStyle name="20% - Énfasis2 33 10" xfId="1194" xr:uid="{00000000-0005-0000-0000-000066040000}"/>
    <cellStyle name="20% - Énfasis2 33 11" xfId="1195" xr:uid="{00000000-0005-0000-0000-000067040000}"/>
    <cellStyle name="20% - Énfasis2 33 12" xfId="1196" xr:uid="{00000000-0005-0000-0000-000068040000}"/>
    <cellStyle name="20% - Énfasis2 33 13" xfId="1197" xr:uid="{00000000-0005-0000-0000-000069040000}"/>
    <cellStyle name="20% - Énfasis2 33 14" xfId="1198" xr:uid="{00000000-0005-0000-0000-00006A040000}"/>
    <cellStyle name="20% - Énfasis2 33 15" xfId="1199" xr:uid="{00000000-0005-0000-0000-00006B040000}"/>
    <cellStyle name="20% - Énfasis2 33 16" xfId="1200" xr:uid="{00000000-0005-0000-0000-00006C040000}"/>
    <cellStyle name="20% - Énfasis2 33 17" xfId="1201" xr:uid="{00000000-0005-0000-0000-00006D040000}"/>
    <cellStyle name="20% - Énfasis2 33 18" xfId="1202" xr:uid="{00000000-0005-0000-0000-00006E040000}"/>
    <cellStyle name="20% - Énfasis2 33 2" xfId="1203" xr:uid="{00000000-0005-0000-0000-00006F040000}"/>
    <cellStyle name="20% - Énfasis2 33 3" xfId="1204" xr:uid="{00000000-0005-0000-0000-000070040000}"/>
    <cellStyle name="20% - Énfasis2 33 4" xfId="1205" xr:uid="{00000000-0005-0000-0000-000071040000}"/>
    <cellStyle name="20% - Énfasis2 33 5" xfId="1206" xr:uid="{00000000-0005-0000-0000-000072040000}"/>
    <cellStyle name="20% - Énfasis2 33 6" xfId="1207" xr:uid="{00000000-0005-0000-0000-000073040000}"/>
    <cellStyle name="20% - Énfasis2 33 7" xfId="1208" xr:uid="{00000000-0005-0000-0000-000074040000}"/>
    <cellStyle name="20% - Énfasis2 33 8" xfId="1209" xr:uid="{00000000-0005-0000-0000-000075040000}"/>
    <cellStyle name="20% - Énfasis2 33 9" xfId="1210" xr:uid="{00000000-0005-0000-0000-000076040000}"/>
    <cellStyle name="20% - Énfasis2 34 10" xfId="1211" xr:uid="{00000000-0005-0000-0000-000077040000}"/>
    <cellStyle name="20% - Énfasis2 34 11" xfId="1212" xr:uid="{00000000-0005-0000-0000-000078040000}"/>
    <cellStyle name="20% - Énfasis2 34 12" xfId="1213" xr:uid="{00000000-0005-0000-0000-000079040000}"/>
    <cellStyle name="20% - Énfasis2 34 13" xfId="1214" xr:uid="{00000000-0005-0000-0000-00007A040000}"/>
    <cellStyle name="20% - Énfasis2 34 14" xfId="1215" xr:uid="{00000000-0005-0000-0000-00007B040000}"/>
    <cellStyle name="20% - Énfasis2 34 15" xfId="1216" xr:uid="{00000000-0005-0000-0000-00007C040000}"/>
    <cellStyle name="20% - Énfasis2 34 16" xfId="1217" xr:uid="{00000000-0005-0000-0000-00007D040000}"/>
    <cellStyle name="20% - Énfasis2 34 17" xfId="1218" xr:uid="{00000000-0005-0000-0000-00007E040000}"/>
    <cellStyle name="20% - Énfasis2 34 18" xfId="1219" xr:uid="{00000000-0005-0000-0000-00007F040000}"/>
    <cellStyle name="20% - Énfasis2 34 2" xfId="1220" xr:uid="{00000000-0005-0000-0000-000080040000}"/>
    <cellStyle name="20% - Énfasis2 34 3" xfId="1221" xr:uid="{00000000-0005-0000-0000-000081040000}"/>
    <cellStyle name="20% - Énfasis2 34 4" xfId="1222" xr:uid="{00000000-0005-0000-0000-000082040000}"/>
    <cellStyle name="20% - Énfasis2 34 5" xfId="1223" xr:uid="{00000000-0005-0000-0000-000083040000}"/>
    <cellStyle name="20% - Énfasis2 34 6" xfId="1224" xr:uid="{00000000-0005-0000-0000-000084040000}"/>
    <cellStyle name="20% - Énfasis2 34 7" xfId="1225" xr:uid="{00000000-0005-0000-0000-000085040000}"/>
    <cellStyle name="20% - Énfasis2 34 8" xfId="1226" xr:uid="{00000000-0005-0000-0000-000086040000}"/>
    <cellStyle name="20% - Énfasis2 34 9" xfId="1227" xr:uid="{00000000-0005-0000-0000-000087040000}"/>
    <cellStyle name="20% - Énfasis2 35 10" xfId="1228" xr:uid="{00000000-0005-0000-0000-000088040000}"/>
    <cellStyle name="20% - Énfasis2 35 11" xfId="1229" xr:uid="{00000000-0005-0000-0000-000089040000}"/>
    <cellStyle name="20% - Énfasis2 35 12" xfId="1230" xr:uid="{00000000-0005-0000-0000-00008A040000}"/>
    <cellStyle name="20% - Énfasis2 35 13" xfId="1231" xr:uid="{00000000-0005-0000-0000-00008B040000}"/>
    <cellStyle name="20% - Énfasis2 35 14" xfId="1232" xr:uid="{00000000-0005-0000-0000-00008C040000}"/>
    <cellStyle name="20% - Énfasis2 35 15" xfId="1233" xr:uid="{00000000-0005-0000-0000-00008D040000}"/>
    <cellStyle name="20% - Énfasis2 35 16" xfId="1234" xr:uid="{00000000-0005-0000-0000-00008E040000}"/>
    <cellStyle name="20% - Énfasis2 35 17" xfId="1235" xr:uid="{00000000-0005-0000-0000-00008F040000}"/>
    <cellStyle name="20% - Énfasis2 35 18" xfId="1236" xr:uid="{00000000-0005-0000-0000-000090040000}"/>
    <cellStyle name="20% - Énfasis2 35 2" xfId="1237" xr:uid="{00000000-0005-0000-0000-000091040000}"/>
    <cellStyle name="20% - Énfasis2 35 3" xfId="1238" xr:uid="{00000000-0005-0000-0000-000092040000}"/>
    <cellStyle name="20% - Énfasis2 35 4" xfId="1239" xr:uid="{00000000-0005-0000-0000-000093040000}"/>
    <cellStyle name="20% - Énfasis2 35 5" xfId="1240" xr:uid="{00000000-0005-0000-0000-000094040000}"/>
    <cellStyle name="20% - Énfasis2 35 6" xfId="1241" xr:uid="{00000000-0005-0000-0000-000095040000}"/>
    <cellStyle name="20% - Énfasis2 35 7" xfId="1242" xr:uid="{00000000-0005-0000-0000-000096040000}"/>
    <cellStyle name="20% - Énfasis2 35 8" xfId="1243" xr:uid="{00000000-0005-0000-0000-000097040000}"/>
    <cellStyle name="20% - Énfasis2 35 9" xfId="1244" xr:uid="{00000000-0005-0000-0000-000098040000}"/>
    <cellStyle name="20% - Énfasis2 36 10" xfId="1245" xr:uid="{00000000-0005-0000-0000-000099040000}"/>
    <cellStyle name="20% - Énfasis2 36 11" xfId="1246" xr:uid="{00000000-0005-0000-0000-00009A040000}"/>
    <cellStyle name="20% - Énfasis2 36 12" xfId="1247" xr:uid="{00000000-0005-0000-0000-00009B040000}"/>
    <cellStyle name="20% - Énfasis2 36 13" xfId="1248" xr:uid="{00000000-0005-0000-0000-00009C040000}"/>
    <cellStyle name="20% - Énfasis2 36 14" xfId="1249" xr:uid="{00000000-0005-0000-0000-00009D040000}"/>
    <cellStyle name="20% - Énfasis2 36 15" xfId="1250" xr:uid="{00000000-0005-0000-0000-00009E040000}"/>
    <cellStyle name="20% - Énfasis2 36 16" xfId="1251" xr:uid="{00000000-0005-0000-0000-00009F040000}"/>
    <cellStyle name="20% - Énfasis2 36 17" xfId="1252" xr:uid="{00000000-0005-0000-0000-0000A0040000}"/>
    <cellStyle name="20% - Énfasis2 36 18" xfId="1253" xr:uid="{00000000-0005-0000-0000-0000A1040000}"/>
    <cellStyle name="20% - Énfasis2 36 2" xfId="1254" xr:uid="{00000000-0005-0000-0000-0000A2040000}"/>
    <cellStyle name="20% - Énfasis2 36 3" xfId="1255" xr:uid="{00000000-0005-0000-0000-0000A3040000}"/>
    <cellStyle name="20% - Énfasis2 36 4" xfId="1256" xr:uid="{00000000-0005-0000-0000-0000A4040000}"/>
    <cellStyle name="20% - Énfasis2 36 5" xfId="1257" xr:uid="{00000000-0005-0000-0000-0000A5040000}"/>
    <cellStyle name="20% - Énfasis2 36 6" xfId="1258" xr:uid="{00000000-0005-0000-0000-0000A6040000}"/>
    <cellStyle name="20% - Énfasis2 36 7" xfId="1259" xr:uid="{00000000-0005-0000-0000-0000A7040000}"/>
    <cellStyle name="20% - Énfasis2 36 8" xfId="1260" xr:uid="{00000000-0005-0000-0000-0000A8040000}"/>
    <cellStyle name="20% - Énfasis2 36 9" xfId="1261" xr:uid="{00000000-0005-0000-0000-0000A9040000}"/>
    <cellStyle name="20% - Énfasis2 37 10" xfId="1262" xr:uid="{00000000-0005-0000-0000-0000AA040000}"/>
    <cellStyle name="20% - Énfasis2 37 11" xfId="1263" xr:uid="{00000000-0005-0000-0000-0000AB040000}"/>
    <cellStyle name="20% - Énfasis2 37 12" xfId="1264" xr:uid="{00000000-0005-0000-0000-0000AC040000}"/>
    <cellStyle name="20% - Énfasis2 37 13" xfId="1265" xr:uid="{00000000-0005-0000-0000-0000AD040000}"/>
    <cellStyle name="20% - Énfasis2 37 14" xfId="1266" xr:uid="{00000000-0005-0000-0000-0000AE040000}"/>
    <cellStyle name="20% - Énfasis2 37 15" xfId="1267" xr:uid="{00000000-0005-0000-0000-0000AF040000}"/>
    <cellStyle name="20% - Énfasis2 37 16" xfId="1268" xr:uid="{00000000-0005-0000-0000-0000B0040000}"/>
    <cellStyle name="20% - Énfasis2 37 17" xfId="1269" xr:uid="{00000000-0005-0000-0000-0000B1040000}"/>
    <cellStyle name="20% - Énfasis2 37 18" xfId="1270" xr:uid="{00000000-0005-0000-0000-0000B2040000}"/>
    <cellStyle name="20% - Énfasis2 37 2" xfId="1271" xr:uid="{00000000-0005-0000-0000-0000B3040000}"/>
    <cellStyle name="20% - Énfasis2 37 3" xfId="1272" xr:uid="{00000000-0005-0000-0000-0000B4040000}"/>
    <cellStyle name="20% - Énfasis2 37 4" xfId="1273" xr:uid="{00000000-0005-0000-0000-0000B5040000}"/>
    <cellStyle name="20% - Énfasis2 37 5" xfId="1274" xr:uid="{00000000-0005-0000-0000-0000B6040000}"/>
    <cellStyle name="20% - Énfasis2 37 6" xfId="1275" xr:uid="{00000000-0005-0000-0000-0000B7040000}"/>
    <cellStyle name="20% - Énfasis2 37 7" xfId="1276" xr:uid="{00000000-0005-0000-0000-0000B8040000}"/>
    <cellStyle name="20% - Énfasis2 37 8" xfId="1277" xr:uid="{00000000-0005-0000-0000-0000B9040000}"/>
    <cellStyle name="20% - Énfasis2 37 9" xfId="1278" xr:uid="{00000000-0005-0000-0000-0000BA040000}"/>
    <cellStyle name="20% - Énfasis2 38 10" xfId="1279" xr:uid="{00000000-0005-0000-0000-0000BB040000}"/>
    <cellStyle name="20% - Énfasis2 38 11" xfId="1280" xr:uid="{00000000-0005-0000-0000-0000BC040000}"/>
    <cellStyle name="20% - Énfasis2 38 12" xfId="1281" xr:uid="{00000000-0005-0000-0000-0000BD040000}"/>
    <cellStyle name="20% - Énfasis2 38 13" xfId="1282" xr:uid="{00000000-0005-0000-0000-0000BE040000}"/>
    <cellStyle name="20% - Énfasis2 38 14" xfId="1283" xr:uid="{00000000-0005-0000-0000-0000BF040000}"/>
    <cellStyle name="20% - Énfasis2 38 15" xfId="1284" xr:uid="{00000000-0005-0000-0000-0000C0040000}"/>
    <cellStyle name="20% - Énfasis2 38 16" xfId="1285" xr:uid="{00000000-0005-0000-0000-0000C1040000}"/>
    <cellStyle name="20% - Énfasis2 38 17" xfId="1286" xr:uid="{00000000-0005-0000-0000-0000C2040000}"/>
    <cellStyle name="20% - Énfasis2 38 18" xfId="1287" xr:uid="{00000000-0005-0000-0000-0000C3040000}"/>
    <cellStyle name="20% - Énfasis2 38 2" xfId="1288" xr:uid="{00000000-0005-0000-0000-0000C4040000}"/>
    <cellStyle name="20% - Énfasis2 38 3" xfId="1289" xr:uid="{00000000-0005-0000-0000-0000C5040000}"/>
    <cellStyle name="20% - Énfasis2 38 4" xfId="1290" xr:uid="{00000000-0005-0000-0000-0000C6040000}"/>
    <cellStyle name="20% - Énfasis2 38 5" xfId="1291" xr:uid="{00000000-0005-0000-0000-0000C7040000}"/>
    <cellStyle name="20% - Énfasis2 38 6" xfId="1292" xr:uid="{00000000-0005-0000-0000-0000C8040000}"/>
    <cellStyle name="20% - Énfasis2 38 7" xfId="1293" xr:uid="{00000000-0005-0000-0000-0000C9040000}"/>
    <cellStyle name="20% - Énfasis2 38 8" xfId="1294" xr:uid="{00000000-0005-0000-0000-0000CA040000}"/>
    <cellStyle name="20% - Énfasis2 38 9" xfId="1295" xr:uid="{00000000-0005-0000-0000-0000CB040000}"/>
    <cellStyle name="20% - Énfasis2 39" xfId="1296" xr:uid="{00000000-0005-0000-0000-0000CC040000}"/>
    <cellStyle name="20% - Énfasis2 39 10" xfId="1297" xr:uid="{00000000-0005-0000-0000-0000CD040000}"/>
    <cellStyle name="20% - Énfasis2 39 11" xfId="1298" xr:uid="{00000000-0005-0000-0000-0000CE040000}"/>
    <cellStyle name="20% - Énfasis2 39 12" xfId="1299" xr:uid="{00000000-0005-0000-0000-0000CF040000}"/>
    <cellStyle name="20% - Énfasis2 39 13" xfId="1300" xr:uid="{00000000-0005-0000-0000-0000D0040000}"/>
    <cellStyle name="20% - Énfasis2 39 14" xfId="1301" xr:uid="{00000000-0005-0000-0000-0000D1040000}"/>
    <cellStyle name="20% - Énfasis2 39 15" xfId="1302" xr:uid="{00000000-0005-0000-0000-0000D2040000}"/>
    <cellStyle name="20% - Énfasis2 39 2" xfId="1303" xr:uid="{00000000-0005-0000-0000-0000D3040000}"/>
    <cellStyle name="20% - Énfasis2 39 3" xfId="1304" xr:uid="{00000000-0005-0000-0000-0000D4040000}"/>
    <cellStyle name="20% - Énfasis2 39 4" xfId="1305" xr:uid="{00000000-0005-0000-0000-0000D5040000}"/>
    <cellStyle name="20% - Énfasis2 39 5" xfId="1306" xr:uid="{00000000-0005-0000-0000-0000D6040000}"/>
    <cellStyle name="20% - Énfasis2 39 6" xfId="1307" xr:uid="{00000000-0005-0000-0000-0000D7040000}"/>
    <cellStyle name="20% - Énfasis2 39 7" xfId="1308" xr:uid="{00000000-0005-0000-0000-0000D8040000}"/>
    <cellStyle name="20% - Énfasis2 39 8" xfId="1309" xr:uid="{00000000-0005-0000-0000-0000D9040000}"/>
    <cellStyle name="20% - Énfasis2 39 9" xfId="1310" xr:uid="{00000000-0005-0000-0000-0000DA040000}"/>
    <cellStyle name="20% - Énfasis2 4 10" xfId="1311" xr:uid="{00000000-0005-0000-0000-0000DB040000}"/>
    <cellStyle name="20% - Énfasis2 4 11" xfId="1312" xr:uid="{00000000-0005-0000-0000-0000DC040000}"/>
    <cellStyle name="20% - Énfasis2 4 12" xfId="1313" xr:uid="{00000000-0005-0000-0000-0000DD040000}"/>
    <cellStyle name="20% - Énfasis2 4 13" xfId="1314" xr:uid="{00000000-0005-0000-0000-0000DE040000}"/>
    <cellStyle name="20% - Énfasis2 4 14" xfId="1315" xr:uid="{00000000-0005-0000-0000-0000DF040000}"/>
    <cellStyle name="20% - Énfasis2 4 15" xfId="1316" xr:uid="{00000000-0005-0000-0000-0000E0040000}"/>
    <cellStyle name="20% - Énfasis2 4 16" xfId="1317" xr:uid="{00000000-0005-0000-0000-0000E1040000}"/>
    <cellStyle name="20% - Énfasis2 4 17" xfId="1318" xr:uid="{00000000-0005-0000-0000-0000E2040000}"/>
    <cellStyle name="20% - Énfasis2 4 18" xfId="1319" xr:uid="{00000000-0005-0000-0000-0000E3040000}"/>
    <cellStyle name="20% - Énfasis2 4 2" xfId="1320" xr:uid="{00000000-0005-0000-0000-0000E4040000}"/>
    <cellStyle name="20% - Énfasis2 4 3" xfId="1321" xr:uid="{00000000-0005-0000-0000-0000E5040000}"/>
    <cellStyle name="20% - Énfasis2 4 4" xfId="1322" xr:uid="{00000000-0005-0000-0000-0000E6040000}"/>
    <cellStyle name="20% - Énfasis2 4 5" xfId="1323" xr:uid="{00000000-0005-0000-0000-0000E7040000}"/>
    <cellStyle name="20% - Énfasis2 4 6" xfId="1324" xr:uid="{00000000-0005-0000-0000-0000E8040000}"/>
    <cellStyle name="20% - Énfasis2 4 7" xfId="1325" xr:uid="{00000000-0005-0000-0000-0000E9040000}"/>
    <cellStyle name="20% - Énfasis2 4 8" xfId="1326" xr:uid="{00000000-0005-0000-0000-0000EA040000}"/>
    <cellStyle name="20% - Énfasis2 4 9" xfId="1327" xr:uid="{00000000-0005-0000-0000-0000EB040000}"/>
    <cellStyle name="20% - Énfasis2 40" xfId="1328" xr:uid="{00000000-0005-0000-0000-0000EC040000}"/>
    <cellStyle name="20% - Énfasis2 40 10" xfId="1329" xr:uid="{00000000-0005-0000-0000-0000ED040000}"/>
    <cellStyle name="20% - Énfasis2 40 11" xfId="1330" xr:uid="{00000000-0005-0000-0000-0000EE040000}"/>
    <cellStyle name="20% - Énfasis2 40 12" xfId="1331" xr:uid="{00000000-0005-0000-0000-0000EF040000}"/>
    <cellStyle name="20% - Énfasis2 40 13" xfId="1332" xr:uid="{00000000-0005-0000-0000-0000F0040000}"/>
    <cellStyle name="20% - Énfasis2 40 14" xfId="1333" xr:uid="{00000000-0005-0000-0000-0000F1040000}"/>
    <cellStyle name="20% - Énfasis2 40 15" xfId="1334" xr:uid="{00000000-0005-0000-0000-0000F2040000}"/>
    <cellStyle name="20% - Énfasis2 40 2" xfId="1335" xr:uid="{00000000-0005-0000-0000-0000F3040000}"/>
    <cellStyle name="20% - Énfasis2 40 3" xfId="1336" xr:uid="{00000000-0005-0000-0000-0000F4040000}"/>
    <cellStyle name="20% - Énfasis2 40 4" xfId="1337" xr:uid="{00000000-0005-0000-0000-0000F5040000}"/>
    <cellStyle name="20% - Énfasis2 40 5" xfId="1338" xr:uid="{00000000-0005-0000-0000-0000F6040000}"/>
    <cellStyle name="20% - Énfasis2 40 6" xfId="1339" xr:uid="{00000000-0005-0000-0000-0000F7040000}"/>
    <cellStyle name="20% - Énfasis2 40 7" xfId="1340" xr:uid="{00000000-0005-0000-0000-0000F8040000}"/>
    <cellStyle name="20% - Énfasis2 40 8" xfId="1341" xr:uid="{00000000-0005-0000-0000-0000F9040000}"/>
    <cellStyle name="20% - Énfasis2 40 9" xfId="1342" xr:uid="{00000000-0005-0000-0000-0000FA040000}"/>
    <cellStyle name="20% - Énfasis2 41" xfId="1343" xr:uid="{00000000-0005-0000-0000-0000FB040000}"/>
    <cellStyle name="20% - Énfasis2 41 10" xfId="1344" xr:uid="{00000000-0005-0000-0000-0000FC040000}"/>
    <cellStyle name="20% - Énfasis2 41 11" xfId="1345" xr:uid="{00000000-0005-0000-0000-0000FD040000}"/>
    <cellStyle name="20% - Énfasis2 41 12" xfId="1346" xr:uid="{00000000-0005-0000-0000-0000FE040000}"/>
    <cellStyle name="20% - Énfasis2 41 13" xfId="1347" xr:uid="{00000000-0005-0000-0000-0000FF040000}"/>
    <cellStyle name="20% - Énfasis2 41 14" xfId="1348" xr:uid="{00000000-0005-0000-0000-000000050000}"/>
    <cellStyle name="20% - Énfasis2 41 15" xfId="1349" xr:uid="{00000000-0005-0000-0000-000001050000}"/>
    <cellStyle name="20% - Énfasis2 41 2" xfId="1350" xr:uid="{00000000-0005-0000-0000-000002050000}"/>
    <cellStyle name="20% - Énfasis2 41 3" xfId="1351" xr:uid="{00000000-0005-0000-0000-000003050000}"/>
    <cellStyle name="20% - Énfasis2 41 4" xfId="1352" xr:uid="{00000000-0005-0000-0000-000004050000}"/>
    <cellStyle name="20% - Énfasis2 41 5" xfId="1353" xr:uid="{00000000-0005-0000-0000-000005050000}"/>
    <cellStyle name="20% - Énfasis2 41 6" xfId="1354" xr:uid="{00000000-0005-0000-0000-000006050000}"/>
    <cellStyle name="20% - Énfasis2 41 7" xfId="1355" xr:uid="{00000000-0005-0000-0000-000007050000}"/>
    <cellStyle name="20% - Énfasis2 41 8" xfId="1356" xr:uid="{00000000-0005-0000-0000-000008050000}"/>
    <cellStyle name="20% - Énfasis2 41 9" xfId="1357" xr:uid="{00000000-0005-0000-0000-000009050000}"/>
    <cellStyle name="20% - Énfasis2 42" xfId="1358" xr:uid="{00000000-0005-0000-0000-00000A050000}"/>
    <cellStyle name="20% - Énfasis2 43" xfId="1359" xr:uid="{00000000-0005-0000-0000-00000B050000}"/>
    <cellStyle name="20% - Énfasis2 44" xfId="1360" xr:uid="{00000000-0005-0000-0000-00000C050000}"/>
    <cellStyle name="20% - Énfasis2 45" xfId="1361" xr:uid="{00000000-0005-0000-0000-00000D050000}"/>
    <cellStyle name="20% - Énfasis2 46" xfId="1362" xr:uid="{00000000-0005-0000-0000-00000E050000}"/>
    <cellStyle name="20% - Énfasis2 47" xfId="1363" xr:uid="{00000000-0005-0000-0000-00000F050000}"/>
    <cellStyle name="20% - Énfasis2 48" xfId="1364" xr:uid="{00000000-0005-0000-0000-000010050000}"/>
    <cellStyle name="20% - Énfasis2 49" xfId="1365" xr:uid="{00000000-0005-0000-0000-000011050000}"/>
    <cellStyle name="20% - Énfasis2 5 10" xfId="1366" xr:uid="{00000000-0005-0000-0000-000012050000}"/>
    <cellStyle name="20% - Énfasis2 5 11" xfId="1367" xr:uid="{00000000-0005-0000-0000-000013050000}"/>
    <cellStyle name="20% - Énfasis2 5 12" xfId="1368" xr:uid="{00000000-0005-0000-0000-000014050000}"/>
    <cellStyle name="20% - Énfasis2 5 13" xfId="1369" xr:uid="{00000000-0005-0000-0000-000015050000}"/>
    <cellStyle name="20% - Énfasis2 5 14" xfId="1370" xr:uid="{00000000-0005-0000-0000-000016050000}"/>
    <cellStyle name="20% - Énfasis2 5 15" xfId="1371" xr:uid="{00000000-0005-0000-0000-000017050000}"/>
    <cellStyle name="20% - Énfasis2 5 16" xfId="1372" xr:uid="{00000000-0005-0000-0000-000018050000}"/>
    <cellStyle name="20% - Énfasis2 5 17" xfId="1373" xr:uid="{00000000-0005-0000-0000-000019050000}"/>
    <cellStyle name="20% - Énfasis2 5 18" xfId="1374" xr:uid="{00000000-0005-0000-0000-00001A050000}"/>
    <cellStyle name="20% - Énfasis2 5 2" xfId="1375" xr:uid="{00000000-0005-0000-0000-00001B050000}"/>
    <cellStyle name="20% - Énfasis2 5 3" xfId="1376" xr:uid="{00000000-0005-0000-0000-00001C050000}"/>
    <cellStyle name="20% - Énfasis2 5 4" xfId="1377" xr:uid="{00000000-0005-0000-0000-00001D050000}"/>
    <cellStyle name="20% - Énfasis2 5 5" xfId="1378" xr:uid="{00000000-0005-0000-0000-00001E050000}"/>
    <cellStyle name="20% - Énfasis2 5 6" xfId="1379" xr:uid="{00000000-0005-0000-0000-00001F050000}"/>
    <cellStyle name="20% - Énfasis2 5 7" xfId="1380" xr:uid="{00000000-0005-0000-0000-000020050000}"/>
    <cellStyle name="20% - Énfasis2 5 8" xfId="1381" xr:uid="{00000000-0005-0000-0000-000021050000}"/>
    <cellStyle name="20% - Énfasis2 5 9" xfId="1382" xr:uid="{00000000-0005-0000-0000-000022050000}"/>
    <cellStyle name="20% - Énfasis2 50" xfId="1383" xr:uid="{00000000-0005-0000-0000-000023050000}"/>
    <cellStyle name="20% - Énfasis2 51" xfId="1384" xr:uid="{00000000-0005-0000-0000-000024050000}"/>
    <cellStyle name="20% - Énfasis2 52" xfId="1385" xr:uid="{00000000-0005-0000-0000-000025050000}"/>
    <cellStyle name="20% - Énfasis2 53" xfId="1386" xr:uid="{00000000-0005-0000-0000-000026050000}"/>
    <cellStyle name="20% - Énfasis2 54" xfId="1387" xr:uid="{00000000-0005-0000-0000-000027050000}"/>
    <cellStyle name="20% - Énfasis2 55" xfId="1388" xr:uid="{00000000-0005-0000-0000-000028050000}"/>
    <cellStyle name="20% - Énfasis2 56" xfId="1389" xr:uid="{00000000-0005-0000-0000-000029050000}"/>
    <cellStyle name="20% - Énfasis2 57" xfId="1390" xr:uid="{00000000-0005-0000-0000-00002A050000}"/>
    <cellStyle name="20% - Énfasis2 58" xfId="1391" xr:uid="{00000000-0005-0000-0000-00002B050000}"/>
    <cellStyle name="20% - Énfasis2 59" xfId="1392" xr:uid="{00000000-0005-0000-0000-00002C050000}"/>
    <cellStyle name="20% - Énfasis2 6 10" xfId="1393" xr:uid="{00000000-0005-0000-0000-00002D050000}"/>
    <cellStyle name="20% - Énfasis2 6 11" xfId="1394" xr:uid="{00000000-0005-0000-0000-00002E050000}"/>
    <cellStyle name="20% - Énfasis2 6 12" xfId="1395" xr:uid="{00000000-0005-0000-0000-00002F050000}"/>
    <cellStyle name="20% - Énfasis2 6 13" xfId="1396" xr:uid="{00000000-0005-0000-0000-000030050000}"/>
    <cellStyle name="20% - Énfasis2 6 14" xfId="1397" xr:uid="{00000000-0005-0000-0000-000031050000}"/>
    <cellStyle name="20% - Énfasis2 6 15" xfId="1398" xr:uid="{00000000-0005-0000-0000-000032050000}"/>
    <cellStyle name="20% - Énfasis2 6 16" xfId="1399" xr:uid="{00000000-0005-0000-0000-000033050000}"/>
    <cellStyle name="20% - Énfasis2 6 17" xfId="1400" xr:uid="{00000000-0005-0000-0000-000034050000}"/>
    <cellStyle name="20% - Énfasis2 6 18" xfId="1401" xr:uid="{00000000-0005-0000-0000-000035050000}"/>
    <cellStyle name="20% - Énfasis2 6 2" xfId="1402" xr:uid="{00000000-0005-0000-0000-000036050000}"/>
    <cellStyle name="20% - Énfasis2 6 3" xfId="1403" xr:uid="{00000000-0005-0000-0000-000037050000}"/>
    <cellStyle name="20% - Énfasis2 6 4" xfId="1404" xr:uid="{00000000-0005-0000-0000-000038050000}"/>
    <cellStyle name="20% - Énfasis2 6 5" xfId="1405" xr:uid="{00000000-0005-0000-0000-000039050000}"/>
    <cellStyle name="20% - Énfasis2 6 6" xfId="1406" xr:uid="{00000000-0005-0000-0000-00003A050000}"/>
    <cellStyle name="20% - Énfasis2 6 7" xfId="1407" xr:uid="{00000000-0005-0000-0000-00003B050000}"/>
    <cellStyle name="20% - Énfasis2 6 8" xfId="1408" xr:uid="{00000000-0005-0000-0000-00003C050000}"/>
    <cellStyle name="20% - Énfasis2 6 9" xfId="1409" xr:uid="{00000000-0005-0000-0000-00003D050000}"/>
    <cellStyle name="20% - Énfasis2 60" xfId="1410" xr:uid="{00000000-0005-0000-0000-00003E050000}"/>
    <cellStyle name="20% - Énfasis2 61" xfId="1411" xr:uid="{00000000-0005-0000-0000-00003F050000}"/>
    <cellStyle name="20% - Énfasis2 62" xfId="1412" xr:uid="{00000000-0005-0000-0000-000040050000}"/>
    <cellStyle name="20% - Énfasis2 63" xfId="1413" xr:uid="{00000000-0005-0000-0000-000041050000}"/>
    <cellStyle name="20% - Énfasis2 64" xfId="1414" xr:uid="{00000000-0005-0000-0000-000042050000}"/>
    <cellStyle name="20% - Énfasis2 7 10" xfId="1415" xr:uid="{00000000-0005-0000-0000-000043050000}"/>
    <cellStyle name="20% - Énfasis2 7 11" xfId="1416" xr:uid="{00000000-0005-0000-0000-000044050000}"/>
    <cellStyle name="20% - Énfasis2 7 12" xfId="1417" xr:uid="{00000000-0005-0000-0000-000045050000}"/>
    <cellStyle name="20% - Énfasis2 7 13" xfId="1418" xr:uid="{00000000-0005-0000-0000-000046050000}"/>
    <cellStyle name="20% - Énfasis2 7 14" xfId="1419" xr:uid="{00000000-0005-0000-0000-000047050000}"/>
    <cellStyle name="20% - Énfasis2 7 15" xfId="1420" xr:uid="{00000000-0005-0000-0000-000048050000}"/>
    <cellStyle name="20% - Énfasis2 7 16" xfId="1421" xr:uid="{00000000-0005-0000-0000-000049050000}"/>
    <cellStyle name="20% - Énfasis2 7 17" xfId="1422" xr:uid="{00000000-0005-0000-0000-00004A050000}"/>
    <cellStyle name="20% - Énfasis2 7 18" xfId="1423" xr:uid="{00000000-0005-0000-0000-00004B050000}"/>
    <cellStyle name="20% - Énfasis2 7 2" xfId="1424" xr:uid="{00000000-0005-0000-0000-00004C050000}"/>
    <cellStyle name="20% - Énfasis2 7 3" xfId="1425" xr:uid="{00000000-0005-0000-0000-00004D050000}"/>
    <cellStyle name="20% - Énfasis2 7 4" xfId="1426" xr:uid="{00000000-0005-0000-0000-00004E050000}"/>
    <cellStyle name="20% - Énfasis2 7 5" xfId="1427" xr:uid="{00000000-0005-0000-0000-00004F050000}"/>
    <cellStyle name="20% - Énfasis2 7 6" xfId="1428" xr:uid="{00000000-0005-0000-0000-000050050000}"/>
    <cellStyle name="20% - Énfasis2 7 7" xfId="1429" xr:uid="{00000000-0005-0000-0000-000051050000}"/>
    <cellStyle name="20% - Énfasis2 7 8" xfId="1430" xr:uid="{00000000-0005-0000-0000-000052050000}"/>
    <cellStyle name="20% - Énfasis2 7 9" xfId="1431" xr:uid="{00000000-0005-0000-0000-000053050000}"/>
    <cellStyle name="20% - Énfasis2 8 10" xfId="1432" xr:uid="{00000000-0005-0000-0000-000054050000}"/>
    <cellStyle name="20% - Énfasis2 8 11" xfId="1433" xr:uid="{00000000-0005-0000-0000-000055050000}"/>
    <cellStyle name="20% - Énfasis2 8 12" xfId="1434" xr:uid="{00000000-0005-0000-0000-000056050000}"/>
    <cellStyle name="20% - Énfasis2 8 13" xfId="1435" xr:uid="{00000000-0005-0000-0000-000057050000}"/>
    <cellStyle name="20% - Énfasis2 8 14" xfId="1436" xr:uid="{00000000-0005-0000-0000-000058050000}"/>
    <cellStyle name="20% - Énfasis2 8 15" xfId="1437" xr:uid="{00000000-0005-0000-0000-000059050000}"/>
    <cellStyle name="20% - Énfasis2 8 16" xfId="1438" xr:uid="{00000000-0005-0000-0000-00005A050000}"/>
    <cellStyle name="20% - Énfasis2 8 17" xfId="1439" xr:uid="{00000000-0005-0000-0000-00005B050000}"/>
    <cellStyle name="20% - Énfasis2 8 18" xfId="1440" xr:uid="{00000000-0005-0000-0000-00005C050000}"/>
    <cellStyle name="20% - Énfasis2 8 2" xfId="1441" xr:uid="{00000000-0005-0000-0000-00005D050000}"/>
    <cellStyle name="20% - Énfasis2 8 3" xfId="1442" xr:uid="{00000000-0005-0000-0000-00005E050000}"/>
    <cellStyle name="20% - Énfasis2 8 4" xfId="1443" xr:uid="{00000000-0005-0000-0000-00005F050000}"/>
    <cellStyle name="20% - Énfasis2 8 5" xfId="1444" xr:uid="{00000000-0005-0000-0000-000060050000}"/>
    <cellStyle name="20% - Énfasis2 8 6" xfId="1445" xr:uid="{00000000-0005-0000-0000-000061050000}"/>
    <cellStyle name="20% - Énfasis2 8 7" xfId="1446" xr:uid="{00000000-0005-0000-0000-000062050000}"/>
    <cellStyle name="20% - Énfasis2 8 8" xfId="1447" xr:uid="{00000000-0005-0000-0000-000063050000}"/>
    <cellStyle name="20% - Énfasis2 8 9" xfId="1448" xr:uid="{00000000-0005-0000-0000-000064050000}"/>
    <cellStyle name="20% - Énfasis2 9 10" xfId="1449" xr:uid="{00000000-0005-0000-0000-000065050000}"/>
    <cellStyle name="20% - Énfasis2 9 11" xfId="1450" xr:uid="{00000000-0005-0000-0000-000066050000}"/>
    <cellStyle name="20% - Énfasis2 9 12" xfId="1451" xr:uid="{00000000-0005-0000-0000-000067050000}"/>
    <cellStyle name="20% - Énfasis2 9 13" xfId="1452" xr:uid="{00000000-0005-0000-0000-000068050000}"/>
    <cellStyle name="20% - Énfasis2 9 14" xfId="1453" xr:uid="{00000000-0005-0000-0000-000069050000}"/>
    <cellStyle name="20% - Énfasis2 9 15" xfId="1454" xr:uid="{00000000-0005-0000-0000-00006A050000}"/>
    <cellStyle name="20% - Énfasis2 9 16" xfId="1455" xr:uid="{00000000-0005-0000-0000-00006B050000}"/>
    <cellStyle name="20% - Énfasis2 9 17" xfId="1456" xr:uid="{00000000-0005-0000-0000-00006C050000}"/>
    <cellStyle name="20% - Énfasis2 9 18" xfId="1457" xr:uid="{00000000-0005-0000-0000-00006D050000}"/>
    <cellStyle name="20% - Énfasis2 9 2" xfId="1458" xr:uid="{00000000-0005-0000-0000-00006E050000}"/>
    <cellStyle name="20% - Énfasis2 9 3" xfId="1459" xr:uid="{00000000-0005-0000-0000-00006F050000}"/>
    <cellStyle name="20% - Énfasis2 9 4" xfId="1460" xr:uid="{00000000-0005-0000-0000-000070050000}"/>
    <cellStyle name="20% - Énfasis2 9 5" xfId="1461" xr:uid="{00000000-0005-0000-0000-000071050000}"/>
    <cellStyle name="20% - Énfasis2 9 6" xfId="1462" xr:uid="{00000000-0005-0000-0000-000072050000}"/>
    <cellStyle name="20% - Énfasis2 9 7" xfId="1463" xr:uid="{00000000-0005-0000-0000-000073050000}"/>
    <cellStyle name="20% - Énfasis2 9 8" xfId="1464" xr:uid="{00000000-0005-0000-0000-000074050000}"/>
    <cellStyle name="20% - Énfasis2 9 9" xfId="1465" xr:uid="{00000000-0005-0000-0000-000075050000}"/>
    <cellStyle name="20% - Énfasis3" xfId="32537" builtinId="38" customBuiltin="1"/>
    <cellStyle name="20% - Énfasis3 10 10" xfId="1466" xr:uid="{00000000-0005-0000-0000-000077050000}"/>
    <cellStyle name="20% - Énfasis3 10 11" xfId="1467" xr:uid="{00000000-0005-0000-0000-000078050000}"/>
    <cellStyle name="20% - Énfasis3 10 12" xfId="1468" xr:uid="{00000000-0005-0000-0000-000079050000}"/>
    <cellStyle name="20% - Énfasis3 10 13" xfId="1469" xr:uid="{00000000-0005-0000-0000-00007A050000}"/>
    <cellStyle name="20% - Énfasis3 10 14" xfId="1470" xr:uid="{00000000-0005-0000-0000-00007B050000}"/>
    <cellStyle name="20% - Énfasis3 10 15" xfId="1471" xr:uid="{00000000-0005-0000-0000-00007C050000}"/>
    <cellStyle name="20% - Énfasis3 10 16" xfId="1472" xr:uid="{00000000-0005-0000-0000-00007D050000}"/>
    <cellStyle name="20% - Énfasis3 10 17" xfId="1473" xr:uid="{00000000-0005-0000-0000-00007E050000}"/>
    <cellStyle name="20% - Énfasis3 10 18" xfId="1474" xr:uid="{00000000-0005-0000-0000-00007F050000}"/>
    <cellStyle name="20% - Énfasis3 10 2" xfId="1475" xr:uid="{00000000-0005-0000-0000-000080050000}"/>
    <cellStyle name="20% - Énfasis3 10 3" xfId="1476" xr:uid="{00000000-0005-0000-0000-000081050000}"/>
    <cellStyle name="20% - Énfasis3 10 4" xfId="1477" xr:uid="{00000000-0005-0000-0000-000082050000}"/>
    <cellStyle name="20% - Énfasis3 10 5" xfId="1478" xr:uid="{00000000-0005-0000-0000-000083050000}"/>
    <cellStyle name="20% - Énfasis3 10 6" xfId="1479" xr:uid="{00000000-0005-0000-0000-000084050000}"/>
    <cellStyle name="20% - Énfasis3 10 7" xfId="1480" xr:uid="{00000000-0005-0000-0000-000085050000}"/>
    <cellStyle name="20% - Énfasis3 10 8" xfId="1481" xr:uid="{00000000-0005-0000-0000-000086050000}"/>
    <cellStyle name="20% - Énfasis3 10 9" xfId="1482" xr:uid="{00000000-0005-0000-0000-000087050000}"/>
    <cellStyle name="20% - Énfasis3 11 10" xfId="1483" xr:uid="{00000000-0005-0000-0000-000088050000}"/>
    <cellStyle name="20% - Énfasis3 11 11" xfId="1484" xr:uid="{00000000-0005-0000-0000-000089050000}"/>
    <cellStyle name="20% - Énfasis3 11 12" xfId="1485" xr:uid="{00000000-0005-0000-0000-00008A050000}"/>
    <cellStyle name="20% - Énfasis3 11 13" xfId="1486" xr:uid="{00000000-0005-0000-0000-00008B050000}"/>
    <cellStyle name="20% - Énfasis3 11 14" xfId="1487" xr:uid="{00000000-0005-0000-0000-00008C050000}"/>
    <cellStyle name="20% - Énfasis3 11 15" xfId="1488" xr:uid="{00000000-0005-0000-0000-00008D050000}"/>
    <cellStyle name="20% - Énfasis3 11 16" xfId="1489" xr:uid="{00000000-0005-0000-0000-00008E050000}"/>
    <cellStyle name="20% - Énfasis3 11 17" xfId="1490" xr:uid="{00000000-0005-0000-0000-00008F050000}"/>
    <cellStyle name="20% - Énfasis3 11 18" xfId="1491" xr:uid="{00000000-0005-0000-0000-000090050000}"/>
    <cellStyle name="20% - Énfasis3 11 2" xfId="1492" xr:uid="{00000000-0005-0000-0000-000091050000}"/>
    <cellStyle name="20% - Énfasis3 11 3" xfId="1493" xr:uid="{00000000-0005-0000-0000-000092050000}"/>
    <cellStyle name="20% - Énfasis3 11 4" xfId="1494" xr:uid="{00000000-0005-0000-0000-000093050000}"/>
    <cellStyle name="20% - Énfasis3 11 5" xfId="1495" xr:uid="{00000000-0005-0000-0000-000094050000}"/>
    <cellStyle name="20% - Énfasis3 11 6" xfId="1496" xr:uid="{00000000-0005-0000-0000-000095050000}"/>
    <cellStyle name="20% - Énfasis3 11 7" xfId="1497" xr:uid="{00000000-0005-0000-0000-000096050000}"/>
    <cellStyle name="20% - Énfasis3 11 8" xfId="1498" xr:uid="{00000000-0005-0000-0000-000097050000}"/>
    <cellStyle name="20% - Énfasis3 11 9" xfId="1499" xr:uid="{00000000-0005-0000-0000-000098050000}"/>
    <cellStyle name="20% - Énfasis3 12 10" xfId="1500" xr:uid="{00000000-0005-0000-0000-000099050000}"/>
    <cellStyle name="20% - Énfasis3 12 11" xfId="1501" xr:uid="{00000000-0005-0000-0000-00009A050000}"/>
    <cellStyle name="20% - Énfasis3 12 12" xfId="1502" xr:uid="{00000000-0005-0000-0000-00009B050000}"/>
    <cellStyle name="20% - Énfasis3 12 13" xfId="1503" xr:uid="{00000000-0005-0000-0000-00009C050000}"/>
    <cellStyle name="20% - Énfasis3 12 14" xfId="1504" xr:uid="{00000000-0005-0000-0000-00009D050000}"/>
    <cellStyle name="20% - Énfasis3 12 15" xfId="1505" xr:uid="{00000000-0005-0000-0000-00009E050000}"/>
    <cellStyle name="20% - Énfasis3 12 16" xfId="1506" xr:uid="{00000000-0005-0000-0000-00009F050000}"/>
    <cellStyle name="20% - Énfasis3 12 17" xfId="1507" xr:uid="{00000000-0005-0000-0000-0000A0050000}"/>
    <cellStyle name="20% - Énfasis3 12 18" xfId="1508" xr:uid="{00000000-0005-0000-0000-0000A1050000}"/>
    <cellStyle name="20% - Énfasis3 12 2" xfId="1509" xr:uid="{00000000-0005-0000-0000-0000A2050000}"/>
    <cellStyle name="20% - Énfasis3 12 3" xfId="1510" xr:uid="{00000000-0005-0000-0000-0000A3050000}"/>
    <cellStyle name="20% - Énfasis3 12 4" xfId="1511" xr:uid="{00000000-0005-0000-0000-0000A4050000}"/>
    <cellStyle name="20% - Énfasis3 12 5" xfId="1512" xr:uid="{00000000-0005-0000-0000-0000A5050000}"/>
    <cellStyle name="20% - Énfasis3 12 6" xfId="1513" xr:uid="{00000000-0005-0000-0000-0000A6050000}"/>
    <cellStyle name="20% - Énfasis3 12 7" xfId="1514" xr:uid="{00000000-0005-0000-0000-0000A7050000}"/>
    <cellStyle name="20% - Énfasis3 12 8" xfId="1515" xr:uid="{00000000-0005-0000-0000-0000A8050000}"/>
    <cellStyle name="20% - Énfasis3 12 9" xfId="1516" xr:uid="{00000000-0005-0000-0000-0000A9050000}"/>
    <cellStyle name="20% - Énfasis3 13 10" xfId="1517" xr:uid="{00000000-0005-0000-0000-0000AA050000}"/>
    <cellStyle name="20% - Énfasis3 13 11" xfId="1518" xr:uid="{00000000-0005-0000-0000-0000AB050000}"/>
    <cellStyle name="20% - Énfasis3 13 12" xfId="1519" xr:uid="{00000000-0005-0000-0000-0000AC050000}"/>
    <cellStyle name="20% - Énfasis3 13 13" xfId="1520" xr:uid="{00000000-0005-0000-0000-0000AD050000}"/>
    <cellStyle name="20% - Énfasis3 13 14" xfId="1521" xr:uid="{00000000-0005-0000-0000-0000AE050000}"/>
    <cellStyle name="20% - Énfasis3 13 15" xfId="1522" xr:uid="{00000000-0005-0000-0000-0000AF050000}"/>
    <cellStyle name="20% - Énfasis3 13 16" xfId="1523" xr:uid="{00000000-0005-0000-0000-0000B0050000}"/>
    <cellStyle name="20% - Énfasis3 13 17" xfId="1524" xr:uid="{00000000-0005-0000-0000-0000B1050000}"/>
    <cellStyle name="20% - Énfasis3 13 18" xfId="1525" xr:uid="{00000000-0005-0000-0000-0000B2050000}"/>
    <cellStyle name="20% - Énfasis3 13 2" xfId="1526" xr:uid="{00000000-0005-0000-0000-0000B3050000}"/>
    <cellStyle name="20% - Énfasis3 13 3" xfId="1527" xr:uid="{00000000-0005-0000-0000-0000B4050000}"/>
    <cellStyle name="20% - Énfasis3 13 4" xfId="1528" xr:uid="{00000000-0005-0000-0000-0000B5050000}"/>
    <cellStyle name="20% - Énfasis3 13 5" xfId="1529" xr:uid="{00000000-0005-0000-0000-0000B6050000}"/>
    <cellStyle name="20% - Énfasis3 13 6" xfId="1530" xr:uid="{00000000-0005-0000-0000-0000B7050000}"/>
    <cellStyle name="20% - Énfasis3 13 7" xfId="1531" xr:uid="{00000000-0005-0000-0000-0000B8050000}"/>
    <cellStyle name="20% - Énfasis3 13 8" xfId="1532" xr:uid="{00000000-0005-0000-0000-0000B9050000}"/>
    <cellStyle name="20% - Énfasis3 13 9" xfId="1533" xr:uid="{00000000-0005-0000-0000-0000BA050000}"/>
    <cellStyle name="20% - Énfasis3 14 10" xfId="1534" xr:uid="{00000000-0005-0000-0000-0000BB050000}"/>
    <cellStyle name="20% - Énfasis3 14 11" xfId="1535" xr:uid="{00000000-0005-0000-0000-0000BC050000}"/>
    <cellStyle name="20% - Énfasis3 14 12" xfId="1536" xr:uid="{00000000-0005-0000-0000-0000BD050000}"/>
    <cellStyle name="20% - Énfasis3 14 13" xfId="1537" xr:uid="{00000000-0005-0000-0000-0000BE050000}"/>
    <cellStyle name="20% - Énfasis3 14 14" xfId="1538" xr:uid="{00000000-0005-0000-0000-0000BF050000}"/>
    <cellStyle name="20% - Énfasis3 14 15" xfId="1539" xr:uid="{00000000-0005-0000-0000-0000C0050000}"/>
    <cellStyle name="20% - Énfasis3 14 16" xfId="1540" xr:uid="{00000000-0005-0000-0000-0000C1050000}"/>
    <cellStyle name="20% - Énfasis3 14 17" xfId="1541" xr:uid="{00000000-0005-0000-0000-0000C2050000}"/>
    <cellStyle name="20% - Énfasis3 14 18" xfId="1542" xr:uid="{00000000-0005-0000-0000-0000C3050000}"/>
    <cellStyle name="20% - Énfasis3 14 2" xfId="1543" xr:uid="{00000000-0005-0000-0000-0000C4050000}"/>
    <cellStyle name="20% - Énfasis3 14 3" xfId="1544" xr:uid="{00000000-0005-0000-0000-0000C5050000}"/>
    <cellStyle name="20% - Énfasis3 14 4" xfId="1545" xr:uid="{00000000-0005-0000-0000-0000C6050000}"/>
    <cellStyle name="20% - Énfasis3 14 5" xfId="1546" xr:uid="{00000000-0005-0000-0000-0000C7050000}"/>
    <cellStyle name="20% - Énfasis3 14 6" xfId="1547" xr:uid="{00000000-0005-0000-0000-0000C8050000}"/>
    <cellStyle name="20% - Énfasis3 14 7" xfId="1548" xr:uid="{00000000-0005-0000-0000-0000C9050000}"/>
    <cellStyle name="20% - Énfasis3 14 8" xfId="1549" xr:uid="{00000000-0005-0000-0000-0000CA050000}"/>
    <cellStyle name="20% - Énfasis3 14 9" xfId="1550" xr:uid="{00000000-0005-0000-0000-0000CB050000}"/>
    <cellStyle name="20% - Énfasis3 15 10" xfId="1551" xr:uid="{00000000-0005-0000-0000-0000CC050000}"/>
    <cellStyle name="20% - Énfasis3 15 11" xfId="1552" xr:uid="{00000000-0005-0000-0000-0000CD050000}"/>
    <cellStyle name="20% - Énfasis3 15 12" xfId="1553" xr:uid="{00000000-0005-0000-0000-0000CE050000}"/>
    <cellStyle name="20% - Énfasis3 15 13" xfId="1554" xr:uid="{00000000-0005-0000-0000-0000CF050000}"/>
    <cellStyle name="20% - Énfasis3 15 14" xfId="1555" xr:uid="{00000000-0005-0000-0000-0000D0050000}"/>
    <cellStyle name="20% - Énfasis3 15 15" xfId="1556" xr:uid="{00000000-0005-0000-0000-0000D1050000}"/>
    <cellStyle name="20% - Énfasis3 15 16" xfId="1557" xr:uid="{00000000-0005-0000-0000-0000D2050000}"/>
    <cellStyle name="20% - Énfasis3 15 17" xfId="1558" xr:uid="{00000000-0005-0000-0000-0000D3050000}"/>
    <cellStyle name="20% - Énfasis3 15 18" xfId="1559" xr:uid="{00000000-0005-0000-0000-0000D4050000}"/>
    <cellStyle name="20% - Énfasis3 15 2" xfId="1560" xr:uid="{00000000-0005-0000-0000-0000D5050000}"/>
    <cellStyle name="20% - Énfasis3 15 3" xfId="1561" xr:uid="{00000000-0005-0000-0000-0000D6050000}"/>
    <cellStyle name="20% - Énfasis3 15 4" xfId="1562" xr:uid="{00000000-0005-0000-0000-0000D7050000}"/>
    <cellStyle name="20% - Énfasis3 15 5" xfId="1563" xr:uid="{00000000-0005-0000-0000-0000D8050000}"/>
    <cellStyle name="20% - Énfasis3 15 6" xfId="1564" xr:uid="{00000000-0005-0000-0000-0000D9050000}"/>
    <cellStyle name="20% - Énfasis3 15 7" xfId="1565" xr:uid="{00000000-0005-0000-0000-0000DA050000}"/>
    <cellStyle name="20% - Énfasis3 15 8" xfId="1566" xr:uid="{00000000-0005-0000-0000-0000DB050000}"/>
    <cellStyle name="20% - Énfasis3 15 9" xfId="1567" xr:uid="{00000000-0005-0000-0000-0000DC050000}"/>
    <cellStyle name="20% - Énfasis3 16 10" xfId="1568" xr:uid="{00000000-0005-0000-0000-0000DD050000}"/>
    <cellStyle name="20% - Énfasis3 16 11" xfId="1569" xr:uid="{00000000-0005-0000-0000-0000DE050000}"/>
    <cellStyle name="20% - Énfasis3 16 12" xfId="1570" xr:uid="{00000000-0005-0000-0000-0000DF050000}"/>
    <cellStyle name="20% - Énfasis3 16 13" xfId="1571" xr:uid="{00000000-0005-0000-0000-0000E0050000}"/>
    <cellStyle name="20% - Énfasis3 16 14" xfId="1572" xr:uid="{00000000-0005-0000-0000-0000E1050000}"/>
    <cellStyle name="20% - Énfasis3 16 15" xfId="1573" xr:uid="{00000000-0005-0000-0000-0000E2050000}"/>
    <cellStyle name="20% - Énfasis3 16 16" xfId="1574" xr:uid="{00000000-0005-0000-0000-0000E3050000}"/>
    <cellStyle name="20% - Énfasis3 16 17" xfId="1575" xr:uid="{00000000-0005-0000-0000-0000E4050000}"/>
    <cellStyle name="20% - Énfasis3 16 18" xfId="1576" xr:uid="{00000000-0005-0000-0000-0000E5050000}"/>
    <cellStyle name="20% - Énfasis3 16 2" xfId="1577" xr:uid="{00000000-0005-0000-0000-0000E6050000}"/>
    <cellStyle name="20% - Énfasis3 16 3" xfId="1578" xr:uid="{00000000-0005-0000-0000-0000E7050000}"/>
    <cellStyle name="20% - Énfasis3 16 4" xfId="1579" xr:uid="{00000000-0005-0000-0000-0000E8050000}"/>
    <cellStyle name="20% - Énfasis3 16 5" xfId="1580" xr:uid="{00000000-0005-0000-0000-0000E9050000}"/>
    <cellStyle name="20% - Énfasis3 16 6" xfId="1581" xr:uid="{00000000-0005-0000-0000-0000EA050000}"/>
    <cellStyle name="20% - Énfasis3 16 7" xfId="1582" xr:uid="{00000000-0005-0000-0000-0000EB050000}"/>
    <cellStyle name="20% - Énfasis3 16 8" xfId="1583" xr:uid="{00000000-0005-0000-0000-0000EC050000}"/>
    <cellStyle name="20% - Énfasis3 16 9" xfId="1584" xr:uid="{00000000-0005-0000-0000-0000ED050000}"/>
    <cellStyle name="20% - Énfasis3 17 10" xfId="1585" xr:uid="{00000000-0005-0000-0000-0000EE050000}"/>
    <cellStyle name="20% - Énfasis3 17 11" xfId="1586" xr:uid="{00000000-0005-0000-0000-0000EF050000}"/>
    <cellStyle name="20% - Énfasis3 17 12" xfId="1587" xr:uid="{00000000-0005-0000-0000-0000F0050000}"/>
    <cellStyle name="20% - Énfasis3 17 13" xfId="1588" xr:uid="{00000000-0005-0000-0000-0000F1050000}"/>
    <cellStyle name="20% - Énfasis3 17 14" xfId="1589" xr:uid="{00000000-0005-0000-0000-0000F2050000}"/>
    <cellStyle name="20% - Énfasis3 17 15" xfId="1590" xr:uid="{00000000-0005-0000-0000-0000F3050000}"/>
    <cellStyle name="20% - Énfasis3 17 16" xfId="1591" xr:uid="{00000000-0005-0000-0000-0000F4050000}"/>
    <cellStyle name="20% - Énfasis3 17 17" xfId="1592" xr:uid="{00000000-0005-0000-0000-0000F5050000}"/>
    <cellStyle name="20% - Énfasis3 17 18" xfId="1593" xr:uid="{00000000-0005-0000-0000-0000F6050000}"/>
    <cellStyle name="20% - Énfasis3 17 2" xfId="1594" xr:uid="{00000000-0005-0000-0000-0000F7050000}"/>
    <cellStyle name="20% - Énfasis3 17 3" xfId="1595" xr:uid="{00000000-0005-0000-0000-0000F8050000}"/>
    <cellStyle name="20% - Énfasis3 17 4" xfId="1596" xr:uid="{00000000-0005-0000-0000-0000F9050000}"/>
    <cellStyle name="20% - Énfasis3 17 5" xfId="1597" xr:uid="{00000000-0005-0000-0000-0000FA050000}"/>
    <cellStyle name="20% - Énfasis3 17 6" xfId="1598" xr:uid="{00000000-0005-0000-0000-0000FB050000}"/>
    <cellStyle name="20% - Énfasis3 17 7" xfId="1599" xr:uid="{00000000-0005-0000-0000-0000FC050000}"/>
    <cellStyle name="20% - Énfasis3 17 8" xfId="1600" xr:uid="{00000000-0005-0000-0000-0000FD050000}"/>
    <cellStyle name="20% - Énfasis3 17 9" xfId="1601" xr:uid="{00000000-0005-0000-0000-0000FE050000}"/>
    <cellStyle name="20% - Énfasis3 18 10" xfId="1602" xr:uid="{00000000-0005-0000-0000-0000FF050000}"/>
    <cellStyle name="20% - Énfasis3 18 11" xfId="1603" xr:uid="{00000000-0005-0000-0000-000000060000}"/>
    <cellStyle name="20% - Énfasis3 18 12" xfId="1604" xr:uid="{00000000-0005-0000-0000-000001060000}"/>
    <cellStyle name="20% - Énfasis3 18 13" xfId="1605" xr:uid="{00000000-0005-0000-0000-000002060000}"/>
    <cellStyle name="20% - Énfasis3 18 14" xfId="1606" xr:uid="{00000000-0005-0000-0000-000003060000}"/>
    <cellStyle name="20% - Énfasis3 18 15" xfId="1607" xr:uid="{00000000-0005-0000-0000-000004060000}"/>
    <cellStyle name="20% - Énfasis3 18 16" xfId="1608" xr:uid="{00000000-0005-0000-0000-000005060000}"/>
    <cellStyle name="20% - Énfasis3 18 17" xfId="1609" xr:uid="{00000000-0005-0000-0000-000006060000}"/>
    <cellStyle name="20% - Énfasis3 18 18" xfId="1610" xr:uid="{00000000-0005-0000-0000-000007060000}"/>
    <cellStyle name="20% - Énfasis3 18 2" xfId="1611" xr:uid="{00000000-0005-0000-0000-000008060000}"/>
    <cellStyle name="20% - Énfasis3 18 3" xfId="1612" xr:uid="{00000000-0005-0000-0000-000009060000}"/>
    <cellStyle name="20% - Énfasis3 18 4" xfId="1613" xr:uid="{00000000-0005-0000-0000-00000A060000}"/>
    <cellStyle name="20% - Énfasis3 18 5" xfId="1614" xr:uid="{00000000-0005-0000-0000-00000B060000}"/>
    <cellStyle name="20% - Énfasis3 18 6" xfId="1615" xr:uid="{00000000-0005-0000-0000-00000C060000}"/>
    <cellStyle name="20% - Énfasis3 18 7" xfId="1616" xr:uid="{00000000-0005-0000-0000-00000D060000}"/>
    <cellStyle name="20% - Énfasis3 18 8" xfId="1617" xr:uid="{00000000-0005-0000-0000-00000E060000}"/>
    <cellStyle name="20% - Énfasis3 18 9" xfId="1618" xr:uid="{00000000-0005-0000-0000-00000F060000}"/>
    <cellStyle name="20% - Énfasis3 19 10" xfId="1619" xr:uid="{00000000-0005-0000-0000-000010060000}"/>
    <cellStyle name="20% - Énfasis3 19 11" xfId="1620" xr:uid="{00000000-0005-0000-0000-000011060000}"/>
    <cellStyle name="20% - Énfasis3 19 12" xfId="1621" xr:uid="{00000000-0005-0000-0000-000012060000}"/>
    <cellStyle name="20% - Énfasis3 19 13" xfId="1622" xr:uid="{00000000-0005-0000-0000-000013060000}"/>
    <cellStyle name="20% - Énfasis3 19 14" xfId="1623" xr:uid="{00000000-0005-0000-0000-000014060000}"/>
    <cellStyle name="20% - Énfasis3 19 15" xfId="1624" xr:uid="{00000000-0005-0000-0000-000015060000}"/>
    <cellStyle name="20% - Énfasis3 19 16" xfId="1625" xr:uid="{00000000-0005-0000-0000-000016060000}"/>
    <cellStyle name="20% - Énfasis3 19 17" xfId="1626" xr:uid="{00000000-0005-0000-0000-000017060000}"/>
    <cellStyle name="20% - Énfasis3 19 18" xfId="1627" xr:uid="{00000000-0005-0000-0000-000018060000}"/>
    <cellStyle name="20% - Énfasis3 19 2" xfId="1628" xr:uid="{00000000-0005-0000-0000-000019060000}"/>
    <cellStyle name="20% - Énfasis3 19 3" xfId="1629" xr:uid="{00000000-0005-0000-0000-00001A060000}"/>
    <cellStyle name="20% - Énfasis3 19 4" xfId="1630" xr:uid="{00000000-0005-0000-0000-00001B060000}"/>
    <cellStyle name="20% - Énfasis3 19 5" xfId="1631" xr:uid="{00000000-0005-0000-0000-00001C060000}"/>
    <cellStyle name="20% - Énfasis3 19 6" xfId="1632" xr:uid="{00000000-0005-0000-0000-00001D060000}"/>
    <cellStyle name="20% - Énfasis3 19 7" xfId="1633" xr:uid="{00000000-0005-0000-0000-00001E060000}"/>
    <cellStyle name="20% - Énfasis3 19 8" xfId="1634" xr:uid="{00000000-0005-0000-0000-00001F060000}"/>
    <cellStyle name="20% - Énfasis3 19 9" xfId="1635" xr:uid="{00000000-0005-0000-0000-000020060000}"/>
    <cellStyle name="20% - Énfasis3 2 10" xfId="1636" xr:uid="{00000000-0005-0000-0000-000021060000}"/>
    <cellStyle name="20% - Énfasis3 2 11" xfId="1637" xr:uid="{00000000-0005-0000-0000-000022060000}"/>
    <cellStyle name="20% - Énfasis3 2 12" xfId="1638" xr:uid="{00000000-0005-0000-0000-000023060000}"/>
    <cellStyle name="20% - Énfasis3 2 13" xfId="1639" xr:uid="{00000000-0005-0000-0000-000024060000}"/>
    <cellStyle name="20% - Énfasis3 2 14" xfId="1640" xr:uid="{00000000-0005-0000-0000-000025060000}"/>
    <cellStyle name="20% - Énfasis3 2 15" xfId="1641" xr:uid="{00000000-0005-0000-0000-000026060000}"/>
    <cellStyle name="20% - Énfasis3 2 16" xfId="1642" xr:uid="{00000000-0005-0000-0000-000027060000}"/>
    <cellStyle name="20% - Énfasis3 2 17" xfId="1643" xr:uid="{00000000-0005-0000-0000-000028060000}"/>
    <cellStyle name="20% - Énfasis3 2 18" xfId="1644" xr:uid="{00000000-0005-0000-0000-000029060000}"/>
    <cellStyle name="20% - Énfasis3 2 2" xfId="1645" xr:uid="{00000000-0005-0000-0000-00002A060000}"/>
    <cellStyle name="20% - Énfasis3 2 3" xfId="1646" xr:uid="{00000000-0005-0000-0000-00002B060000}"/>
    <cellStyle name="20% - Énfasis3 2 4" xfId="1647" xr:uid="{00000000-0005-0000-0000-00002C060000}"/>
    <cellStyle name="20% - Énfasis3 2 5" xfId="1648" xr:uid="{00000000-0005-0000-0000-00002D060000}"/>
    <cellStyle name="20% - Énfasis3 2 6" xfId="1649" xr:uid="{00000000-0005-0000-0000-00002E060000}"/>
    <cellStyle name="20% - Énfasis3 2 7" xfId="1650" xr:uid="{00000000-0005-0000-0000-00002F060000}"/>
    <cellStyle name="20% - Énfasis3 2 8" xfId="1651" xr:uid="{00000000-0005-0000-0000-000030060000}"/>
    <cellStyle name="20% - Énfasis3 2 9" xfId="1652" xr:uid="{00000000-0005-0000-0000-000031060000}"/>
    <cellStyle name="20% - Énfasis3 20 10" xfId="1653" xr:uid="{00000000-0005-0000-0000-000032060000}"/>
    <cellStyle name="20% - Énfasis3 20 11" xfId="1654" xr:uid="{00000000-0005-0000-0000-000033060000}"/>
    <cellStyle name="20% - Énfasis3 20 12" xfId="1655" xr:uid="{00000000-0005-0000-0000-000034060000}"/>
    <cellStyle name="20% - Énfasis3 20 13" xfId="1656" xr:uid="{00000000-0005-0000-0000-000035060000}"/>
    <cellStyle name="20% - Énfasis3 20 14" xfId="1657" xr:uid="{00000000-0005-0000-0000-000036060000}"/>
    <cellStyle name="20% - Énfasis3 20 15" xfId="1658" xr:uid="{00000000-0005-0000-0000-000037060000}"/>
    <cellStyle name="20% - Énfasis3 20 16" xfId="1659" xr:uid="{00000000-0005-0000-0000-000038060000}"/>
    <cellStyle name="20% - Énfasis3 20 17" xfId="1660" xr:uid="{00000000-0005-0000-0000-000039060000}"/>
    <cellStyle name="20% - Énfasis3 20 18" xfId="1661" xr:uid="{00000000-0005-0000-0000-00003A060000}"/>
    <cellStyle name="20% - Énfasis3 20 2" xfId="1662" xr:uid="{00000000-0005-0000-0000-00003B060000}"/>
    <cellStyle name="20% - Énfasis3 20 3" xfId="1663" xr:uid="{00000000-0005-0000-0000-00003C060000}"/>
    <cellStyle name="20% - Énfasis3 20 4" xfId="1664" xr:uid="{00000000-0005-0000-0000-00003D060000}"/>
    <cellStyle name="20% - Énfasis3 20 5" xfId="1665" xr:uid="{00000000-0005-0000-0000-00003E060000}"/>
    <cellStyle name="20% - Énfasis3 20 6" xfId="1666" xr:uid="{00000000-0005-0000-0000-00003F060000}"/>
    <cellStyle name="20% - Énfasis3 20 7" xfId="1667" xr:uid="{00000000-0005-0000-0000-000040060000}"/>
    <cellStyle name="20% - Énfasis3 20 8" xfId="1668" xr:uid="{00000000-0005-0000-0000-000041060000}"/>
    <cellStyle name="20% - Énfasis3 20 9" xfId="1669" xr:uid="{00000000-0005-0000-0000-000042060000}"/>
    <cellStyle name="20% - Énfasis3 21 10" xfId="1670" xr:uid="{00000000-0005-0000-0000-000043060000}"/>
    <cellStyle name="20% - Énfasis3 21 11" xfId="1671" xr:uid="{00000000-0005-0000-0000-000044060000}"/>
    <cellStyle name="20% - Énfasis3 21 12" xfId="1672" xr:uid="{00000000-0005-0000-0000-000045060000}"/>
    <cellStyle name="20% - Énfasis3 21 13" xfId="1673" xr:uid="{00000000-0005-0000-0000-000046060000}"/>
    <cellStyle name="20% - Énfasis3 21 14" xfId="1674" xr:uid="{00000000-0005-0000-0000-000047060000}"/>
    <cellStyle name="20% - Énfasis3 21 15" xfId="1675" xr:uid="{00000000-0005-0000-0000-000048060000}"/>
    <cellStyle name="20% - Énfasis3 21 16" xfId="1676" xr:uid="{00000000-0005-0000-0000-000049060000}"/>
    <cellStyle name="20% - Énfasis3 21 17" xfId="1677" xr:uid="{00000000-0005-0000-0000-00004A060000}"/>
    <cellStyle name="20% - Énfasis3 21 18" xfId="1678" xr:uid="{00000000-0005-0000-0000-00004B060000}"/>
    <cellStyle name="20% - Énfasis3 21 2" xfId="1679" xr:uid="{00000000-0005-0000-0000-00004C060000}"/>
    <cellStyle name="20% - Énfasis3 21 3" xfId="1680" xr:uid="{00000000-0005-0000-0000-00004D060000}"/>
    <cellStyle name="20% - Énfasis3 21 4" xfId="1681" xr:uid="{00000000-0005-0000-0000-00004E060000}"/>
    <cellStyle name="20% - Énfasis3 21 5" xfId="1682" xr:uid="{00000000-0005-0000-0000-00004F060000}"/>
    <cellStyle name="20% - Énfasis3 21 6" xfId="1683" xr:uid="{00000000-0005-0000-0000-000050060000}"/>
    <cellStyle name="20% - Énfasis3 21 7" xfId="1684" xr:uid="{00000000-0005-0000-0000-000051060000}"/>
    <cellStyle name="20% - Énfasis3 21 8" xfId="1685" xr:uid="{00000000-0005-0000-0000-000052060000}"/>
    <cellStyle name="20% - Énfasis3 21 9" xfId="1686" xr:uid="{00000000-0005-0000-0000-000053060000}"/>
    <cellStyle name="20% - Énfasis3 22 10" xfId="1687" xr:uid="{00000000-0005-0000-0000-000054060000}"/>
    <cellStyle name="20% - Énfasis3 22 11" xfId="1688" xr:uid="{00000000-0005-0000-0000-000055060000}"/>
    <cellStyle name="20% - Énfasis3 22 12" xfId="1689" xr:uid="{00000000-0005-0000-0000-000056060000}"/>
    <cellStyle name="20% - Énfasis3 22 13" xfId="1690" xr:uid="{00000000-0005-0000-0000-000057060000}"/>
    <cellStyle name="20% - Énfasis3 22 14" xfId="1691" xr:uid="{00000000-0005-0000-0000-000058060000}"/>
    <cellStyle name="20% - Énfasis3 22 15" xfId="1692" xr:uid="{00000000-0005-0000-0000-000059060000}"/>
    <cellStyle name="20% - Énfasis3 22 16" xfId="1693" xr:uid="{00000000-0005-0000-0000-00005A060000}"/>
    <cellStyle name="20% - Énfasis3 22 17" xfId="1694" xr:uid="{00000000-0005-0000-0000-00005B060000}"/>
    <cellStyle name="20% - Énfasis3 22 18" xfId="1695" xr:uid="{00000000-0005-0000-0000-00005C060000}"/>
    <cellStyle name="20% - Énfasis3 22 2" xfId="1696" xr:uid="{00000000-0005-0000-0000-00005D060000}"/>
    <cellStyle name="20% - Énfasis3 22 3" xfId="1697" xr:uid="{00000000-0005-0000-0000-00005E060000}"/>
    <cellStyle name="20% - Énfasis3 22 4" xfId="1698" xr:uid="{00000000-0005-0000-0000-00005F060000}"/>
    <cellStyle name="20% - Énfasis3 22 5" xfId="1699" xr:uid="{00000000-0005-0000-0000-000060060000}"/>
    <cellStyle name="20% - Énfasis3 22 6" xfId="1700" xr:uid="{00000000-0005-0000-0000-000061060000}"/>
    <cellStyle name="20% - Énfasis3 22 7" xfId="1701" xr:uid="{00000000-0005-0000-0000-000062060000}"/>
    <cellStyle name="20% - Énfasis3 22 8" xfId="1702" xr:uid="{00000000-0005-0000-0000-000063060000}"/>
    <cellStyle name="20% - Énfasis3 22 9" xfId="1703" xr:uid="{00000000-0005-0000-0000-000064060000}"/>
    <cellStyle name="20% - Énfasis3 23 10" xfId="1704" xr:uid="{00000000-0005-0000-0000-000065060000}"/>
    <cellStyle name="20% - Énfasis3 23 11" xfId="1705" xr:uid="{00000000-0005-0000-0000-000066060000}"/>
    <cellStyle name="20% - Énfasis3 23 12" xfId="1706" xr:uid="{00000000-0005-0000-0000-000067060000}"/>
    <cellStyle name="20% - Énfasis3 23 13" xfId="1707" xr:uid="{00000000-0005-0000-0000-000068060000}"/>
    <cellStyle name="20% - Énfasis3 23 14" xfId="1708" xr:uid="{00000000-0005-0000-0000-000069060000}"/>
    <cellStyle name="20% - Énfasis3 23 15" xfId="1709" xr:uid="{00000000-0005-0000-0000-00006A060000}"/>
    <cellStyle name="20% - Énfasis3 23 16" xfId="1710" xr:uid="{00000000-0005-0000-0000-00006B060000}"/>
    <cellStyle name="20% - Énfasis3 23 17" xfId="1711" xr:uid="{00000000-0005-0000-0000-00006C060000}"/>
    <cellStyle name="20% - Énfasis3 23 18" xfId="1712" xr:uid="{00000000-0005-0000-0000-00006D060000}"/>
    <cellStyle name="20% - Énfasis3 23 2" xfId="1713" xr:uid="{00000000-0005-0000-0000-00006E060000}"/>
    <cellStyle name="20% - Énfasis3 23 3" xfId="1714" xr:uid="{00000000-0005-0000-0000-00006F060000}"/>
    <cellStyle name="20% - Énfasis3 23 4" xfId="1715" xr:uid="{00000000-0005-0000-0000-000070060000}"/>
    <cellStyle name="20% - Énfasis3 23 5" xfId="1716" xr:uid="{00000000-0005-0000-0000-000071060000}"/>
    <cellStyle name="20% - Énfasis3 23 6" xfId="1717" xr:uid="{00000000-0005-0000-0000-000072060000}"/>
    <cellStyle name="20% - Énfasis3 23 7" xfId="1718" xr:uid="{00000000-0005-0000-0000-000073060000}"/>
    <cellStyle name="20% - Énfasis3 23 8" xfId="1719" xr:uid="{00000000-0005-0000-0000-000074060000}"/>
    <cellStyle name="20% - Énfasis3 23 9" xfId="1720" xr:uid="{00000000-0005-0000-0000-000075060000}"/>
    <cellStyle name="20% - Énfasis3 24 10" xfId="1721" xr:uid="{00000000-0005-0000-0000-000076060000}"/>
    <cellStyle name="20% - Énfasis3 24 11" xfId="1722" xr:uid="{00000000-0005-0000-0000-000077060000}"/>
    <cellStyle name="20% - Énfasis3 24 12" xfId="1723" xr:uid="{00000000-0005-0000-0000-000078060000}"/>
    <cellStyle name="20% - Énfasis3 24 13" xfId="1724" xr:uid="{00000000-0005-0000-0000-000079060000}"/>
    <cellStyle name="20% - Énfasis3 24 14" xfId="1725" xr:uid="{00000000-0005-0000-0000-00007A060000}"/>
    <cellStyle name="20% - Énfasis3 24 15" xfId="1726" xr:uid="{00000000-0005-0000-0000-00007B060000}"/>
    <cellStyle name="20% - Énfasis3 24 16" xfId="1727" xr:uid="{00000000-0005-0000-0000-00007C060000}"/>
    <cellStyle name="20% - Énfasis3 24 17" xfId="1728" xr:uid="{00000000-0005-0000-0000-00007D060000}"/>
    <cellStyle name="20% - Énfasis3 24 18" xfId="1729" xr:uid="{00000000-0005-0000-0000-00007E060000}"/>
    <cellStyle name="20% - Énfasis3 24 2" xfId="1730" xr:uid="{00000000-0005-0000-0000-00007F060000}"/>
    <cellStyle name="20% - Énfasis3 24 3" xfId="1731" xr:uid="{00000000-0005-0000-0000-000080060000}"/>
    <cellStyle name="20% - Énfasis3 24 4" xfId="1732" xr:uid="{00000000-0005-0000-0000-000081060000}"/>
    <cellStyle name="20% - Énfasis3 24 5" xfId="1733" xr:uid="{00000000-0005-0000-0000-000082060000}"/>
    <cellStyle name="20% - Énfasis3 24 6" xfId="1734" xr:uid="{00000000-0005-0000-0000-000083060000}"/>
    <cellStyle name="20% - Énfasis3 24 7" xfId="1735" xr:uid="{00000000-0005-0000-0000-000084060000}"/>
    <cellStyle name="20% - Énfasis3 24 8" xfId="1736" xr:uid="{00000000-0005-0000-0000-000085060000}"/>
    <cellStyle name="20% - Énfasis3 24 9" xfId="1737" xr:uid="{00000000-0005-0000-0000-000086060000}"/>
    <cellStyle name="20% - Énfasis3 25 10" xfId="1738" xr:uid="{00000000-0005-0000-0000-000087060000}"/>
    <cellStyle name="20% - Énfasis3 25 11" xfId="1739" xr:uid="{00000000-0005-0000-0000-000088060000}"/>
    <cellStyle name="20% - Énfasis3 25 12" xfId="1740" xr:uid="{00000000-0005-0000-0000-000089060000}"/>
    <cellStyle name="20% - Énfasis3 25 13" xfId="1741" xr:uid="{00000000-0005-0000-0000-00008A060000}"/>
    <cellStyle name="20% - Énfasis3 25 14" xfId="1742" xr:uid="{00000000-0005-0000-0000-00008B060000}"/>
    <cellStyle name="20% - Énfasis3 25 15" xfId="1743" xr:uid="{00000000-0005-0000-0000-00008C060000}"/>
    <cellStyle name="20% - Énfasis3 25 16" xfId="1744" xr:uid="{00000000-0005-0000-0000-00008D060000}"/>
    <cellStyle name="20% - Énfasis3 25 17" xfId="1745" xr:uid="{00000000-0005-0000-0000-00008E060000}"/>
    <cellStyle name="20% - Énfasis3 25 18" xfId="1746" xr:uid="{00000000-0005-0000-0000-00008F060000}"/>
    <cellStyle name="20% - Énfasis3 25 2" xfId="1747" xr:uid="{00000000-0005-0000-0000-000090060000}"/>
    <cellStyle name="20% - Énfasis3 25 3" xfId="1748" xr:uid="{00000000-0005-0000-0000-000091060000}"/>
    <cellStyle name="20% - Énfasis3 25 4" xfId="1749" xr:uid="{00000000-0005-0000-0000-000092060000}"/>
    <cellStyle name="20% - Énfasis3 25 5" xfId="1750" xr:uid="{00000000-0005-0000-0000-000093060000}"/>
    <cellStyle name="20% - Énfasis3 25 6" xfId="1751" xr:uid="{00000000-0005-0000-0000-000094060000}"/>
    <cellStyle name="20% - Énfasis3 25 7" xfId="1752" xr:uid="{00000000-0005-0000-0000-000095060000}"/>
    <cellStyle name="20% - Énfasis3 25 8" xfId="1753" xr:uid="{00000000-0005-0000-0000-000096060000}"/>
    <cellStyle name="20% - Énfasis3 25 9" xfId="1754" xr:uid="{00000000-0005-0000-0000-000097060000}"/>
    <cellStyle name="20% - Énfasis3 26 10" xfId="1755" xr:uid="{00000000-0005-0000-0000-000098060000}"/>
    <cellStyle name="20% - Énfasis3 26 11" xfId="1756" xr:uid="{00000000-0005-0000-0000-000099060000}"/>
    <cellStyle name="20% - Énfasis3 26 12" xfId="1757" xr:uid="{00000000-0005-0000-0000-00009A060000}"/>
    <cellStyle name="20% - Énfasis3 26 13" xfId="1758" xr:uid="{00000000-0005-0000-0000-00009B060000}"/>
    <cellStyle name="20% - Énfasis3 26 14" xfId="1759" xr:uid="{00000000-0005-0000-0000-00009C060000}"/>
    <cellStyle name="20% - Énfasis3 26 15" xfId="1760" xr:uid="{00000000-0005-0000-0000-00009D060000}"/>
    <cellStyle name="20% - Énfasis3 26 16" xfId="1761" xr:uid="{00000000-0005-0000-0000-00009E060000}"/>
    <cellStyle name="20% - Énfasis3 26 17" xfId="1762" xr:uid="{00000000-0005-0000-0000-00009F060000}"/>
    <cellStyle name="20% - Énfasis3 26 18" xfId="1763" xr:uid="{00000000-0005-0000-0000-0000A0060000}"/>
    <cellStyle name="20% - Énfasis3 26 2" xfId="1764" xr:uid="{00000000-0005-0000-0000-0000A1060000}"/>
    <cellStyle name="20% - Énfasis3 26 3" xfId="1765" xr:uid="{00000000-0005-0000-0000-0000A2060000}"/>
    <cellStyle name="20% - Énfasis3 26 4" xfId="1766" xr:uid="{00000000-0005-0000-0000-0000A3060000}"/>
    <cellStyle name="20% - Énfasis3 26 5" xfId="1767" xr:uid="{00000000-0005-0000-0000-0000A4060000}"/>
    <cellStyle name="20% - Énfasis3 26 6" xfId="1768" xr:uid="{00000000-0005-0000-0000-0000A5060000}"/>
    <cellStyle name="20% - Énfasis3 26 7" xfId="1769" xr:uid="{00000000-0005-0000-0000-0000A6060000}"/>
    <cellStyle name="20% - Énfasis3 26 8" xfId="1770" xr:uid="{00000000-0005-0000-0000-0000A7060000}"/>
    <cellStyle name="20% - Énfasis3 26 9" xfId="1771" xr:uid="{00000000-0005-0000-0000-0000A8060000}"/>
    <cellStyle name="20% - Énfasis3 27 10" xfId="1772" xr:uid="{00000000-0005-0000-0000-0000A9060000}"/>
    <cellStyle name="20% - Énfasis3 27 11" xfId="1773" xr:uid="{00000000-0005-0000-0000-0000AA060000}"/>
    <cellStyle name="20% - Énfasis3 27 12" xfId="1774" xr:uid="{00000000-0005-0000-0000-0000AB060000}"/>
    <cellStyle name="20% - Énfasis3 27 13" xfId="1775" xr:uid="{00000000-0005-0000-0000-0000AC060000}"/>
    <cellStyle name="20% - Énfasis3 27 14" xfId="1776" xr:uid="{00000000-0005-0000-0000-0000AD060000}"/>
    <cellStyle name="20% - Énfasis3 27 15" xfId="1777" xr:uid="{00000000-0005-0000-0000-0000AE060000}"/>
    <cellStyle name="20% - Énfasis3 27 16" xfId="1778" xr:uid="{00000000-0005-0000-0000-0000AF060000}"/>
    <cellStyle name="20% - Énfasis3 27 17" xfId="1779" xr:uid="{00000000-0005-0000-0000-0000B0060000}"/>
    <cellStyle name="20% - Énfasis3 27 18" xfId="1780" xr:uid="{00000000-0005-0000-0000-0000B1060000}"/>
    <cellStyle name="20% - Énfasis3 27 2" xfId="1781" xr:uid="{00000000-0005-0000-0000-0000B2060000}"/>
    <cellStyle name="20% - Énfasis3 27 3" xfId="1782" xr:uid="{00000000-0005-0000-0000-0000B3060000}"/>
    <cellStyle name="20% - Énfasis3 27 4" xfId="1783" xr:uid="{00000000-0005-0000-0000-0000B4060000}"/>
    <cellStyle name="20% - Énfasis3 27 5" xfId="1784" xr:uid="{00000000-0005-0000-0000-0000B5060000}"/>
    <cellStyle name="20% - Énfasis3 27 6" xfId="1785" xr:uid="{00000000-0005-0000-0000-0000B6060000}"/>
    <cellStyle name="20% - Énfasis3 27 7" xfId="1786" xr:uid="{00000000-0005-0000-0000-0000B7060000}"/>
    <cellStyle name="20% - Énfasis3 27 8" xfId="1787" xr:uid="{00000000-0005-0000-0000-0000B8060000}"/>
    <cellStyle name="20% - Énfasis3 27 9" xfId="1788" xr:uid="{00000000-0005-0000-0000-0000B9060000}"/>
    <cellStyle name="20% - Énfasis3 28 10" xfId="1789" xr:uid="{00000000-0005-0000-0000-0000BA060000}"/>
    <cellStyle name="20% - Énfasis3 28 11" xfId="1790" xr:uid="{00000000-0005-0000-0000-0000BB060000}"/>
    <cellStyle name="20% - Énfasis3 28 12" xfId="1791" xr:uid="{00000000-0005-0000-0000-0000BC060000}"/>
    <cellStyle name="20% - Énfasis3 28 13" xfId="1792" xr:uid="{00000000-0005-0000-0000-0000BD060000}"/>
    <cellStyle name="20% - Énfasis3 28 14" xfId="1793" xr:uid="{00000000-0005-0000-0000-0000BE060000}"/>
    <cellStyle name="20% - Énfasis3 28 15" xfId="1794" xr:uid="{00000000-0005-0000-0000-0000BF060000}"/>
    <cellStyle name="20% - Énfasis3 28 16" xfId="1795" xr:uid="{00000000-0005-0000-0000-0000C0060000}"/>
    <cellStyle name="20% - Énfasis3 28 17" xfId="1796" xr:uid="{00000000-0005-0000-0000-0000C1060000}"/>
    <cellStyle name="20% - Énfasis3 28 18" xfId="1797" xr:uid="{00000000-0005-0000-0000-0000C2060000}"/>
    <cellStyle name="20% - Énfasis3 28 2" xfId="1798" xr:uid="{00000000-0005-0000-0000-0000C3060000}"/>
    <cellStyle name="20% - Énfasis3 28 3" xfId="1799" xr:uid="{00000000-0005-0000-0000-0000C4060000}"/>
    <cellStyle name="20% - Énfasis3 28 4" xfId="1800" xr:uid="{00000000-0005-0000-0000-0000C5060000}"/>
    <cellStyle name="20% - Énfasis3 28 5" xfId="1801" xr:uid="{00000000-0005-0000-0000-0000C6060000}"/>
    <cellStyle name="20% - Énfasis3 28 6" xfId="1802" xr:uid="{00000000-0005-0000-0000-0000C7060000}"/>
    <cellStyle name="20% - Énfasis3 28 7" xfId="1803" xr:uid="{00000000-0005-0000-0000-0000C8060000}"/>
    <cellStyle name="20% - Énfasis3 28 8" xfId="1804" xr:uid="{00000000-0005-0000-0000-0000C9060000}"/>
    <cellStyle name="20% - Énfasis3 28 9" xfId="1805" xr:uid="{00000000-0005-0000-0000-0000CA060000}"/>
    <cellStyle name="20% - Énfasis3 29 10" xfId="1806" xr:uid="{00000000-0005-0000-0000-0000CB060000}"/>
    <cellStyle name="20% - Énfasis3 29 11" xfId="1807" xr:uid="{00000000-0005-0000-0000-0000CC060000}"/>
    <cellStyle name="20% - Énfasis3 29 12" xfId="1808" xr:uid="{00000000-0005-0000-0000-0000CD060000}"/>
    <cellStyle name="20% - Énfasis3 29 13" xfId="1809" xr:uid="{00000000-0005-0000-0000-0000CE060000}"/>
    <cellStyle name="20% - Énfasis3 29 14" xfId="1810" xr:uid="{00000000-0005-0000-0000-0000CF060000}"/>
    <cellStyle name="20% - Énfasis3 29 15" xfId="1811" xr:uid="{00000000-0005-0000-0000-0000D0060000}"/>
    <cellStyle name="20% - Énfasis3 29 16" xfId="1812" xr:uid="{00000000-0005-0000-0000-0000D1060000}"/>
    <cellStyle name="20% - Énfasis3 29 17" xfId="1813" xr:uid="{00000000-0005-0000-0000-0000D2060000}"/>
    <cellStyle name="20% - Énfasis3 29 18" xfId="1814" xr:uid="{00000000-0005-0000-0000-0000D3060000}"/>
    <cellStyle name="20% - Énfasis3 29 2" xfId="1815" xr:uid="{00000000-0005-0000-0000-0000D4060000}"/>
    <cellStyle name="20% - Énfasis3 29 3" xfId="1816" xr:uid="{00000000-0005-0000-0000-0000D5060000}"/>
    <cellStyle name="20% - Énfasis3 29 4" xfId="1817" xr:uid="{00000000-0005-0000-0000-0000D6060000}"/>
    <cellStyle name="20% - Énfasis3 29 5" xfId="1818" xr:uid="{00000000-0005-0000-0000-0000D7060000}"/>
    <cellStyle name="20% - Énfasis3 29 6" xfId="1819" xr:uid="{00000000-0005-0000-0000-0000D8060000}"/>
    <cellStyle name="20% - Énfasis3 29 7" xfId="1820" xr:uid="{00000000-0005-0000-0000-0000D9060000}"/>
    <cellStyle name="20% - Énfasis3 29 8" xfId="1821" xr:uid="{00000000-0005-0000-0000-0000DA060000}"/>
    <cellStyle name="20% - Énfasis3 29 9" xfId="1822" xr:uid="{00000000-0005-0000-0000-0000DB060000}"/>
    <cellStyle name="20% - Énfasis3 3 10" xfId="1823" xr:uid="{00000000-0005-0000-0000-0000DC060000}"/>
    <cellStyle name="20% - Énfasis3 3 11" xfId="1824" xr:uid="{00000000-0005-0000-0000-0000DD060000}"/>
    <cellStyle name="20% - Énfasis3 3 12" xfId="1825" xr:uid="{00000000-0005-0000-0000-0000DE060000}"/>
    <cellStyle name="20% - Énfasis3 3 13" xfId="1826" xr:uid="{00000000-0005-0000-0000-0000DF060000}"/>
    <cellStyle name="20% - Énfasis3 3 14" xfId="1827" xr:uid="{00000000-0005-0000-0000-0000E0060000}"/>
    <cellStyle name="20% - Énfasis3 3 15" xfId="1828" xr:uid="{00000000-0005-0000-0000-0000E1060000}"/>
    <cellStyle name="20% - Énfasis3 3 16" xfId="1829" xr:uid="{00000000-0005-0000-0000-0000E2060000}"/>
    <cellStyle name="20% - Énfasis3 3 17" xfId="1830" xr:uid="{00000000-0005-0000-0000-0000E3060000}"/>
    <cellStyle name="20% - Énfasis3 3 18" xfId="1831" xr:uid="{00000000-0005-0000-0000-0000E4060000}"/>
    <cellStyle name="20% - Énfasis3 3 2" xfId="1832" xr:uid="{00000000-0005-0000-0000-0000E5060000}"/>
    <cellStyle name="20% - Énfasis3 3 3" xfId="1833" xr:uid="{00000000-0005-0000-0000-0000E6060000}"/>
    <cellStyle name="20% - Énfasis3 3 4" xfId="1834" xr:uid="{00000000-0005-0000-0000-0000E7060000}"/>
    <cellStyle name="20% - Énfasis3 3 5" xfId="1835" xr:uid="{00000000-0005-0000-0000-0000E8060000}"/>
    <cellStyle name="20% - Énfasis3 3 6" xfId="1836" xr:uid="{00000000-0005-0000-0000-0000E9060000}"/>
    <cellStyle name="20% - Énfasis3 3 7" xfId="1837" xr:uid="{00000000-0005-0000-0000-0000EA060000}"/>
    <cellStyle name="20% - Énfasis3 3 8" xfId="1838" xr:uid="{00000000-0005-0000-0000-0000EB060000}"/>
    <cellStyle name="20% - Énfasis3 3 9" xfId="1839" xr:uid="{00000000-0005-0000-0000-0000EC060000}"/>
    <cellStyle name="20% - Énfasis3 30 10" xfId="1840" xr:uid="{00000000-0005-0000-0000-0000ED060000}"/>
    <cellStyle name="20% - Énfasis3 30 11" xfId="1841" xr:uid="{00000000-0005-0000-0000-0000EE060000}"/>
    <cellStyle name="20% - Énfasis3 30 12" xfId="1842" xr:uid="{00000000-0005-0000-0000-0000EF060000}"/>
    <cellStyle name="20% - Énfasis3 30 13" xfId="1843" xr:uid="{00000000-0005-0000-0000-0000F0060000}"/>
    <cellStyle name="20% - Énfasis3 30 14" xfId="1844" xr:uid="{00000000-0005-0000-0000-0000F1060000}"/>
    <cellStyle name="20% - Énfasis3 30 15" xfId="1845" xr:uid="{00000000-0005-0000-0000-0000F2060000}"/>
    <cellStyle name="20% - Énfasis3 30 16" xfId="1846" xr:uid="{00000000-0005-0000-0000-0000F3060000}"/>
    <cellStyle name="20% - Énfasis3 30 17" xfId="1847" xr:uid="{00000000-0005-0000-0000-0000F4060000}"/>
    <cellStyle name="20% - Énfasis3 30 18" xfId="1848" xr:uid="{00000000-0005-0000-0000-0000F5060000}"/>
    <cellStyle name="20% - Énfasis3 30 2" xfId="1849" xr:uid="{00000000-0005-0000-0000-0000F6060000}"/>
    <cellStyle name="20% - Énfasis3 30 3" xfId="1850" xr:uid="{00000000-0005-0000-0000-0000F7060000}"/>
    <cellStyle name="20% - Énfasis3 30 4" xfId="1851" xr:uid="{00000000-0005-0000-0000-0000F8060000}"/>
    <cellStyle name="20% - Énfasis3 30 5" xfId="1852" xr:uid="{00000000-0005-0000-0000-0000F9060000}"/>
    <cellStyle name="20% - Énfasis3 30 6" xfId="1853" xr:uid="{00000000-0005-0000-0000-0000FA060000}"/>
    <cellStyle name="20% - Énfasis3 30 7" xfId="1854" xr:uid="{00000000-0005-0000-0000-0000FB060000}"/>
    <cellStyle name="20% - Énfasis3 30 8" xfId="1855" xr:uid="{00000000-0005-0000-0000-0000FC060000}"/>
    <cellStyle name="20% - Énfasis3 30 9" xfId="1856" xr:uid="{00000000-0005-0000-0000-0000FD060000}"/>
    <cellStyle name="20% - Énfasis3 31 10" xfId="1857" xr:uid="{00000000-0005-0000-0000-0000FE060000}"/>
    <cellStyle name="20% - Énfasis3 31 11" xfId="1858" xr:uid="{00000000-0005-0000-0000-0000FF060000}"/>
    <cellStyle name="20% - Énfasis3 31 12" xfId="1859" xr:uid="{00000000-0005-0000-0000-000000070000}"/>
    <cellStyle name="20% - Énfasis3 31 13" xfId="1860" xr:uid="{00000000-0005-0000-0000-000001070000}"/>
    <cellStyle name="20% - Énfasis3 31 14" xfId="1861" xr:uid="{00000000-0005-0000-0000-000002070000}"/>
    <cellStyle name="20% - Énfasis3 31 15" xfId="1862" xr:uid="{00000000-0005-0000-0000-000003070000}"/>
    <cellStyle name="20% - Énfasis3 31 16" xfId="1863" xr:uid="{00000000-0005-0000-0000-000004070000}"/>
    <cellStyle name="20% - Énfasis3 31 17" xfId="1864" xr:uid="{00000000-0005-0000-0000-000005070000}"/>
    <cellStyle name="20% - Énfasis3 31 18" xfId="1865" xr:uid="{00000000-0005-0000-0000-000006070000}"/>
    <cellStyle name="20% - Énfasis3 31 2" xfId="1866" xr:uid="{00000000-0005-0000-0000-000007070000}"/>
    <cellStyle name="20% - Énfasis3 31 3" xfId="1867" xr:uid="{00000000-0005-0000-0000-000008070000}"/>
    <cellStyle name="20% - Énfasis3 31 4" xfId="1868" xr:uid="{00000000-0005-0000-0000-000009070000}"/>
    <cellStyle name="20% - Énfasis3 31 5" xfId="1869" xr:uid="{00000000-0005-0000-0000-00000A070000}"/>
    <cellStyle name="20% - Énfasis3 31 6" xfId="1870" xr:uid="{00000000-0005-0000-0000-00000B070000}"/>
    <cellStyle name="20% - Énfasis3 31 7" xfId="1871" xr:uid="{00000000-0005-0000-0000-00000C070000}"/>
    <cellStyle name="20% - Énfasis3 31 8" xfId="1872" xr:uid="{00000000-0005-0000-0000-00000D070000}"/>
    <cellStyle name="20% - Énfasis3 31 9" xfId="1873" xr:uid="{00000000-0005-0000-0000-00000E070000}"/>
    <cellStyle name="20% - Énfasis3 32 10" xfId="1874" xr:uid="{00000000-0005-0000-0000-00000F070000}"/>
    <cellStyle name="20% - Énfasis3 32 11" xfId="1875" xr:uid="{00000000-0005-0000-0000-000010070000}"/>
    <cellStyle name="20% - Énfasis3 32 12" xfId="1876" xr:uid="{00000000-0005-0000-0000-000011070000}"/>
    <cellStyle name="20% - Énfasis3 32 13" xfId="1877" xr:uid="{00000000-0005-0000-0000-000012070000}"/>
    <cellStyle name="20% - Énfasis3 32 14" xfId="1878" xr:uid="{00000000-0005-0000-0000-000013070000}"/>
    <cellStyle name="20% - Énfasis3 32 15" xfId="1879" xr:uid="{00000000-0005-0000-0000-000014070000}"/>
    <cellStyle name="20% - Énfasis3 32 16" xfId="1880" xr:uid="{00000000-0005-0000-0000-000015070000}"/>
    <cellStyle name="20% - Énfasis3 32 17" xfId="1881" xr:uid="{00000000-0005-0000-0000-000016070000}"/>
    <cellStyle name="20% - Énfasis3 32 18" xfId="1882" xr:uid="{00000000-0005-0000-0000-000017070000}"/>
    <cellStyle name="20% - Énfasis3 32 2" xfId="1883" xr:uid="{00000000-0005-0000-0000-000018070000}"/>
    <cellStyle name="20% - Énfasis3 32 3" xfId="1884" xr:uid="{00000000-0005-0000-0000-000019070000}"/>
    <cellStyle name="20% - Énfasis3 32 4" xfId="1885" xr:uid="{00000000-0005-0000-0000-00001A070000}"/>
    <cellStyle name="20% - Énfasis3 32 5" xfId="1886" xr:uid="{00000000-0005-0000-0000-00001B070000}"/>
    <cellStyle name="20% - Énfasis3 32 6" xfId="1887" xr:uid="{00000000-0005-0000-0000-00001C070000}"/>
    <cellStyle name="20% - Énfasis3 32 7" xfId="1888" xr:uid="{00000000-0005-0000-0000-00001D070000}"/>
    <cellStyle name="20% - Énfasis3 32 8" xfId="1889" xr:uid="{00000000-0005-0000-0000-00001E070000}"/>
    <cellStyle name="20% - Énfasis3 32 9" xfId="1890" xr:uid="{00000000-0005-0000-0000-00001F070000}"/>
    <cellStyle name="20% - Énfasis3 33 10" xfId="1891" xr:uid="{00000000-0005-0000-0000-000020070000}"/>
    <cellStyle name="20% - Énfasis3 33 11" xfId="1892" xr:uid="{00000000-0005-0000-0000-000021070000}"/>
    <cellStyle name="20% - Énfasis3 33 12" xfId="1893" xr:uid="{00000000-0005-0000-0000-000022070000}"/>
    <cellStyle name="20% - Énfasis3 33 13" xfId="1894" xr:uid="{00000000-0005-0000-0000-000023070000}"/>
    <cellStyle name="20% - Énfasis3 33 14" xfId="1895" xr:uid="{00000000-0005-0000-0000-000024070000}"/>
    <cellStyle name="20% - Énfasis3 33 15" xfId="1896" xr:uid="{00000000-0005-0000-0000-000025070000}"/>
    <cellStyle name="20% - Énfasis3 33 16" xfId="1897" xr:uid="{00000000-0005-0000-0000-000026070000}"/>
    <cellStyle name="20% - Énfasis3 33 17" xfId="1898" xr:uid="{00000000-0005-0000-0000-000027070000}"/>
    <cellStyle name="20% - Énfasis3 33 18" xfId="1899" xr:uid="{00000000-0005-0000-0000-000028070000}"/>
    <cellStyle name="20% - Énfasis3 33 2" xfId="1900" xr:uid="{00000000-0005-0000-0000-000029070000}"/>
    <cellStyle name="20% - Énfasis3 33 3" xfId="1901" xr:uid="{00000000-0005-0000-0000-00002A070000}"/>
    <cellStyle name="20% - Énfasis3 33 4" xfId="1902" xr:uid="{00000000-0005-0000-0000-00002B070000}"/>
    <cellStyle name="20% - Énfasis3 33 5" xfId="1903" xr:uid="{00000000-0005-0000-0000-00002C070000}"/>
    <cellStyle name="20% - Énfasis3 33 6" xfId="1904" xr:uid="{00000000-0005-0000-0000-00002D070000}"/>
    <cellStyle name="20% - Énfasis3 33 7" xfId="1905" xr:uid="{00000000-0005-0000-0000-00002E070000}"/>
    <cellStyle name="20% - Énfasis3 33 8" xfId="1906" xr:uid="{00000000-0005-0000-0000-00002F070000}"/>
    <cellStyle name="20% - Énfasis3 33 9" xfId="1907" xr:uid="{00000000-0005-0000-0000-000030070000}"/>
    <cellStyle name="20% - Énfasis3 34 10" xfId="1908" xr:uid="{00000000-0005-0000-0000-000031070000}"/>
    <cellStyle name="20% - Énfasis3 34 11" xfId="1909" xr:uid="{00000000-0005-0000-0000-000032070000}"/>
    <cellStyle name="20% - Énfasis3 34 12" xfId="1910" xr:uid="{00000000-0005-0000-0000-000033070000}"/>
    <cellStyle name="20% - Énfasis3 34 13" xfId="1911" xr:uid="{00000000-0005-0000-0000-000034070000}"/>
    <cellStyle name="20% - Énfasis3 34 14" xfId="1912" xr:uid="{00000000-0005-0000-0000-000035070000}"/>
    <cellStyle name="20% - Énfasis3 34 15" xfId="1913" xr:uid="{00000000-0005-0000-0000-000036070000}"/>
    <cellStyle name="20% - Énfasis3 34 16" xfId="1914" xr:uid="{00000000-0005-0000-0000-000037070000}"/>
    <cellStyle name="20% - Énfasis3 34 17" xfId="1915" xr:uid="{00000000-0005-0000-0000-000038070000}"/>
    <cellStyle name="20% - Énfasis3 34 18" xfId="1916" xr:uid="{00000000-0005-0000-0000-000039070000}"/>
    <cellStyle name="20% - Énfasis3 34 2" xfId="1917" xr:uid="{00000000-0005-0000-0000-00003A070000}"/>
    <cellStyle name="20% - Énfasis3 34 3" xfId="1918" xr:uid="{00000000-0005-0000-0000-00003B070000}"/>
    <cellStyle name="20% - Énfasis3 34 4" xfId="1919" xr:uid="{00000000-0005-0000-0000-00003C070000}"/>
    <cellStyle name="20% - Énfasis3 34 5" xfId="1920" xr:uid="{00000000-0005-0000-0000-00003D070000}"/>
    <cellStyle name="20% - Énfasis3 34 6" xfId="1921" xr:uid="{00000000-0005-0000-0000-00003E070000}"/>
    <cellStyle name="20% - Énfasis3 34 7" xfId="1922" xr:uid="{00000000-0005-0000-0000-00003F070000}"/>
    <cellStyle name="20% - Énfasis3 34 8" xfId="1923" xr:uid="{00000000-0005-0000-0000-000040070000}"/>
    <cellStyle name="20% - Énfasis3 34 9" xfId="1924" xr:uid="{00000000-0005-0000-0000-000041070000}"/>
    <cellStyle name="20% - Énfasis3 35 10" xfId="1925" xr:uid="{00000000-0005-0000-0000-000042070000}"/>
    <cellStyle name="20% - Énfasis3 35 11" xfId="1926" xr:uid="{00000000-0005-0000-0000-000043070000}"/>
    <cellStyle name="20% - Énfasis3 35 12" xfId="1927" xr:uid="{00000000-0005-0000-0000-000044070000}"/>
    <cellStyle name="20% - Énfasis3 35 13" xfId="1928" xr:uid="{00000000-0005-0000-0000-000045070000}"/>
    <cellStyle name="20% - Énfasis3 35 14" xfId="1929" xr:uid="{00000000-0005-0000-0000-000046070000}"/>
    <cellStyle name="20% - Énfasis3 35 15" xfId="1930" xr:uid="{00000000-0005-0000-0000-000047070000}"/>
    <cellStyle name="20% - Énfasis3 35 16" xfId="1931" xr:uid="{00000000-0005-0000-0000-000048070000}"/>
    <cellStyle name="20% - Énfasis3 35 17" xfId="1932" xr:uid="{00000000-0005-0000-0000-000049070000}"/>
    <cellStyle name="20% - Énfasis3 35 18" xfId="1933" xr:uid="{00000000-0005-0000-0000-00004A070000}"/>
    <cellStyle name="20% - Énfasis3 35 2" xfId="1934" xr:uid="{00000000-0005-0000-0000-00004B070000}"/>
    <cellStyle name="20% - Énfasis3 35 3" xfId="1935" xr:uid="{00000000-0005-0000-0000-00004C070000}"/>
    <cellStyle name="20% - Énfasis3 35 4" xfId="1936" xr:uid="{00000000-0005-0000-0000-00004D070000}"/>
    <cellStyle name="20% - Énfasis3 35 5" xfId="1937" xr:uid="{00000000-0005-0000-0000-00004E070000}"/>
    <cellStyle name="20% - Énfasis3 35 6" xfId="1938" xr:uid="{00000000-0005-0000-0000-00004F070000}"/>
    <cellStyle name="20% - Énfasis3 35 7" xfId="1939" xr:uid="{00000000-0005-0000-0000-000050070000}"/>
    <cellStyle name="20% - Énfasis3 35 8" xfId="1940" xr:uid="{00000000-0005-0000-0000-000051070000}"/>
    <cellStyle name="20% - Énfasis3 35 9" xfId="1941" xr:uid="{00000000-0005-0000-0000-000052070000}"/>
    <cellStyle name="20% - Énfasis3 36 10" xfId="1942" xr:uid="{00000000-0005-0000-0000-000053070000}"/>
    <cellStyle name="20% - Énfasis3 36 11" xfId="1943" xr:uid="{00000000-0005-0000-0000-000054070000}"/>
    <cellStyle name="20% - Énfasis3 36 12" xfId="1944" xr:uid="{00000000-0005-0000-0000-000055070000}"/>
    <cellStyle name="20% - Énfasis3 36 13" xfId="1945" xr:uid="{00000000-0005-0000-0000-000056070000}"/>
    <cellStyle name="20% - Énfasis3 36 14" xfId="1946" xr:uid="{00000000-0005-0000-0000-000057070000}"/>
    <cellStyle name="20% - Énfasis3 36 15" xfId="1947" xr:uid="{00000000-0005-0000-0000-000058070000}"/>
    <cellStyle name="20% - Énfasis3 36 16" xfId="1948" xr:uid="{00000000-0005-0000-0000-000059070000}"/>
    <cellStyle name="20% - Énfasis3 36 17" xfId="1949" xr:uid="{00000000-0005-0000-0000-00005A070000}"/>
    <cellStyle name="20% - Énfasis3 36 18" xfId="1950" xr:uid="{00000000-0005-0000-0000-00005B070000}"/>
    <cellStyle name="20% - Énfasis3 36 2" xfId="1951" xr:uid="{00000000-0005-0000-0000-00005C070000}"/>
    <cellStyle name="20% - Énfasis3 36 3" xfId="1952" xr:uid="{00000000-0005-0000-0000-00005D070000}"/>
    <cellStyle name="20% - Énfasis3 36 4" xfId="1953" xr:uid="{00000000-0005-0000-0000-00005E070000}"/>
    <cellStyle name="20% - Énfasis3 36 5" xfId="1954" xr:uid="{00000000-0005-0000-0000-00005F070000}"/>
    <cellStyle name="20% - Énfasis3 36 6" xfId="1955" xr:uid="{00000000-0005-0000-0000-000060070000}"/>
    <cellStyle name="20% - Énfasis3 36 7" xfId="1956" xr:uid="{00000000-0005-0000-0000-000061070000}"/>
    <cellStyle name="20% - Énfasis3 36 8" xfId="1957" xr:uid="{00000000-0005-0000-0000-000062070000}"/>
    <cellStyle name="20% - Énfasis3 36 9" xfId="1958" xr:uid="{00000000-0005-0000-0000-000063070000}"/>
    <cellStyle name="20% - Énfasis3 37 10" xfId="1959" xr:uid="{00000000-0005-0000-0000-000064070000}"/>
    <cellStyle name="20% - Énfasis3 37 11" xfId="1960" xr:uid="{00000000-0005-0000-0000-000065070000}"/>
    <cellStyle name="20% - Énfasis3 37 12" xfId="1961" xr:uid="{00000000-0005-0000-0000-000066070000}"/>
    <cellStyle name="20% - Énfasis3 37 13" xfId="1962" xr:uid="{00000000-0005-0000-0000-000067070000}"/>
    <cellStyle name="20% - Énfasis3 37 14" xfId="1963" xr:uid="{00000000-0005-0000-0000-000068070000}"/>
    <cellStyle name="20% - Énfasis3 37 15" xfId="1964" xr:uid="{00000000-0005-0000-0000-000069070000}"/>
    <cellStyle name="20% - Énfasis3 37 16" xfId="1965" xr:uid="{00000000-0005-0000-0000-00006A070000}"/>
    <cellStyle name="20% - Énfasis3 37 17" xfId="1966" xr:uid="{00000000-0005-0000-0000-00006B070000}"/>
    <cellStyle name="20% - Énfasis3 37 18" xfId="1967" xr:uid="{00000000-0005-0000-0000-00006C070000}"/>
    <cellStyle name="20% - Énfasis3 37 2" xfId="1968" xr:uid="{00000000-0005-0000-0000-00006D070000}"/>
    <cellStyle name="20% - Énfasis3 37 3" xfId="1969" xr:uid="{00000000-0005-0000-0000-00006E070000}"/>
    <cellStyle name="20% - Énfasis3 37 4" xfId="1970" xr:uid="{00000000-0005-0000-0000-00006F070000}"/>
    <cellStyle name="20% - Énfasis3 37 5" xfId="1971" xr:uid="{00000000-0005-0000-0000-000070070000}"/>
    <cellStyle name="20% - Énfasis3 37 6" xfId="1972" xr:uid="{00000000-0005-0000-0000-000071070000}"/>
    <cellStyle name="20% - Énfasis3 37 7" xfId="1973" xr:uid="{00000000-0005-0000-0000-000072070000}"/>
    <cellStyle name="20% - Énfasis3 37 8" xfId="1974" xr:uid="{00000000-0005-0000-0000-000073070000}"/>
    <cellStyle name="20% - Énfasis3 37 9" xfId="1975" xr:uid="{00000000-0005-0000-0000-000074070000}"/>
    <cellStyle name="20% - Énfasis3 38 10" xfId="1976" xr:uid="{00000000-0005-0000-0000-000075070000}"/>
    <cellStyle name="20% - Énfasis3 38 11" xfId="1977" xr:uid="{00000000-0005-0000-0000-000076070000}"/>
    <cellStyle name="20% - Énfasis3 38 12" xfId="1978" xr:uid="{00000000-0005-0000-0000-000077070000}"/>
    <cellStyle name="20% - Énfasis3 38 13" xfId="1979" xr:uid="{00000000-0005-0000-0000-000078070000}"/>
    <cellStyle name="20% - Énfasis3 38 14" xfId="1980" xr:uid="{00000000-0005-0000-0000-000079070000}"/>
    <cellStyle name="20% - Énfasis3 38 15" xfId="1981" xr:uid="{00000000-0005-0000-0000-00007A070000}"/>
    <cellStyle name="20% - Énfasis3 38 16" xfId="1982" xr:uid="{00000000-0005-0000-0000-00007B070000}"/>
    <cellStyle name="20% - Énfasis3 38 17" xfId="1983" xr:uid="{00000000-0005-0000-0000-00007C070000}"/>
    <cellStyle name="20% - Énfasis3 38 18" xfId="1984" xr:uid="{00000000-0005-0000-0000-00007D070000}"/>
    <cellStyle name="20% - Énfasis3 38 2" xfId="1985" xr:uid="{00000000-0005-0000-0000-00007E070000}"/>
    <cellStyle name="20% - Énfasis3 38 3" xfId="1986" xr:uid="{00000000-0005-0000-0000-00007F070000}"/>
    <cellStyle name="20% - Énfasis3 38 4" xfId="1987" xr:uid="{00000000-0005-0000-0000-000080070000}"/>
    <cellStyle name="20% - Énfasis3 38 5" xfId="1988" xr:uid="{00000000-0005-0000-0000-000081070000}"/>
    <cellStyle name="20% - Énfasis3 38 6" xfId="1989" xr:uid="{00000000-0005-0000-0000-000082070000}"/>
    <cellStyle name="20% - Énfasis3 38 7" xfId="1990" xr:uid="{00000000-0005-0000-0000-000083070000}"/>
    <cellStyle name="20% - Énfasis3 38 8" xfId="1991" xr:uid="{00000000-0005-0000-0000-000084070000}"/>
    <cellStyle name="20% - Énfasis3 38 9" xfId="1992" xr:uid="{00000000-0005-0000-0000-000085070000}"/>
    <cellStyle name="20% - Énfasis3 39" xfId="1993" xr:uid="{00000000-0005-0000-0000-000086070000}"/>
    <cellStyle name="20% - Énfasis3 39 10" xfId="1994" xr:uid="{00000000-0005-0000-0000-000087070000}"/>
    <cellStyle name="20% - Énfasis3 39 11" xfId="1995" xr:uid="{00000000-0005-0000-0000-000088070000}"/>
    <cellStyle name="20% - Énfasis3 39 12" xfId="1996" xr:uid="{00000000-0005-0000-0000-000089070000}"/>
    <cellStyle name="20% - Énfasis3 39 13" xfId="1997" xr:uid="{00000000-0005-0000-0000-00008A070000}"/>
    <cellStyle name="20% - Énfasis3 39 14" xfId="1998" xr:uid="{00000000-0005-0000-0000-00008B070000}"/>
    <cellStyle name="20% - Énfasis3 39 15" xfId="1999" xr:uid="{00000000-0005-0000-0000-00008C070000}"/>
    <cellStyle name="20% - Énfasis3 39 2" xfId="2000" xr:uid="{00000000-0005-0000-0000-00008D070000}"/>
    <cellStyle name="20% - Énfasis3 39 3" xfId="2001" xr:uid="{00000000-0005-0000-0000-00008E070000}"/>
    <cellStyle name="20% - Énfasis3 39 4" xfId="2002" xr:uid="{00000000-0005-0000-0000-00008F070000}"/>
    <cellStyle name="20% - Énfasis3 39 5" xfId="2003" xr:uid="{00000000-0005-0000-0000-000090070000}"/>
    <cellStyle name="20% - Énfasis3 39 6" xfId="2004" xr:uid="{00000000-0005-0000-0000-000091070000}"/>
    <cellStyle name="20% - Énfasis3 39 7" xfId="2005" xr:uid="{00000000-0005-0000-0000-000092070000}"/>
    <cellStyle name="20% - Énfasis3 39 8" xfId="2006" xr:uid="{00000000-0005-0000-0000-000093070000}"/>
    <cellStyle name="20% - Énfasis3 39 9" xfId="2007" xr:uid="{00000000-0005-0000-0000-000094070000}"/>
    <cellStyle name="20% - Énfasis3 4 10" xfId="2008" xr:uid="{00000000-0005-0000-0000-000095070000}"/>
    <cellStyle name="20% - Énfasis3 4 11" xfId="2009" xr:uid="{00000000-0005-0000-0000-000096070000}"/>
    <cellStyle name="20% - Énfasis3 4 12" xfId="2010" xr:uid="{00000000-0005-0000-0000-000097070000}"/>
    <cellStyle name="20% - Énfasis3 4 13" xfId="2011" xr:uid="{00000000-0005-0000-0000-000098070000}"/>
    <cellStyle name="20% - Énfasis3 4 14" xfId="2012" xr:uid="{00000000-0005-0000-0000-000099070000}"/>
    <cellStyle name="20% - Énfasis3 4 15" xfId="2013" xr:uid="{00000000-0005-0000-0000-00009A070000}"/>
    <cellStyle name="20% - Énfasis3 4 16" xfId="2014" xr:uid="{00000000-0005-0000-0000-00009B070000}"/>
    <cellStyle name="20% - Énfasis3 4 17" xfId="2015" xr:uid="{00000000-0005-0000-0000-00009C070000}"/>
    <cellStyle name="20% - Énfasis3 4 18" xfId="2016" xr:uid="{00000000-0005-0000-0000-00009D070000}"/>
    <cellStyle name="20% - Énfasis3 4 2" xfId="2017" xr:uid="{00000000-0005-0000-0000-00009E070000}"/>
    <cellStyle name="20% - Énfasis3 4 3" xfId="2018" xr:uid="{00000000-0005-0000-0000-00009F070000}"/>
    <cellStyle name="20% - Énfasis3 4 4" xfId="2019" xr:uid="{00000000-0005-0000-0000-0000A0070000}"/>
    <cellStyle name="20% - Énfasis3 4 5" xfId="2020" xr:uid="{00000000-0005-0000-0000-0000A1070000}"/>
    <cellStyle name="20% - Énfasis3 4 6" xfId="2021" xr:uid="{00000000-0005-0000-0000-0000A2070000}"/>
    <cellStyle name="20% - Énfasis3 4 7" xfId="2022" xr:uid="{00000000-0005-0000-0000-0000A3070000}"/>
    <cellStyle name="20% - Énfasis3 4 8" xfId="2023" xr:uid="{00000000-0005-0000-0000-0000A4070000}"/>
    <cellStyle name="20% - Énfasis3 4 9" xfId="2024" xr:uid="{00000000-0005-0000-0000-0000A5070000}"/>
    <cellStyle name="20% - Énfasis3 40" xfId="2025" xr:uid="{00000000-0005-0000-0000-0000A6070000}"/>
    <cellStyle name="20% - Énfasis3 40 10" xfId="2026" xr:uid="{00000000-0005-0000-0000-0000A7070000}"/>
    <cellStyle name="20% - Énfasis3 40 11" xfId="2027" xr:uid="{00000000-0005-0000-0000-0000A8070000}"/>
    <cellStyle name="20% - Énfasis3 40 12" xfId="2028" xr:uid="{00000000-0005-0000-0000-0000A9070000}"/>
    <cellStyle name="20% - Énfasis3 40 13" xfId="2029" xr:uid="{00000000-0005-0000-0000-0000AA070000}"/>
    <cellStyle name="20% - Énfasis3 40 14" xfId="2030" xr:uid="{00000000-0005-0000-0000-0000AB070000}"/>
    <cellStyle name="20% - Énfasis3 40 15" xfId="2031" xr:uid="{00000000-0005-0000-0000-0000AC070000}"/>
    <cellStyle name="20% - Énfasis3 40 2" xfId="2032" xr:uid="{00000000-0005-0000-0000-0000AD070000}"/>
    <cellStyle name="20% - Énfasis3 40 3" xfId="2033" xr:uid="{00000000-0005-0000-0000-0000AE070000}"/>
    <cellStyle name="20% - Énfasis3 40 4" xfId="2034" xr:uid="{00000000-0005-0000-0000-0000AF070000}"/>
    <cellStyle name="20% - Énfasis3 40 5" xfId="2035" xr:uid="{00000000-0005-0000-0000-0000B0070000}"/>
    <cellStyle name="20% - Énfasis3 40 6" xfId="2036" xr:uid="{00000000-0005-0000-0000-0000B1070000}"/>
    <cellStyle name="20% - Énfasis3 40 7" xfId="2037" xr:uid="{00000000-0005-0000-0000-0000B2070000}"/>
    <cellStyle name="20% - Énfasis3 40 8" xfId="2038" xr:uid="{00000000-0005-0000-0000-0000B3070000}"/>
    <cellStyle name="20% - Énfasis3 40 9" xfId="2039" xr:uid="{00000000-0005-0000-0000-0000B4070000}"/>
    <cellStyle name="20% - Énfasis3 41" xfId="2040" xr:uid="{00000000-0005-0000-0000-0000B5070000}"/>
    <cellStyle name="20% - Énfasis3 41 10" xfId="2041" xr:uid="{00000000-0005-0000-0000-0000B6070000}"/>
    <cellStyle name="20% - Énfasis3 41 11" xfId="2042" xr:uid="{00000000-0005-0000-0000-0000B7070000}"/>
    <cellStyle name="20% - Énfasis3 41 12" xfId="2043" xr:uid="{00000000-0005-0000-0000-0000B8070000}"/>
    <cellStyle name="20% - Énfasis3 41 13" xfId="2044" xr:uid="{00000000-0005-0000-0000-0000B9070000}"/>
    <cellStyle name="20% - Énfasis3 41 14" xfId="2045" xr:uid="{00000000-0005-0000-0000-0000BA070000}"/>
    <cellStyle name="20% - Énfasis3 41 15" xfId="2046" xr:uid="{00000000-0005-0000-0000-0000BB070000}"/>
    <cellStyle name="20% - Énfasis3 41 2" xfId="2047" xr:uid="{00000000-0005-0000-0000-0000BC070000}"/>
    <cellStyle name="20% - Énfasis3 41 3" xfId="2048" xr:uid="{00000000-0005-0000-0000-0000BD070000}"/>
    <cellStyle name="20% - Énfasis3 41 4" xfId="2049" xr:uid="{00000000-0005-0000-0000-0000BE070000}"/>
    <cellStyle name="20% - Énfasis3 41 5" xfId="2050" xr:uid="{00000000-0005-0000-0000-0000BF070000}"/>
    <cellStyle name="20% - Énfasis3 41 6" xfId="2051" xr:uid="{00000000-0005-0000-0000-0000C0070000}"/>
    <cellStyle name="20% - Énfasis3 41 7" xfId="2052" xr:uid="{00000000-0005-0000-0000-0000C1070000}"/>
    <cellStyle name="20% - Énfasis3 41 8" xfId="2053" xr:uid="{00000000-0005-0000-0000-0000C2070000}"/>
    <cellStyle name="20% - Énfasis3 41 9" xfId="2054" xr:uid="{00000000-0005-0000-0000-0000C3070000}"/>
    <cellStyle name="20% - Énfasis3 42" xfId="2055" xr:uid="{00000000-0005-0000-0000-0000C4070000}"/>
    <cellStyle name="20% - Énfasis3 43" xfId="2056" xr:uid="{00000000-0005-0000-0000-0000C5070000}"/>
    <cellStyle name="20% - Énfasis3 44" xfId="2057" xr:uid="{00000000-0005-0000-0000-0000C6070000}"/>
    <cellStyle name="20% - Énfasis3 45" xfId="2058" xr:uid="{00000000-0005-0000-0000-0000C7070000}"/>
    <cellStyle name="20% - Énfasis3 46" xfId="2059" xr:uid="{00000000-0005-0000-0000-0000C8070000}"/>
    <cellStyle name="20% - Énfasis3 47" xfId="2060" xr:uid="{00000000-0005-0000-0000-0000C9070000}"/>
    <cellStyle name="20% - Énfasis3 48" xfId="2061" xr:uid="{00000000-0005-0000-0000-0000CA070000}"/>
    <cellStyle name="20% - Énfasis3 49" xfId="2062" xr:uid="{00000000-0005-0000-0000-0000CB070000}"/>
    <cellStyle name="20% - Énfasis3 5 10" xfId="2063" xr:uid="{00000000-0005-0000-0000-0000CC070000}"/>
    <cellStyle name="20% - Énfasis3 5 11" xfId="2064" xr:uid="{00000000-0005-0000-0000-0000CD070000}"/>
    <cellStyle name="20% - Énfasis3 5 12" xfId="2065" xr:uid="{00000000-0005-0000-0000-0000CE070000}"/>
    <cellStyle name="20% - Énfasis3 5 13" xfId="2066" xr:uid="{00000000-0005-0000-0000-0000CF070000}"/>
    <cellStyle name="20% - Énfasis3 5 14" xfId="2067" xr:uid="{00000000-0005-0000-0000-0000D0070000}"/>
    <cellStyle name="20% - Énfasis3 5 15" xfId="2068" xr:uid="{00000000-0005-0000-0000-0000D1070000}"/>
    <cellStyle name="20% - Énfasis3 5 16" xfId="2069" xr:uid="{00000000-0005-0000-0000-0000D2070000}"/>
    <cellStyle name="20% - Énfasis3 5 17" xfId="2070" xr:uid="{00000000-0005-0000-0000-0000D3070000}"/>
    <cellStyle name="20% - Énfasis3 5 18" xfId="2071" xr:uid="{00000000-0005-0000-0000-0000D4070000}"/>
    <cellStyle name="20% - Énfasis3 5 2" xfId="2072" xr:uid="{00000000-0005-0000-0000-0000D5070000}"/>
    <cellStyle name="20% - Énfasis3 5 3" xfId="2073" xr:uid="{00000000-0005-0000-0000-0000D6070000}"/>
    <cellStyle name="20% - Énfasis3 5 4" xfId="2074" xr:uid="{00000000-0005-0000-0000-0000D7070000}"/>
    <cellStyle name="20% - Énfasis3 5 5" xfId="2075" xr:uid="{00000000-0005-0000-0000-0000D8070000}"/>
    <cellStyle name="20% - Énfasis3 5 6" xfId="2076" xr:uid="{00000000-0005-0000-0000-0000D9070000}"/>
    <cellStyle name="20% - Énfasis3 5 7" xfId="2077" xr:uid="{00000000-0005-0000-0000-0000DA070000}"/>
    <cellStyle name="20% - Énfasis3 5 8" xfId="2078" xr:uid="{00000000-0005-0000-0000-0000DB070000}"/>
    <cellStyle name="20% - Énfasis3 5 9" xfId="2079" xr:uid="{00000000-0005-0000-0000-0000DC070000}"/>
    <cellStyle name="20% - Énfasis3 50" xfId="2080" xr:uid="{00000000-0005-0000-0000-0000DD070000}"/>
    <cellStyle name="20% - Énfasis3 51" xfId="2081" xr:uid="{00000000-0005-0000-0000-0000DE070000}"/>
    <cellStyle name="20% - Énfasis3 52" xfId="2082" xr:uid="{00000000-0005-0000-0000-0000DF070000}"/>
    <cellStyle name="20% - Énfasis3 53" xfId="2083" xr:uid="{00000000-0005-0000-0000-0000E0070000}"/>
    <cellStyle name="20% - Énfasis3 54" xfId="2084" xr:uid="{00000000-0005-0000-0000-0000E1070000}"/>
    <cellStyle name="20% - Énfasis3 55" xfId="2085" xr:uid="{00000000-0005-0000-0000-0000E2070000}"/>
    <cellStyle name="20% - Énfasis3 56" xfId="2086" xr:uid="{00000000-0005-0000-0000-0000E3070000}"/>
    <cellStyle name="20% - Énfasis3 57" xfId="2087" xr:uid="{00000000-0005-0000-0000-0000E4070000}"/>
    <cellStyle name="20% - Énfasis3 58" xfId="2088" xr:uid="{00000000-0005-0000-0000-0000E5070000}"/>
    <cellStyle name="20% - Énfasis3 59" xfId="2089" xr:uid="{00000000-0005-0000-0000-0000E6070000}"/>
    <cellStyle name="20% - Énfasis3 6 10" xfId="2090" xr:uid="{00000000-0005-0000-0000-0000E7070000}"/>
    <cellStyle name="20% - Énfasis3 6 11" xfId="2091" xr:uid="{00000000-0005-0000-0000-0000E8070000}"/>
    <cellStyle name="20% - Énfasis3 6 12" xfId="2092" xr:uid="{00000000-0005-0000-0000-0000E9070000}"/>
    <cellStyle name="20% - Énfasis3 6 13" xfId="2093" xr:uid="{00000000-0005-0000-0000-0000EA070000}"/>
    <cellStyle name="20% - Énfasis3 6 14" xfId="2094" xr:uid="{00000000-0005-0000-0000-0000EB070000}"/>
    <cellStyle name="20% - Énfasis3 6 15" xfId="2095" xr:uid="{00000000-0005-0000-0000-0000EC070000}"/>
    <cellStyle name="20% - Énfasis3 6 16" xfId="2096" xr:uid="{00000000-0005-0000-0000-0000ED070000}"/>
    <cellStyle name="20% - Énfasis3 6 17" xfId="2097" xr:uid="{00000000-0005-0000-0000-0000EE070000}"/>
    <cellStyle name="20% - Énfasis3 6 18" xfId="2098" xr:uid="{00000000-0005-0000-0000-0000EF070000}"/>
    <cellStyle name="20% - Énfasis3 6 2" xfId="2099" xr:uid="{00000000-0005-0000-0000-0000F0070000}"/>
    <cellStyle name="20% - Énfasis3 6 3" xfId="2100" xr:uid="{00000000-0005-0000-0000-0000F1070000}"/>
    <cellStyle name="20% - Énfasis3 6 4" xfId="2101" xr:uid="{00000000-0005-0000-0000-0000F2070000}"/>
    <cellStyle name="20% - Énfasis3 6 5" xfId="2102" xr:uid="{00000000-0005-0000-0000-0000F3070000}"/>
    <cellStyle name="20% - Énfasis3 6 6" xfId="2103" xr:uid="{00000000-0005-0000-0000-0000F4070000}"/>
    <cellStyle name="20% - Énfasis3 6 7" xfId="2104" xr:uid="{00000000-0005-0000-0000-0000F5070000}"/>
    <cellStyle name="20% - Énfasis3 6 8" xfId="2105" xr:uid="{00000000-0005-0000-0000-0000F6070000}"/>
    <cellStyle name="20% - Énfasis3 6 9" xfId="2106" xr:uid="{00000000-0005-0000-0000-0000F7070000}"/>
    <cellStyle name="20% - Énfasis3 60" xfId="2107" xr:uid="{00000000-0005-0000-0000-0000F8070000}"/>
    <cellStyle name="20% - Énfasis3 61" xfId="2108" xr:uid="{00000000-0005-0000-0000-0000F9070000}"/>
    <cellStyle name="20% - Énfasis3 62" xfId="2109" xr:uid="{00000000-0005-0000-0000-0000FA070000}"/>
    <cellStyle name="20% - Énfasis3 63" xfId="2110" xr:uid="{00000000-0005-0000-0000-0000FB070000}"/>
    <cellStyle name="20% - Énfasis3 64" xfId="2111" xr:uid="{00000000-0005-0000-0000-0000FC070000}"/>
    <cellStyle name="20% - Énfasis3 7 10" xfId="2112" xr:uid="{00000000-0005-0000-0000-0000FD070000}"/>
    <cellStyle name="20% - Énfasis3 7 11" xfId="2113" xr:uid="{00000000-0005-0000-0000-0000FE070000}"/>
    <cellStyle name="20% - Énfasis3 7 12" xfId="2114" xr:uid="{00000000-0005-0000-0000-0000FF070000}"/>
    <cellStyle name="20% - Énfasis3 7 13" xfId="2115" xr:uid="{00000000-0005-0000-0000-000000080000}"/>
    <cellStyle name="20% - Énfasis3 7 14" xfId="2116" xr:uid="{00000000-0005-0000-0000-000001080000}"/>
    <cellStyle name="20% - Énfasis3 7 15" xfId="2117" xr:uid="{00000000-0005-0000-0000-000002080000}"/>
    <cellStyle name="20% - Énfasis3 7 16" xfId="2118" xr:uid="{00000000-0005-0000-0000-000003080000}"/>
    <cellStyle name="20% - Énfasis3 7 17" xfId="2119" xr:uid="{00000000-0005-0000-0000-000004080000}"/>
    <cellStyle name="20% - Énfasis3 7 18" xfId="2120" xr:uid="{00000000-0005-0000-0000-000005080000}"/>
    <cellStyle name="20% - Énfasis3 7 2" xfId="2121" xr:uid="{00000000-0005-0000-0000-000006080000}"/>
    <cellStyle name="20% - Énfasis3 7 3" xfId="2122" xr:uid="{00000000-0005-0000-0000-000007080000}"/>
    <cellStyle name="20% - Énfasis3 7 4" xfId="2123" xr:uid="{00000000-0005-0000-0000-000008080000}"/>
    <cellStyle name="20% - Énfasis3 7 5" xfId="2124" xr:uid="{00000000-0005-0000-0000-000009080000}"/>
    <cellStyle name="20% - Énfasis3 7 6" xfId="2125" xr:uid="{00000000-0005-0000-0000-00000A080000}"/>
    <cellStyle name="20% - Énfasis3 7 7" xfId="2126" xr:uid="{00000000-0005-0000-0000-00000B080000}"/>
    <cellStyle name="20% - Énfasis3 7 8" xfId="2127" xr:uid="{00000000-0005-0000-0000-00000C080000}"/>
    <cellStyle name="20% - Énfasis3 7 9" xfId="2128" xr:uid="{00000000-0005-0000-0000-00000D080000}"/>
    <cellStyle name="20% - Énfasis3 8 10" xfId="2129" xr:uid="{00000000-0005-0000-0000-00000E080000}"/>
    <cellStyle name="20% - Énfasis3 8 11" xfId="2130" xr:uid="{00000000-0005-0000-0000-00000F080000}"/>
    <cellStyle name="20% - Énfasis3 8 12" xfId="2131" xr:uid="{00000000-0005-0000-0000-000010080000}"/>
    <cellStyle name="20% - Énfasis3 8 13" xfId="2132" xr:uid="{00000000-0005-0000-0000-000011080000}"/>
    <cellStyle name="20% - Énfasis3 8 14" xfId="2133" xr:uid="{00000000-0005-0000-0000-000012080000}"/>
    <cellStyle name="20% - Énfasis3 8 15" xfId="2134" xr:uid="{00000000-0005-0000-0000-000013080000}"/>
    <cellStyle name="20% - Énfasis3 8 16" xfId="2135" xr:uid="{00000000-0005-0000-0000-000014080000}"/>
    <cellStyle name="20% - Énfasis3 8 17" xfId="2136" xr:uid="{00000000-0005-0000-0000-000015080000}"/>
    <cellStyle name="20% - Énfasis3 8 18" xfId="2137" xr:uid="{00000000-0005-0000-0000-000016080000}"/>
    <cellStyle name="20% - Énfasis3 8 2" xfId="2138" xr:uid="{00000000-0005-0000-0000-000017080000}"/>
    <cellStyle name="20% - Énfasis3 8 3" xfId="2139" xr:uid="{00000000-0005-0000-0000-000018080000}"/>
    <cellStyle name="20% - Énfasis3 8 4" xfId="2140" xr:uid="{00000000-0005-0000-0000-000019080000}"/>
    <cellStyle name="20% - Énfasis3 8 5" xfId="2141" xr:uid="{00000000-0005-0000-0000-00001A080000}"/>
    <cellStyle name="20% - Énfasis3 8 6" xfId="2142" xr:uid="{00000000-0005-0000-0000-00001B080000}"/>
    <cellStyle name="20% - Énfasis3 8 7" xfId="2143" xr:uid="{00000000-0005-0000-0000-00001C080000}"/>
    <cellStyle name="20% - Énfasis3 8 8" xfId="2144" xr:uid="{00000000-0005-0000-0000-00001D080000}"/>
    <cellStyle name="20% - Énfasis3 8 9" xfId="2145" xr:uid="{00000000-0005-0000-0000-00001E080000}"/>
    <cellStyle name="20% - Énfasis3 9 10" xfId="2146" xr:uid="{00000000-0005-0000-0000-00001F080000}"/>
    <cellStyle name="20% - Énfasis3 9 11" xfId="2147" xr:uid="{00000000-0005-0000-0000-000020080000}"/>
    <cellStyle name="20% - Énfasis3 9 12" xfId="2148" xr:uid="{00000000-0005-0000-0000-000021080000}"/>
    <cellStyle name="20% - Énfasis3 9 13" xfId="2149" xr:uid="{00000000-0005-0000-0000-000022080000}"/>
    <cellStyle name="20% - Énfasis3 9 14" xfId="2150" xr:uid="{00000000-0005-0000-0000-000023080000}"/>
    <cellStyle name="20% - Énfasis3 9 15" xfId="2151" xr:uid="{00000000-0005-0000-0000-000024080000}"/>
    <cellStyle name="20% - Énfasis3 9 16" xfId="2152" xr:uid="{00000000-0005-0000-0000-000025080000}"/>
    <cellStyle name="20% - Énfasis3 9 17" xfId="2153" xr:uid="{00000000-0005-0000-0000-000026080000}"/>
    <cellStyle name="20% - Énfasis3 9 18" xfId="2154" xr:uid="{00000000-0005-0000-0000-000027080000}"/>
    <cellStyle name="20% - Énfasis3 9 2" xfId="2155" xr:uid="{00000000-0005-0000-0000-000028080000}"/>
    <cellStyle name="20% - Énfasis3 9 3" xfId="2156" xr:uid="{00000000-0005-0000-0000-000029080000}"/>
    <cellStyle name="20% - Énfasis3 9 4" xfId="2157" xr:uid="{00000000-0005-0000-0000-00002A080000}"/>
    <cellStyle name="20% - Énfasis3 9 5" xfId="2158" xr:uid="{00000000-0005-0000-0000-00002B080000}"/>
    <cellStyle name="20% - Énfasis3 9 6" xfId="2159" xr:uid="{00000000-0005-0000-0000-00002C080000}"/>
    <cellStyle name="20% - Énfasis3 9 7" xfId="2160" xr:uid="{00000000-0005-0000-0000-00002D080000}"/>
    <cellStyle name="20% - Énfasis3 9 8" xfId="2161" xr:uid="{00000000-0005-0000-0000-00002E080000}"/>
    <cellStyle name="20% - Énfasis3 9 9" xfId="2162" xr:uid="{00000000-0005-0000-0000-00002F080000}"/>
    <cellStyle name="20% - Énfasis4" xfId="32541" builtinId="42" customBuiltin="1"/>
    <cellStyle name="20% - Énfasis4 10 10" xfId="2163" xr:uid="{00000000-0005-0000-0000-000031080000}"/>
    <cellStyle name="20% - Énfasis4 10 11" xfId="2164" xr:uid="{00000000-0005-0000-0000-000032080000}"/>
    <cellStyle name="20% - Énfasis4 10 12" xfId="2165" xr:uid="{00000000-0005-0000-0000-000033080000}"/>
    <cellStyle name="20% - Énfasis4 10 13" xfId="2166" xr:uid="{00000000-0005-0000-0000-000034080000}"/>
    <cellStyle name="20% - Énfasis4 10 14" xfId="2167" xr:uid="{00000000-0005-0000-0000-000035080000}"/>
    <cellStyle name="20% - Énfasis4 10 15" xfId="2168" xr:uid="{00000000-0005-0000-0000-000036080000}"/>
    <cellStyle name="20% - Énfasis4 10 16" xfId="2169" xr:uid="{00000000-0005-0000-0000-000037080000}"/>
    <cellStyle name="20% - Énfasis4 10 17" xfId="2170" xr:uid="{00000000-0005-0000-0000-000038080000}"/>
    <cellStyle name="20% - Énfasis4 10 18" xfId="2171" xr:uid="{00000000-0005-0000-0000-000039080000}"/>
    <cellStyle name="20% - Énfasis4 10 2" xfId="2172" xr:uid="{00000000-0005-0000-0000-00003A080000}"/>
    <cellStyle name="20% - Énfasis4 10 3" xfId="2173" xr:uid="{00000000-0005-0000-0000-00003B080000}"/>
    <cellStyle name="20% - Énfasis4 10 4" xfId="2174" xr:uid="{00000000-0005-0000-0000-00003C080000}"/>
    <cellStyle name="20% - Énfasis4 10 5" xfId="2175" xr:uid="{00000000-0005-0000-0000-00003D080000}"/>
    <cellStyle name="20% - Énfasis4 10 6" xfId="2176" xr:uid="{00000000-0005-0000-0000-00003E080000}"/>
    <cellStyle name="20% - Énfasis4 10 7" xfId="2177" xr:uid="{00000000-0005-0000-0000-00003F080000}"/>
    <cellStyle name="20% - Énfasis4 10 8" xfId="2178" xr:uid="{00000000-0005-0000-0000-000040080000}"/>
    <cellStyle name="20% - Énfasis4 10 9" xfId="2179" xr:uid="{00000000-0005-0000-0000-000041080000}"/>
    <cellStyle name="20% - Énfasis4 11 10" xfId="2180" xr:uid="{00000000-0005-0000-0000-000042080000}"/>
    <cellStyle name="20% - Énfasis4 11 11" xfId="2181" xr:uid="{00000000-0005-0000-0000-000043080000}"/>
    <cellStyle name="20% - Énfasis4 11 12" xfId="2182" xr:uid="{00000000-0005-0000-0000-000044080000}"/>
    <cellStyle name="20% - Énfasis4 11 13" xfId="2183" xr:uid="{00000000-0005-0000-0000-000045080000}"/>
    <cellStyle name="20% - Énfasis4 11 14" xfId="2184" xr:uid="{00000000-0005-0000-0000-000046080000}"/>
    <cellStyle name="20% - Énfasis4 11 15" xfId="2185" xr:uid="{00000000-0005-0000-0000-000047080000}"/>
    <cellStyle name="20% - Énfasis4 11 16" xfId="2186" xr:uid="{00000000-0005-0000-0000-000048080000}"/>
    <cellStyle name="20% - Énfasis4 11 17" xfId="2187" xr:uid="{00000000-0005-0000-0000-000049080000}"/>
    <cellStyle name="20% - Énfasis4 11 18" xfId="2188" xr:uid="{00000000-0005-0000-0000-00004A080000}"/>
    <cellStyle name="20% - Énfasis4 11 2" xfId="2189" xr:uid="{00000000-0005-0000-0000-00004B080000}"/>
    <cellStyle name="20% - Énfasis4 11 3" xfId="2190" xr:uid="{00000000-0005-0000-0000-00004C080000}"/>
    <cellStyle name="20% - Énfasis4 11 4" xfId="2191" xr:uid="{00000000-0005-0000-0000-00004D080000}"/>
    <cellStyle name="20% - Énfasis4 11 5" xfId="2192" xr:uid="{00000000-0005-0000-0000-00004E080000}"/>
    <cellStyle name="20% - Énfasis4 11 6" xfId="2193" xr:uid="{00000000-0005-0000-0000-00004F080000}"/>
    <cellStyle name="20% - Énfasis4 11 7" xfId="2194" xr:uid="{00000000-0005-0000-0000-000050080000}"/>
    <cellStyle name="20% - Énfasis4 11 8" xfId="2195" xr:uid="{00000000-0005-0000-0000-000051080000}"/>
    <cellStyle name="20% - Énfasis4 11 9" xfId="2196" xr:uid="{00000000-0005-0000-0000-000052080000}"/>
    <cellStyle name="20% - Énfasis4 12 10" xfId="2197" xr:uid="{00000000-0005-0000-0000-000053080000}"/>
    <cellStyle name="20% - Énfasis4 12 11" xfId="2198" xr:uid="{00000000-0005-0000-0000-000054080000}"/>
    <cellStyle name="20% - Énfasis4 12 12" xfId="2199" xr:uid="{00000000-0005-0000-0000-000055080000}"/>
    <cellStyle name="20% - Énfasis4 12 13" xfId="2200" xr:uid="{00000000-0005-0000-0000-000056080000}"/>
    <cellStyle name="20% - Énfasis4 12 14" xfId="2201" xr:uid="{00000000-0005-0000-0000-000057080000}"/>
    <cellStyle name="20% - Énfasis4 12 15" xfId="2202" xr:uid="{00000000-0005-0000-0000-000058080000}"/>
    <cellStyle name="20% - Énfasis4 12 16" xfId="2203" xr:uid="{00000000-0005-0000-0000-000059080000}"/>
    <cellStyle name="20% - Énfasis4 12 17" xfId="2204" xr:uid="{00000000-0005-0000-0000-00005A080000}"/>
    <cellStyle name="20% - Énfasis4 12 18" xfId="2205" xr:uid="{00000000-0005-0000-0000-00005B080000}"/>
    <cellStyle name="20% - Énfasis4 12 2" xfId="2206" xr:uid="{00000000-0005-0000-0000-00005C080000}"/>
    <cellStyle name="20% - Énfasis4 12 3" xfId="2207" xr:uid="{00000000-0005-0000-0000-00005D080000}"/>
    <cellStyle name="20% - Énfasis4 12 4" xfId="2208" xr:uid="{00000000-0005-0000-0000-00005E080000}"/>
    <cellStyle name="20% - Énfasis4 12 5" xfId="2209" xr:uid="{00000000-0005-0000-0000-00005F080000}"/>
    <cellStyle name="20% - Énfasis4 12 6" xfId="2210" xr:uid="{00000000-0005-0000-0000-000060080000}"/>
    <cellStyle name="20% - Énfasis4 12 7" xfId="2211" xr:uid="{00000000-0005-0000-0000-000061080000}"/>
    <cellStyle name="20% - Énfasis4 12 8" xfId="2212" xr:uid="{00000000-0005-0000-0000-000062080000}"/>
    <cellStyle name="20% - Énfasis4 12 9" xfId="2213" xr:uid="{00000000-0005-0000-0000-000063080000}"/>
    <cellStyle name="20% - Énfasis4 13 10" xfId="2214" xr:uid="{00000000-0005-0000-0000-000064080000}"/>
    <cellStyle name="20% - Énfasis4 13 11" xfId="2215" xr:uid="{00000000-0005-0000-0000-000065080000}"/>
    <cellStyle name="20% - Énfasis4 13 12" xfId="2216" xr:uid="{00000000-0005-0000-0000-000066080000}"/>
    <cellStyle name="20% - Énfasis4 13 13" xfId="2217" xr:uid="{00000000-0005-0000-0000-000067080000}"/>
    <cellStyle name="20% - Énfasis4 13 14" xfId="2218" xr:uid="{00000000-0005-0000-0000-000068080000}"/>
    <cellStyle name="20% - Énfasis4 13 15" xfId="2219" xr:uid="{00000000-0005-0000-0000-000069080000}"/>
    <cellStyle name="20% - Énfasis4 13 16" xfId="2220" xr:uid="{00000000-0005-0000-0000-00006A080000}"/>
    <cellStyle name="20% - Énfasis4 13 17" xfId="2221" xr:uid="{00000000-0005-0000-0000-00006B080000}"/>
    <cellStyle name="20% - Énfasis4 13 18" xfId="2222" xr:uid="{00000000-0005-0000-0000-00006C080000}"/>
    <cellStyle name="20% - Énfasis4 13 2" xfId="2223" xr:uid="{00000000-0005-0000-0000-00006D080000}"/>
    <cellStyle name="20% - Énfasis4 13 3" xfId="2224" xr:uid="{00000000-0005-0000-0000-00006E080000}"/>
    <cellStyle name="20% - Énfasis4 13 4" xfId="2225" xr:uid="{00000000-0005-0000-0000-00006F080000}"/>
    <cellStyle name="20% - Énfasis4 13 5" xfId="2226" xr:uid="{00000000-0005-0000-0000-000070080000}"/>
    <cellStyle name="20% - Énfasis4 13 6" xfId="2227" xr:uid="{00000000-0005-0000-0000-000071080000}"/>
    <cellStyle name="20% - Énfasis4 13 7" xfId="2228" xr:uid="{00000000-0005-0000-0000-000072080000}"/>
    <cellStyle name="20% - Énfasis4 13 8" xfId="2229" xr:uid="{00000000-0005-0000-0000-000073080000}"/>
    <cellStyle name="20% - Énfasis4 13 9" xfId="2230" xr:uid="{00000000-0005-0000-0000-000074080000}"/>
    <cellStyle name="20% - Énfasis4 14 10" xfId="2231" xr:uid="{00000000-0005-0000-0000-000075080000}"/>
    <cellStyle name="20% - Énfasis4 14 11" xfId="2232" xr:uid="{00000000-0005-0000-0000-000076080000}"/>
    <cellStyle name="20% - Énfasis4 14 12" xfId="2233" xr:uid="{00000000-0005-0000-0000-000077080000}"/>
    <cellStyle name="20% - Énfasis4 14 13" xfId="2234" xr:uid="{00000000-0005-0000-0000-000078080000}"/>
    <cellStyle name="20% - Énfasis4 14 14" xfId="2235" xr:uid="{00000000-0005-0000-0000-000079080000}"/>
    <cellStyle name="20% - Énfasis4 14 15" xfId="2236" xr:uid="{00000000-0005-0000-0000-00007A080000}"/>
    <cellStyle name="20% - Énfasis4 14 16" xfId="2237" xr:uid="{00000000-0005-0000-0000-00007B080000}"/>
    <cellStyle name="20% - Énfasis4 14 17" xfId="2238" xr:uid="{00000000-0005-0000-0000-00007C080000}"/>
    <cellStyle name="20% - Énfasis4 14 18" xfId="2239" xr:uid="{00000000-0005-0000-0000-00007D080000}"/>
    <cellStyle name="20% - Énfasis4 14 2" xfId="2240" xr:uid="{00000000-0005-0000-0000-00007E080000}"/>
    <cellStyle name="20% - Énfasis4 14 3" xfId="2241" xr:uid="{00000000-0005-0000-0000-00007F080000}"/>
    <cellStyle name="20% - Énfasis4 14 4" xfId="2242" xr:uid="{00000000-0005-0000-0000-000080080000}"/>
    <cellStyle name="20% - Énfasis4 14 5" xfId="2243" xr:uid="{00000000-0005-0000-0000-000081080000}"/>
    <cellStyle name="20% - Énfasis4 14 6" xfId="2244" xr:uid="{00000000-0005-0000-0000-000082080000}"/>
    <cellStyle name="20% - Énfasis4 14 7" xfId="2245" xr:uid="{00000000-0005-0000-0000-000083080000}"/>
    <cellStyle name="20% - Énfasis4 14 8" xfId="2246" xr:uid="{00000000-0005-0000-0000-000084080000}"/>
    <cellStyle name="20% - Énfasis4 14 9" xfId="2247" xr:uid="{00000000-0005-0000-0000-000085080000}"/>
    <cellStyle name="20% - Énfasis4 15 10" xfId="2248" xr:uid="{00000000-0005-0000-0000-000086080000}"/>
    <cellStyle name="20% - Énfasis4 15 11" xfId="2249" xr:uid="{00000000-0005-0000-0000-000087080000}"/>
    <cellStyle name="20% - Énfasis4 15 12" xfId="2250" xr:uid="{00000000-0005-0000-0000-000088080000}"/>
    <cellStyle name="20% - Énfasis4 15 13" xfId="2251" xr:uid="{00000000-0005-0000-0000-000089080000}"/>
    <cellStyle name="20% - Énfasis4 15 14" xfId="2252" xr:uid="{00000000-0005-0000-0000-00008A080000}"/>
    <cellStyle name="20% - Énfasis4 15 15" xfId="2253" xr:uid="{00000000-0005-0000-0000-00008B080000}"/>
    <cellStyle name="20% - Énfasis4 15 16" xfId="2254" xr:uid="{00000000-0005-0000-0000-00008C080000}"/>
    <cellStyle name="20% - Énfasis4 15 17" xfId="2255" xr:uid="{00000000-0005-0000-0000-00008D080000}"/>
    <cellStyle name="20% - Énfasis4 15 18" xfId="2256" xr:uid="{00000000-0005-0000-0000-00008E080000}"/>
    <cellStyle name="20% - Énfasis4 15 2" xfId="2257" xr:uid="{00000000-0005-0000-0000-00008F080000}"/>
    <cellStyle name="20% - Énfasis4 15 3" xfId="2258" xr:uid="{00000000-0005-0000-0000-000090080000}"/>
    <cellStyle name="20% - Énfasis4 15 4" xfId="2259" xr:uid="{00000000-0005-0000-0000-000091080000}"/>
    <cellStyle name="20% - Énfasis4 15 5" xfId="2260" xr:uid="{00000000-0005-0000-0000-000092080000}"/>
    <cellStyle name="20% - Énfasis4 15 6" xfId="2261" xr:uid="{00000000-0005-0000-0000-000093080000}"/>
    <cellStyle name="20% - Énfasis4 15 7" xfId="2262" xr:uid="{00000000-0005-0000-0000-000094080000}"/>
    <cellStyle name="20% - Énfasis4 15 8" xfId="2263" xr:uid="{00000000-0005-0000-0000-000095080000}"/>
    <cellStyle name="20% - Énfasis4 15 9" xfId="2264" xr:uid="{00000000-0005-0000-0000-000096080000}"/>
    <cellStyle name="20% - Énfasis4 16 10" xfId="2265" xr:uid="{00000000-0005-0000-0000-000097080000}"/>
    <cellStyle name="20% - Énfasis4 16 11" xfId="2266" xr:uid="{00000000-0005-0000-0000-000098080000}"/>
    <cellStyle name="20% - Énfasis4 16 12" xfId="2267" xr:uid="{00000000-0005-0000-0000-000099080000}"/>
    <cellStyle name="20% - Énfasis4 16 13" xfId="2268" xr:uid="{00000000-0005-0000-0000-00009A080000}"/>
    <cellStyle name="20% - Énfasis4 16 14" xfId="2269" xr:uid="{00000000-0005-0000-0000-00009B080000}"/>
    <cellStyle name="20% - Énfasis4 16 15" xfId="2270" xr:uid="{00000000-0005-0000-0000-00009C080000}"/>
    <cellStyle name="20% - Énfasis4 16 16" xfId="2271" xr:uid="{00000000-0005-0000-0000-00009D080000}"/>
    <cellStyle name="20% - Énfasis4 16 17" xfId="2272" xr:uid="{00000000-0005-0000-0000-00009E080000}"/>
    <cellStyle name="20% - Énfasis4 16 18" xfId="2273" xr:uid="{00000000-0005-0000-0000-00009F080000}"/>
    <cellStyle name="20% - Énfasis4 16 2" xfId="2274" xr:uid="{00000000-0005-0000-0000-0000A0080000}"/>
    <cellStyle name="20% - Énfasis4 16 3" xfId="2275" xr:uid="{00000000-0005-0000-0000-0000A1080000}"/>
    <cellStyle name="20% - Énfasis4 16 4" xfId="2276" xr:uid="{00000000-0005-0000-0000-0000A2080000}"/>
    <cellStyle name="20% - Énfasis4 16 5" xfId="2277" xr:uid="{00000000-0005-0000-0000-0000A3080000}"/>
    <cellStyle name="20% - Énfasis4 16 6" xfId="2278" xr:uid="{00000000-0005-0000-0000-0000A4080000}"/>
    <cellStyle name="20% - Énfasis4 16 7" xfId="2279" xr:uid="{00000000-0005-0000-0000-0000A5080000}"/>
    <cellStyle name="20% - Énfasis4 16 8" xfId="2280" xr:uid="{00000000-0005-0000-0000-0000A6080000}"/>
    <cellStyle name="20% - Énfasis4 16 9" xfId="2281" xr:uid="{00000000-0005-0000-0000-0000A7080000}"/>
    <cellStyle name="20% - Énfasis4 17 10" xfId="2282" xr:uid="{00000000-0005-0000-0000-0000A8080000}"/>
    <cellStyle name="20% - Énfasis4 17 11" xfId="2283" xr:uid="{00000000-0005-0000-0000-0000A9080000}"/>
    <cellStyle name="20% - Énfasis4 17 12" xfId="2284" xr:uid="{00000000-0005-0000-0000-0000AA080000}"/>
    <cellStyle name="20% - Énfasis4 17 13" xfId="2285" xr:uid="{00000000-0005-0000-0000-0000AB080000}"/>
    <cellStyle name="20% - Énfasis4 17 14" xfId="2286" xr:uid="{00000000-0005-0000-0000-0000AC080000}"/>
    <cellStyle name="20% - Énfasis4 17 15" xfId="2287" xr:uid="{00000000-0005-0000-0000-0000AD080000}"/>
    <cellStyle name="20% - Énfasis4 17 16" xfId="2288" xr:uid="{00000000-0005-0000-0000-0000AE080000}"/>
    <cellStyle name="20% - Énfasis4 17 17" xfId="2289" xr:uid="{00000000-0005-0000-0000-0000AF080000}"/>
    <cellStyle name="20% - Énfasis4 17 18" xfId="2290" xr:uid="{00000000-0005-0000-0000-0000B0080000}"/>
    <cellStyle name="20% - Énfasis4 17 2" xfId="2291" xr:uid="{00000000-0005-0000-0000-0000B1080000}"/>
    <cellStyle name="20% - Énfasis4 17 3" xfId="2292" xr:uid="{00000000-0005-0000-0000-0000B2080000}"/>
    <cellStyle name="20% - Énfasis4 17 4" xfId="2293" xr:uid="{00000000-0005-0000-0000-0000B3080000}"/>
    <cellStyle name="20% - Énfasis4 17 5" xfId="2294" xr:uid="{00000000-0005-0000-0000-0000B4080000}"/>
    <cellStyle name="20% - Énfasis4 17 6" xfId="2295" xr:uid="{00000000-0005-0000-0000-0000B5080000}"/>
    <cellStyle name="20% - Énfasis4 17 7" xfId="2296" xr:uid="{00000000-0005-0000-0000-0000B6080000}"/>
    <cellStyle name="20% - Énfasis4 17 8" xfId="2297" xr:uid="{00000000-0005-0000-0000-0000B7080000}"/>
    <cellStyle name="20% - Énfasis4 17 9" xfId="2298" xr:uid="{00000000-0005-0000-0000-0000B8080000}"/>
    <cellStyle name="20% - Énfasis4 18 10" xfId="2299" xr:uid="{00000000-0005-0000-0000-0000B9080000}"/>
    <cellStyle name="20% - Énfasis4 18 11" xfId="2300" xr:uid="{00000000-0005-0000-0000-0000BA080000}"/>
    <cellStyle name="20% - Énfasis4 18 12" xfId="2301" xr:uid="{00000000-0005-0000-0000-0000BB080000}"/>
    <cellStyle name="20% - Énfasis4 18 13" xfId="2302" xr:uid="{00000000-0005-0000-0000-0000BC080000}"/>
    <cellStyle name="20% - Énfasis4 18 14" xfId="2303" xr:uid="{00000000-0005-0000-0000-0000BD080000}"/>
    <cellStyle name="20% - Énfasis4 18 15" xfId="2304" xr:uid="{00000000-0005-0000-0000-0000BE080000}"/>
    <cellStyle name="20% - Énfasis4 18 16" xfId="2305" xr:uid="{00000000-0005-0000-0000-0000BF080000}"/>
    <cellStyle name="20% - Énfasis4 18 17" xfId="2306" xr:uid="{00000000-0005-0000-0000-0000C0080000}"/>
    <cellStyle name="20% - Énfasis4 18 18" xfId="2307" xr:uid="{00000000-0005-0000-0000-0000C1080000}"/>
    <cellStyle name="20% - Énfasis4 18 2" xfId="2308" xr:uid="{00000000-0005-0000-0000-0000C2080000}"/>
    <cellStyle name="20% - Énfasis4 18 3" xfId="2309" xr:uid="{00000000-0005-0000-0000-0000C3080000}"/>
    <cellStyle name="20% - Énfasis4 18 4" xfId="2310" xr:uid="{00000000-0005-0000-0000-0000C4080000}"/>
    <cellStyle name="20% - Énfasis4 18 5" xfId="2311" xr:uid="{00000000-0005-0000-0000-0000C5080000}"/>
    <cellStyle name="20% - Énfasis4 18 6" xfId="2312" xr:uid="{00000000-0005-0000-0000-0000C6080000}"/>
    <cellStyle name="20% - Énfasis4 18 7" xfId="2313" xr:uid="{00000000-0005-0000-0000-0000C7080000}"/>
    <cellStyle name="20% - Énfasis4 18 8" xfId="2314" xr:uid="{00000000-0005-0000-0000-0000C8080000}"/>
    <cellStyle name="20% - Énfasis4 18 9" xfId="2315" xr:uid="{00000000-0005-0000-0000-0000C9080000}"/>
    <cellStyle name="20% - Énfasis4 19 10" xfId="2316" xr:uid="{00000000-0005-0000-0000-0000CA080000}"/>
    <cellStyle name="20% - Énfasis4 19 11" xfId="2317" xr:uid="{00000000-0005-0000-0000-0000CB080000}"/>
    <cellStyle name="20% - Énfasis4 19 12" xfId="2318" xr:uid="{00000000-0005-0000-0000-0000CC080000}"/>
    <cellStyle name="20% - Énfasis4 19 13" xfId="2319" xr:uid="{00000000-0005-0000-0000-0000CD080000}"/>
    <cellStyle name="20% - Énfasis4 19 14" xfId="2320" xr:uid="{00000000-0005-0000-0000-0000CE080000}"/>
    <cellStyle name="20% - Énfasis4 19 15" xfId="2321" xr:uid="{00000000-0005-0000-0000-0000CF080000}"/>
    <cellStyle name="20% - Énfasis4 19 16" xfId="2322" xr:uid="{00000000-0005-0000-0000-0000D0080000}"/>
    <cellStyle name="20% - Énfasis4 19 17" xfId="2323" xr:uid="{00000000-0005-0000-0000-0000D1080000}"/>
    <cellStyle name="20% - Énfasis4 19 18" xfId="2324" xr:uid="{00000000-0005-0000-0000-0000D2080000}"/>
    <cellStyle name="20% - Énfasis4 19 2" xfId="2325" xr:uid="{00000000-0005-0000-0000-0000D3080000}"/>
    <cellStyle name="20% - Énfasis4 19 3" xfId="2326" xr:uid="{00000000-0005-0000-0000-0000D4080000}"/>
    <cellStyle name="20% - Énfasis4 19 4" xfId="2327" xr:uid="{00000000-0005-0000-0000-0000D5080000}"/>
    <cellStyle name="20% - Énfasis4 19 5" xfId="2328" xr:uid="{00000000-0005-0000-0000-0000D6080000}"/>
    <cellStyle name="20% - Énfasis4 19 6" xfId="2329" xr:uid="{00000000-0005-0000-0000-0000D7080000}"/>
    <cellStyle name="20% - Énfasis4 19 7" xfId="2330" xr:uid="{00000000-0005-0000-0000-0000D8080000}"/>
    <cellStyle name="20% - Énfasis4 19 8" xfId="2331" xr:uid="{00000000-0005-0000-0000-0000D9080000}"/>
    <cellStyle name="20% - Énfasis4 19 9" xfId="2332" xr:uid="{00000000-0005-0000-0000-0000DA080000}"/>
    <cellStyle name="20% - Énfasis4 2 10" xfId="2333" xr:uid="{00000000-0005-0000-0000-0000DB080000}"/>
    <cellStyle name="20% - Énfasis4 2 11" xfId="2334" xr:uid="{00000000-0005-0000-0000-0000DC080000}"/>
    <cellStyle name="20% - Énfasis4 2 12" xfId="2335" xr:uid="{00000000-0005-0000-0000-0000DD080000}"/>
    <cellStyle name="20% - Énfasis4 2 13" xfId="2336" xr:uid="{00000000-0005-0000-0000-0000DE080000}"/>
    <cellStyle name="20% - Énfasis4 2 14" xfId="2337" xr:uid="{00000000-0005-0000-0000-0000DF080000}"/>
    <cellStyle name="20% - Énfasis4 2 15" xfId="2338" xr:uid="{00000000-0005-0000-0000-0000E0080000}"/>
    <cellStyle name="20% - Énfasis4 2 16" xfId="2339" xr:uid="{00000000-0005-0000-0000-0000E1080000}"/>
    <cellStyle name="20% - Énfasis4 2 17" xfId="2340" xr:uid="{00000000-0005-0000-0000-0000E2080000}"/>
    <cellStyle name="20% - Énfasis4 2 18" xfId="2341" xr:uid="{00000000-0005-0000-0000-0000E3080000}"/>
    <cellStyle name="20% - Énfasis4 2 2" xfId="2342" xr:uid="{00000000-0005-0000-0000-0000E4080000}"/>
    <cellStyle name="20% - Énfasis4 2 3" xfId="2343" xr:uid="{00000000-0005-0000-0000-0000E5080000}"/>
    <cellStyle name="20% - Énfasis4 2 4" xfId="2344" xr:uid="{00000000-0005-0000-0000-0000E6080000}"/>
    <cellStyle name="20% - Énfasis4 2 5" xfId="2345" xr:uid="{00000000-0005-0000-0000-0000E7080000}"/>
    <cellStyle name="20% - Énfasis4 2 6" xfId="2346" xr:uid="{00000000-0005-0000-0000-0000E8080000}"/>
    <cellStyle name="20% - Énfasis4 2 7" xfId="2347" xr:uid="{00000000-0005-0000-0000-0000E9080000}"/>
    <cellStyle name="20% - Énfasis4 2 8" xfId="2348" xr:uid="{00000000-0005-0000-0000-0000EA080000}"/>
    <cellStyle name="20% - Énfasis4 2 9" xfId="2349" xr:uid="{00000000-0005-0000-0000-0000EB080000}"/>
    <cellStyle name="20% - Énfasis4 20 10" xfId="2350" xr:uid="{00000000-0005-0000-0000-0000EC080000}"/>
    <cellStyle name="20% - Énfasis4 20 11" xfId="2351" xr:uid="{00000000-0005-0000-0000-0000ED080000}"/>
    <cellStyle name="20% - Énfasis4 20 12" xfId="2352" xr:uid="{00000000-0005-0000-0000-0000EE080000}"/>
    <cellStyle name="20% - Énfasis4 20 13" xfId="2353" xr:uid="{00000000-0005-0000-0000-0000EF080000}"/>
    <cellStyle name="20% - Énfasis4 20 14" xfId="2354" xr:uid="{00000000-0005-0000-0000-0000F0080000}"/>
    <cellStyle name="20% - Énfasis4 20 15" xfId="2355" xr:uid="{00000000-0005-0000-0000-0000F1080000}"/>
    <cellStyle name="20% - Énfasis4 20 16" xfId="2356" xr:uid="{00000000-0005-0000-0000-0000F2080000}"/>
    <cellStyle name="20% - Énfasis4 20 17" xfId="2357" xr:uid="{00000000-0005-0000-0000-0000F3080000}"/>
    <cellStyle name="20% - Énfasis4 20 18" xfId="2358" xr:uid="{00000000-0005-0000-0000-0000F4080000}"/>
    <cellStyle name="20% - Énfasis4 20 2" xfId="2359" xr:uid="{00000000-0005-0000-0000-0000F5080000}"/>
    <cellStyle name="20% - Énfasis4 20 3" xfId="2360" xr:uid="{00000000-0005-0000-0000-0000F6080000}"/>
    <cellStyle name="20% - Énfasis4 20 4" xfId="2361" xr:uid="{00000000-0005-0000-0000-0000F7080000}"/>
    <cellStyle name="20% - Énfasis4 20 5" xfId="2362" xr:uid="{00000000-0005-0000-0000-0000F8080000}"/>
    <cellStyle name="20% - Énfasis4 20 6" xfId="2363" xr:uid="{00000000-0005-0000-0000-0000F9080000}"/>
    <cellStyle name="20% - Énfasis4 20 7" xfId="2364" xr:uid="{00000000-0005-0000-0000-0000FA080000}"/>
    <cellStyle name="20% - Énfasis4 20 8" xfId="2365" xr:uid="{00000000-0005-0000-0000-0000FB080000}"/>
    <cellStyle name="20% - Énfasis4 20 9" xfId="2366" xr:uid="{00000000-0005-0000-0000-0000FC080000}"/>
    <cellStyle name="20% - Énfasis4 21 10" xfId="2367" xr:uid="{00000000-0005-0000-0000-0000FD080000}"/>
    <cellStyle name="20% - Énfasis4 21 11" xfId="2368" xr:uid="{00000000-0005-0000-0000-0000FE080000}"/>
    <cellStyle name="20% - Énfasis4 21 12" xfId="2369" xr:uid="{00000000-0005-0000-0000-0000FF080000}"/>
    <cellStyle name="20% - Énfasis4 21 13" xfId="2370" xr:uid="{00000000-0005-0000-0000-000000090000}"/>
    <cellStyle name="20% - Énfasis4 21 14" xfId="2371" xr:uid="{00000000-0005-0000-0000-000001090000}"/>
    <cellStyle name="20% - Énfasis4 21 15" xfId="2372" xr:uid="{00000000-0005-0000-0000-000002090000}"/>
    <cellStyle name="20% - Énfasis4 21 16" xfId="2373" xr:uid="{00000000-0005-0000-0000-000003090000}"/>
    <cellStyle name="20% - Énfasis4 21 17" xfId="2374" xr:uid="{00000000-0005-0000-0000-000004090000}"/>
    <cellStyle name="20% - Énfasis4 21 18" xfId="2375" xr:uid="{00000000-0005-0000-0000-000005090000}"/>
    <cellStyle name="20% - Énfasis4 21 2" xfId="2376" xr:uid="{00000000-0005-0000-0000-000006090000}"/>
    <cellStyle name="20% - Énfasis4 21 3" xfId="2377" xr:uid="{00000000-0005-0000-0000-000007090000}"/>
    <cellStyle name="20% - Énfasis4 21 4" xfId="2378" xr:uid="{00000000-0005-0000-0000-000008090000}"/>
    <cellStyle name="20% - Énfasis4 21 5" xfId="2379" xr:uid="{00000000-0005-0000-0000-000009090000}"/>
    <cellStyle name="20% - Énfasis4 21 6" xfId="2380" xr:uid="{00000000-0005-0000-0000-00000A090000}"/>
    <cellStyle name="20% - Énfasis4 21 7" xfId="2381" xr:uid="{00000000-0005-0000-0000-00000B090000}"/>
    <cellStyle name="20% - Énfasis4 21 8" xfId="2382" xr:uid="{00000000-0005-0000-0000-00000C090000}"/>
    <cellStyle name="20% - Énfasis4 21 9" xfId="2383" xr:uid="{00000000-0005-0000-0000-00000D090000}"/>
    <cellStyle name="20% - Énfasis4 22 10" xfId="2384" xr:uid="{00000000-0005-0000-0000-00000E090000}"/>
    <cellStyle name="20% - Énfasis4 22 11" xfId="2385" xr:uid="{00000000-0005-0000-0000-00000F090000}"/>
    <cellStyle name="20% - Énfasis4 22 12" xfId="2386" xr:uid="{00000000-0005-0000-0000-000010090000}"/>
    <cellStyle name="20% - Énfasis4 22 13" xfId="2387" xr:uid="{00000000-0005-0000-0000-000011090000}"/>
    <cellStyle name="20% - Énfasis4 22 14" xfId="2388" xr:uid="{00000000-0005-0000-0000-000012090000}"/>
    <cellStyle name="20% - Énfasis4 22 15" xfId="2389" xr:uid="{00000000-0005-0000-0000-000013090000}"/>
    <cellStyle name="20% - Énfasis4 22 16" xfId="2390" xr:uid="{00000000-0005-0000-0000-000014090000}"/>
    <cellStyle name="20% - Énfasis4 22 17" xfId="2391" xr:uid="{00000000-0005-0000-0000-000015090000}"/>
    <cellStyle name="20% - Énfasis4 22 18" xfId="2392" xr:uid="{00000000-0005-0000-0000-000016090000}"/>
    <cellStyle name="20% - Énfasis4 22 2" xfId="2393" xr:uid="{00000000-0005-0000-0000-000017090000}"/>
    <cellStyle name="20% - Énfasis4 22 3" xfId="2394" xr:uid="{00000000-0005-0000-0000-000018090000}"/>
    <cellStyle name="20% - Énfasis4 22 4" xfId="2395" xr:uid="{00000000-0005-0000-0000-000019090000}"/>
    <cellStyle name="20% - Énfasis4 22 5" xfId="2396" xr:uid="{00000000-0005-0000-0000-00001A090000}"/>
    <cellStyle name="20% - Énfasis4 22 6" xfId="2397" xr:uid="{00000000-0005-0000-0000-00001B090000}"/>
    <cellStyle name="20% - Énfasis4 22 7" xfId="2398" xr:uid="{00000000-0005-0000-0000-00001C090000}"/>
    <cellStyle name="20% - Énfasis4 22 8" xfId="2399" xr:uid="{00000000-0005-0000-0000-00001D090000}"/>
    <cellStyle name="20% - Énfasis4 22 9" xfId="2400" xr:uid="{00000000-0005-0000-0000-00001E090000}"/>
    <cellStyle name="20% - Énfasis4 23 10" xfId="2401" xr:uid="{00000000-0005-0000-0000-00001F090000}"/>
    <cellStyle name="20% - Énfasis4 23 11" xfId="2402" xr:uid="{00000000-0005-0000-0000-000020090000}"/>
    <cellStyle name="20% - Énfasis4 23 12" xfId="2403" xr:uid="{00000000-0005-0000-0000-000021090000}"/>
    <cellStyle name="20% - Énfasis4 23 13" xfId="2404" xr:uid="{00000000-0005-0000-0000-000022090000}"/>
    <cellStyle name="20% - Énfasis4 23 14" xfId="2405" xr:uid="{00000000-0005-0000-0000-000023090000}"/>
    <cellStyle name="20% - Énfasis4 23 15" xfId="2406" xr:uid="{00000000-0005-0000-0000-000024090000}"/>
    <cellStyle name="20% - Énfasis4 23 16" xfId="2407" xr:uid="{00000000-0005-0000-0000-000025090000}"/>
    <cellStyle name="20% - Énfasis4 23 17" xfId="2408" xr:uid="{00000000-0005-0000-0000-000026090000}"/>
    <cellStyle name="20% - Énfasis4 23 18" xfId="2409" xr:uid="{00000000-0005-0000-0000-000027090000}"/>
    <cellStyle name="20% - Énfasis4 23 2" xfId="2410" xr:uid="{00000000-0005-0000-0000-000028090000}"/>
    <cellStyle name="20% - Énfasis4 23 3" xfId="2411" xr:uid="{00000000-0005-0000-0000-000029090000}"/>
    <cellStyle name="20% - Énfasis4 23 4" xfId="2412" xr:uid="{00000000-0005-0000-0000-00002A090000}"/>
    <cellStyle name="20% - Énfasis4 23 5" xfId="2413" xr:uid="{00000000-0005-0000-0000-00002B090000}"/>
    <cellStyle name="20% - Énfasis4 23 6" xfId="2414" xr:uid="{00000000-0005-0000-0000-00002C090000}"/>
    <cellStyle name="20% - Énfasis4 23 7" xfId="2415" xr:uid="{00000000-0005-0000-0000-00002D090000}"/>
    <cellStyle name="20% - Énfasis4 23 8" xfId="2416" xr:uid="{00000000-0005-0000-0000-00002E090000}"/>
    <cellStyle name="20% - Énfasis4 23 9" xfId="2417" xr:uid="{00000000-0005-0000-0000-00002F090000}"/>
    <cellStyle name="20% - Énfasis4 24 10" xfId="2418" xr:uid="{00000000-0005-0000-0000-000030090000}"/>
    <cellStyle name="20% - Énfasis4 24 11" xfId="2419" xr:uid="{00000000-0005-0000-0000-000031090000}"/>
    <cellStyle name="20% - Énfasis4 24 12" xfId="2420" xr:uid="{00000000-0005-0000-0000-000032090000}"/>
    <cellStyle name="20% - Énfasis4 24 13" xfId="2421" xr:uid="{00000000-0005-0000-0000-000033090000}"/>
    <cellStyle name="20% - Énfasis4 24 14" xfId="2422" xr:uid="{00000000-0005-0000-0000-000034090000}"/>
    <cellStyle name="20% - Énfasis4 24 15" xfId="2423" xr:uid="{00000000-0005-0000-0000-000035090000}"/>
    <cellStyle name="20% - Énfasis4 24 16" xfId="2424" xr:uid="{00000000-0005-0000-0000-000036090000}"/>
    <cellStyle name="20% - Énfasis4 24 17" xfId="2425" xr:uid="{00000000-0005-0000-0000-000037090000}"/>
    <cellStyle name="20% - Énfasis4 24 18" xfId="2426" xr:uid="{00000000-0005-0000-0000-000038090000}"/>
    <cellStyle name="20% - Énfasis4 24 2" xfId="2427" xr:uid="{00000000-0005-0000-0000-000039090000}"/>
    <cellStyle name="20% - Énfasis4 24 3" xfId="2428" xr:uid="{00000000-0005-0000-0000-00003A090000}"/>
    <cellStyle name="20% - Énfasis4 24 4" xfId="2429" xr:uid="{00000000-0005-0000-0000-00003B090000}"/>
    <cellStyle name="20% - Énfasis4 24 5" xfId="2430" xr:uid="{00000000-0005-0000-0000-00003C090000}"/>
    <cellStyle name="20% - Énfasis4 24 6" xfId="2431" xr:uid="{00000000-0005-0000-0000-00003D090000}"/>
    <cellStyle name="20% - Énfasis4 24 7" xfId="2432" xr:uid="{00000000-0005-0000-0000-00003E090000}"/>
    <cellStyle name="20% - Énfasis4 24 8" xfId="2433" xr:uid="{00000000-0005-0000-0000-00003F090000}"/>
    <cellStyle name="20% - Énfasis4 24 9" xfId="2434" xr:uid="{00000000-0005-0000-0000-000040090000}"/>
    <cellStyle name="20% - Énfasis4 25 10" xfId="2435" xr:uid="{00000000-0005-0000-0000-000041090000}"/>
    <cellStyle name="20% - Énfasis4 25 11" xfId="2436" xr:uid="{00000000-0005-0000-0000-000042090000}"/>
    <cellStyle name="20% - Énfasis4 25 12" xfId="2437" xr:uid="{00000000-0005-0000-0000-000043090000}"/>
    <cellStyle name="20% - Énfasis4 25 13" xfId="2438" xr:uid="{00000000-0005-0000-0000-000044090000}"/>
    <cellStyle name="20% - Énfasis4 25 14" xfId="2439" xr:uid="{00000000-0005-0000-0000-000045090000}"/>
    <cellStyle name="20% - Énfasis4 25 15" xfId="2440" xr:uid="{00000000-0005-0000-0000-000046090000}"/>
    <cellStyle name="20% - Énfasis4 25 16" xfId="2441" xr:uid="{00000000-0005-0000-0000-000047090000}"/>
    <cellStyle name="20% - Énfasis4 25 17" xfId="2442" xr:uid="{00000000-0005-0000-0000-000048090000}"/>
    <cellStyle name="20% - Énfasis4 25 18" xfId="2443" xr:uid="{00000000-0005-0000-0000-000049090000}"/>
    <cellStyle name="20% - Énfasis4 25 2" xfId="2444" xr:uid="{00000000-0005-0000-0000-00004A090000}"/>
    <cellStyle name="20% - Énfasis4 25 3" xfId="2445" xr:uid="{00000000-0005-0000-0000-00004B090000}"/>
    <cellStyle name="20% - Énfasis4 25 4" xfId="2446" xr:uid="{00000000-0005-0000-0000-00004C090000}"/>
    <cellStyle name="20% - Énfasis4 25 5" xfId="2447" xr:uid="{00000000-0005-0000-0000-00004D090000}"/>
    <cellStyle name="20% - Énfasis4 25 6" xfId="2448" xr:uid="{00000000-0005-0000-0000-00004E090000}"/>
    <cellStyle name="20% - Énfasis4 25 7" xfId="2449" xr:uid="{00000000-0005-0000-0000-00004F090000}"/>
    <cellStyle name="20% - Énfasis4 25 8" xfId="2450" xr:uid="{00000000-0005-0000-0000-000050090000}"/>
    <cellStyle name="20% - Énfasis4 25 9" xfId="2451" xr:uid="{00000000-0005-0000-0000-000051090000}"/>
    <cellStyle name="20% - Énfasis4 26 10" xfId="2452" xr:uid="{00000000-0005-0000-0000-000052090000}"/>
    <cellStyle name="20% - Énfasis4 26 11" xfId="2453" xr:uid="{00000000-0005-0000-0000-000053090000}"/>
    <cellStyle name="20% - Énfasis4 26 12" xfId="2454" xr:uid="{00000000-0005-0000-0000-000054090000}"/>
    <cellStyle name="20% - Énfasis4 26 13" xfId="2455" xr:uid="{00000000-0005-0000-0000-000055090000}"/>
    <cellStyle name="20% - Énfasis4 26 14" xfId="2456" xr:uid="{00000000-0005-0000-0000-000056090000}"/>
    <cellStyle name="20% - Énfasis4 26 15" xfId="2457" xr:uid="{00000000-0005-0000-0000-000057090000}"/>
    <cellStyle name="20% - Énfasis4 26 16" xfId="2458" xr:uid="{00000000-0005-0000-0000-000058090000}"/>
    <cellStyle name="20% - Énfasis4 26 17" xfId="2459" xr:uid="{00000000-0005-0000-0000-000059090000}"/>
    <cellStyle name="20% - Énfasis4 26 18" xfId="2460" xr:uid="{00000000-0005-0000-0000-00005A090000}"/>
    <cellStyle name="20% - Énfasis4 26 2" xfId="2461" xr:uid="{00000000-0005-0000-0000-00005B090000}"/>
    <cellStyle name="20% - Énfasis4 26 3" xfId="2462" xr:uid="{00000000-0005-0000-0000-00005C090000}"/>
    <cellStyle name="20% - Énfasis4 26 4" xfId="2463" xr:uid="{00000000-0005-0000-0000-00005D090000}"/>
    <cellStyle name="20% - Énfasis4 26 5" xfId="2464" xr:uid="{00000000-0005-0000-0000-00005E090000}"/>
    <cellStyle name="20% - Énfasis4 26 6" xfId="2465" xr:uid="{00000000-0005-0000-0000-00005F090000}"/>
    <cellStyle name="20% - Énfasis4 26 7" xfId="2466" xr:uid="{00000000-0005-0000-0000-000060090000}"/>
    <cellStyle name="20% - Énfasis4 26 8" xfId="2467" xr:uid="{00000000-0005-0000-0000-000061090000}"/>
    <cellStyle name="20% - Énfasis4 26 9" xfId="2468" xr:uid="{00000000-0005-0000-0000-000062090000}"/>
    <cellStyle name="20% - Énfasis4 27 10" xfId="2469" xr:uid="{00000000-0005-0000-0000-000063090000}"/>
    <cellStyle name="20% - Énfasis4 27 11" xfId="2470" xr:uid="{00000000-0005-0000-0000-000064090000}"/>
    <cellStyle name="20% - Énfasis4 27 12" xfId="2471" xr:uid="{00000000-0005-0000-0000-000065090000}"/>
    <cellStyle name="20% - Énfasis4 27 13" xfId="2472" xr:uid="{00000000-0005-0000-0000-000066090000}"/>
    <cellStyle name="20% - Énfasis4 27 14" xfId="2473" xr:uid="{00000000-0005-0000-0000-000067090000}"/>
    <cellStyle name="20% - Énfasis4 27 15" xfId="2474" xr:uid="{00000000-0005-0000-0000-000068090000}"/>
    <cellStyle name="20% - Énfasis4 27 16" xfId="2475" xr:uid="{00000000-0005-0000-0000-000069090000}"/>
    <cellStyle name="20% - Énfasis4 27 17" xfId="2476" xr:uid="{00000000-0005-0000-0000-00006A090000}"/>
    <cellStyle name="20% - Énfasis4 27 18" xfId="2477" xr:uid="{00000000-0005-0000-0000-00006B090000}"/>
    <cellStyle name="20% - Énfasis4 27 2" xfId="2478" xr:uid="{00000000-0005-0000-0000-00006C090000}"/>
    <cellStyle name="20% - Énfasis4 27 3" xfId="2479" xr:uid="{00000000-0005-0000-0000-00006D090000}"/>
    <cellStyle name="20% - Énfasis4 27 4" xfId="2480" xr:uid="{00000000-0005-0000-0000-00006E090000}"/>
    <cellStyle name="20% - Énfasis4 27 5" xfId="2481" xr:uid="{00000000-0005-0000-0000-00006F090000}"/>
    <cellStyle name="20% - Énfasis4 27 6" xfId="2482" xr:uid="{00000000-0005-0000-0000-000070090000}"/>
    <cellStyle name="20% - Énfasis4 27 7" xfId="2483" xr:uid="{00000000-0005-0000-0000-000071090000}"/>
    <cellStyle name="20% - Énfasis4 27 8" xfId="2484" xr:uid="{00000000-0005-0000-0000-000072090000}"/>
    <cellStyle name="20% - Énfasis4 27 9" xfId="2485" xr:uid="{00000000-0005-0000-0000-000073090000}"/>
    <cellStyle name="20% - Énfasis4 28 10" xfId="2486" xr:uid="{00000000-0005-0000-0000-000074090000}"/>
    <cellStyle name="20% - Énfasis4 28 11" xfId="2487" xr:uid="{00000000-0005-0000-0000-000075090000}"/>
    <cellStyle name="20% - Énfasis4 28 12" xfId="2488" xr:uid="{00000000-0005-0000-0000-000076090000}"/>
    <cellStyle name="20% - Énfasis4 28 13" xfId="2489" xr:uid="{00000000-0005-0000-0000-000077090000}"/>
    <cellStyle name="20% - Énfasis4 28 14" xfId="2490" xr:uid="{00000000-0005-0000-0000-000078090000}"/>
    <cellStyle name="20% - Énfasis4 28 15" xfId="2491" xr:uid="{00000000-0005-0000-0000-000079090000}"/>
    <cellStyle name="20% - Énfasis4 28 16" xfId="2492" xr:uid="{00000000-0005-0000-0000-00007A090000}"/>
    <cellStyle name="20% - Énfasis4 28 17" xfId="2493" xr:uid="{00000000-0005-0000-0000-00007B090000}"/>
    <cellStyle name="20% - Énfasis4 28 18" xfId="2494" xr:uid="{00000000-0005-0000-0000-00007C090000}"/>
    <cellStyle name="20% - Énfasis4 28 2" xfId="2495" xr:uid="{00000000-0005-0000-0000-00007D090000}"/>
    <cellStyle name="20% - Énfasis4 28 3" xfId="2496" xr:uid="{00000000-0005-0000-0000-00007E090000}"/>
    <cellStyle name="20% - Énfasis4 28 4" xfId="2497" xr:uid="{00000000-0005-0000-0000-00007F090000}"/>
    <cellStyle name="20% - Énfasis4 28 5" xfId="2498" xr:uid="{00000000-0005-0000-0000-000080090000}"/>
    <cellStyle name="20% - Énfasis4 28 6" xfId="2499" xr:uid="{00000000-0005-0000-0000-000081090000}"/>
    <cellStyle name="20% - Énfasis4 28 7" xfId="2500" xr:uid="{00000000-0005-0000-0000-000082090000}"/>
    <cellStyle name="20% - Énfasis4 28 8" xfId="2501" xr:uid="{00000000-0005-0000-0000-000083090000}"/>
    <cellStyle name="20% - Énfasis4 28 9" xfId="2502" xr:uid="{00000000-0005-0000-0000-000084090000}"/>
    <cellStyle name="20% - Énfasis4 29 10" xfId="2503" xr:uid="{00000000-0005-0000-0000-000085090000}"/>
    <cellStyle name="20% - Énfasis4 29 11" xfId="2504" xr:uid="{00000000-0005-0000-0000-000086090000}"/>
    <cellStyle name="20% - Énfasis4 29 12" xfId="2505" xr:uid="{00000000-0005-0000-0000-000087090000}"/>
    <cellStyle name="20% - Énfasis4 29 13" xfId="2506" xr:uid="{00000000-0005-0000-0000-000088090000}"/>
    <cellStyle name="20% - Énfasis4 29 14" xfId="2507" xr:uid="{00000000-0005-0000-0000-000089090000}"/>
    <cellStyle name="20% - Énfasis4 29 15" xfId="2508" xr:uid="{00000000-0005-0000-0000-00008A090000}"/>
    <cellStyle name="20% - Énfasis4 29 16" xfId="2509" xr:uid="{00000000-0005-0000-0000-00008B090000}"/>
    <cellStyle name="20% - Énfasis4 29 17" xfId="2510" xr:uid="{00000000-0005-0000-0000-00008C090000}"/>
    <cellStyle name="20% - Énfasis4 29 18" xfId="2511" xr:uid="{00000000-0005-0000-0000-00008D090000}"/>
    <cellStyle name="20% - Énfasis4 29 2" xfId="2512" xr:uid="{00000000-0005-0000-0000-00008E090000}"/>
    <cellStyle name="20% - Énfasis4 29 3" xfId="2513" xr:uid="{00000000-0005-0000-0000-00008F090000}"/>
    <cellStyle name="20% - Énfasis4 29 4" xfId="2514" xr:uid="{00000000-0005-0000-0000-000090090000}"/>
    <cellStyle name="20% - Énfasis4 29 5" xfId="2515" xr:uid="{00000000-0005-0000-0000-000091090000}"/>
    <cellStyle name="20% - Énfasis4 29 6" xfId="2516" xr:uid="{00000000-0005-0000-0000-000092090000}"/>
    <cellStyle name="20% - Énfasis4 29 7" xfId="2517" xr:uid="{00000000-0005-0000-0000-000093090000}"/>
    <cellStyle name="20% - Énfasis4 29 8" xfId="2518" xr:uid="{00000000-0005-0000-0000-000094090000}"/>
    <cellStyle name="20% - Énfasis4 29 9" xfId="2519" xr:uid="{00000000-0005-0000-0000-000095090000}"/>
    <cellStyle name="20% - Énfasis4 3 10" xfId="2520" xr:uid="{00000000-0005-0000-0000-000096090000}"/>
    <cellStyle name="20% - Énfasis4 3 11" xfId="2521" xr:uid="{00000000-0005-0000-0000-000097090000}"/>
    <cellStyle name="20% - Énfasis4 3 12" xfId="2522" xr:uid="{00000000-0005-0000-0000-000098090000}"/>
    <cellStyle name="20% - Énfasis4 3 13" xfId="2523" xr:uid="{00000000-0005-0000-0000-000099090000}"/>
    <cellStyle name="20% - Énfasis4 3 14" xfId="2524" xr:uid="{00000000-0005-0000-0000-00009A090000}"/>
    <cellStyle name="20% - Énfasis4 3 15" xfId="2525" xr:uid="{00000000-0005-0000-0000-00009B090000}"/>
    <cellStyle name="20% - Énfasis4 3 16" xfId="2526" xr:uid="{00000000-0005-0000-0000-00009C090000}"/>
    <cellStyle name="20% - Énfasis4 3 17" xfId="2527" xr:uid="{00000000-0005-0000-0000-00009D090000}"/>
    <cellStyle name="20% - Énfasis4 3 18" xfId="2528" xr:uid="{00000000-0005-0000-0000-00009E090000}"/>
    <cellStyle name="20% - Énfasis4 3 2" xfId="2529" xr:uid="{00000000-0005-0000-0000-00009F090000}"/>
    <cellStyle name="20% - Énfasis4 3 3" xfId="2530" xr:uid="{00000000-0005-0000-0000-0000A0090000}"/>
    <cellStyle name="20% - Énfasis4 3 4" xfId="2531" xr:uid="{00000000-0005-0000-0000-0000A1090000}"/>
    <cellStyle name="20% - Énfasis4 3 5" xfId="2532" xr:uid="{00000000-0005-0000-0000-0000A2090000}"/>
    <cellStyle name="20% - Énfasis4 3 6" xfId="2533" xr:uid="{00000000-0005-0000-0000-0000A3090000}"/>
    <cellStyle name="20% - Énfasis4 3 7" xfId="2534" xr:uid="{00000000-0005-0000-0000-0000A4090000}"/>
    <cellStyle name="20% - Énfasis4 3 8" xfId="2535" xr:uid="{00000000-0005-0000-0000-0000A5090000}"/>
    <cellStyle name="20% - Énfasis4 3 9" xfId="2536" xr:uid="{00000000-0005-0000-0000-0000A6090000}"/>
    <cellStyle name="20% - Énfasis4 30 10" xfId="2537" xr:uid="{00000000-0005-0000-0000-0000A7090000}"/>
    <cellStyle name="20% - Énfasis4 30 11" xfId="2538" xr:uid="{00000000-0005-0000-0000-0000A8090000}"/>
    <cellStyle name="20% - Énfasis4 30 12" xfId="2539" xr:uid="{00000000-0005-0000-0000-0000A9090000}"/>
    <cellStyle name="20% - Énfasis4 30 13" xfId="2540" xr:uid="{00000000-0005-0000-0000-0000AA090000}"/>
    <cellStyle name="20% - Énfasis4 30 14" xfId="2541" xr:uid="{00000000-0005-0000-0000-0000AB090000}"/>
    <cellStyle name="20% - Énfasis4 30 15" xfId="2542" xr:uid="{00000000-0005-0000-0000-0000AC090000}"/>
    <cellStyle name="20% - Énfasis4 30 16" xfId="2543" xr:uid="{00000000-0005-0000-0000-0000AD090000}"/>
    <cellStyle name="20% - Énfasis4 30 17" xfId="2544" xr:uid="{00000000-0005-0000-0000-0000AE090000}"/>
    <cellStyle name="20% - Énfasis4 30 18" xfId="2545" xr:uid="{00000000-0005-0000-0000-0000AF090000}"/>
    <cellStyle name="20% - Énfasis4 30 2" xfId="2546" xr:uid="{00000000-0005-0000-0000-0000B0090000}"/>
    <cellStyle name="20% - Énfasis4 30 3" xfId="2547" xr:uid="{00000000-0005-0000-0000-0000B1090000}"/>
    <cellStyle name="20% - Énfasis4 30 4" xfId="2548" xr:uid="{00000000-0005-0000-0000-0000B2090000}"/>
    <cellStyle name="20% - Énfasis4 30 5" xfId="2549" xr:uid="{00000000-0005-0000-0000-0000B3090000}"/>
    <cellStyle name="20% - Énfasis4 30 6" xfId="2550" xr:uid="{00000000-0005-0000-0000-0000B4090000}"/>
    <cellStyle name="20% - Énfasis4 30 7" xfId="2551" xr:uid="{00000000-0005-0000-0000-0000B5090000}"/>
    <cellStyle name="20% - Énfasis4 30 8" xfId="2552" xr:uid="{00000000-0005-0000-0000-0000B6090000}"/>
    <cellStyle name="20% - Énfasis4 30 9" xfId="2553" xr:uid="{00000000-0005-0000-0000-0000B7090000}"/>
    <cellStyle name="20% - Énfasis4 31 10" xfId="2554" xr:uid="{00000000-0005-0000-0000-0000B8090000}"/>
    <cellStyle name="20% - Énfasis4 31 11" xfId="2555" xr:uid="{00000000-0005-0000-0000-0000B9090000}"/>
    <cellStyle name="20% - Énfasis4 31 12" xfId="2556" xr:uid="{00000000-0005-0000-0000-0000BA090000}"/>
    <cellStyle name="20% - Énfasis4 31 13" xfId="2557" xr:uid="{00000000-0005-0000-0000-0000BB090000}"/>
    <cellStyle name="20% - Énfasis4 31 14" xfId="2558" xr:uid="{00000000-0005-0000-0000-0000BC090000}"/>
    <cellStyle name="20% - Énfasis4 31 15" xfId="2559" xr:uid="{00000000-0005-0000-0000-0000BD090000}"/>
    <cellStyle name="20% - Énfasis4 31 16" xfId="2560" xr:uid="{00000000-0005-0000-0000-0000BE090000}"/>
    <cellStyle name="20% - Énfasis4 31 17" xfId="2561" xr:uid="{00000000-0005-0000-0000-0000BF090000}"/>
    <cellStyle name="20% - Énfasis4 31 18" xfId="2562" xr:uid="{00000000-0005-0000-0000-0000C0090000}"/>
    <cellStyle name="20% - Énfasis4 31 2" xfId="2563" xr:uid="{00000000-0005-0000-0000-0000C1090000}"/>
    <cellStyle name="20% - Énfasis4 31 3" xfId="2564" xr:uid="{00000000-0005-0000-0000-0000C2090000}"/>
    <cellStyle name="20% - Énfasis4 31 4" xfId="2565" xr:uid="{00000000-0005-0000-0000-0000C3090000}"/>
    <cellStyle name="20% - Énfasis4 31 5" xfId="2566" xr:uid="{00000000-0005-0000-0000-0000C4090000}"/>
    <cellStyle name="20% - Énfasis4 31 6" xfId="2567" xr:uid="{00000000-0005-0000-0000-0000C5090000}"/>
    <cellStyle name="20% - Énfasis4 31 7" xfId="2568" xr:uid="{00000000-0005-0000-0000-0000C6090000}"/>
    <cellStyle name="20% - Énfasis4 31 8" xfId="2569" xr:uid="{00000000-0005-0000-0000-0000C7090000}"/>
    <cellStyle name="20% - Énfasis4 31 9" xfId="2570" xr:uid="{00000000-0005-0000-0000-0000C8090000}"/>
    <cellStyle name="20% - Énfasis4 32 10" xfId="2571" xr:uid="{00000000-0005-0000-0000-0000C9090000}"/>
    <cellStyle name="20% - Énfasis4 32 11" xfId="2572" xr:uid="{00000000-0005-0000-0000-0000CA090000}"/>
    <cellStyle name="20% - Énfasis4 32 12" xfId="2573" xr:uid="{00000000-0005-0000-0000-0000CB090000}"/>
    <cellStyle name="20% - Énfasis4 32 13" xfId="2574" xr:uid="{00000000-0005-0000-0000-0000CC090000}"/>
    <cellStyle name="20% - Énfasis4 32 14" xfId="2575" xr:uid="{00000000-0005-0000-0000-0000CD090000}"/>
    <cellStyle name="20% - Énfasis4 32 15" xfId="2576" xr:uid="{00000000-0005-0000-0000-0000CE090000}"/>
    <cellStyle name="20% - Énfasis4 32 16" xfId="2577" xr:uid="{00000000-0005-0000-0000-0000CF090000}"/>
    <cellStyle name="20% - Énfasis4 32 17" xfId="2578" xr:uid="{00000000-0005-0000-0000-0000D0090000}"/>
    <cellStyle name="20% - Énfasis4 32 18" xfId="2579" xr:uid="{00000000-0005-0000-0000-0000D1090000}"/>
    <cellStyle name="20% - Énfasis4 32 2" xfId="2580" xr:uid="{00000000-0005-0000-0000-0000D2090000}"/>
    <cellStyle name="20% - Énfasis4 32 3" xfId="2581" xr:uid="{00000000-0005-0000-0000-0000D3090000}"/>
    <cellStyle name="20% - Énfasis4 32 4" xfId="2582" xr:uid="{00000000-0005-0000-0000-0000D4090000}"/>
    <cellStyle name="20% - Énfasis4 32 5" xfId="2583" xr:uid="{00000000-0005-0000-0000-0000D5090000}"/>
    <cellStyle name="20% - Énfasis4 32 6" xfId="2584" xr:uid="{00000000-0005-0000-0000-0000D6090000}"/>
    <cellStyle name="20% - Énfasis4 32 7" xfId="2585" xr:uid="{00000000-0005-0000-0000-0000D7090000}"/>
    <cellStyle name="20% - Énfasis4 32 8" xfId="2586" xr:uid="{00000000-0005-0000-0000-0000D8090000}"/>
    <cellStyle name="20% - Énfasis4 32 9" xfId="2587" xr:uid="{00000000-0005-0000-0000-0000D9090000}"/>
    <cellStyle name="20% - Énfasis4 33 10" xfId="2588" xr:uid="{00000000-0005-0000-0000-0000DA090000}"/>
    <cellStyle name="20% - Énfasis4 33 11" xfId="2589" xr:uid="{00000000-0005-0000-0000-0000DB090000}"/>
    <cellStyle name="20% - Énfasis4 33 12" xfId="2590" xr:uid="{00000000-0005-0000-0000-0000DC090000}"/>
    <cellStyle name="20% - Énfasis4 33 13" xfId="2591" xr:uid="{00000000-0005-0000-0000-0000DD090000}"/>
    <cellStyle name="20% - Énfasis4 33 14" xfId="2592" xr:uid="{00000000-0005-0000-0000-0000DE090000}"/>
    <cellStyle name="20% - Énfasis4 33 15" xfId="2593" xr:uid="{00000000-0005-0000-0000-0000DF090000}"/>
    <cellStyle name="20% - Énfasis4 33 16" xfId="2594" xr:uid="{00000000-0005-0000-0000-0000E0090000}"/>
    <cellStyle name="20% - Énfasis4 33 17" xfId="2595" xr:uid="{00000000-0005-0000-0000-0000E1090000}"/>
    <cellStyle name="20% - Énfasis4 33 18" xfId="2596" xr:uid="{00000000-0005-0000-0000-0000E2090000}"/>
    <cellStyle name="20% - Énfasis4 33 2" xfId="2597" xr:uid="{00000000-0005-0000-0000-0000E3090000}"/>
    <cellStyle name="20% - Énfasis4 33 3" xfId="2598" xr:uid="{00000000-0005-0000-0000-0000E4090000}"/>
    <cellStyle name="20% - Énfasis4 33 4" xfId="2599" xr:uid="{00000000-0005-0000-0000-0000E5090000}"/>
    <cellStyle name="20% - Énfasis4 33 5" xfId="2600" xr:uid="{00000000-0005-0000-0000-0000E6090000}"/>
    <cellStyle name="20% - Énfasis4 33 6" xfId="2601" xr:uid="{00000000-0005-0000-0000-0000E7090000}"/>
    <cellStyle name="20% - Énfasis4 33 7" xfId="2602" xr:uid="{00000000-0005-0000-0000-0000E8090000}"/>
    <cellStyle name="20% - Énfasis4 33 8" xfId="2603" xr:uid="{00000000-0005-0000-0000-0000E9090000}"/>
    <cellStyle name="20% - Énfasis4 33 9" xfId="2604" xr:uid="{00000000-0005-0000-0000-0000EA090000}"/>
    <cellStyle name="20% - Énfasis4 34 10" xfId="2605" xr:uid="{00000000-0005-0000-0000-0000EB090000}"/>
    <cellStyle name="20% - Énfasis4 34 11" xfId="2606" xr:uid="{00000000-0005-0000-0000-0000EC090000}"/>
    <cellStyle name="20% - Énfasis4 34 12" xfId="2607" xr:uid="{00000000-0005-0000-0000-0000ED090000}"/>
    <cellStyle name="20% - Énfasis4 34 13" xfId="2608" xr:uid="{00000000-0005-0000-0000-0000EE090000}"/>
    <cellStyle name="20% - Énfasis4 34 14" xfId="2609" xr:uid="{00000000-0005-0000-0000-0000EF090000}"/>
    <cellStyle name="20% - Énfasis4 34 15" xfId="2610" xr:uid="{00000000-0005-0000-0000-0000F0090000}"/>
    <cellStyle name="20% - Énfasis4 34 16" xfId="2611" xr:uid="{00000000-0005-0000-0000-0000F1090000}"/>
    <cellStyle name="20% - Énfasis4 34 17" xfId="2612" xr:uid="{00000000-0005-0000-0000-0000F2090000}"/>
    <cellStyle name="20% - Énfasis4 34 18" xfId="2613" xr:uid="{00000000-0005-0000-0000-0000F3090000}"/>
    <cellStyle name="20% - Énfasis4 34 2" xfId="2614" xr:uid="{00000000-0005-0000-0000-0000F4090000}"/>
    <cellStyle name="20% - Énfasis4 34 3" xfId="2615" xr:uid="{00000000-0005-0000-0000-0000F5090000}"/>
    <cellStyle name="20% - Énfasis4 34 4" xfId="2616" xr:uid="{00000000-0005-0000-0000-0000F6090000}"/>
    <cellStyle name="20% - Énfasis4 34 5" xfId="2617" xr:uid="{00000000-0005-0000-0000-0000F7090000}"/>
    <cellStyle name="20% - Énfasis4 34 6" xfId="2618" xr:uid="{00000000-0005-0000-0000-0000F8090000}"/>
    <cellStyle name="20% - Énfasis4 34 7" xfId="2619" xr:uid="{00000000-0005-0000-0000-0000F9090000}"/>
    <cellStyle name="20% - Énfasis4 34 8" xfId="2620" xr:uid="{00000000-0005-0000-0000-0000FA090000}"/>
    <cellStyle name="20% - Énfasis4 34 9" xfId="2621" xr:uid="{00000000-0005-0000-0000-0000FB090000}"/>
    <cellStyle name="20% - Énfasis4 35 10" xfId="2622" xr:uid="{00000000-0005-0000-0000-0000FC090000}"/>
    <cellStyle name="20% - Énfasis4 35 11" xfId="2623" xr:uid="{00000000-0005-0000-0000-0000FD090000}"/>
    <cellStyle name="20% - Énfasis4 35 12" xfId="2624" xr:uid="{00000000-0005-0000-0000-0000FE090000}"/>
    <cellStyle name="20% - Énfasis4 35 13" xfId="2625" xr:uid="{00000000-0005-0000-0000-0000FF090000}"/>
    <cellStyle name="20% - Énfasis4 35 14" xfId="2626" xr:uid="{00000000-0005-0000-0000-0000000A0000}"/>
    <cellStyle name="20% - Énfasis4 35 15" xfId="2627" xr:uid="{00000000-0005-0000-0000-0000010A0000}"/>
    <cellStyle name="20% - Énfasis4 35 16" xfId="2628" xr:uid="{00000000-0005-0000-0000-0000020A0000}"/>
    <cellStyle name="20% - Énfasis4 35 17" xfId="2629" xr:uid="{00000000-0005-0000-0000-0000030A0000}"/>
    <cellStyle name="20% - Énfasis4 35 18" xfId="2630" xr:uid="{00000000-0005-0000-0000-0000040A0000}"/>
    <cellStyle name="20% - Énfasis4 35 2" xfId="2631" xr:uid="{00000000-0005-0000-0000-0000050A0000}"/>
    <cellStyle name="20% - Énfasis4 35 3" xfId="2632" xr:uid="{00000000-0005-0000-0000-0000060A0000}"/>
    <cellStyle name="20% - Énfasis4 35 4" xfId="2633" xr:uid="{00000000-0005-0000-0000-0000070A0000}"/>
    <cellStyle name="20% - Énfasis4 35 5" xfId="2634" xr:uid="{00000000-0005-0000-0000-0000080A0000}"/>
    <cellStyle name="20% - Énfasis4 35 6" xfId="2635" xr:uid="{00000000-0005-0000-0000-0000090A0000}"/>
    <cellStyle name="20% - Énfasis4 35 7" xfId="2636" xr:uid="{00000000-0005-0000-0000-00000A0A0000}"/>
    <cellStyle name="20% - Énfasis4 35 8" xfId="2637" xr:uid="{00000000-0005-0000-0000-00000B0A0000}"/>
    <cellStyle name="20% - Énfasis4 35 9" xfId="2638" xr:uid="{00000000-0005-0000-0000-00000C0A0000}"/>
    <cellStyle name="20% - Énfasis4 36 10" xfId="2639" xr:uid="{00000000-0005-0000-0000-00000D0A0000}"/>
    <cellStyle name="20% - Énfasis4 36 11" xfId="2640" xr:uid="{00000000-0005-0000-0000-00000E0A0000}"/>
    <cellStyle name="20% - Énfasis4 36 12" xfId="2641" xr:uid="{00000000-0005-0000-0000-00000F0A0000}"/>
    <cellStyle name="20% - Énfasis4 36 13" xfId="2642" xr:uid="{00000000-0005-0000-0000-0000100A0000}"/>
    <cellStyle name="20% - Énfasis4 36 14" xfId="2643" xr:uid="{00000000-0005-0000-0000-0000110A0000}"/>
    <cellStyle name="20% - Énfasis4 36 15" xfId="2644" xr:uid="{00000000-0005-0000-0000-0000120A0000}"/>
    <cellStyle name="20% - Énfasis4 36 16" xfId="2645" xr:uid="{00000000-0005-0000-0000-0000130A0000}"/>
    <cellStyle name="20% - Énfasis4 36 17" xfId="2646" xr:uid="{00000000-0005-0000-0000-0000140A0000}"/>
    <cellStyle name="20% - Énfasis4 36 18" xfId="2647" xr:uid="{00000000-0005-0000-0000-0000150A0000}"/>
    <cellStyle name="20% - Énfasis4 36 2" xfId="2648" xr:uid="{00000000-0005-0000-0000-0000160A0000}"/>
    <cellStyle name="20% - Énfasis4 36 3" xfId="2649" xr:uid="{00000000-0005-0000-0000-0000170A0000}"/>
    <cellStyle name="20% - Énfasis4 36 4" xfId="2650" xr:uid="{00000000-0005-0000-0000-0000180A0000}"/>
    <cellStyle name="20% - Énfasis4 36 5" xfId="2651" xr:uid="{00000000-0005-0000-0000-0000190A0000}"/>
    <cellStyle name="20% - Énfasis4 36 6" xfId="2652" xr:uid="{00000000-0005-0000-0000-00001A0A0000}"/>
    <cellStyle name="20% - Énfasis4 36 7" xfId="2653" xr:uid="{00000000-0005-0000-0000-00001B0A0000}"/>
    <cellStyle name="20% - Énfasis4 36 8" xfId="2654" xr:uid="{00000000-0005-0000-0000-00001C0A0000}"/>
    <cellStyle name="20% - Énfasis4 36 9" xfId="2655" xr:uid="{00000000-0005-0000-0000-00001D0A0000}"/>
    <cellStyle name="20% - Énfasis4 37 10" xfId="2656" xr:uid="{00000000-0005-0000-0000-00001E0A0000}"/>
    <cellStyle name="20% - Énfasis4 37 11" xfId="2657" xr:uid="{00000000-0005-0000-0000-00001F0A0000}"/>
    <cellStyle name="20% - Énfasis4 37 12" xfId="2658" xr:uid="{00000000-0005-0000-0000-0000200A0000}"/>
    <cellStyle name="20% - Énfasis4 37 13" xfId="2659" xr:uid="{00000000-0005-0000-0000-0000210A0000}"/>
    <cellStyle name="20% - Énfasis4 37 14" xfId="2660" xr:uid="{00000000-0005-0000-0000-0000220A0000}"/>
    <cellStyle name="20% - Énfasis4 37 15" xfId="2661" xr:uid="{00000000-0005-0000-0000-0000230A0000}"/>
    <cellStyle name="20% - Énfasis4 37 16" xfId="2662" xr:uid="{00000000-0005-0000-0000-0000240A0000}"/>
    <cellStyle name="20% - Énfasis4 37 17" xfId="2663" xr:uid="{00000000-0005-0000-0000-0000250A0000}"/>
    <cellStyle name="20% - Énfasis4 37 18" xfId="2664" xr:uid="{00000000-0005-0000-0000-0000260A0000}"/>
    <cellStyle name="20% - Énfasis4 37 2" xfId="2665" xr:uid="{00000000-0005-0000-0000-0000270A0000}"/>
    <cellStyle name="20% - Énfasis4 37 3" xfId="2666" xr:uid="{00000000-0005-0000-0000-0000280A0000}"/>
    <cellStyle name="20% - Énfasis4 37 4" xfId="2667" xr:uid="{00000000-0005-0000-0000-0000290A0000}"/>
    <cellStyle name="20% - Énfasis4 37 5" xfId="2668" xr:uid="{00000000-0005-0000-0000-00002A0A0000}"/>
    <cellStyle name="20% - Énfasis4 37 6" xfId="2669" xr:uid="{00000000-0005-0000-0000-00002B0A0000}"/>
    <cellStyle name="20% - Énfasis4 37 7" xfId="2670" xr:uid="{00000000-0005-0000-0000-00002C0A0000}"/>
    <cellStyle name="20% - Énfasis4 37 8" xfId="2671" xr:uid="{00000000-0005-0000-0000-00002D0A0000}"/>
    <cellStyle name="20% - Énfasis4 37 9" xfId="2672" xr:uid="{00000000-0005-0000-0000-00002E0A0000}"/>
    <cellStyle name="20% - Énfasis4 38 10" xfId="2673" xr:uid="{00000000-0005-0000-0000-00002F0A0000}"/>
    <cellStyle name="20% - Énfasis4 38 11" xfId="2674" xr:uid="{00000000-0005-0000-0000-0000300A0000}"/>
    <cellStyle name="20% - Énfasis4 38 12" xfId="2675" xr:uid="{00000000-0005-0000-0000-0000310A0000}"/>
    <cellStyle name="20% - Énfasis4 38 13" xfId="2676" xr:uid="{00000000-0005-0000-0000-0000320A0000}"/>
    <cellStyle name="20% - Énfasis4 38 14" xfId="2677" xr:uid="{00000000-0005-0000-0000-0000330A0000}"/>
    <cellStyle name="20% - Énfasis4 38 15" xfId="2678" xr:uid="{00000000-0005-0000-0000-0000340A0000}"/>
    <cellStyle name="20% - Énfasis4 38 16" xfId="2679" xr:uid="{00000000-0005-0000-0000-0000350A0000}"/>
    <cellStyle name="20% - Énfasis4 38 17" xfId="2680" xr:uid="{00000000-0005-0000-0000-0000360A0000}"/>
    <cellStyle name="20% - Énfasis4 38 18" xfId="2681" xr:uid="{00000000-0005-0000-0000-0000370A0000}"/>
    <cellStyle name="20% - Énfasis4 38 2" xfId="2682" xr:uid="{00000000-0005-0000-0000-0000380A0000}"/>
    <cellStyle name="20% - Énfasis4 38 3" xfId="2683" xr:uid="{00000000-0005-0000-0000-0000390A0000}"/>
    <cellStyle name="20% - Énfasis4 38 4" xfId="2684" xr:uid="{00000000-0005-0000-0000-00003A0A0000}"/>
    <cellStyle name="20% - Énfasis4 38 5" xfId="2685" xr:uid="{00000000-0005-0000-0000-00003B0A0000}"/>
    <cellStyle name="20% - Énfasis4 38 6" xfId="2686" xr:uid="{00000000-0005-0000-0000-00003C0A0000}"/>
    <cellStyle name="20% - Énfasis4 38 7" xfId="2687" xr:uid="{00000000-0005-0000-0000-00003D0A0000}"/>
    <cellStyle name="20% - Énfasis4 38 8" xfId="2688" xr:uid="{00000000-0005-0000-0000-00003E0A0000}"/>
    <cellStyle name="20% - Énfasis4 38 9" xfId="2689" xr:uid="{00000000-0005-0000-0000-00003F0A0000}"/>
    <cellStyle name="20% - Énfasis4 39" xfId="2690" xr:uid="{00000000-0005-0000-0000-0000400A0000}"/>
    <cellStyle name="20% - Énfasis4 39 10" xfId="2691" xr:uid="{00000000-0005-0000-0000-0000410A0000}"/>
    <cellStyle name="20% - Énfasis4 39 11" xfId="2692" xr:uid="{00000000-0005-0000-0000-0000420A0000}"/>
    <cellStyle name="20% - Énfasis4 39 12" xfId="2693" xr:uid="{00000000-0005-0000-0000-0000430A0000}"/>
    <cellStyle name="20% - Énfasis4 39 13" xfId="2694" xr:uid="{00000000-0005-0000-0000-0000440A0000}"/>
    <cellStyle name="20% - Énfasis4 39 14" xfId="2695" xr:uid="{00000000-0005-0000-0000-0000450A0000}"/>
    <cellStyle name="20% - Énfasis4 39 15" xfId="2696" xr:uid="{00000000-0005-0000-0000-0000460A0000}"/>
    <cellStyle name="20% - Énfasis4 39 2" xfId="2697" xr:uid="{00000000-0005-0000-0000-0000470A0000}"/>
    <cellStyle name="20% - Énfasis4 39 3" xfId="2698" xr:uid="{00000000-0005-0000-0000-0000480A0000}"/>
    <cellStyle name="20% - Énfasis4 39 4" xfId="2699" xr:uid="{00000000-0005-0000-0000-0000490A0000}"/>
    <cellStyle name="20% - Énfasis4 39 5" xfId="2700" xr:uid="{00000000-0005-0000-0000-00004A0A0000}"/>
    <cellStyle name="20% - Énfasis4 39 6" xfId="2701" xr:uid="{00000000-0005-0000-0000-00004B0A0000}"/>
    <cellStyle name="20% - Énfasis4 39 7" xfId="2702" xr:uid="{00000000-0005-0000-0000-00004C0A0000}"/>
    <cellStyle name="20% - Énfasis4 39 8" xfId="2703" xr:uid="{00000000-0005-0000-0000-00004D0A0000}"/>
    <cellStyle name="20% - Énfasis4 39 9" xfId="2704" xr:uid="{00000000-0005-0000-0000-00004E0A0000}"/>
    <cellStyle name="20% - Énfasis4 4 10" xfId="2705" xr:uid="{00000000-0005-0000-0000-00004F0A0000}"/>
    <cellStyle name="20% - Énfasis4 4 11" xfId="2706" xr:uid="{00000000-0005-0000-0000-0000500A0000}"/>
    <cellStyle name="20% - Énfasis4 4 12" xfId="2707" xr:uid="{00000000-0005-0000-0000-0000510A0000}"/>
    <cellStyle name="20% - Énfasis4 4 13" xfId="2708" xr:uid="{00000000-0005-0000-0000-0000520A0000}"/>
    <cellStyle name="20% - Énfasis4 4 14" xfId="2709" xr:uid="{00000000-0005-0000-0000-0000530A0000}"/>
    <cellStyle name="20% - Énfasis4 4 15" xfId="2710" xr:uid="{00000000-0005-0000-0000-0000540A0000}"/>
    <cellStyle name="20% - Énfasis4 4 16" xfId="2711" xr:uid="{00000000-0005-0000-0000-0000550A0000}"/>
    <cellStyle name="20% - Énfasis4 4 17" xfId="2712" xr:uid="{00000000-0005-0000-0000-0000560A0000}"/>
    <cellStyle name="20% - Énfasis4 4 18" xfId="2713" xr:uid="{00000000-0005-0000-0000-0000570A0000}"/>
    <cellStyle name="20% - Énfasis4 4 2" xfId="2714" xr:uid="{00000000-0005-0000-0000-0000580A0000}"/>
    <cellStyle name="20% - Énfasis4 4 3" xfId="2715" xr:uid="{00000000-0005-0000-0000-0000590A0000}"/>
    <cellStyle name="20% - Énfasis4 4 4" xfId="2716" xr:uid="{00000000-0005-0000-0000-00005A0A0000}"/>
    <cellStyle name="20% - Énfasis4 4 5" xfId="2717" xr:uid="{00000000-0005-0000-0000-00005B0A0000}"/>
    <cellStyle name="20% - Énfasis4 4 6" xfId="2718" xr:uid="{00000000-0005-0000-0000-00005C0A0000}"/>
    <cellStyle name="20% - Énfasis4 4 7" xfId="2719" xr:uid="{00000000-0005-0000-0000-00005D0A0000}"/>
    <cellStyle name="20% - Énfasis4 4 8" xfId="2720" xr:uid="{00000000-0005-0000-0000-00005E0A0000}"/>
    <cellStyle name="20% - Énfasis4 4 9" xfId="2721" xr:uid="{00000000-0005-0000-0000-00005F0A0000}"/>
    <cellStyle name="20% - Énfasis4 40" xfId="2722" xr:uid="{00000000-0005-0000-0000-0000600A0000}"/>
    <cellStyle name="20% - Énfasis4 40 10" xfId="2723" xr:uid="{00000000-0005-0000-0000-0000610A0000}"/>
    <cellStyle name="20% - Énfasis4 40 11" xfId="2724" xr:uid="{00000000-0005-0000-0000-0000620A0000}"/>
    <cellStyle name="20% - Énfasis4 40 12" xfId="2725" xr:uid="{00000000-0005-0000-0000-0000630A0000}"/>
    <cellStyle name="20% - Énfasis4 40 13" xfId="2726" xr:uid="{00000000-0005-0000-0000-0000640A0000}"/>
    <cellStyle name="20% - Énfasis4 40 14" xfId="2727" xr:uid="{00000000-0005-0000-0000-0000650A0000}"/>
    <cellStyle name="20% - Énfasis4 40 15" xfId="2728" xr:uid="{00000000-0005-0000-0000-0000660A0000}"/>
    <cellStyle name="20% - Énfasis4 40 2" xfId="2729" xr:uid="{00000000-0005-0000-0000-0000670A0000}"/>
    <cellStyle name="20% - Énfasis4 40 3" xfId="2730" xr:uid="{00000000-0005-0000-0000-0000680A0000}"/>
    <cellStyle name="20% - Énfasis4 40 4" xfId="2731" xr:uid="{00000000-0005-0000-0000-0000690A0000}"/>
    <cellStyle name="20% - Énfasis4 40 5" xfId="2732" xr:uid="{00000000-0005-0000-0000-00006A0A0000}"/>
    <cellStyle name="20% - Énfasis4 40 6" xfId="2733" xr:uid="{00000000-0005-0000-0000-00006B0A0000}"/>
    <cellStyle name="20% - Énfasis4 40 7" xfId="2734" xr:uid="{00000000-0005-0000-0000-00006C0A0000}"/>
    <cellStyle name="20% - Énfasis4 40 8" xfId="2735" xr:uid="{00000000-0005-0000-0000-00006D0A0000}"/>
    <cellStyle name="20% - Énfasis4 40 9" xfId="2736" xr:uid="{00000000-0005-0000-0000-00006E0A0000}"/>
    <cellStyle name="20% - Énfasis4 41" xfId="2737" xr:uid="{00000000-0005-0000-0000-00006F0A0000}"/>
    <cellStyle name="20% - Énfasis4 41 10" xfId="2738" xr:uid="{00000000-0005-0000-0000-0000700A0000}"/>
    <cellStyle name="20% - Énfasis4 41 11" xfId="2739" xr:uid="{00000000-0005-0000-0000-0000710A0000}"/>
    <cellStyle name="20% - Énfasis4 41 12" xfId="2740" xr:uid="{00000000-0005-0000-0000-0000720A0000}"/>
    <cellStyle name="20% - Énfasis4 41 13" xfId="2741" xr:uid="{00000000-0005-0000-0000-0000730A0000}"/>
    <cellStyle name="20% - Énfasis4 41 14" xfId="2742" xr:uid="{00000000-0005-0000-0000-0000740A0000}"/>
    <cellStyle name="20% - Énfasis4 41 15" xfId="2743" xr:uid="{00000000-0005-0000-0000-0000750A0000}"/>
    <cellStyle name="20% - Énfasis4 41 2" xfId="2744" xr:uid="{00000000-0005-0000-0000-0000760A0000}"/>
    <cellStyle name="20% - Énfasis4 41 3" xfId="2745" xr:uid="{00000000-0005-0000-0000-0000770A0000}"/>
    <cellStyle name="20% - Énfasis4 41 4" xfId="2746" xr:uid="{00000000-0005-0000-0000-0000780A0000}"/>
    <cellStyle name="20% - Énfasis4 41 5" xfId="2747" xr:uid="{00000000-0005-0000-0000-0000790A0000}"/>
    <cellStyle name="20% - Énfasis4 41 6" xfId="2748" xr:uid="{00000000-0005-0000-0000-00007A0A0000}"/>
    <cellStyle name="20% - Énfasis4 41 7" xfId="2749" xr:uid="{00000000-0005-0000-0000-00007B0A0000}"/>
    <cellStyle name="20% - Énfasis4 41 8" xfId="2750" xr:uid="{00000000-0005-0000-0000-00007C0A0000}"/>
    <cellStyle name="20% - Énfasis4 41 9" xfId="2751" xr:uid="{00000000-0005-0000-0000-00007D0A0000}"/>
    <cellStyle name="20% - Énfasis4 42" xfId="2752" xr:uid="{00000000-0005-0000-0000-00007E0A0000}"/>
    <cellStyle name="20% - Énfasis4 43" xfId="2753" xr:uid="{00000000-0005-0000-0000-00007F0A0000}"/>
    <cellStyle name="20% - Énfasis4 44" xfId="2754" xr:uid="{00000000-0005-0000-0000-0000800A0000}"/>
    <cellStyle name="20% - Énfasis4 45" xfId="2755" xr:uid="{00000000-0005-0000-0000-0000810A0000}"/>
    <cellStyle name="20% - Énfasis4 46" xfId="2756" xr:uid="{00000000-0005-0000-0000-0000820A0000}"/>
    <cellStyle name="20% - Énfasis4 47" xfId="2757" xr:uid="{00000000-0005-0000-0000-0000830A0000}"/>
    <cellStyle name="20% - Énfasis4 48" xfId="2758" xr:uid="{00000000-0005-0000-0000-0000840A0000}"/>
    <cellStyle name="20% - Énfasis4 49" xfId="2759" xr:uid="{00000000-0005-0000-0000-0000850A0000}"/>
    <cellStyle name="20% - Énfasis4 5 10" xfId="2760" xr:uid="{00000000-0005-0000-0000-0000860A0000}"/>
    <cellStyle name="20% - Énfasis4 5 11" xfId="2761" xr:uid="{00000000-0005-0000-0000-0000870A0000}"/>
    <cellStyle name="20% - Énfasis4 5 12" xfId="2762" xr:uid="{00000000-0005-0000-0000-0000880A0000}"/>
    <cellStyle name="20% - Énfasis4 5 13" xfId="2763" xr:uid="{00000000-0005-0000-0000-0000890A0000}"/>
    <cellStyle name="20% - Énfasis4 5 14" xfId="2764" xr:uid="{00000000-0005-0000-0000-00008A0A0000}"/>
    <cellStyle name="20% - Énfasis4 5 15" xfId="2765" xr:uid="{00000000-0005-0000-0000-00008B0A0000}"/>
    <cellStyle name="20% - Énfasis4 5 16" xfId="2766" xr:uid="{00000000-0005-0000-0000-00008C0A0000}"/>
    <cellStyle name="20% - Énfasis4 5 17" xfId="2767" xr:uid="{00000000-0005-0000-0000-00008D0A0000}"/>
    <cellStyle name="20% - Énfasis4 5 18" xfId="2768" xr:uid="{00000000-0005-0000-0000-00008E0A0000}"/>
    <cellStyle name="20% - Énfasis4 5 2" xfId="2769" xr:uid="{00000000-0005-0000-0000-00008F0A0000}"/>
    <cellStyle name="20% - Énfasis4 5 3" xfId="2770" xr:uid="{00000000-0005-0000-0000-0000900A0000}"/>
    <cellStyle name="20% - Énfasis4 5 4" xfId="2771" xr:uid="{00000000-0005-0000-0000-0000910A0000}"/>
    <cellStyle name="20% - Énfasis4 5 5" xfId="2772" xr:uid="{00000000-0005-0000-0000-0000920A0000}"/>
    <cellStyle name="20% - Énfasis4 5 6" xfId="2773" xr:uid="{00000000-0005-0000-0000-0000930A0000}"/>
    <cellStyle name="20% - Énfasis4 5 7" xfId="2774" xr:uid="{00000000-0005-0000-0000-0000940A0000}"/>
    <cellStyle name="20% - Énfasis4 5 8" xfId="2775" xr:uid="{00000000-0005-0000-0000-0000950A0000}"/>
    <cellStyle name="20% - Énfasis4 5 9" xfId="2776" xr:uid="{00000000-0005-0000-0000-0000960A0000}"/>
    <cellStyle name="20% - Énfasis4 50" xfId="2777" xr:uid="{00000000-0005-0000-0000-0000970A0000}"/>
    <cellStyle name="20% - Énfasis4 51" xfId="2778" xr:uid="{00000000-0005-0000-0000-0000980A0000}"/>
    <cellStyle name="20% - Énfasis4 52" xfId="2779" xr:uid="{00000000-0005-0000-0000-0000990A0000}"/>
    <cellStyle name="20% - Énfasis4 53" xfId="2780" xr:uid="{00000000-0005-0000-0000-00009A0A0000}"/>
    <cellStyle name="20% - Énfasis4 54" xfId="2781" xr:uid="{00000000-0005-0000-0000-00009B0A0000}"/>
    <cellStyle name="20% - Énfasis4 55" xfId="2782" xr:uid="{00000000-0005-0000-0000-00009C0A0000}"/>
    <cellStyle name="20% - Énfasis4 56" xfId="2783" xr:uid="{00000000-0005-0000-0000-00009D0A0000}"/>
    <cellStyle name="20% - Énfasis4 57" xfId="2784" xr:uid="{00000000-0005-0000-0000-00009E0A0000}"/>
    <cellStyle name="20% - Énfasis4 58" xfId="2785" xr:uid="{00000000-0005-0000-0000-00009F0A0000}"/>
    <cellStyle name="20% - Énfasis4 59" xfId="2786" xr:uid="{00000000-0005-0000-0000-0000A00A0000}"/>
    <cellStyle name="20% - Énfasis4 6 10" xfId="2787" xr:uid="{00000000-0005-0000-0000-0000A10A0000}"/>
    <cellStyle name="20% - Énfasis4 6 11" xfId="2788" xr:uid="{00000000-0005-0000-0000-0000A20A0000}"/>
    <cellStyle name="20% - Énfasis4 6 12" xfId="2789" xr:uid="{00000000-0005-0000-0000-0000A30A0000}"/>
    <cellStyle name="20% - Énfasis4 6 13" xfId="2790" xr:uid="{00000000-0005-0000-0000-0000A40A0000}"/>
    <cellStyle name="20% - Énfasis4 6 14" xfId="2791" xr:uid="{00000000-0005-0000-0000-0000A50A0000}"/>
    <cellStyle name="20% - Énfasis4 6 15" xfId="2792" xr:uid="{00000000-0005-0000-0000-0000A60A0000}"/>
    <cellStyle name="20% - Énfasis4 6 16" xfId="2793" xr:uid="{00000000-0005-0000-0000-0000A70A0000}"/>
    <cellStyle name="20% - Énfasis4 6 17" xfId="2794" xr:uid="{00000000-0005-0000-0000-0000A80A0000}"/>
    <cellStyle name="20% - Énfasis4 6 18" xfId="2795" xr:uid="{00000000-0005-0000-0000-0000A90A0000}"/>
    <cellStyle name="20% - Énfasis4 6 2" xfId="2796" xr:uid="{00000000-0005-0000-0000-0000AA0A0000}"/>
    <cellStyle name="20% - Énfasis4 6 3" xfId="2797" xr:uid="{00000000-0005-0000-0000-0000AB0A0000}"/>
    <cellStyle name="20% - Énfasis4 6 4" xfId="2798" xr:uid="{00000000-0005-0000-0000-0000AC0A0000}"/>
    <cellStyle name="20% - Énfasis4 6 5" xfId="2799" xr:uid="{00000000-0005-0000-0000-0000AD0A0000}"/>
    <cellStyle name="20% - Énfasis4 6 6" xfId="2800" xr:uid="{00000000-0005-0000-0000-0000AE0A0000}"/>
    <cellStyle name="20% - Énfasis4 6 7" xfId="2801" xr:uid="{00000000-0005-0000-0000-0000AF0A0000}"/>
    <cellStyle name="20% - Énfasis4 6 8" xfId="2802" xr:uid="{00000000-0005-0000-0000-0000B00A0000}"/>
    <cellStyle name="20% - Énfasis4 6 9" xfId="2803" xr:uid="{00000000-0005-0000-0000-0000B10A0000}"/>
    <cellStyle name="20% - Énfasis4 60" xfId="2804" xr:uid="{00000000-0005-0000-0000-0000B20A0000}"/>
    <cellStyle name="20% - Énfasis4 61" xfId="2805" xr:uid="{00000000-0005-0000-0000-0000B30A0000}"/>
    <cellStyle name="20% - Énfasis4 62" xfId="2806" xr:uid="{00000000-0005-0000-0000-0000B40A0000}"/>
    <cellStyle name="20% - Énfasis4 63" xfId="2807" xr:uid="{00000000-0005-0000-0000-0000B50A0000}"/>
    <cellStyle name="20% - Énfasis4 64" xfId="2808" xr:uid="{00000000-0005-0000-0000-0000B60A0000}"/>
    <cellStyle name="20% - Énfasis4 7 10" xfId="2809" xr:uid="{00000000-0005-0000-0000-0000B70A0000}"/>
    <cellStyle name="20% - Énfasis4 7 11" xfId="2810" xr:uid="{00000000-0005-0000-0000-0000B80A0000}"/>
    <cellStyle name="20% - Énfasis4 7 12" xfId="2811" xr:uid="{00000000-0005-0000-0000-0000B90A0000}"/>
    <cellStyle name="20% - Énfasis4 7 13" xfId="2812" xr:uid="{00000000-0005-0000-0000-0000BA0A0000}"/>
    <cellStyle name="20% - Énfasis4 7 14" xfId="2813" xr:uid="{00000000-0005-0000-0000-0000BB0A0000}"/>
    <cellStyle name="20% - Énfasis4 7 15" xfId="2814" xr:uid="{00000000-0005-0000-0000-0000BC0A0000}"/>
    <cellStyle name="20% - Énfasis4 7 16" xfId="2815" xr:uid="{00000000-0005-0000-0000-0000BD0A0000}"/>
    <cellStyle name="20% - Énfasis4 7 17" xfId="2816" xr:uid="{00000000-0005-0000-0000-0000BE0A0000}"/>
    <cellStyle name="20% - Énfasis4 7 18" xfId="2817" xr:uid="{00000000-0005-0000-0000-0000BF0A0000}"/>
    <cellStyle name="20% - Énfasis4 7 2" xfId="2818" xr:uid="{00000000-0005-0000-0000-0000C00A0000}"/>
    <cellStyle name="20% - Énfasis4 7 3" xfId="2819" xr:uid="{00000000-0005-0000-0000-0000C10A0000}"/>
    <cellStyle name="20% - Énfasis4 7 4" xfId="2820" xr:uid="{00000000-0005-0000-0000-0000C20A0000}"/>
    <cellStyle name="20% - Énfasis4 7 5" xfId="2821" xr:uid="{00000000-0005-0000-0000-0000C30A0000}"/>
    <cellStyle name="20% - Énfasis4 7 6" xfId="2822" xr:uid="{00000000-0005-0000-0000-0000C40A0000}"/>
    <cellStyle name="20% - Énfasis4 7 7" xfId="2823" xr:uid="{00000000-0005-0000-0000-0000C50A0000}"/>
    <cellStyle name="20% - Énfasis4 7 8" xfId="2824" xr:uid="{00000000-0005-0000-0000-0000C60A0000}"/>
    <cellStyle name="20% - Énfasis4 7 9" xfId="2825" xr:uid="{00000000-0005-0000-0000-0000C70A0000}"/>
    <cellStyle name="20% - Énfasis4 8 10" xfId="2826" xr:uid="{00000000-0005-0000-0000-0000C80A0000}"/>
    <cellStyle name="20% - Énfasis4 8 11" xfId="2827" xr:uid="{00000000-0005-0000-0000-0000C90A0000}"/>
    <cellStyle name="20% - Énfasis4 8 12" xfId="2828" xr:uid="{00000000-0005-0000-0000-0000CA0A0000}"/>
    <cellStyle name="20% - Énfasis4 8 13" xfId="2829" xr:uid="{00000000-0005-0000-0000-0000CB0A0000}"/>
    <cellStyle name="20% - Énfasis4 8 14" xfId="2830" xr:uid="{00000000-0005-0000-0000-0000CC0A0000}"/>
    <cellStyle name="20% - Énfasis4 8 15" xfId="2831" xr:uid="{00000000-0005-0000-0000-0000CD0A0000}"/>
    <cellStyle name="20% - Énfasis4 8 16" xfId="2832" xr:uid="{00000000-0005-0000-0000-0000CE0A0000}"/>
    <cellStyle name="20% - Énfasis4 8 17" xfId="2833" xr:uid="{00000000-0005-0000-0000-0000CF0A0000}"/>
    <cellStyle name="20% - Énfasis4 8 18" xfId="2834" xr:uid="{00000000-0005-0000-0000-0000D00A0000}"/>
    <cellStyle name="20% - Énfasis4 8 2" xfId="2835" xr:uid="{00000000-0005-0000-0000-0000D10A0000}"/>
    <cellStyle name="20% - Énfasis4 8 3" xfId="2836" xr:uid="{00000000-0005-0000-0000-0000D20A0000}"/>
    <cellStyle name="20% - Énfasis4 8 4" xfId="2837" xr:uid="{00000000-0005-0000-0000-0000D30A0000}"/>
    <cellStyle name="20% - Énfasis4 8 5" xfId="2838" xr:uid="{00000000-0005-0000-0000-0000D40A0000}"/>
    <cellStyle name="20% - Énfasis4 8 6" xfId="2839" xr:uid="{00000000-0005-0000-0000-0000D50A0000}"/>
    <cellStyle name="20% - Énfasis4 8 7" xfId="2840" xr:uid="{00000000-0005-0000-0000-0000D60A0000}"/>
    <cellStyle name="20% - Énfasis4 8 8" xfId="2841" xr:uid="{00000000-0005-0000-0000-0000D70A0000}"/>
    <cellStyle name="20% - Énfasis4 8 9" xfId="2842" xr:uid="{00000000-0005-0000-0000-0000D80A0000}"/>
    <cellStyle name="20% - Énfasis4 9 10" xfId="2843" xr:uid="{00000000-0005-0000-0000-0000D90A0000}"/>
    <cellStyle name="20% - Énfasis4 9 11" xfId="2844" xr:uid="{00000000-0005-0000-0000-0000DA0A0000}"/>
    <cellStyle name="20% - Énfasis4 9 12" xfId="2845" xr:uid="{00000000-0005-0000-0000-0000DB0A0000}"/>
    <cellStyle name="20% - Énfasis4 9 13" xfId="2846" xr:uid="{00000000-0005-0000-0000-0000DC0A0000}"/>
    <cellStyle name="20% - Énfasis4 9 14" xfId="2847" xr:uid="{00000000-0005-0000-0000-0000DD0A0000}"/>
    <cellStyle name="20% - Énfasis4 9 15" xfId="2848" xr:uid="{00000000-0005-0000-0000-0000DE0A0000}"/>
    <cellStyle name="20% - Énfasis4 9 16" xfId="2849" xr:uid="{00000000-0005-0000-0000-0000DF0A0000}"/>
    <cellStyle name="20% - Énfasis4 9 17" xfId="2850" xr:uid="{00000000-0005-0000-0000-0000E00A0000}"/>
    <cellStyle name="20% - Énfasis4 9 18" xfId="2851" xr:uid="{00000000-0005-0000-0000-0000E10A0000}"/>
    <cellStyle name="20% - Énfasis4 9 2" xfId="2852" xr:uid="{00000000-0005-0000-0000-0000E20A0000}"/>
    <cellStyle name="20% - Énfasis4 9 3" xfId="2853" xr:uid="{00000000-0005-0000-0000-0000E30A0000}"/>
    <cellStyle name="20% - Énfasis4 9 4" xfId="2854" xr:uid="{00000000-0005-0000-0000-0000E40A0000}"/>
    <cellStyle name="20% - Énfasis4 9 5" xfId="2855" xr:uid="{00000000-0005-0000-0000-0000E50A0000}"/>
    <cellStyle name="20% - Énfasis4 9 6" xfId="2856" xr:uid="{00000000-0005-0000-0000-0000E60A0000}"/>
    <cellStyle name="20% - Énfasis4 9 7" xfId="2857" xr:uid="{00000000-0005-0000-0000-0000E70A0000}"/>
    <cellStyle name="20% - Énfasis4 9 8" xfId="2858" xr:uid="{00000000-0005-0000-0000-0000E80A0000}"/>
    <cellStyle name="20% - Énfasis4 9 9" xfId="2859" xr:uid="{00000000-0005-0000-0000-0000E90A0000}"/>
    <cellStyle name="20% - Énfasis5" xfId="32545" builtinId="46" customBuiltin="1"/>
    <cellStyle name="20% - Énfasis5 10 10" xfId="2860" xr:uid="{00000000-0005-0000-0000-0000EB0A0000}"/>
    <cellStyle name="20% - Énfasis5 10 11" xfId="2861" xr:uid="{00000000-0005-0000-0000-0000EC0A0000}"/>
    <cellStyle name="20% - Énfasis5 10 12" xfId="2862" xr:uid="{00000000-0005-0000-0000-0000ED0A0000}"/>
    <cellStyle name="20% - Énfasis5 10 13" xfId="2863" xr:uid="{00000000-0005-0000-0000-0000EE0A0000}"/>
    <cellStyle name="20% - Énfasis5 10 14" xfId="2864" xr:uid="{00000000-0005-0000-0000-0000EF0A0000}"/>
    <cellStyle name="20% - Énfasis5 10 15" xfId="2865" xr:uid="{00000000-0005-0000-0000-0000F00A0000}"/>
    <cellStyle name="20% - Énfasis5 10 16" xfId="2866" xr:uid="{00000000-0005-0000-0000-0000F10A0000}"/>
    <cellStyle name="20% - Énfasis5 10 17" xfId="2867" xr:uid="{00000000-0005-0000-0000-0000F20A0000}"/>
    <cellStyle name="20% - Énfasis5 10 18" xfId="2868" xr:uid="{00000000-0005-0000-0000-0000F30A0000}"/>
    <cellStyle name="20% - Énfasis5 10 2" xfId="2869" xr:uid="{00000000-0005-0000-0000-0000F40A0000}"/>
    <cellStyle name="20% - Énfasis5 10 3" xfId="2870" xr:uid="{00000000-0005-0000-0000-0000F50A0000}"/>
    <cellStyle name="20% - Énfasis5 10 4" xfId="2871" xr:uid="{00000000-0005-0000-0000-0000F60A0000}"/>
    <cellStyle name="20% - Énfasis5 10 5" xfId="2872" xr:uid="{00000000-0005-0000-0000-0000F70A0000}"/>
    <cellStyle name="20% - Énfasis5 10 6" xfId="2873" xr:uid="{00000000-0005-0000-0000-0000F80A0000}"/>
    <cellStyle name="20% - Énfasis5 10 7" xfId="2874" xr:uid="{00000000-0005-0000-0000-0000F90A0000}"/>
    <cellStyle name="20% - Énfasis5 10 8" xfId="2875" xr:uid="{00000000-0005-0000-0000-0000FA0A0000}"/>
    <cellStyle name="20% - Énfasis5 10 9" xfId="2876" xr:uid="{00000000-0005-0000-0000-0000FB0A0000}"/>
    <cellStyle name="20% - Énfasis5 11 10" xfId="2877" xr:uid="{00000000-0005-0000-0000-0000FC0A0000}"/>
    <cellStyle name="20% - Énfasis5 11 11" xfId="2878" xr:uid="{00000000-0005-0000-0000-0000FD0A0000}"/>
    <cellStyle name="20% - Énfasis5 11 12" xfId="2879" xr:uid="{00000000-0005-0000-0000-0000FE0A0000}"/>
    <cellStyle name="20% - Énfasis5 11 13" xfId="2880" xr:uid="{00000000-0005-0000-0000-0000FF0A0000}"/>
    <cellStyle name="20% - Énfasis5 11 14" xfId="2881" xr:uid="{00000000-0005-0000-0000-0000000B0000}"/>
    <cellStyle name="20% - Énfasis5 11 15" xfId="2882" xr:uid="{00000000-0005-0000-0000-0000010B0000}"/>
    <cellStyle name="20% - Énfasis5 11 16" xfId="2883" xr:uid="{00000000-0005-0000-0000-0000020B0000}"/>
    <cellStyle name="20% - Énfasis5 11 17" xfId="2884" xr:uid="{00000000-0005-0000-0000-0000030B0000}"/>
    <cellStyle name="20% - Énfasis5 11 18" xfId="2885" xr:uid="{00000000-0005-0000-0000-0000040B0000}"/>
    <cellStyle name="20% - Énfasis5 11 2" xfId="2886" xr:uid="{00000000-0005-0000-0000-0000050B0000}"/>
    <cellStyle name="20% - Énfasis5 11 3" xfId="2887" xr:uid="{00000000-0005-0000-0000-0000060B0000}"/>
    <cellStyle name="20% - Énfasis5 11 4" xfId="2888" xr:uid="{00000000-0005-0000-0000-0000070B0000}"/>
    <cellStyle name="20% - Énfasis5 11 5" xfId="2889" xr:uid="{00000000-0005-0000-0000-0000080B0000}"/>
    <cellStyle name="20% - Énfasis5 11 6" xfId="2890" xr:uid="{00000000-0005-0000-0000-0000090B0000}"/>
    <cellStyle name="20% - Énfasis5 11 7" xfId="2891" xr:uid="{00000000-0005-0000-0000-00000A0B0000}"/>
    <cellStyle name="20% - Énfasis5 11 8" xfId="2892" xr:uid="{00000000-0005-0000-0000-00000B0B0000}"/>
    <cellStyle name="20% - Énfasis5 11 9" xfId="2893" xr:uid="{00000000-0005-0000-0000-00000C0B0000}"/>
    <cellStyle name="20% - Énfasis5 12 10" xfId="2894" xr:uid="{00000000-0005-0000-0000-00000D0B0000}"/>
    <cellStyle name="20% - Énfasis5 12 11" xfId="2895" xr:uid="{00000000-0005-0000-0000-00000E0B0000}"/>
    <cellStyle name="20% - Énfasis5 12 12" xfId="2896" xr:uid="{00000000-0005-0000-0000-00000F0B0000}"/>
    <cellStyle name="20% - Énfasis5 12 13" xfId="2897" xr:uid="{00000000-0005-0000-0000-0000100B0000}"/>
    <cellStyle name="20% - Énfasis5 12 14" xfId="2898" xr:uid="{00000000-0005-0000-0000-0000110B0000}"/>
    <cellStyle name="20% - Énfasis5 12 15" xfId="2899" xr:uid="{00000000-0005-0000-0000-0000120B0000}"/>
    <cellStyle name="20% - Énfasis5 12 16" xfId="2900" xr:uid="{00000000-0005-0000-0000-0000130B0000}"/>
    <cellStyle name="20% - Énfasis5 12 17" xfId="2901" xr:uid="{00000000-0005-0000-0000-0000140B0000}"/>
    <cellStyle name="20% - Énfasis5 12 18" xfId="2902" xr:uid="{00000000-0005-0000-0000-0000150B0000}"/>
    <cellStyle name="20% - Énfasis5 12 2" xfId="2903" xr:uid="{00000000-0005-0000-0000-0000160B0000}"/>
    <cellStyle name="20% - Énfasis5 12 3" xfId="2904" xr:uid="{00000000-0005-0000-0000-0000170B0000}"/>
    <cellStyle name="20% - Énfasis5 12 4" xfId="2905" xr:uid="{00000000-0005-0000-0000-0000180B0000}"/>
    <cellStyle name="20% - Énfasis5 12 5" xfId="2906" xr:uid="{00000000-0005-0000-0000-0000190B0000}"/>
    <cellStyle name="20% - Énfasis5 12 6" xfId="2907" xr:uid="{00000000-0005-0000-0000-00001A0B0000}"/>
    <cellStyle name="20% - Énfasis5 12 7" xfId="2908" xr:uid="{00000000-0005-0000-0000-00001B0B0000}"/>
    <cellStyle name="20% - Énfasis5 12 8" xfId="2909" xr:uid="{00000000-0005-0000-0000-00001C0B0000}"/>
    <cellStyle name="20% - Énfasis5 12 9" xfId="2910" xr:uid="{00000000-0005-0000-0000-00001D0B0000}"/>
    <cellStyle name="20% - Énfasis5 13 10" xfId="2911" xr:uid="{00000000-0005-0000-0000-00001E0B0000}"/>
    <cellStyle name="20% - Énfasis5 13 11" xfId="2912" xr:uid="{00000000-0005-0000-0000-00001F0B0000}"/>
    <cellStyle name="20% - Énfasis5 13 12" xfId="2913" xr:uid="{00000000-0005-0000-0000-0000200B0000}"/>
    <cellStyle name="20% - Énfasis5 13 13" xfId="2914" xr:uid="{00000000-0005-0000-0000-0000210B0000}"/>
    <cellStyle name="20% - Énfasis5 13 14" xfId="2915" xr:uid="{00000000-0005-0000-0000-0000220B0000}"/>
    <cellStyle name="20% - Énfasis5 13 15" xfId="2916" xr:uid="{00000000-0005-0000-0000-0000230B0000}"/>
    <cellStyle name="20% - Énfasis5 13 16" xfId="2917" xr:uid="{00000000-0005-0000-0000-0000240B0000}"/>
    <cellStyle name="20% - Énfasis5 13 17" xfId="2918" xr:uid="{00000000-0005-0000-0000-0000250B0000}"/>
    <cellStyle name="20% - Énfasis5 13 18" xfId="2919" xr:uid="{00000000-0005-0000-0000-0000260B0000}"/>
    <cellStyle name="20% - Énfasis5 13 2" xfId="2920" xr:uid="{00000000-0005-0000-0000-0000270B0000}"/>
    <cellStyle name="20% - Énfasis5 13 3" xfId="2921" xr:uid="{00000000-0005-0000-0000-0000280B0000}"/>
    <cellStyle name="20% - Énfasis5 13 4" xfId="2922" xr:uid="{00000000-0005-0000-0000-0000290B0000}"/>
    <cellStyle name="20% - Énfasis5 13 5" xfId="2923" xr:uid="{00000000-0005-0000-0000-00002A0B0000}"/>
    <cellStyle name="20% - Énfasis5 13 6" xfId="2924" xr:uid="{00000000-0005-0000-0000-00002B0B0000}"/>
    <cellStyle name="20% - Énfasis5 13 7" xfId="2925" xr:uid="{00000000-0005-0000-0000-00002C0B0000}"/>
    <cellStyle name="20% - Énfasis5 13 8" xfId="2926" xr:uid="{00000000-0005-0000-0000-00002D0B0000}"/>
    <cellStyle name="20% - Énfasis5 13 9" xfId="2927" xr:uid="{00000000-0005-0000-0000-00002E0B0000}"/>
    <cellStyle name="20% - Énfasis5 14 10" xfId="2928" xr:uid="{00000000-0005-0000-0000-00002F0B0000}"/>
    <cellStyle name="20% - Énfasis5 14 11" xfId="2929" xr:uid="{00000000-0005-0000-0000-0000300B0000}"/>
    <cellStyle name="20% - Énfasis5 14 12" xfId="2930" xr:uid="{00000000-0005-0000-0000-0000310B0000}"/>
    <cellStyle name="20% - Énfasis5 14 13" xfId="2931" xr:uid="{00000000-0005-0000-0000-0000320B0000}"/>
    <cellStyle name="20% - Énfasis5 14 14" xfId="2932" xr:uid="{00000000-0005-0000-0000-0000330B0000}"/>
    <cellStyle name="20% - Énfasis5 14 15" xfId="2933" xr:uid="{00000000-0005-0000-0000-0000340B0000}"/>
    <cellStyle name="20% - Énfasis5 14 16" xfId="2934" xr:uid="{00000000-0005-0000-0000-0000350B0000}"/>
    <cellStyle name="20% - Énfasis5 14 17" xfId="2935" xr:uid="{00000000-0005-0000-0000-0000360B0000}"/>
    <cellStyle name="20% - Énfasis5 14 18" xfId="2936" xr:uid="{00000000-0005-0000-0000-0000370B0000}"/>
    <cellStyle name="20% - Énfasis5 14 2" xfId="2937" xr:uid="{00000000-0005-0000-0000-0000380B0000}"/>
    <cellStyle name="20% - Énfasis5 14 3" xfId="2938" xr:uid="{00000000-0005-0000-0000-0000390B0000}"/>
    <cellStyle name="20% - Énfasis5 14 4" xfId="2939" xr:uid="{00000000-0005-0000-0000-00003A0B0000}"/>
    <cellStyle name="20% - Énfasis5 14 5" xfId="2940" xr:uid="{00000000-0005-0000-0000-00003B0B0000}"/>
    <cellStyle name="20% - Énfasis5 14 6" xfId="2941" xr:uid="{00000000-0005-0000-0000-00003C0B0000}"/>
    <cellStyle name="20% - Énfasis5 14 7" xfId="2942" xr:uid="{00000000-0005-0000-0000-00003D0B0000}"/>
    <cellStyle name="20% - Énfasis5 14 8" xfId="2943" xr:uid="{00000000-0005-0000-0000-00003E0B0000}"/>
    <cellStyle name="20% - Énfasis5 14 9" xfId="2944" xr:uid="{00000000-0005-0000-0000-00003F0B0000}"/>
    <cellStyle name="20% - Énfasis5 15 10" xfId="2945" xr:uid="{00000000-0005-0000-0000-0000400B0000}"/>
    <cellStyle name="20% - Énfasis5 15 11" xfId="2946" xr:uid="{00000000-0005-0000-0000-0000410B0000}"/>
    <cellStyle name="20% - Énfasis5 15 12" xfId="2947" xr:uid="{00000000-0005-0000-0000-0000420B0000}"/>
    <cellStyle name="20% - Énfasis5 15 13" xfId="2948" xr:uid="{00000000-0005-0000-0000-0000430B0000}"/>
    <cellStyle name="20% - Énfasis5 15 14" xfId="2949" xr:uid="{00000000-0005-0000-0000-0000440B0000}"/>
    <cellStyle name="20% - Énfasis5 15 15" xfId="2950" xr:uid="{00000000-0005-0000-0000-0000450B0000}"/>
    <cellStyle name="20% - Énfasis5 15 16" xfId="2951" xr:uid="{00000000-0005-0000-0000-0000460B0000}"/>
    <cellStyle name="20% - Énfasis5 15 17" xfId="2952" xr:uid="{00000000-0005-0000-0000-0000470B0000}"/>
    <cellStyle name="20% - Énfasis5 15 18" xfId="2953" xr:uid="{00000000-0005-0000-0000-0000480B0000}"/>
    <cellStyle name="20% - Énfasis5 15 2" xfId="2954" xr:uid="{00000000-0005-0000-0000-0000490B0000}"/>
    <cellStyle name="20% - Énfasis5 15 3" xfId="2955" xr:uid="{00000000-0005-0000-0000-00004A0B0000}"/>
    <cellStyle name="20% - Énfasis5 15 4" xfId="2956" xr:uid="{00000000-0005-0000-0000-00004B0B0000}"/>
    <cellStyle name="20% - Énfasis5 15 5" xfId="2957" xr:uid="{00000000-0005-0000-0000-00004C0B0000}"/>
    <cellStyle name="20% - Énfasis5 15 6" xfId="2958" xr:uid="{00000000-0005-0000-0000-00004D0B0000}"/>
    <cellStyle name="20% - Énfasis5 15 7" xfId="2959" xr:uid="{00000000-0005-0000-0000-00004E0B0000}"/>
    <cellStyle name="20% - Énfasis5 15 8" xfId="2960" xr:uid="{00000000-0005-0000-0000-00004F0B0000}"/>
    <cellStyle name="20% - Énfasis5 15 9" xfId="2961" xr:uid="{00000000-0005-0000-0000-0000500B0000}"/>
    <cellStyle name="20% - Énfasis5 16 10" xfId="2962" xr:uid="{00000000-0005-0000-0000-0000510B0000}"/>
    <cellStyle name="20% - Énfasis5 16 11" xfId="2963" xr:uid="{00000000-0005-0000-0000-0000520B0000}"/>
    <cellStyle name="20% - Énfasis5 16 12" xfId="2964" xr:uid="{00000000-0005-0000-0000-0000530B0000}"/>
    <cellStyle name="20% - Énfasis5 16 13" xfId="2965" xr:uid="{00000000-0005-0000-0000-0000540B0000}"/>
    <cellStyle name="20% - Énfasis5 16 14" xfId="2966" xr:uid="{00000000-0005-0000-0000-0000550B0000}"/>
    <cellStyle name="20% - Énfasis5 16 15" xfId="2967" xr:uid="{00000000-0005-0000-0000-0000560B0000}"/>
    <cellStyle name="20% - Énfasis5 16 16" xfId="2968" xr:uid="{00000000-0005-0000-0000-0000570B0000}"/>
    <cellStyle name="20% - Énfasis5 16 17" xfId="2969" xr:uid="{00000000-0005-0000-0000-0000580B0000}"/>
    <cellStyle name="20% - Énfasis5 16 18" xfId="2970" xr:uid="{00000000-0005-0000-0000-0000590B0000}"/>
    <cellStyle name="20% - Énfasis5 16 2" xfId="2971" xr:uid="{00000000-0005-0000-0000-00005A0B0000}"/>
    <cellStyle name="20% - Énfasis5 16 3" xfId="2972" xr:uid="{00000000-0005-0000-0000-00005B0B0000}"/>
    <cellStyle name="20% - Énfasis5 16 4" xfId="2973" xr:uid="{00000000-0005-0000-0000-00005C0B0000}"/>
    <cellStyle name="20% - Énfasis5 16 5" xfId="2974" xr:uid="{00000000-0005-0000-0000-00005D0B0000}"/>
    <cellStyle name="20% - Énfasis5 16 6" xfId="2975" xr:uid="{00000000-0005-0000-0000-00005E0B0000}"/>
    <cellStyle name="20% - Énfasis5 16 7" xfId="2976" xr:uid="{00000000-0005-0000-0000-00005F0B0000}"/>
    <cellStyle name="20% - Énfasis5 16 8" xfId="2977" xr:uid="{00000000-0005-0000-0000-0000600B0000}"/>
    <cellStyle name="20% - Énfasis5 16 9" xfId="2978" xr:uid="{00000000-0005-0000-0000-0000610B0000}"/>
    <cellStyle name="20% - Énfasis5 17 10" xfId="2979" xr:uid="{00000000-0005-0000-0000-0000620B0000}"/>
    <cellStyle name="20% - Énfasis5 17 11" xfId="2980" xr:uid="{00000000-0005-0000-0000-0000630B0000}"/>
    <cellStyle name="20% - Énfasis5 17 12" xfId="2981" xr:uid="{00000000-0005-0000-0000-0000640B0000}"/>
    <cellStyle name="20% - Énfasis5 17 13" xfId="2982" xr:uid="{00000000-0005-0000-0000-0000650B0000}"/>
    <cellStyle name="20% - Énfasis5 17 14" xfId="2983" xr:uid="{00000000-0005-0000-0000-0000660B0000}"/>
    <cellStyle name="20% - Énfasis5 17 15" xfId="2984" xr:uid="{00000000-0005-0000-0000-0000670B0000}"/>
    <cellStyle name="20% - Énfasis5 17 16" xfId="2985" xr:uid="{00000000-0005-0000-0000-0000680B0000}"/>
    <cellStyle name="20% - Énfasis5 17 17" xfId="2986" xr:uid="{00000000-0005-0000-0000-0000690B0000}"/>
    <cellStyle name="20% - Énfasis5 17 18" xfId="2987" xr:uid="{00000000-0005-0000-0000-00006A0B0000}"/>
    <cellStyle name="20% - Énfasis5 17 2" xfId="2988" xr:uid="{00000000-0005-0000-0000-00006B0B0000}"/>
    <cellStyle name="20% - Énfasis5 17 3" xfId="2989" xr:uid="{00000000-0005-0000-0000-00006C0B0000}"/>
    <cellStyle name="20% - Énfasis5 17 4" xfId="2990" xr:uid="{00000000-0005-0000-0000-00006D0B0000}"/>
    <cellStyle name="20% - Énfasis5 17 5" xfId="2991" xr:uid="{00000000-0005-0000-0000-00006E0B0000}"/>
    <cellStyle name="20% - Énfasis5 17 6" xfId="2992" xr:uid="{00000000-0005-0000-0000-00006F0B0000}"/>
    <cellStyle name="20% - Énfasis5 17 7" xfId="2993" xr:uid="{00000000-0005-0000-0000-0000700B0000}"/>
    <cellStyle name="20% - Énfasis5 17 8" xfId="2994" xr:uid="{00000000-0005-0000-0000-0000710B0000}"/>
    <cellStyle name="20% - Énfasis5 17 9" xfId="2995" xr:uid="{00000000-0005-0000-0000-0000720B0000}"/>
    <cellStyle name="20% - Énfasis5 18 10" xfId="2996" xr:uid="{00000000-0005-0000-0000-0000730B0000}"/>
    <cellStyle name="20% - Énfasis5 18 11" xfId="2997" xr:uid="{00000000-0005-0000-0000-0000740B0000}"/>
    <cellStyle name="20% - Énfasis5 18 12" xfId="2998" xr:uid="{00000000-0005-0000-0000-0000750B0000}"/>
    <cellStyle name="20% - Énfasis5 18 13" xfId="2999" xr:uid="{00000000-0005-0000-0000-0000760B0000}"/>
    <cellStyle name="20% - Énfasis5 18 14" xfId="3000" xr:uid="{00000000-0005-0000-0000-0000770B0000}"/>
    <cellStyle name="20% - Énfasis5 18 15" xfId="3001" xr:uid="{00000000-0005-0000-0000-0000780B0000}"/>
    <cellStyle name="20% - Énfasis5 18 16" xfId="3002" xr:uid="{00000000-0005-0000-0000-0000790B0000}"/>
    <cellStyle name="20% - Énfasis5 18 17" xfId="3003" xr:uid="{00000000-0005-0000-0000-00007A0B0000}"/>
    <cellStyle name="20% - Énfasis5 18 18" xfId="3004" xr:uid="{00000000-0005-0000-0000-00007B0B0000}"/>
    <cellStyle name="20% - Énfasis5 18 2" xfId="3005" xr:uid="{00000000-0005-0000-0000-00007C0B0000}"/>
    <cellStyle name="20% - Énfasis5 18 3" xfId="3006" xr:uid="{00000000-0005-0000-0000-00007D0B0000}"/>
    <cellStyle name="20% - Énfasis5 18 4" xfId="3007" xr:uid="{00000000-0005-0000-0000-00007E0B0000}"/>
    <cellStyle name="20% - Énfasis5 18 5" xfId="3008" xr:uid="{00000000-0005-0000-0000-00007F0B0000}"/>
    <cellStyle name="20% - Énfasis5 18 6" xfId="3009" xr:uid="{00000000-0005-0000-0000-0000800B0000}"/>
    <cellStyle name="20% - Énfasis5 18 7" xfId="3010" xr:uid="{00000000-0005-0000-0000-0000810B0000}"/>
    <cellStyle name="20% - Énfasis5 18 8" xfId="3011" xr:uid="{00000000-0005-0000-0000-0000820B0000}"/>
    <cellStyle name="20% - Énfasis5 18 9" xfId="3012" xr:uid="{00000000-0005-0000-0000-0000830B0000}"/>
    <cellStyle name="20% - Énfasis5 19 10" xfId="3013" xr:uid="{00000000-0005-0000-0000-0000840B0000}"/>
    <cellStyle name="20% - Énfasis5 19 11" xfId="3014" xr:uid="{00000000-0005-0000-0000-0000850B0000}"/>
    <cellStyle name="20% - Énfasis5 19 12" xfId="3015" xr:uid="{00000000-0005-0000-0000-0000860B0000}"/>
    <cellStyle name="20% - Énfasis5 19 13" xfId="3016" xr:uid="{00000000-0005-0000-0000-0000870B0000}"/>
    <cellStyle name="20% - Énfasis5 19 14" xfId="3017" xr:uid="{00000000-0005-0000-0000-0000880B0000}"/>
    <cellStyle name="20% - Énfasis5 19 15" xfId="3018" xr:uid="{00000000-0005-0000-0000-0000890B0000}"/>
    <cellStyle name="20% - Énfasis5 19 16" xfId="3019" xr:uid="{00000000-0005-0000-0000-00008A0B0000}"/>
    <cellStyle name="20% - Énfasis5 19 17" xfId="3020" xr:uid="{00000000-0005-0000-0000-00008B0B0000}"/>
    <cellStyle name="20% - Énfasis5 19 18" xfId="3021" xr:uid="{00000000-0005-0000-0000-00008C0B0000}"/>
    <cellStyle name="20% - Énfasis5 19 2" xfId="3022" xr:uid="{00000000-0005-0000-0000-00008D0B0000}"/>
    <cellStyle name="20% - Énfasis5 19 3" xfId="3023" xr:uid="{00000000-0005-0000-0000-00008E0B0000}"/>
    <cellStyle name="20% - Énfasis5 19 4" xfId="3024" xr:uid="{00000000-0005-0000-0000-00008F0B0000}"/>
    <cellStyle name="20% - Énfasis5 19 5" xfId="3025" xr:uid="{00000000-0005-0000-0000-0000900B0000}"/>
    <cellStyle name="20% - Énfasis5 19 6" xfId="3026" xr:uid="{00000000-0005-0000-0000-0000910B0000}"/>
    <cellStyle name="20% - Énfasis5 19 7" xfId="3027" xr:uid="{00000000-0005-0000-0000-0000920B0000}"/>
    <cellStyle name="20% - Énfasis5 19 8" xfId="3028" xr:uid="{00000000-0005-0000-0000-0000930B0000}"/>
    <cellStyle name="20% - Énfasis5 19 9" xfId="3029" xr:uid="{00000000-0005-0000-0000-0000940B0000}"/>
    <cellStyle name="20% - Énfasis5 2 10" xfId="3030" xr:uid="{00000000-0005-0000-0000-0000950B0000}"/>
    <cellStyle name="20% - Énfasis5 2 11" xfId="3031" xr:uid="{00000000-0005-0000-0000-0000960B0000}"/>
    <cellStyle name="20% - Énfasis5 2 12" xfId="3032" xr:uid="{00000000-0005-0000-0000-0000970B0000}"/>
    <cellStyle name="20% - Énfasis5 2 13" xfId="3033" xr:uid="{00000000-0005-0000-0000-0000980B0000}"/>
    <cellStyle name="20% - Énfasis5 2 14" xfId="3034" xr:uid="{00000000-0005-0000-0000-0000990B0000}"/>
    <cellStyle name="20% - Énfasis5 2 15" xfId="3035" xr:uid="{00000000-0005-0000-0000-00009A0B0000}"/>
    <cellStyle name="20% - Énfasis5 2 16" xfId="3036" xr:uid="{00000000-0005-0000-0000-00009B0B0000}"/>
    <cellStyle name="20% - Énfasis5 2 17" xfId="3037" xr:uid="{00000000-0005-0000-0000-00009C0B0000}"/>
    <cellStyle name="20% - Énfasis5 2 18" xfId="3038" xr:uid="{00000000-0005-0000-0000-00009D0B0000}"/>
    <cellStyle name="20% - Énfasis5 2 2" xfId="3039" xr:uid="{00000000-0005-0000-0000-00009E0B0000}"/>
    <cellStyle name="20% - Énfasis5 2 3" xfId="3040" xr:uid="{00000000-0005-0000-0000-00009F0B0000}"/>
    <cellStyle name="20% - Énfasis5 2 4" xfId="3041" xr:uid="{00000000-0005-0000-0000-0000A00B0000}"/>
    <cellStyle name="20% - Énfasis5 2 5" xfId="3042" xr:uid="{00000000-0005-0000-0000-0000A10B0000}"/>
    <cellStyle name="20% - Énfasis5 2 6" xfId="3043" xr:uid="{00000000-0005-0000-0000-0000A20B0000}"/>
    <cellStyle name="20% - Énfasis5 2 7" xfId="3044" xr:uid="{00000000-0005-0000-0000-0000A30B0000}"/>
    <cellStyle name="20% - Énfasis5 2 8" xfId="3045" xr:uid="{00000000-0005-0000-0000-0000A40B0000}"/>
    <cellStyle name="20% - Énfasis5 2 9" xfId="3046" xr:uid="{00000000-0005-0000-0000-0000A50B0000}"/>
    <cellStyle name="20% - Énfasis5 20 10" xfId="3047" xr:uid="{00000000-0005-0000-0000-0000A60B0000}"/>
    <cellStyle name="20% - Énfasis5 20 11" xfId="3048" xr:uid="{00000000-0005-0000-0000-0000A70B0000}"/>
    <cellStyle name="20% - Énfasis5 20 12" xfId="3049" xr:uid="{00000000-0005-0000-0000-0000A80B0000}"/>
    <cellStyle name="20% - Énfasis5 20 13" xfId="3050" xr:uid="{00000000-0005-0000-0000-0000A90B0000}"/>
    <cellStyle name="20% - Énfasis5 20 14" xfId="3051" xr:uid="{00000000-0005-0000-0000-0000AA0B0000}"/>
    <cellStyle name="20% - Énfasis5 20 15" xfId="3052" xr:uid="{00000000-0005-0000-0000-0000AB0B0000}"/>
    <cellStyle name="20% - Énfasis5 20 16" xfId="3053" xr:uid="{00000000-0005-0000-0000-0000AC0B0000}"/>
    <cellStyle name="20% - Énfasis5 20 17" xfId="3054" xr:uid="{00000000-0005-0000-0000-0000AD0B0000}"/>
    <cellStyle name="20% - Énfasis5 20 18" xfId="3055" xr:uid="{00000000-0005-0000-0000-0000AE0B0000}"/>
    <cellStyle name="20% - Énfasis5 20 2" xfId="3056" xr:uid="{00000000-0005-0000-0000-0000AF0B0000}"/>
    <cellStyle name="20% - Énfasis5 20 3" xfId="3057" xr:uid="{00000000-0005-0000-0000-0000B00B0000}"/>
    <cellStyle name="20% - Énfasis5 20 4" xfId="3058" xr:uid="{00000000-0005-0000-0000-0000B10B0000}"/>
    <cellStyle name="20% - Énfasis5 20 5" xfId="3059" xr:uid="{00000000-0005-0000-0000-0000B20B0000}"/>
    <cellStyle name="20% - Énfasis5 20 6" xfId="3060" xr:uid="{00000000-0005-0000-0000-0000B30B0000}"/>
    <cellStyle name="20% - Énfasis5 20 7" xfId="3061" xr:uid="{00000000-0005-0000-0000-0000B40B0000}"/>
    <cellStyle name="20% - Énfasis5 20 8" xfId="3062" xr:uid="{00000000-0005-0000-0000-0000B50B0000}"/>
    <cellStyle name="20% - Énfasis5 20 9" xfId="3063" xr:uid="{00000000-0005-0000-0000-0000B60B0000}"/>
    <cellStyle name="20% - Énfasis5 21 10" xfId="3064" xr:uid="{00000000-0005-0000-0000-0000B70B0000}"/>
    <cellStyle name="20% - Énfasis5 21 11" xfId="3065" xr:uid="{00000000-0005-0000-0000-0000B80B0000}"/>
    <cellStyle name="20% - Énfasis5 21 12" xfId="3066" xr:uid="{00000000-0005-0000-0000-0000B90B0000}"/>
    <cellStyle name="20% - Énfasis5 21 13" xfId="3067" xr:uid="{00000000-0005-0000-0000-0000BA0B0000}"/>
    <cellStyle name="20% - Énfasis5 21 14" xfId="3068" xr:uid="{00000000-0005-0000-0000-0000BB0B0000}"/>
    <cellStyle name="20% - Énfasis5 21 15" xfId="3069" xr:uid="{00000000-0005-0000-0000-0000BC0B0000}"/>
    <cellStyle name="20% - Énfasis5 21 16" xfId="3070" xr:uid="{00000000-0005-0000-0000-0000BD0B0000}"/>
    <cellStyle name="20% - Énfasis5 21 17" xfId="3071" xr:uid="{00000000-0005-0000-0000-0000BE0B0000}"/>
    <cellStyle name="20% - Énfasis5 21 18" xfId="3072" xr:uid="{00000000-0005-0000-0000-0000BF0B0000}"/>
    <cellStyle name="20% - Énfasis5 21 2" xfId="3073" xr:uid="{00000000-0005-0000-0000-0000C00B0000}"/>
    <cellStyle name="20% - Énfasis5 21 3" xfId="3074" xr:uid="{00000000-0005-0000-0000-0000C10B0000}"/>
    <cellStyle name="20% - Énfasis5 21 4" xfId="3075" xr:uid="{00000000-0005-0000-0000-0000C20B0000}"/>
    <cellStyle name="20% - Énfasis5 21 5" xfId="3076" xr:uid="{00000000-0005-0000-0000-0000C30B0000}"/>
    <cellStyle name="20% - Énfasis5 21 6" xfId="3077" xr:uid="{00000000-0005-0000-0000-0000C40B0000}"/>
    <cellStyle name="20% - Énfasis5 21 7" xfId="3078" xr:uid="{00000000-0005-0000-0000-0000C50B0000}"/>
    <cellStyle name="20% - Énfasis5 21 8" xfId="3079" xr:uid="{00000000-0005-0000-0000-0000C60B0000}"/>
    <cellStyle name="20% - Énfasis5 21 9" xfId="3080" xr:uid="{00000000-0005-0000-0000-0000C70B0000}"/>
    <cellStyle name="20% - Énfasis5 22 10" xfId="3081" xr:uid="{00000000-0005-0000-0000-0000C80B0000}"/>
    <cellStyle name="20% - Énfasis5 22 11" xfId="3082" xr:uid="{00000000-0005-0000-0000-0000C90B0000}"/>
    <cellStyle name="20% - Énfasis5 22 12" xfId="3083" xr:uid="{00000000-0005-0000-0000-0000CA0B0000}"/>
    <cellStyle name="20% - Énfasis5 22 13" xfId="3084" xr:uid="{00000000-0005-0000-0000-0000CB0B0000}"/>
    <cellStyle name="20% - Énfasis5 22 14" xfId="3085" xr:uid="{00000000-0005-0000-0000-0000CC0B0000}"/>
    <cellStyle name="20% - Énfasis5 22 15" xfId="3086" xr:uid="{00000000-0005-0000-0000-0000CD0B0000}"/>
    <cellStyle name="20% - Énfasis5 22 16" xfId="3087" xr:uid="{00000000-0005-0000-0000-0000CE0B0000}"/>
    <cellStyle name="20% - Énfasis5 22 17" xfId="3088" xr:uid="{00000000-0005-0000-0000-0000CF0B0000}"/>
    <cellStyle name="20% - Énfasis5 22 18" xfId="3089" xr:uid="{00000000-0005-0000-0000-0000D00B0000}"/>
    <cellStyle name="20% - Énfasis5 22 2" xfId="3090" xr:uid="{00000000-0005-0000-0000-0000D10B0000}"/>
    <cellStyle name="20% - Énfasis5 22 3" xfId="3091" xr:uid="{00000000-0005-0000-0000-0000D20B0000}"/>
    <cellStyle name="20% - Énfasis5 22 4" xfId="3092" xr:uid="{00000000-0005-0000-0000-0000D30B0000}"/>
    <cellStyle name="20% - Énfasis5 22 5" xfId="3093" xr:uid="{00000000-0005-0000-0000-0000D40B0000}"/>
    <cellStyle name="20% - Énfasis5 22 6" xfId="3094" xr:uid="{00000000-0005-0000-0000-0000D50B0000}"/>
    <cellStyle name="20% - Énfasis5 22 7" xfId="3095" xr:uid="{00000000-0005-0000-0000-0000D60B0000}"/>
    <cellStyle name="20% - Énfasis5 22 8" xfId="3096" xr:uid="{00000000-0005-0000-0000-0000D70B0000}"/>
    <cellStyle name="20% - Énfasis5 22 9" xfId="3097" xr:uid="{00000000-0005-0000-0000-0000D80B0000}"/>
    <cellStyle name="20% - Énfasis5 23 10" xfId="3098" xr:uid="{00000000-0005-0000-0000-0000D90B0000}"/>
    <cellStyle name="20% - Énfasis5 23 11" xfId="3099" xr:uid="{00000000-0005-0000-0000-0000DA0B0000}"/>
    <cellStyle name="20% - Énfasis5 23 12" xfId="3100" xr:uid="{00000000-0005-0000-0000-0000DB0B0000}"/>
    <cellStyle name="20% - Énfasis5 23 13" xfId="3101" xr:uid="{00000000-0005-0000-0000-0000DC0B0000}"/>
    <cellStyle name="20% - Énfasis5 23 14" xfId="3102" xr:uid="{00000000-0005-0000-0000-0000DD0B0000}"/>
    <cellStyle name="20% - Énfasis5 23 15" xfId="3103" xr:uid="{00000000-0005-0000-0000-0000DE0B0000}"/>
    <cellStyle name="20% - Énfasis5 23 16" xfId="3104" xr:uid="{00000000-0005-0000-0000-0000DF0B0000}"/>
    <cellStyle name="20% - Énfasis5 23 17" xfId="3105" xr:uid="{00000000-0005-0000-0000-0000E00B0000}"/>
    <cellStyle name="20% - Énfasis5 23 18" xfId="3106" xr:uid="{00000000-0005-0000-0000-0000E10B0000}"/>
    <cellStyle name="20% - Énfasis5 23 2" xfId="3107" xr:uid="{00000000-0005-0000-0000-0000E20B0000}"/>
    <cellStyle name="20% - Énfasis5 23 3" xfId="3108" xr:uid="{00000000-0005-0000-0000-0000E30B0000}"/>
    <cellStyle name="20% - Énfasis5 23 4" xfId="3109" xr:uid="{00000000-0005-0000-0000-0000E40B0000}"/>
    <cellStyle name="20% - Énfasis5 23 5" xfId="3110" xr:uid="{00000000-0005-0000-0000-0000E50B0000}"/>
    <cellStyle name="20% - Énfasis5 23 6" xfId="3111" xr:uid="{00000000-0005-0000-0000-0000E60B0000}"/>
    <cellStyle name="20% - Énfasis5 23 7" xfId="3112" xr:uid="{00000000-0005-0000-0000-0000E70B0000}"/>
    <cellStyle name="20% - Énfasis5 23 8" xfId="3113" xr:uid="{00000000-0005-0000-0000-0000E80B0000}"/>
    <cellStyle name="20% - Énfasis5 23 9" xfId="3114" xr:uid="{00000000-0005-0000-0000-0000E90B0000}"/>
    <cellStyle name="20% - Énfasis5 24 10" xfId="3115" xr:uid="{00000000-0005-0000-0000-0000EA0B0000}"/>
    <cellStyle name="20% - Énfasis5 24 11" xfId="3116" xr:uid="{00000000-0005-0000-0000-0000EB0B0000}"/>
    <cellStyle name="20% - Énfasis5 24 12" xfId="3117" xr:uid="{00000000-0005-0000-0000-0000EC0B0000}"/>
    <cellStyle name="20% - Énfasis5 24 13" xfId="3118" xr:uid="{00000000-0005-0000-0000-0000ED0B0000}"/>
    <cellStyle name="20% - Énfasis5 24 14" xfId="3119" xr:uid="{00000000-0005-0000-0000-0000EE0B0000}"/>
    <cellStyle name="20% - Énfasis5 24 15" xfId="3120" xr:uid="{00000000-0005-0000-0000-0000EF0B0000}"/>
    <cellStyle name="20% - Énfasis5 24 16" xfId="3121" xr:uid="{00000000-0005-0000-0000-0000F00B0000}"/>
    <cellStyle name="20% - Énfasis5 24 17" xfId="3122" xr:uid="{00000000-0005-0000-0000-0000F10B0000}"/>
    <cellStyle name="20% - Énfasis5 24 18" xfId="3123" xr:uid="{00000000-0005-0000-0000-0000F20B0000}"/>
    <cellStyle name="20% - Énfasis5 24 2" xfId="3124" xr:uid="{00000000-0005-0000-0000-0000F30B0000}"/>
    <cellStyle name="20% - Énfasis5 24 3" xfId="3125" xr:uid="{00000000-0005-0000-0000-0000F40B0000}"/>
    <cellStyle name="20% - Énfasis5 24 4" xfId="3126" xr:uid="{00000000-0005-0000-0000-0000F50B0000}"/>
    <cellStyle name="20% - Énfasis5 24 5" xfId="3127" xr:uid="{00000000-0005-0000-0000-0000F60B0000}"/>
    <cellStyle name="20% - Énfasis5 24 6" xfId="3128" xr:uid="{00000000-0005-0000-0000-0000F70B0000}"/>
    <cellStyle name="20% - Énfasis5 24 7" xfId="3129" xr:uid="{00000000-0005-0000-0000-0000F80B0000}"/>
    <cellStyle name="20% - Énfasis5 24 8" xfId="3130" xr:uid="{00000000-0005-0000-0000-0000F90B0000}"/>
    <cellStyle name="20% - Énfasis5 24 9" xfId="3131" xr:uid="{00000000-0005-0000-0000-0000FA0B0000}"/>
    <cellStyle name="20% - Énfasis5 25 10" xfId="3132" xr:uid="{00000000-0005-0000-0000-0000FB0B0000}"/>
    <cellStyle name="20% - Énfasis5 25 11" xfId="3133" xr:uid="{00000000-0005-0000-0000-0000FC0B0000}"/>
    <cellStyle name="20% - Énfasis5 25 12" xfId="3134" xr:uid="{00000000-0005-0000-0000-0000FD0B0000}"/>
    <cellStyle name="20% - Énfasis5 25 13" xfId="3135" xr:uid="{00000000-0005-0000-0000-0000FE0B0000}"/>
    <cellStyle name="20% - Énfasis5 25 14" xfId="3136" xr:uid="{00000000-0005-0000-0000-0000FF0B0000}"/>
    <cellStyle name="20% - Énfasis5 25 15" xfId="3137" xr:uid="{00000000-0005-0000-0000-0000000C0000}"/>
    <cellStyle name="20% - Énfasis5 25 16" xfId="3138" xr:uid="{00000000-0005-0000-0000-0000010C0000}"/>
    <cellStyle name="20% - Énfasis5 25 17" xfId="3139" xr:uid="{00000000-0005-0000-0000-0000020C0000}"/>
    <cellStyle name="20% - Énfasis5 25 18" xfId="3140" xr:uid="{00000000-0005-0000-0000-0000030C0000}"/>
    <cellStyle name="20% - Énfasis5 25 2" xfId="3141" xr:uid="{00000000-0005-0000-0000-0000040C0000}"/>
    <cellStyle name="20% - Énfasis5 25 3" xfId="3142" xr:uid="{00000000-0005-0000-0000-0000050C0000}"/>
    <cellStyle name="20% - Énfasis5 25 4" xfId="3143" xr:uid="{00000000-0005-0000-0000-0000060C0000}"/>
    <cellStyle name="20% - Énfasis5 25 5" xfId="3144" xr:uid="{00000000-0005-0000-0000-0000070C0000}"/>
    <cellStyle name="20% - Énfasis5 25 6" xfId="3145" xr:uid="{00000000-0005-0000-0000-0000080C0000}"/>
    <cellStyle name="20% - Énfasis5 25 7" xfId="3146" xr:uid="{00000000-0005-0000-0000-0000090C0000}"/>
    <cellStyle name="20% - Énfasis5 25 8" xfId="3147" xr:uid="{00000000-0005-0000-0000-00000A0C0000}"/>
    <cellStyle name="20% - Énfasis5 25 9" xfId="3148" xr:uid="{00000000-0005-0000-0000-00000B0C0000}"/>
    <cellStyle name="20% - Énfasis5 26 10" xfId="3149" xr:uid="{00000000-0005-0000-0000-00000C0C0000}"/>
    <cellStyle name="20% - Énfasis5 26 11" xfId="3150" xr:uid="{00000000-0005-0000-0000-00000D0C0000}"/>
    <cellStyle name="20% - Énfasis5 26 12" xfId="3151" xr:uid="{00000000-0005-0000-0000-00000E0C0000}"/>
    <cellStyle name="20% - Énfasis5 26 13" xfId="3152" xr:uid="{00000000-0005-0000-0000-00000F0C0000}"/>
    <cellStyle name="20% - Énfasis5 26 14" xfId="3153" xr:uid="{00000000-0005-0000-0000-0000100C0000}"/>
    <cellStyle name="20% - Énfasis5 26 15" xfId="3154" xr:uid="{00000000-0005-0000-0000-0000110C0000}"/>
    <cellStyle name="20% - Énfasis5 26 16" xfId="3155" xr:uid="{00000000-0005-0000-0000-0000120C0000}"/>
    <cellStyle name="20% - Énfasis5 26 17" xfId="3156" xr:uid="{00000000-0005-0000-0000-0000130C0000}"/>
    <cellStyle name="20% - Énfasis5 26 18" xfId="3157" xr:uid="{00000000-0005-0000-0000-0000140C0000}"/>
    <cellStyle name="20% - Énfasis5 26 2" xfId="3158" xr:uid="{00000000-0005-0000-0000-0000150C0000}"/>
    <cellStyle name="20% - Énfasis5 26 3" xfId="3159" xr:uid="{00000000-0005-0000-0000-0000160C0000}"/>
    <cellStyle name="20% - Énfasis5 26 4" xfId="3160" xr:uid="{00000000-0005-0000-0000-0000170C0000}"/>
    <cellStyle name="20% - Énfasis5 26 5" xfId="3161" xr:uid="{00000000-0005-0000-0000-0000180C0000}"/>
    <cellStyle name="20% - Énfasis5 26 6" xfId="3162" xr:uid="{00000000-0005-0000-0000-0000190C0000}"/>
    <cellStyle name="20% - Énfasis5 26 7" xfId="3163" xr:uid="{00000000-0005-0000-0000-00001A0C0000}"/>
    <cellStyle name="20% - Énfasis5 26 8" xfId="3164" xr:uid="{00000000-0005-0000-0000-00001B0C0000}"/>
    <cellStyle name="20% - Énfasis5 26 9" xfId="3165" xr:uid="{00000000-0005-0000-0000-00001C0C0000}"/>
    <cellStyle name="20% - Énfasis5 27 10" xfId="3166" xr:uid="{00000000-0005-0000-0000-00001D0C0000}"/>
    <cellStyle name="20% - Énfasis5 27 11" xfId="3167" xr:uid="{00000000-0005-0000-0000-00001E0C0000}"/>
    <cellStyle name="20% - Énfasis5 27 12" xfId="3168" xr:uid="{00000000-0005-0000-0000-00001F0C0000}"/>
    <cellStyle name="20% - Énfasis5 27 13" xfId="3169" xr:uid="{00000000-0005-0000-0000-0000200C0000}"/>
    <cellStyle name="20% - Énfasis5 27 14" xfId="3170" xr:uid="{00000000-0005-0000-0000-0000210C0000}"/>
    <cellStyle name="20% - Énfasis5 27 15" xfId="3171" xr:uid="{00000000-0005-0000-0000-0000220C0000}"/>
    <cellStyle name="20% - Énfasis5 27 16" xfId="3172" xr:uid="{00000000-0005-0000-0000-0000230C0000}"/>
    <cellStyle name="20% - Énfasis5 27 17" xfId="3173" xr:uid="{00000000-0005-0000-0000-0000240C0000}"/>
    <cellStyle name="20% - Énfasis5 27 18" xfId="3174" xr:uid="{00000000-0005-0000-0000-0000250C0000}"/>
    <cellStyle name="20% - Énfasis5 27 2" xfId="3175" xr:uid="{00000000-0005-0000-0000-0000260C0000}"/>
    <cellStyle name="20% - Énfasis5 27 3" xfId="3176" xr:uid="{00000000-0005-0000-0000-0000270C0000}"/>
    <cellStyle name="20% - Énfasis5 27 4" xfId="3177" xr:uid="{00000000-0005-0000-0000-0000280C0000}"/>
    <cellStyle name="20% - Énfasis5 27 5" xfId="3178" xr:uid="{00000000-0005-0000-0000-0000290C0000}"/>
    <cellStyle name="20% - Énfasis5 27 6" xfId="3179" xr:uid="{00000000-0005-0000-0000-00002A0C0000}"/>
    <cellStyle name="20% - Énfasis5 27 7" xfId="3180" xr:uid="{00000000-0005-0000-0000-00002B0C0000}"/>
    <cellStyle name="20% - Énfasis5 27 8" xfId="3181" xr:uid="{00000000-0005-0000-0000-00002C0C0000}"/>
    <cellStyle name="20% - Énfasis5 27 9" xfId="3182" xr:uid="{00000000-0005-0000-0000-00002D0C0000}"/>
    <cellStyle name="20% - Énfasis5 28 10" xfId="3183" xr:uid="{00000000-0005-0000-0000-00002E0C0000}"/>
    <cellStyle name="20% - Énfasis5 28 11" xfId="3184" xr:uid="{00000000-0005-0000-0000-00002F0C0000}"/>
    <cellStyle name="20% - Énfasis5 28 12" xfId="3185" xr:uid="{00000000-0005-0000-0000-0000300C0000}"/>
    <cellStyle name="20% - Énfasis5 28 13" xfId="3186" xr:uid="{00000000-0005-0000-0000-0000310C0000}"/>
    <cellStyle name="20% - Énfasis5 28 14" xfId="3187" xr:uid="{00000000-0005-0000-0000-0000320C0000}"/>
    <cellStyle name="20% - Énfasis5 28 15" xfId="3188" xr:uid="{00000000-0005-0000-0000-0000330C0000}"/>
    <cellStyle name="20% - Énfasis5 28 16" xfId="3189" xr:uid="{00000000-0005-0000-0000-0000340C0000}"/>
    <cellStyle name="20% - Énfasis5 28 17" xfId="3190" xr:uid="{00000000-0005-0000-0000-0000350C0000}"/>
    <cellStyle name="20% - Énfasis5 28 18" xfId="3191" xr:uid="{00000000-0005-0000-0000-0000360C0000}"/>
    <cellStyle name="20% - Énfasis5 28 2" xfId="3192" xr:uid="{00000000-0005-0000-0000-0000370C0000}"/>
    <cellStyle name="20% - Énfasis5 28 3" xfId="3193" xr:uid="{00000000-0005-0000-0000-0000380C0000}"/>
    <cellStyle name="20% - Énfasis5 28 4" xfId="3194" xr:uid="{00000000-0005-0000-0000-0000390C0000}"/>
    <cellStyle name="20% - Énfasis5 28 5" xfId="3195" xr:uid="{00000000-0005-0000-0000-00003A0C0000}"/>
    <cellStyle name="20% - Énfasis5 28 6" xfId="3196" xr:uid="{00000000-0005-0000-0000-00003B0C0000}"/>
    <cellStyle name="20% - Énfasis5 28 7" xfId="3197" xr:uid="{00000000-0005-0000-0000-00003C0C0000}"/>
    <cellStyle name="20% - Énfasis5 28 8" xfId="3198" xr:uid="{00000000-0005-0000-0000-00003D0C0000}"/>
    <cellStyle name="20% - Énfasis5 28 9" xfId="3199" xr:uid="{00000000-0005-0000-0000-00003E0C0000}"/>
    <cellStyle name="20% - Énfasis5 29 10" xfId="3200" xr:uid="{00000000-0005-0000-0000-00003F0C0000}"/>
    <cellStyle name="20% - Énfasis5 29 11" xfId="3201" xr:uid="{00000000-0005-0000-0000-0000400C0000}"/>
    <cellStyle name="20% - Énfasis5 29 12" xfId="3202" xr:uid="{00000000-0005-0000-0000-0000410C0000}"/>
    <cellStyle name="20% - Énfasis5 29 13" xfId="3203" xr:uid="{00000000-0005-0000-0000-0000420C0000}"/>
    <cellStyle name="20% - Énfasis5 29 14" xfId="3204" xr:uid="{00000000-0005-0000-0000-0000430C0000}"/>
    <cellStyle name="20% - Énfasis5 29 15" xfId="3205" xr:uid="{00000000-0005-0000-0000-0000440C0000}"/>
    <cellStyle name="20% - Énfasis5 29 16" xfId="3206" xr:uid="{00000000-0005-0000-0000-0000450C0000}"/>
    <cellStyle name="20% - Énfasis5 29 17" xfId="3207" xr:uid="{00000000-0005-0000-0000-0000460C0000}"/>
    <cellStyle name="20% - Énfasis5 29 18" xfId="3208" xr:uid="{00000000-0005-0000-0000-0000470C0000}"/>
    <cellStyle name="20% - Énfasis5 29 2" xfId="3209" xr:uid="{00000000-0005-0000-0000-0000480C0000}"/>
    <cellStyle name="20% - Énfasis5 29 3" xfId="3210" xr:uid="{00000000-0005-0000-0000-0000490C0000}"/>
    <cellStyle name="20% - Énfasis5 29 4" xfId="3211" xr:uid="{00000000-0005-0000-0000-00004A0C0000}"/>
    <cellStyle name="20% - Énfasis5 29 5" xfId="3212" xr:uid="{00000000-0005-0000-0000-00004B0C0000}"/>
    <cellStyle name="20% - Énfasis5 29 6" xfId="3213" xr:uid="{00000000-0005-0000-0000-00004C0C0000}"/>
    <cellStyle name="20% - Énfasis5 29 7" xfId="3214" xr:uid="{00000000-0005-0000-0000-00004D0C0000}"/>
    <cellStyle name="20% - Énfasis5 29 8" xfId="3215" xr:uid="{00000000-0005-0000-0000-00004E0C0000}"/>
    <cellStyle name="20% - Énfasis5 29 9" xfId="3216" xr:uid="{00000000-0005-0000-0000-00004F0C0000}"/>
    <cellStyle name="20% - Énfasis5 3 10" xfId="3217" xr:uid="{00000000-0005-0000-0000-0000500C0000}"/>
    <cellStyle name="20% - Énfasis5 3 11" xfId="3218" xr:uid="{00000000-0005-0000-0000-0000510C0000}"/>
    <cellStyle name="20% - Énfasis5 3 12" xfId="3219" xr:uid="{00000000-0005-0000-0000-0000520C0000}"/>
    <cellStyle name="20% - Énfasis5 3 13" xfId="3220" xr:uid="{00000000-0005-0000-0000-0000530C0000}"/>
    <cellStyle name="20% - Énfasis5 3 14" xfId="3221" xr:uid="{00000000-0005-0000-0000-0000540C0000}"/>
    <cellStyle name="20% - Énfasis5 3 15" xfId="3222" xr:uid="{00000000-0005-0000-0000-0000550C0000}"/>
    <cellStyle name="20% - Énfasis5 3 16" xfId="3223" xr:uid="{00000000-0005-0000-0000-0000560C0000}"/>
    <cellStyle name="20% - Énfasis5 3 17" xfId="3224" xr:uid="{00000000-0005-0000-0000-0000570C0000}"/>
    <cellStyle name="20% - Énfasis5 3 18" xfId="3225" xr:uid="{00000000-0005-0000-0000-0000580C0000}"/>
    <cellStyle name="20% - Énfasis5 3 2" xfId="3226" xr:uid="{00000000-0005-0000-0000-0000590C0000}"/>
    <cellStyle name="20% - Énfasis5 3 3" xfId="3227" xr:uid="{00000000-0005-0000-0000-00005A0C0000}"/>
    <cellStyle name="20% - Énfasis5 3 4" xfId="3228" xr:uid="{00000000-0005-0000-0000-00005B0C0000}"/>
    <cellStyle name="20% - Énfasis5 3 5" xfId="3229" xr:uid="{00000000-0005-0000-0000-00005C0C0000}"/>
    <cellStyle name="20% - Énfasis5 3 6" xfId="3230" xr:uid="{00000000-0005-0000-0000-00005D0C0000}"/>
    <cellStyle name="20% - Énfasis5 3 7" xfId="3231" xr:uid="{00000000-0005-0000-0000-00005E0C0000}"/>
    <cellStyle name="20% - Énfasis5 3 8" xfId="3232" xr:uid="{00000000-0005-0000-0000-00005F0C0000}"/>
    <cellStyle name="20% - Énfasis5 3 9" xfId="3233" xr:uid="{00000000-0005-0000-0000-0000600C0000}"/>
    <cellStyle name="20% - Énfasis5 30 10" xfId="3234" xr:uid="{00000000-0005-0000-0000-0000610C0000}"/>
    <cellStyle name="20% - Énfasis5 30 11" xfId="3235" xr:uid="{00000000-0005-0000-0000-0000620C0000}"/>
    <cellStyle name="20% - Énfasis5 30 12" xfId="3236" xr:uid="{00000000-0005-0000-0000-0000630C0000}"/>
    <cellStyle name="20% - Énfasis5 30 13" xfId="3237" xr:uid="{00000000-0005-0000-0000-0000640C0000}"/>
    <cellStyle name="20% - Énfasis5 30 14" xfId="3238" xr:uid="{00000000-0005-0000-0000-0000650C0000}"/>
    <cellStyle name="20% - Énfasis5 30 15" xfId="3239" xr:uid="{00000000-0005-0000-0000-0000660C0000}"/>
    <cellStyle name="20% - Énfasis5 30 16" xfId="3240" xr:uid="{00000000-0005-0000-0000-0000670C0000}"/>
    <cellStyle name="20% - Énfasis5 30 17" xfId="3241" xr:uid="{00000000-0005-0000-0000-0000680C0000}"/>
    <cellStyle name="20% - Énfasis5 30 18" xfId="3242" xr:uid="{00000000-0005-0000-0000-0000690C0000}"/>
    <cellStyle name="20% - Énfasis5 30 2" xfId="3243" xr:uid="{00000000-0005-0000-0000-00006A0C0000}"/>
    <cellStyle name="20% - Énfasis5 30 3" xfId="3244" xr:uid="{00000000-0005-0000-0000-00006B0C0000}"/>
    <cellStyle name="20% - Énfasis5 30 4" xfId="3245" xr:uid="{00000000-0005-0000-0000-00006C0C0000}"/>
    <cellStyle name="20% - Énfasis5 30 5" xfId="3246" xr:uid="{00000000-0005-0000-0000-00006D0C0000}"/>
    <cellStyle name="20% - Énfasis5 30 6" xfId="3247" xr:uid="{00000000-0005-0000-0000-00006E0C0000}"/>
    <cellStyle name="20% - Énfasis5 30 7" xfId="3248" xr:uid="{00000000-0005-0000-0000-00006F0C0000}"/>
    <cellStyle name="20% - Énfasis5 30 8" xfId="3249" xr:uid="{00000000-0005-0000-0000-0000700C0000}"/>
    <cellStyle name="20% - Énfasis5 30 9" xfId="3250" xr:uid="{00000000-0005-0000-0000-0000710C0000}"/>
    <cellStyle name="20% - Énfasis5 31 10" xfId="3251" xr:uid="{00000000-0005-0000-0000-0000720C0000}"/>
    <cellStyle name="20% - Énfasis5 31 11" xfId="3252" xr:uid="{00000000-0005-0000-0000-0000730C0000}"/>
    <cellStyle name="20% - Énfasis5 31 12" xfId="3253" xr:uid="{00000000-0005-0000-0000-0000740C0000}"/>
    <cellStyle name="20% - Énfasis5 31 13" xfId="3254" xr:uid="{00000000-0005-0000-0000-0000750C0000}"/>
    <cellStyle name="20% - Énfasis5 31 14" xfId="3255" xr:uid="{00000000-0005-0000-0000-0000760C0000}"/>
    <cellStyle name="20% - Énfasis5 31 15" xfId="3256" xr:uid="{00000000-0005-0000-0000-0000770C0000}"/>
    <cellStyle name="20% - Énfasis5 31 16" xfId="3257" xr:uid="{00000000-0005-0000-0000-0000780C0000}"/>
    <cellStyle name="20% - Énfasis5 31 17" xfId="3258" xr:uid="{00000000-0005-0000-0000-0000790C0000}"/>
    <cellStyle name="20% - Énfasis5 31 18" xfId="3259" xr:uid="{00000000-0005-0000-0000-00007A0C0000}"/>
    <cellStyle name="20% - Énfasis5 31 2" xfId="3260" xr:uid="{00000000-0005-0000-0000-00007B0C0000}"/>
    <cellStyle name="20% - Énfasis5 31 3" xfId="3261" xr:uid="{00000000-0005-0000-0000-00007C0C0000}"/>
    <cellStyle name="20% - Énfasis5 31 4" xfId="3262" xr:uid="{00000000-0005-0000-0000-00007D0C0000}"/>
    <cellStyle name="20% - Énfasis5 31 5" xfId="3263" xr:uid="{00000000-0005-0000-0000-00007E0C0000}"/>
    <cellStyle name="20% - Énfasis5 31 6" xfId="3264" xr:uid="{00000000-0005-0000-0000-00007F0C0000}"/>
    <cellStyle name="20% - Énfasis5 31 7" xfId="3265" xr:uid="{00000000-0005-0000-0000-0000800C0000}"/>
    <cellStyle name="20% - Énfasis5 31 8" xfId="3266" xr:uid="{00000000-0005-0000-0000-0000810C0000}"/>
    <cellStyle name="20% - Énfasis5 31 9" xfId="3267" xr:uid="{00000000-0005-0000-0000-0000820C0000}"/>
    <cellStyle name="20% - Énfasis5 32 10" xfId="3268" xr:uid="{00000000-0005-0000-0000-0000830C0000}"/>
    <cellStyle name="20% - Énfasis5 32 11" xfId="3269" xr:uid="{00000000-0005-0000-0000-0000840C0000}"/>
    <cellStyle name="20% - Énfasis5 32 12" xfId="3270" xr:uid="{00000000-0005-0000-0000-0000850C0000}"/>
    <cellStyle name="20% - Énfasis5 32 13" xfId="3271" xr:uid="{00000000-0005-0000-0000-0000860C0000}"/>
    <cellStyle name="20% - Énfasis5 32 14" xfId="3272" xr:uid="{00000000-0005-0000-0000-0000870C0000}"/>
    <cellStyle name="20% - Énfasis5 32 15" xfId="3273" xr:uid="{00000000-0005-0000-0000-0000880C0000}"/>
    <cellStyle name="20% - Énfasis5 32 16" xfId="3274" xr:uid="{00000000-0005-0000-0000-0000890C0000}"/>
    <cellStyle name="20% - Énfasis5 32 17" xfId="3275" xr:uid="{00000000-0005-0000-0000-00008A0C0000}"/>
    <cellStyle name="20% - Énfasis5 32 18" xfId="3276" xr:uid="{00000000-0005-0000-0000-00008B0C0000}"/>
    <cellStyle name="20% - Énfasis5 32 2" xfId="3277" xr:uid="{00000000-0005-0000-0000-00008C0C0000}"/>
    <cellStyle name="20% - Énfasis5 32 3" xfId="3278" xr:uid="{00000000-0005-0000-0000-00008D0C0000}"/>
    <cellStyle name="20% - Énfasis5 32 4" xfId="3279" xr:uid="{00000000-0005-0000-0000-00008E0C0000}"/>
    <cellStyle name="20% - Énfasis5 32 5" xfId="3280" xr:uid="{00000000-0005-0000-0000-00008F0C0000}"/>
    <cellStyle name="20% - Énfasis5 32 6" xfId="3281" xr:uid="{00000000-0005-0000-0000-0000900C0000}"/>
    <cellStyle name="20% - Énfasis5 32 7" xfId="3282" xr:uid="{00000000-0005-0000-0000-0000910C0000}"/>
    <cellStyle name="20% - Énfasis5 32 8" xfId="3283" xr:uid="{00000000-0005-0000-0000-0000920C0000}"/>
    <cellStyle name="20% - Énfasis5 32 9" xfId="3284" xr:uid="{00000000-0005-0000-0000-0000930C0000}"/>
    <cellStyle name="20% - Énfasis5 33 10" xfId="3285" xr:uid="{00000000-0005-0000-0000-0000940C0000}"/>
    <cellStyle name="20% - Énfasis5 33 11" xfId="3286" xr:uid="{00000000-0005-0000-0000-0000950C0000}"/>
    <cellStyle name="20% - Énfasis5 33 12" xfId="3287" xr:uid="{00000000-0005-0000-0000-0000960C0000}"/>
    <cellStyle name="20% - Énfasis5 33 13" xfId="3288" xr:uid="{00000000-0005-0000-0000-0000970C0000}"/>
    <cellStyle name="20% - Énfasis5 33 14" xfId="3289" xr:uid="{00000000-0005-0000-0000-0000980C0000}"/>
    <cellStyle name="20% - Énfasis5 33 15" xfId="3290" xr:uid="{00000000-0005-0000-0000-0000990C0000}"/>
    <cellStyle name="20% - Énfasis5 33 16" xfId="3291" xr:uid="{00000000-0005-0000-0000-00009A0C0000}"/>
    <cellStyle name="20% - Énfasis5 33 17" xfId="3292" xr:uid="{00000000-0005-0000-0000-00009B0C0000}"/>
    <cellStyle name="20% - Énfasis5 33 18" xfId="3293" xr:uid="{00000000-0005-0000-0000-00009C0C0000}"/>
    <cellStyle name="20% - Énfasis5 33 2" xfId="3294" xr:uid="{00000000-0005-0000-0000-00009D0C0000}"/>
    <cellStyle name="20% - Énfasis5 33 3" xfId="3295" xr:uid="{00000000-0005-0000-0000-00009E0C0000}"/>
    <cellStyle name="20% - Énfasis5 33 4" xfId="3296" xr:uid="{00000000-0005-0000-0000-00009F0C0000}"/>
    <cellStyle name="20% - Énfasis5 33 5" xfId="3297" xr:uid="{00000000-0005-0000-0000-0000A00C0000}"/>
    <cellStyle name="20% - Énfasis5 33 6" xfId="3298" xr:uid="{00000000-0005-0000-0000-0000A10C0000}"/>
    <cellStyle name="20% - Énfasis5 33 7" xfId="3299" xr:uid="{00000000-0005-0000-0000-0000A20C0000}"/>
    <cellStyle name="20% - Énfasis5 33 8" xfId="3300" xr:uid="{00000000-0005-0000-0000-0000A30C0000}"/>
    <cellStyle name="20% - Énfasis5 33 9" xfId="3301" xr:uid="{00000000-0005-0000-0000-0000A40C0000}"/>
    <cellStyle name="20% - Énfasis5 34 10" xfId="3302" xr:uid="{00000000-0005-0000-0000-0000A50C0000}"/>
    <cellStyle name="20% - Énfasis5 34 11" xfId="3303" xr:uid="{00000000-0005-0000-0000-0000A60C0000}"/>
    <cellStyle name="20% - Énfasis5 34 12" xfId="3304" xr:uid="{00000000-0005-0000-0000-0000A70C0000}"/>
    <cellStyle name="20% - Énfasis5 34 13" xfId="3305" xr:uid="{00000000-0005-0000-0000-0000A80C0000}"/>
    <cellStyle name="20% - Énfasis5 34 14" xfId="3306" xr:uid="{00000000-0005-0000-0000-0000A90C0000}"/>
    <cellStyle name="20% - Énfasis5 34 15" xfId="3307" xr:uid="{00000000-0005-0000-0000-0000AA0C0000}"/>
    <cellStyle name="20% - Énfasis5 34 16" xfId="3308" xr:uid="{00000000-0005-0000-0000-0000AB0C0000}"/>
    <cellStyle name="20% - Énfasis5 34 17" xfId="3309" xr:uid="{00000000-0005-0000-0000-0000AC0C0000}"/>
    <cellStyle name="20% - Énfasis5 34 18" xfId="3310" xr:uid="{00000000-0005-0000-0000-0000AD0C0000}"/>
    <cellStyle name="20% - Énfasis5 34 2" xfId="3311" xr:uid="{00000000-0005-0000-0000-0000AE0C0000}"/>
    <cellStyle name="20% - Énfasis5 34 3" xfId="3312" xr:uid="{00000000-0005-0000-0000-0000AF0C0000}"/>
    <cellStyle name="20% - Énfasis5 34 4" xfId="3313" xr:uid="{00000000-0005-0000-0000-0000B00C0000}"/>
    <cellStyle name="20% - Énfasis5 34 5" xfId="3314" xr:uid="{00000000-0005-0000-0000-0000B10C0000}"/>
    <cellStyle name="20% - Énfasis5 34 6" xfId="3315" xr:uid="{00000000-0005-0000-0000-0000B20C0000}"/>
    <cellStyle name="20% - Énfasis5 34 7" xfId="3316" xr:uid="{00000000-0005-0000-0000-0000B30C0000}"/>
    <cellStyle name="20% - Énfasis5 34 8" xfId="3317" xr:uid="{00000000-0005-0000-0000-0000B40C0000}"/>
    <cellStyle name="20% - Énfasis5 34 9" xfId="3318" xr:uid="{00000000-0005-0000-0000-0000B50C0000}"/>
    <cellStyle name="20% - Énfasis5 35 10" xfId="3319" xr:uid="{00000000-0005-0000-0000-0000B60C0000}"/>
    <cellStyle name="20% - Énfasis5 35 11" xfId="3320" xr:uid="{00000000-0005-0000-0000-0000B70C0000}"/>
    <cellStyle name="20% - Énfasis5 35 12" xfId="3321" xr:uid="{00000000-0005-0000-0000-0000B80C0000}"/>
    <cellStyle name="20% - Énfasis5 35 13" xfId="3322" xr:uid="{00000000-0005-0000-0000-0000B90C0000}"/>
    <cellStyle name="20% - Énfasis5 35 14" xfId="3323" xr:uid="{00000000-0005-0000-0000-0000BA0C0000}"/>
    <cellStyle name="20% - Énfasis5 35 15" xfId="3324" xr:uid="{00000000-0005-0000-0000-0000BB0C0000}"/>
    <cellStyle name="20% - Énfasis5 35 16" xfId="3325" xr:uid="{00000000-0005-0000-0000-0000BC0C0000}"/>
    <cellStyle name="20% - Énfasis5 35 17" xfId="3326" xr:uid="{00000000-0005-0000-0000-0000BD0C0000}"/>
    <cellStyle name="20% - Énfasis5 35 18" xfId="3327" xr:uid="{00000000-0005-0000-0000-0000BE0C0000}"/>
    <cellStyle name="20% - Énfasis5 35 2" xfId="3328" xr:uid="{00000000-0005-0000-0000-0000BF0C0000}"/>
    <cellStyle name="20% - Énfasis5 35 3" xfId="3329" xr:uid="{00000000-0005-0000-0000-0000C00C0000}"/>
    <cellStyle name="20% - Énfasis5 35 4" xfId="3330" xr:uid="{00000000-0005-0000-0000-0000C10C0000}"/>
    <cellStyle name="20% - Énfasis5 35 5" xfId="3331" xr:uid="{00000000-0005-0000-0000-0000C20C0000}"/>
    <cellStyle name="20% - Énfasis5 35 6" xfId="3332" xr:uid="{00000000-0005-0000-0000-0000C30C0000}"/>
    <cellStyle name="20% - Énfasis5 35 7" xfId="3333" xr:uid="{00000000-0005-0000-0000-0000C40C0000}"/>
    <cellStyle name="20% - Énfasis5 35 8" xfId="3334" xr:uid="{00000000-0005-0000-0000-0000C50C0000}"/>
    <cellStyle name="20% - Énfasis5 35 9" xfId="3335" xr:uid="{00000000-0005-0000-0000-0000C60C0000}"/>
    <cellStyle name="20% - Énfasis5 36 10" xfId="3336" xr:uid="{00000000-0005-0000-0000-0000C70C0000}"/>
    <cellStyle name="20% - Énfasis5 36 11" xfId="3337" xr:uid="{00000000-0005-0000-0000-0000C80C0000}"/>
    <cellStyle name="20% - Énfasis5 36 12" xfId="3338" xr:uid="{00000000-0005-0000-0000-0000C90C0000}"/>
    <cellStyle name="20% - Énfasis5 36 13" xfId="3339" xr:uid="{00000000-0005-0000-0000-0000CA0C0000}"/>
    <cellStyle name="20% - Énfasis5 36 14" xfId="3340" xr:uid="{00000000-0005-0000-0000-0000CB0C0000}"/>
    <cellStyle name="20% - Énfasis5 36 15" xfId="3341" xr:uid="{00000000-0005-0000-0000-0000CC0C0000}"/>
    <cellStyle name="20% - Énfasis5 36 16" xfId="3342" xr:uid="{00000000-0005-0000-0000-0000CD0C0000}"/>
    <cellStyle name="20% - Énfasis5 36 17" xfId="3343" xr:uid="{00000000-0005-0000-0000-0000CE0C0000}"/>
    <cellStyle name="20% - Énfasis5 36 18" xfId="3344" xr:uid="{00000000-0005-0000-0000-0000CF0C0000}"/>
    <cellStyle name="20% - Énfasis5 36 2" xfId="3345" xr:uid="{00000000-0005-0000-0000-0000D00C0000}"/>
    <cellStyle name="20% - Énfasis5 36 3" xfId="3346" xr:uid="{00000000-0005-0000-0000-0000D10C0000}"/>
    <cellStyle name="20% - Énfasis5 36 4" xfId="3347" xr:uid="{00000000-0005-0000-0000-0000D20C0000}"/>
    <cellStyle name="20% - Énfasis5 36 5" xfId="3348" xr:uid="{00000000-0005-0000-0000-0000D30C0000}"/>
    <cellStyle name="20% - Énfasis5 36 6" xfId="3349" xr:uid="{00000000-0005-0000-0000-0000D40C0000}"/>
    <cellStyle name="20% - Énfasis5 36 7" xfId="3350" xr:uid="{00000000-0005-0000-0000-0000D50C0000}"/>
    <cellStyle name="20% - Énfasis5 36 8" xfId="3351" xr:uid="{00000000-0005-0000-0000-0000D60C0000}"/>
    <cellStyle name="20% - Énfasis5 36 9" xfId="3352" xr:uid="{00000000-0005-0000-0000-0000D70C0000}"/>
    <cellStyle name="20% - Énfasis5 37 10" xfId="3353" xr:uid="{00000000-0005-0000-0000-0000D80C0000}"/>
    <cellStyle name="20% - Énfasis5 37 11" xfId="3354" xr:uid="{00000000-0005-0000-0000-0000D90C0000}"/>
    <cellStyle name="20% - Énfasis5 37 12" xfId="3355" xr:uid="{00000000-0005-0000-0000-0000DA0C0000}"/>
    <cellStyle name="20% - Énfasis5 37 13" xfId="3356" xr:uid="{00000000-0005-0000-0000-0000DB0C0000}"/>
    <cellStyle name="20% - Énfasis5 37 14" xfId="3357" xr:uid="{00000000-0005-0000-0000-0000DC0C0000}"/>
    <cellStyle name="20% - Énfasis5 37 15" xfId="3358" xr:uid="{00000000-0005-0000-0000-0000DD0C0000}"/>
    <cellStyle name="20% - Énfasis5 37 16" xfId="3359" xr:uid="{00000000-0005-0000-0000-0000DE0C0000}"/>
    <cellStyle name="20% - Énfasis5 37 17" xfId="3360" xr:uid="{00000000-0005-0000-0000-0000DF0C0000}"/>
    <cellStyle name="20% - Énfasis5 37 18" xfId="3361" xr:uid="{00000000-0005-0000-0000-0000E00C0000}"/>
    <cellStyle name="20% - Énfasis5 37 2" xfId="3362" xr:uid="{00000000-0005-0000-0000-0000E10C0000}"/>
    <cellStyle name="20% - Énfasis5 37 3" xfId="3363" xr:uid="{00000000-0005-0000-0000-0000E20C0000}"/>
    <cellStyle name="20% - Énfasis5 37 4" xfId="3364" xr:uid="{00000000-0005-0000-0000-0000E30C0000}"/>
    <cellStyle name="20% - Énfasis5 37 5" xfId="3365" xr:uid="{00000000-0005-0000-0000-0000E40C0000}"/>
    <cellStyle name="20% - Énfasis5 37 6" xfId="3366" xr:uid="{00000000-0005-0000-0000-0000E50C0000}"/>
    <cellStyle name="20% - Énfasis5 37 7" xfId="3367" xr:uid="{00000000-0005-0000-0000-0000E60C0000}"/>
    <cellStyle name="20% - Énfasis5 37 8" xfId="3368" xr:uid="{00000000-0005-0000-0000-0000E70C0000}"/>
    <cellStyle name="20% - Énfasis5 37 9" xfId="3369" xr:uid="{00000000-0005-0000-0000-0000E80C0000}"/>
    <cellStyle name="20% - Énfasis5 38 10" xfId="3370" xr:uid="{00000000-0005-0000-0000-0000E90C0000}"/>
    <cellStyle name="20% - Énfasis5 38 11" xfId="3371" xr:uid="{00000000-0005-0000-0000-0000EA0C0000}"/>
    <cellStyle name="20% - Énfasis5 38 12" xfId="3372" xr:uid="{00000000-0005-0000-0000-0000EB0C0000}"/>
    <cellStyle name="20% - Énfasis5 38 13" xfId="3373" xr:uid="{00000000-0005-0000-0000-0000EC0C0000}"/>
    <cellStyle name="20% - Énfasis5 38 14" xfId="3374" xr:uid="{00000000-0005-0000-0000-0000ED0C0000}"/>
    <cellStyle name="20% - Énfasis5 38 15" xfId="3375" xr:uid="{00000000-0005-0000-0000-0000EE0C0000}"/>
    <cellStyle name="20% - Énfasis5 38 16" xfId="3376" xr:uid="{00000000-0005-0000-0000-0000EF0C0000}"/>
    <cellStyle name="20% - Énfasis5 38 17" xfId="3377" xr:uid="{00000000-0005-0000-0000-0000F00C0000}"/>
    <cellStyle name="20% - Énfasis5 38 18" xfId="3378" xr:uid="{00000000-0005-0000-0000-0000F10C0000}"/>
    <cellStyle name="20% - Énfasis5 38 2" xfId="3379" xr:uid="{00000000-0005-0000-0000-0000F20C0000}"/>
    <cellStyle name="20% - Énfasis5 38 3" xfId="3380" xr:uid="{00000000-0005-0000-0000-0000F30C0000}"/>
    <cellStyle name="20% - Énfasis5 38 4" xfId="3381" xr:uid="{00000000-0005-0000-0000-0000F40C0000}"/>
    <cellStyle name="20% - Énfasis5 38 5" xfId="3382" xr:uid="{00000000-0005-0000-0000-0000F50C0000}"/>
    <cellStyle name="20% - Énfasis5 38 6" xfId="3383" xr:uid="{00000000-0005-0000-0000-0000F60C0000}"/>
    <cellStyle name="20% - Énfasis5 38 7" xfId="3384" xr:uid="{00000000-0005-0000-0000-0000F70C0000}"/>
    <cellStyle name="20% - Énfasis5 38 8" xfId="3385" xr:uid="{00000000-0005-0000-0000-0000F80C0000}"/>
    <cellStyle name="20% - Énfasis5 38 9" xfId="3386" xr:uid="{00000000-0005-0000-0000-0000F90C0000}"/>
    <cellStyle name="20% - Énfasis5 39" xfId="3387" xr:uid="{00000000-0005-0000-0000-0000FA0C0000}"/>
    <cellStyle name="20% - Énfasis5 39 10" xfId="3388" xr:uid="{00000000-0005-0000-0000-0000FB0C0000}"/>
    <cellStyle name="20% - Énfasis5 39 11" xfId="3389" xr:uid="{00000000-0005-0000-0000-0000FC0C0000}"/>
    <cellStyle name="20% - Énfasis5 39 12" xfId="3390" xr:uid="{00000000-0005-0000-0000-0000FD0C0000}"/>
    <cellStyle name="20% - Énfasis5 39 13" xfId="3391" xr:uid="{00000000-0005-0000-0000-0000FE0C0000}"/>
    <cellStyle name="20% - Énfasis5 39 14" xfId="3392" xr:uid="{00000000-0005-0000-0000-0000FF0C0000}"/>
    <cellStyle name="20% - Énfasis5 39 15" xfId="3393" xr:uid="{00000000-0005-0000-0000-0000000D0000}"/>
    <cellStyle name="20% - Énfasis5 39 2" xfId="3394" xr:uid="{00000000-0005-0000-0000-0000010D0000}"/>
    <cellStyle name="20% - Énfasis5 39 3" xfId="3395" xr:uid="{00000000-0005-0000-0000-0000020D0000}"/>
    <cellStyle name="20% - Énfasis5 39 4" xfId="3396" xr:uid="{00000000-0005-0000-0000-0000030D0000}"/>
    <cellStyle name="20% - Énfasis5 39 5" xfId="3397" xr:uid="{00000000-0005-0000-0000-0000040D0000}"/>
    <cellStyle name="20% - Énfasis5 39 6" xfId="3398" xr:uid="{00000000-0005-0000-0000-0000050D0000}"/>
    <cellStyle name="20% - Énfasis5 39 7" xfId="3399" xr:uid="{00000000-0005-0000-0000-0000060D0000}"/>
    <cellStyle name="20% - Énfasis5 39 8" xfId="3400" xr:uid="{00000000-0005-0000-0000-0000070D0000}"/>
    <cellStyle name="20% - Énfasis5 39 9" xfId="3401" xr:uid="{00000000-0005-0000-0000-0000080D0000}"/>
    <cellStyle name="20% - Énfasis5 4 10" xfId="3402" xr:uid="{00000000-0005-0000-0000-0000090D0000}"/>
    <cellStyle name="20% - Énfasis5 4 11" xfId="3403" xr:uid="{00000000-0005-0000-0000-00000A0D0000}"/>
    <cellStyle name="20% - Énfasis5 4 12" xfId="3404" xr:uid="{00000000-0005-0000-0000-00000B0D0000}"/>
    <cellStyle name="20% - Énfasis5 4 13" xfId="3405" xr:uid="{00000000-0005-0000-0000-00000C0D0000}"/>
    <cellStyle name="20% - Énfasis5 4 14" xfId="3406" xr:uid="{00000000-0005-0000-0000-00000D0D0000}"/>
    <cellStyle name="20% - Énfasis5 4 15" xfId="3407" xr:uid="{00000000-0005-0000-0000-00000E0D0000}"/>
    <cellStyle name="20% - Énfasis5 4 16" xfId="3408" xr:uid="{00000000-0005-0000-0000-00000F0D0000}"/>
    <cellStyle name="20% - Énfasis5 4 17" xfId="3409" xr:uid="{00000000-0005-0000-0000-0000100D0000}"/>
    <cellStyle name="20% - Énfasis5 4 18" xfId="3410" xr:uid="{00000000-0005-0000-0000-0000110D0000}"/>
    <cellStyle name="20% - Énfasis5 4 2" xfId="3411" xr:uid="{00000000-0005-0000-0000-0000120D0000}"/>
    <cellStyle name="20% - Énfasis5 4 3" xfId="3412" xr:uid="{00000000-0005-0000-0000-0000130D0000}"/>
    <cellStyle name="20% - Énfasis5 4 4" xfId="3413" xr:uid="{00000000-0005-0000-0000-0000140D0000}"/>
    <cellStyle name="20% - Énfasis5 4 5" xfId="3414" xr:uid="{00000000-0005-0000-0000-0000150D0000}"/>
    <cellStyle name="20% - Énfasis5 4 6" xfId="3415" xr:uid="{00000000-0005-0000-0000-0000160D0000}"/>
    <cellStyle name="20% - Énfasis5 4 7" xfId="3416" xr:uid="{00000000-0005-0000-0000-0000170D0000}"/>
    <cellStyle name="20% - Énfasis5 4 8" xfId="3417" xr:uid="{00000000-0005-0000-0000-0000180D0000}"/>
    <cellStyle name="20% - Énfasis5 4 9" xfId="3418" xr:uid="{00000000-0005-0000-0000-0000190D0000}"/>
    <cellStyle name="20% - Énfasis5 40" xfId="3419" xr:uid="{00000000-0005-0000-0000-00001A0D0000}"/>
    <cellStyle name="20% - Énfasis5 40 10" xfId="3420" xr:uid="{00000000-0005-0000-0000-00001B0D0000}"/>
    <cellStyle name="20% - Énfasis5 40 11" xfId="3421" xr:uid="{00000000-0005-0000-0000-00001C0D0000}"/>
    <cellStyle name="20% - Énfasis5 40 12" xfId="3422" xr:uid="{00000000-0005-0000-0000-00001D0D0000}"/>
    <cellStyle name="20% - Énfasis5 40 13" xfId="3423" xr:uid="{00000000-0005-0000-0000-00001E0D0000}"/>
    <cellStyle name="20% - Énfasis5 40 14" xfId="3424" xr:uid="{00000000-0005-0000-0000-00001F0D0000}"/>
    <cellStyle name="20% - Énfasis5 40 15" xfId="3425" xr:uid="{00000000-0005-0000-0000-0000200D0000}"/>
    <cellStyle name="20% - Énfasis5 40 2" xfId="3426" xr:uid="{00000000-0005-0000-0000-0000210D0000}"/>
    <cellStyle name="20% - Énfasis5 40 3" xfId="3427" xr:uid="{00000000-0005-0000-0000-0000220D0000}"/>
    <cellStyle name="20% - Énfasis5 40 4" xfId="3428" xr:uid="{00000000-0005-0000-0000-0000230D0000}"/>
    <cellStyle name="20% - Énfasis5 40 5" xfId="3429" xr:uid="{00000000-0005-0000-0000-0000240D0000}"/>
    <cellStyle name="20% - Énfasis5 40 6" xfId="3430" xr:uid="{00000000-0005-0000-0000-0000250D0000}"/>
    <cellStyle name="20% - Énfasis5 40 7" xfId="3431" xr:uid="{00000000-0005-0000-0000-0000260D0000}"/>
    <cellStyle name="20% - Énfasis5 40 8" xfId="3432" xr:uid="{00000000-0005-0000-0000-0000270D0000}"/>
    <cellStyle name="20% - Énfasis5 40 9" xfId="3433" xr:uid="{00000000-0005-0000-0000-0000280D0000}"/>
    <cellStyle name="20% - Énfasis5 41" xfId="3434" xr:uid="{00000000-0005-0000-0000-0000290D0000}"/>
    <cellStyle name="20% - Énfasis5 41 10" xfId="3435" xr:uid="{00000000-0005-0000-0000-00002A0D0000}"/>
    <cellStyle name="20% - Énfasis5 41 11" xfId="3436" xr:uid="{00000000-0005-0000-0000-00002B0D0000}"/>
    <cellStyle name="20% - Énfasis5 41 12" xfId="3437" xr:uid="{00000000-0005-0000-0000-00002C0D0000}"/>
    <cellStyle name="20% - Énfasis5 41 13" xfId="3438" xr:uid="{00000000-0005-0000-0000-00002D0D0000}"/>
    <cellStyle name="20% - Énfasis5 41 14" xfId="3439" xr:uid="{00000000-0005-0000-0000-00002E0D0000}"/>
    <cellStyle name="20% - Énfasis5 41 15" xfId="3440" xr:uid="{00000000-0005-0000-0000-00002F0D0000}"/>
    <cellStyle name="20% - Énfasis5 41 2" xfId="3441" xr:uid="{00000000-0005-0000-0000-0000300D0000}"/>
    <cellStyle name="20% - Énfasis5 41 3" xfId="3442" xr:uid="{00000000-0005-0000-0000-0000310D0000}"/>
    <cellStyle name="20% - Énfasis5 41 4" xfId="3443" xr:uid="{00000000-0005-0000-0000-0000320D0000}"/>
    <cellStyle name="20% - Énfasis5 41 5" xfId="3444" xr:uid="{00000000-0005-0000-0000-0000330D0000}"/>
    <cellStyle name="20% - Énfasis5 41 6" xfId="3445" xr:uid="{00000000-0005-0000-0000-0000340D0000}"/>
    <cellStyle name="20% - Énfasis5 41 7" xfId="3446" xr:uid="{00000000-0005-0000-0000-0000350D0000}"/>
    <cellStyle name="20% - Énfasis5 41 8" xfId="3447" xr:uid="{00000000-0005-0000-0000-0000360D0000}"/>
    <cellStyle name="20% - Énfasis5 41 9" xfId="3448" xr:uid="{00000000-0005-0000-0000-0000370D0000}"/>
    <cellStyle name="20% - Énfasis5 42" xfId="3449" xr:uid="{00000000-0005-0000-0000-0000380D0000}"/>
    <cellStyle name="20% - Énfasis5 43" xfId="3450" xr:uid="{00000000-0005-0000-0000-0000390D0000}"/>
    <cellStyle name="20% - Énfasis5 44" xfId="3451" xr:uid="{00000000-0005-0000-0000-00003A0D0000}"/>
    <cellStyle name="20% - Énfasis5 45" xfId="3452" xr:uid="{00000000-0005-0000-0000-00003B0D0000}"/>
    <cellStyle name="20% - Énfasis5 46" xfId="3453" xr:uid="{00000000-0005-0000-0000-00003C0D0000}"/>
    <cellStyle name="20% - Énfasis5 47" xfId="3454" xr:uid="{00000000-0005-0000-0000-00003D0D0000}"/>
    <cellStyle name="20% - Énfasis5 48" xfId="3455" xr:uid="{00000000-0005-0000-0000-00003E0D0000}"/>
    <cellStyle name="20% - Énfasis5 49" xfId="3456" xr:uid="{00000000-0005-0000-0000-00003F0D0000}"/>
    <cellStyle name="20% - Énfasis5 5 10" xfId="3457" xr:uid="{00000000-0005-0000-0000-0000400D0000}"/>
    <cellStyle name="20% - Énfasis5 5 11" xfId="3458" xr:uid="{00000000-0005-0000-0000-0000410D0000}"/>
    <cellStyle name="20% - Énfasis5 5 12" xfId="3459" xr:uid="{00000000-0005-0000-0000-0000420D0000}"/>
    <cellStyle name="20% - Énfasis5 5 13" xfId="3460" xr:uid="{00000000-0005-0000-0000-0000430D0000}"/>
    <cellStyle name="20% - Énfasis5 5 14" xfId="3461" xr:uid="{00000000-0005-0000-0000-0000440D0000}"/>
    <cellStyle name="20% - Énfasis5 5 15" xfId="3462" xr:uid="{00000000-0005-0000-0000-0000450D0000}"/>
    <cellStyle name="20% - Énfasis5 5 16" xfId="3463" xr:uid="{00000000-0005-0000-0000-0000460D0000}"/>
    <cellStyle name="20% - Énfasis5 5 17" xfId="3464" xr:uid="{00000000-0005-0000-0000-0000470D0000}"/>
    <cellStyle name="20% - Énfasis5 5 18" xfId="3465" xr:uid="{00000000-0005-0000-0000-0000480D0000}"/>
    <cellStyle name="20% - Énfasis5 5 2" xfId="3466" xr:uid="{00000000-0005-0000-0000-0000490D0000}"/>
    <cellStyle name="20% - Énfasis5 5 3" xfId="3467" xr:uid="{00000000-0005-0000-0000-00004A0D0000}"/>
    <cellStyle name="20% - Énfasis5 5 4" xfId="3468" xr:uid="{00000000-0005-0000-0000-00004B0D0000}"/>
    <cellStyle name="20% - Énfasis5 5 5" xfId="3469" xr:uid="{00000000-0005-0000-0000-00004C0D0000}"/>
    <cellStyle name="20% - Énfasis5 5 6" xfId="3470" xr:uid="{00000000-0005-0000-0000-00004D0D0000}"/>
    <cellStyle name="20% - Énfasis5 5 7" xfId="3471" xr:uid="{00000000-0005-0000-0000-00004E0D0000}"/>
    <cellStyle name="20% - Énfasis5 5 8" xfId="3472" xr:uid="{00000000-0005-0000-0000-00004F0D0000}"/>
    <cellStyle name="20% - Énfasis5 5 9" xfId="3473" xr:uid="{00000000-0005-0000-0000-0000500D0000}"/>
    <cellStyle name="20% - Énfasis5 50" xfId="3474" xr:uid="{00000000-0005-0000-0000-0000510D0000}"/>
    <cellStyle name="20% - Énfasis5 51" xfId="3475" xr:uid="{00000000-0005-0000-0000-0000520D0000}"/>
    <cellStyle name="20% - Énfasis5 52" xfId="3476" xr:uid="{00000000-0005-0000-0000-0000530D0000}"/>
    <cellStyle name="20% - Énfasis5 53" xfId="3477" xr:uid="{00000000-0005-0000-0000-0000540D0000}"/>
    <cellStyle name="20% - Énfasis5 54" xfId="3478" xr:uid="{00000000-0005-0000-0000-0000550D0000}"/>
    <cellStyle name="20% - Énfasis5 55" xfId="3479" xr:uid="{00000000-0005-0000-0000-0000560D0000}"/>
    <cellStyle name="20% - Énfasis5 56" xfId="3480" xr:uid="{00000000-0005-0000-0000-0000570D0000}"/>
    <cellStyle name="20% - Énfasis5 57" xfId="3481" xr:uid="{00000000-0005-0000-0000-0000580D0000}"/>
    <cellStyle name="20% - Énfasis5 58" xfId="3482" xr:uid="{00000000-0005-0000-0000-0000590D0000}"/>
    <cellStyle name="20% - Énfasis5 59" xfId="3483" xr:uid="{00000000-0005-0000-0000-00005A0D0000}"/>
    <cellStyle name="20% - Énfasis5 6 10" xfId="3484" xr:uid="{00000000-0005-0000-0000-00005B0D0000}"/>
    <cellStyle name="20% - Énfasis5 6 11" xfId="3485" xr:uid="{00000000-0005-0000-0000-00005C0D0000}"/>
    <cellStyle name="20% - Énfasis5 6 12" xfId="3486" xr:uid="{00000000-0005-0000-0000-00005D0D0000}"/>
    <cellStyle name="20% - Énfasis5 6 13" xfId="3487" xr:uid="{00000000-0005-0000-0000-00005E0D0000}"/>
    <cellStyle name="20% - Énfasis5 6 14" xfId="3488" xr:uid="{00000000-0005-0000-0000-00005F0D0000}"/>
    <cellStyle name="20% - Énfasis5 6 15" xfId="3489" xr:uid="{00000000-0005-0000-0000-0000600D0000}"/>
    <cellStyle name="20% - Énfasis5 6 16" xfId="3490" xr:uid="{00000000-0005-0000-0000-0000610D0000}"/>
    <cellStyle name="20% - Énfasis5 6 17" xfId="3491" xr:uid="{00000000-0005-0000-0000-0000620D0000}"/>
    <cellStyle name="20% - Énfasis5 6 18" xfId="3492" xr:uid="{00000000-0005-0000-0000-0000630D0000}"/>
    <cellStyle name="20% - Énfasis5 6 2" xfId="3493" xr:uid="{00000000-0005-0000-0000-0000640D0000}"/>
    <cellStyle name="20% - Énfasis5 6 3" xfId="3494" xr:uid="{00000000-0005-0000-0000-0000650D0000}"/>
    <cellStyle name="20% - Énfasis5 6 4" xfId="3495" xr:uid="{00000000-0005-0000-0000-0000660D0000}"/>
    <cellStyle name="20% - Énfasis5 6 5" xfId="3496" xr:uid="{00000000-0005-0000-0000-0000670D0000}"/>
    <cellStyle name="20% - Énfasis5 6 6" xfId="3497" xr:uid="{00000000-0005-0000-0000-0000680D0000}"/>
    <cellStyle name="20% - Énfasis5 6 7" xfId="3498" xr:uid="{00000000-0005-0000-0000-0000690D0000}"/>
    <cellStyle name="20% - Énfasis5 6 8" xfId="3499" xr:uid="{00000000-0005-0000-0000-00006A0D0000}"/>
    <cellStyle name="20% - Énfasis5 6 9" xfId="3500" xr:uid="{00000000-0005-0000-0000-00006B0D0000}"/>
    <cellStyle name="20% - Énfasis5 60" xfId="3501" xr:uid="{00000000-0005-0000-0000-00006C0D0000}"/>
    <cellStyle name="20% - Énfasis5 61" xfId="3502" xr:uid="{00000000-0005-0000-0000-00006D0D0000}"/>
    <cellStyle name="20% - Énfasis5 62" xfId="3503" xr:uid="{00000000-0005-0000-0000-00006E0D0000}"/>
    <cellStyle name="20% - Énfasis5 63" xfId="3504" xr:uid="{00000000-0005-0000-0000-00006F0D0000}"/>
    <cellStyle name="20% - Énfasis5 64" xfId="3505" xr:uid="{00000000-0005-0000-0000-0000700D0000}"/>
    <cellStyle name="20% - Énfasis5 7 10" xfId="3506" xr:uid="{00000000-0005-0000-0000-0000710D0000}"/>
    <cellStyle name="20% - Énfasis5 7 11" xfId="3507" xr:uid="{00000000-0005-0000-0000-0000720D0000}"/>
    <cellStyle name="20% - Énfasis5 7 12" xfId="3508" xr:uid="{00000000-0005-0000-0000-0000730D0000}"/>
    <cellStyle name="20% - Énfasis5 7 13" xfId="3509" xr:uid="{00000000-0005-0000-0000-0000740D0000}"/>
    <cellStyle name="20% - Énfasis5 7 14" xfId="3510" xr:uid="{00000000-0005-0000-0000-0000750D0000}"/>
    <cellStyle name="20% - Énfasis5 7 15" xfId="3511" xr:uid="{00000000-0005-0000-0000-0000760D0000}"/>
    <cellStyle name="20% - Énfasis5 7 16" xfId="3512" xr:uid="{00000000-0005-0000-0000-0000770D0000}"/>
    <cellStyle name="20% - Énfasis5 7 17" xfId="3513" xr:uid="{00000000-0005-0000-0000-0000780D0000}"/>
    <cellStyle name="20% - Énfasis5 7 18" xfId="3514" xr:uid="{00000000-0005-0000-0000-0000790D0000}"/>
    <cellStyle name="20% - Énfasis5 7 2" xfId="3515" xr:uid="{00000000-0005-0000-0000-00007A0D0000}"/>
    <cellStyle name="20% - Énfasis5 7 3" xfId="3516" xr:uid="{00000000-0005-0000-0000-00007B0D0000}"/>
    <cellStyle name="20% - Énfasis5 7 4" xfId="3517" xr:uid="{00000000-0005-0000-0000-00007C0D0000}"/>
    <cellStyle name="20% - Énfasis5 7 5" xfId="3518" xr:uid="{00000000-0005-0000-0000-00007D0D0000}"/>
    <cellStyle name="20% - Énfasis5 7 6" xfId="3519" xr:uid="{00000000-0005-0000-0000-00007E0D0000}"/>
    <cellStyle name="20% - Énfasis5 7 7" xfId="3520" xr:uid="{00000000-0005-0000-0000-00007F0D0000}"/>
    <cellStyle name="20% - Énfasis5 7 8" xfId="3521" xr:uid="{00000000-0005-0000-0000-0000800D0000}"/>
    <cellStyle name="20% - Énfasis5 7 9" xfId="3522" xr:uid="{00000000-0005-0000-0000-0000810D0000}"/>
    <cellStyle name="20% - Énfasis5 8 10" xfId="3523" xr:uid="{00000000-0005-0000-0000-0000820D0000}"/>
    <cellStyle name="20% - Énfasis5 8 11" xfId="3524" xr:uid="{00000000-0005-0000-0000-0000830D0000}"/>
    <cellStyle name="20% - Énfasis5 8 12" xfId="3525" xr:uid="{00000000-0005-0000-0000-0000840D0000}"/>
    <cellStyle name="20% - Énfasis5 8 13" xfId="3526" xr:uid="{00000000-0005-0000-0000-0000850D0000}"/>
    <cellStyle name="20% - Énfasis5 8 14" xfId="3527" xr:uid="{00000000-0005-0000-0000-0000860D0000}"/>
    <cellStyle name="20% - Énfasis5 8 15" xfId="3528" xr:uid="{00000000-0005-0000-0000-0000870D0000}"/>
    <cellStyle name="20% - Énfasis5 8 16" xfId="3529" xr:uid="{00000000-0005-0000-0000-0000880D0000}"/>
    <cellStyle name="20% - Énfasis5 8 17" xfId="3530" xr:uid="{00000000-0005-0000-0000-0000890D0000}"/>
    <cellStyle name="20% - Énfasis5 8 18" xfId="3531" xr:uid="{00000000-0005-0000-0000-00008A0D0000}"/>
    <cellStyle name="20% - Énfasis5 8 2" xfId="3532" xr:uid="{00000000-0005-0000-0000-00008B0D0000}"/>
    <cellStyle name="20% - Énfasis5 8 3" xfId="3533" xr:uid="{00000000-0005-0000-0000-00008C0D0000}"/>
    <cellStyle name="20% - Énfasis5 8 4" xfId="3534" xr:uid="{00000000-0005-0000-0000-00008D0D0000}"/>
    <cellStyle name="20% - Énfasis5 8 5" xfId="3535" xr:uid="{00000000-0005-0000-0000-00008E0D0000}"/>
    <cellStyle name="20% - Énfasis5 8 6" xfId="3536" xr:uid="{00000000-0005-0000-0000-00008F0D0000}"/>
    <cellStyle name="20% - Énfasis5 8 7" xfId="3537" xr:uid="{00000000-0005-0000-0000-0000900D0000}"/>
    <cellStyle name="20% - Énfasis5 8 8" xfId="3538" xr:uid="{00000000-0005-0000-0000-0000910D0000}"/>
    <cellStyle name="20% - Énfasis5 8 9" xfId="3539" xr:uid="{00000000-0005-0000-0000-0000920D0000}"/>
    <cellStyle name="20% - Énfasis5 9 10" xfId="3540" xr:uid="{00000000-0005-0000-0000-0000930D0000}"/>
    <cellStyle name="20% - Énfasis5 9 11" xfId="3541" xr:uid="{00000000-0005-0000-0000-0000940D0000}"/>
    <cellStyle name="20% - Énfasis5 9 12" xfId="3542" xr:uid="{00000000-0005-0000-0000-0000950D0000}"/>
    <cellStyle name="20% - Énfasis5 9 13" xfId="3543" xr:uid="{00000000-0005-0000-0000-0000960D0000}"/>
    <cellStyle name="20% - Énfasis5 9 14" xfId="3544" xr:uid="{00000000-0005-0000-0000-0000970D0000}"/>
    <cellStyle name="20% - Énfasis5 9 15" xfId="3545" xr:uid="{00000000-0005-0000-0000-0000980D0000}"/>
    <cellStyle name="20% - Énfasis5 9 16" xfId="3546" xr:uid="{00000000-0005-0000-0000-0000990D0000}"/>
    <cellStyle name="20% - Énfasis5 9 17" xfId="3547" xr:uid="{00000000-0005-0000-0000-00009A0D0000}"/>
    <cellStyle name="20% - Énfasis5 9 18" xfId="3548" xr:uid="{00000000-0005-0000-0000-00009B0D0000}"/>
    <cellStyle name="20% - Énfasis5 9 2" xfId="3549" xr:uid="{00000000-0005-0000-0000-00009C0D0000}"/>
    <cellStyle name="20% - Énfasis5 9 3" xfId="3550" xr:uid="{00000000-0005-0000-0000-00009D0D0000}"/>
    <cellStyle name="20% - Énfasis5 9 4" xfId="3551" xr:uid="{00000000-0005-0000-0000-00009E0D0000}"/>
    <cellStyle name="20% - Énfasis5 9 5" xfId="3552" xr:uid="{00000000-0005-0000-0000-00009F0D0000}"/>
    <cellStyle name="20% - Énfasis5 9 6" xfId="3553" xr:uid="{00000000-0005-0000-0000-0000A00D0000}"/>
    <cellStyle name="20% - Énfasis5 9 7" xfId="3554" xr:uid="{00000000-0005-0000-0000-0000A10D0000}"/>
    <cellStyle name="20% - Énfasis5 9 8" xfId="3555" xr:uid="{00000000-0005-0000-0000-0000A20D0000}"/>
    <cellStyle name="20% - Énfasis5 9 9" xfId="3556" xr:uid="{00000000-0005-0000-0000-0000A30D0000}"/>
    <cellStyle name="20% - Énfasis6" xfId="32549" builtinId="50" customBuiltin="1"/>
    <cellStyle name="20% - Énfasis6 10 10" xfId="3557" xr:uid="{00000000-0005-0000-0000-0000A50D0000}"/>
    <cellStyle name="20% - Énfasis6 10 11" xfId="3558" xr:uid="{00000000-0005-0000-0000-0000A60D0000}"/>
    <cellStyle name="20% - Énfasis6 10 12" xfId="3559" xr:uid="{00000000-0005-0000-0000-0000A70D0000}"/>
    <cellStyle name="20% - Énfasis6 10 13" xfId="3560" xr:uid="{00000000-0005-0000-0000-0000A80D0000}"/>
    <cellStyle name="20% - Énfasis6 10 14" xfId="3561" xr:uid="{00000000-0005-0000-0000-0000A90D0000}"/>
    <cellStyle name="20% - Énfasis6 10 15" xfId="3562" xr:uid="{00000000-0005-0000-0000-0000AA0D0000}"/>
    <cellStyle name="20% - Énfasis6 10 16" xfId="3563" xr:uid="{00000000-0005-0000-0000-0000AB0D0000}"/>
    <cellStyle name="20% - Énfasis6 10 17" xfId="3564" xr:uid="{00000000-0005-0000-0000-0000AC0D0000}"/>
    <cellStyle name="20% - Énfasis6 10 18" xfId="3565" xr:uid="{00000000-0005-0000-0000-0000AD0D0000}"/>
    <cellStyle name="20% - Énfasis6 10 2" xfId="3566" xr:uid="{00000000-0005-0000-0000-0000AE0D0000}"/>
    <cellStyle name="20% - Énfasis6 10 3" xfId="3567" xr:uid="{00000000-0005-0000-0000-0000AF0D0000}"/>
    <cellStyle name="20% - Énfasis6 10 4" xfId="3568" xr:uid="{00000000-0005-0000-0000-0000B00D0000}"/>
    <cellStyle name="20% - Énfasis6 10 5" xfId="3569" xr:uid="{00000000-0005-0000-0000-0000B10D0000}"/>
    <cellStyle name="20% - Énfasis6 10 6" xfId="3570" xr:uid="{00000000-0005-0000-0000-0000B20D0000}"/>
    <cellStyle name="20% - Énfasis6 10 7" xfId="3571" xr:uid="{00000000-0005-0000-0000-0000B30D0000}"/>
    <cellStyle name="20% - Énfasis6 10 8" xfId="3572" xr:uid="{00000000-0005-0000-0000-0000B40D0000}"/>
    <cellStyle name="20% - Énfasis6 10 9" xfId="3573" xr:uid="{00000000-0005-0000-0000-0000B50D0000}"/>
    <cellStyle name="20% - Énfasis6 11 10" xfId="3574" xr:uid="{00000000-0005-0000-0000-0000B60D0000}"/>
    <cellStyle name="20% - Énfasis6 11 11" xfId="3575" xr:uid="{00000000-0005-0000-0000-0000B70D0000}"/>
    <cellStyle name="20% - Énfasis6 11 12" xfId="3576" xr:uid="{00000000-0005-0000-0000-0000B80D0000}"/>
    <cellStyle name="20% - Énfasis6 11 13" xfId="3577" xr:uid="{00000000-0005-0000-0000-0000B90D0000}"/>
    <cellStyle name="20% - Énfasis6 11 14" xfId="3578" xr:uid="{00000000-0005-0000-0000-0000BA0D0000}"/>
    <cellStyle name="20% - Énfasis6 11 15" xfId="3579" xr:uid="{00000000-0005-0000-0000-0000BB0D0000}"/>
    <cellStyle name="20% - Énfasis6 11 16" xfId="3580" xr:uid="{00000000-0005-0000-0000-0000BC0D0000}"/>
    <cellStyle name="20% - Énfasis6 11 17" xfId="3581" xr:uid="{00000000-0005-0000-0000-0000BD0D0000}"/>
    <cellStyle name="20% - Énfasis6 11 18" xfId="3582" xr:uid="{00000000-0005-0000-0000-0000BE0D0000}"/>
    <cellStyle name="20% - Énfasis6 11 2" xfId="3583" xr:uid="{00000000-0005-0000-0000-0000BF0D0000}"/>
    <cellStyle name="20% - Énfasis6 11 3" xfId="3584" xr:uid="{00000000-0005-0000-0000-0000C00D0000}"/>
    <cellStyle name="20% - Énfasis6 11 4" xfId="3585" xr:uid="{00000000-0005-0000-0000-0000C10D0000}"/>
    <cellStyle name="20% - Énfasis6 11 5" xfId="3586" xr:uid="{00000000-0005-0000-0000-0000C20D0000}"/>
    <cellStyle name="20% - Énfasis6 11 6" xfId="3587" xr:uid="{00000000-0005-0000-0000-0000C30D0000}"/>
    <cellStyle name="20% - Énfasis6 11 7" xfId="3588" xr:uid="{00000000-0005-0000-0000-0000C40D0000}"/>
    <cellStyle name="20% - Énfasis6 11 8" xfId="3589" xr:uid="{00000000-0005-0000-0000-0000C50D0000}"/>
    <cellStyle name="20% - Énfasis6 11 9" xfId="3590" xr:uid="{00000000-0005-0000-0000-0000C60D0000}"/>
    <cellStyle name="20% - Énfasis6 12 10" xfId="3591" xr:uid="{00000000-0005-0000-0000-0000C70D0000}"/>
    <cellStyle name="20% - Énfasis6 12 11" xfId="3592" xr:uid="{00000000-0005-0000-0000-0000C80D0000}"/>
    <cellStyle name="20% - Énfasis6 12 12" xfId="3593" xr:uid="{00000000-0005-0000-0000-0000C90D0000}"/>
    <cellStyle name="20% - Énfasis6 12 13" xfId="3594" xr:uid="{00000000-0005-0000-0000-0000CA0D0000}"/>
    <cellStyle name="20% - Énfasis6 12 14" xfId="3595" xr:uid="{00000000-0005-0000-0000-0000CB0D0000}"/>
    <cellStyle name="20% - Énfasis6 12 15" xfId="3596" xr:uid="{00000000-0005-0000-0000-0000CC0D0000}"/>
    <cellStyle name="20% - Énfasis6 12 16" xfId="3597" xr:uid="{00000000-0005-0000-0000-0000CD0D0000}"/>
    <cellStyle name="20% - Énfasis6 12 17" xfId="3598" xr:uid="{00000000-0005-0000-0000-0000CE0D0000}"/>
    <cellStyle name="20% - Énfasis6 12 18" xfId="3599" xr:uid="{00000000-0005-0000-0000-0000CF0D0000}"/>
    <cellStyle name="20% - Énfasis6 12 2" xfId="3600" xr:uid="{00000000-0005-0000-0000-0000D00D0000}"/>
    <cellStyle name="20% - Énfasis6 12 3" xfId="3601" xr:uid="{00000000-0005-0000-0000-0000D10D0000}"/>
    <cellStyle name="20% - Énfasis6 12 4" xfId="3602" xr:uid="{00000000-0005-0000-0000-0000D20D0000}"/>
    <cellStyle name="20% - Énfasis6 12 5" xfId="3603" xr:uid="{00000000-0005-0000-0000-0000D30D0000}"/>
    <cellStyle name="20% - Énfasis6 12 6" xfId="3604" xr:uid="{00000000-0005-0000-0000-0000D40D0000}"/>
    <cellStyle name="20% - Énfasis6 12 7" xfId="3605" xr:uid="{00000000-0005-0000-0000-0000D50D0000}"/>
    <cellStyle name="20% - Énfasis6 12 8" xfId="3606" xr:uid="{00000000-0005-0000-0000-0000D60D0000}"/>
    <cellStyle name="20% - Énfasis6 12 9" xfId="3607" xr:uid="{00000000-0005-0000-0000-0000D70D0000}"/>
    <cellStyle name="20% - Énfasis6 13 10" xfId="3608" xr:uid="{00000000-0005-0000-0000-0000D80D0000}"/>
    <cellStyle name="20% - Énfasis6 13 11" xfId="3609" xr:uid="{00000000-0005-0000-0000-0000D90D0000}"/>
    <cellStyle name="20% - Énfasis6 13 12" xfId="3610" xr:uid="{00000000-0005-0000-0000-0000DA0D0000}"/>
    <cellStyle name="20% - Énfasis6 13 13" xfId="3611" xr:uid="{00000000-0005-0000-0000-0000DB0D0000}"/>
    <cellStyle name="20% - Énfasis6 13 14" xfId="3612" xr:uid="{00000000-0005-0000-0000-0000DC0D0000}"/>
    <cellStyle name="20% - Énfasis6 13 15" xfId="3613" xr:uid="{00000000-0005-0000-0000-0000DD0D0000}"/>
    <cellStyle name="20% - Énfasis6 13 16" xfId="3614" xr:uid="{00000000-0005-0000-0000-0000DE0D0000}"/>
    <cellStyle name="20% - Énfasis6 13 17" xfId="3615" xr:uid="{00000000-0005-0000-0000-0000DF0D0000}"/>
    <cellStyle name="20% - Énfasis6 13 18" xfId="3616" xr:uid="{00000000-0005-0000-0000-0000E00D0000}"/>
    <cellStyle name="20% - Énfasis6 13 2" xfId="3617" xr:uid="{00000000-0005-0000-0000-0000E10D0000}"/>
    <cellStyle name="20% - Énfasis6 13 3" xfId="3618" xr:uid="{00000000-0005-0000-0000-0000E20D0000}"/>
    <cellStyle name="20% - Énfasis6 13 4" xfId="3619" xr:uid="{00000000-0005-0000-0000-0000E30D0000}"/>
    <cellStyle name="20% - Énfasis6 13 5" xfId="3620" xr:uid="{00000000-0005-0000-0000-0000E40D0000}"/>
    <cellStyle name="20% - Énfasis6 13 6" xfId="3621" xr:uid="{00000000-0005-0000-0000-0000E50D0000}"/>
    <cellStyle name="20% - Énfasis6 13 7" xfId="3622" xr:uid="{00000000-0005-0000-0000-0000E60D0000}"/>
    <cellStyle name="20% - Énfasis6 13 8" xfId="3623" xr:uid="{00000000-0005-0000-0000-0000E70D0000}"/>
    <cellStyle name="20% - Énfasis6 13 9" xfId="3624" xr:uid="{00000000-0005-0000-0000-0000E80D0000}"/>
    <cellStyle name="20% - Énfasis6 14 10" xfId="3625" xr:uid="{00000000-0005-0000-0000-0000E90D0000}"/>
    <cellStyle name="20% - Énfasis6 14 11" xfId="3626" xr:uid="{00000000-0005-0000-0000-0000EA0D0000}"/>
    <cellStyle name="20% - Énfasis6 14 12" xfId="3627" xr:uid="{00000000-0005-0000-0000-0000EB0D0000}"/>
    <cellStyle name="20% - Énfasis6 14 13" xfId="3628" xr:uid="{00000000-0005-0000-0000-0000EC0D0000}"/>
    <cellStyle name="20% - Énfasis6 14 14" xfId="3629" xr:uid="{00000000-0005-0000-0000-0000ED0D0000}"/>
    <cellStyle name="20% - Énfasis6 14 15" xfId="3630" xr:uid="{00000000-0005-0000-0000-0000EE0D0000}"/>
    <cellStyle name="20% - Énfasis6 14 16" xfId="3631" xr:uid="{00000000-0005-0000-0000-0000EF0D0000}"/>
    <cellStyle name="20% - Énfasis6 14 17" xfId="3632" xr:uid="{00000000-0005-0000-0000-0000F00D0000}"/>
    <cellStyle name="20% - Énfasis6 14 18" xfId="3633" xr:uid="{00000000-0005-0000-0000-0000F10D0000}"/>
    <cellStyle name="20% - Énfasis6 14 2" xfId="3634" xr:uid="{00000000-0005-0000-0000-0000F20D0000}"/>
    <cellStyle name="20% - Énfasis6 14 3" xfId="3635" xr:uid="{00000000-0005-0000-0000-0000F30D0000}"/>
    <cellStyle name="20% - Énfasis6 14 4" xfId="3636" xr:uid="{00000000-0005-0000-0000-0000F40D0000}"/>
    <cellStyle name="20% - Énfasis6 14 5" xfId="3637" xr:uid="{00000000-0005-0000-0000-0000F50D0000}"/>
    <cellStyle name="20% - Énfasis6 14 6" xfId="3638" xr:uid="{00000000-0005-0000-0000-0000F60D0000}"/>
    <cellStyle name="20% - Énfasis6 14 7" xfId="3639" xr:uid="{00000000-0005-0000-0000-0000F70D0000}"/>
    <cellStyle name="20% - Énfasis6 14 8" xfId="3640" xr:uid="{00000000-0005-0000-0000-0000F80D0000}"/>
    <cellStyle name="20% - Énfasis6 14 9" xfId="3641" xr:uid="{00000000-0005-0000-0000-0000F90D0000}"/>
    <cellStyle name="20% - Énfasis6 15 10" xfId="3642" xr:uid="{00000000-0005-0000-0000-0000FA0D0000}"/>
    <cellStyle name="20% - Énfasis6 15 11" xfId="3643" xr:uid="{00000000-0005-0000-0000-0000FB0D0000}"/>
    <cellStyle name="20% - Énfasis6 15 12" xfId="3644" xr:uid="{00000000-0005-0000-0000-0000FC0D0000}"/>
    <cellStyle name="20% - Énfasis6 15 13" xfId="3645" xr:uid="{00000000-0005-0000-0000-0000FD0D0000}"/>
    <cellStyle name="20% - Énfasis6 15 14" xfId="3646" xr:uid="{00000000-0005-0000-0000-0000FE0D0000}"/>
    <cellStyle name="20% - Énfasis6 15 15" xfId="3647" xr:uid="{00000000-0005-0000-0000-0000FF0D0000}"/>
    <cellStyle name="20% - Énfasis6 15 16" xfId="3648" xr:uid="{00000000-0005-0000-0000-0000000E0000}"/>
    <cellStyle name="20% - Énfasis6 15 17" xfId="3649" xr:uid="{00000000-0005-0000-0000-0000010E0000}"/>
    <cellStyle name="20% - Énfasis6 15 18" xfId="3650" xr:uid="{00000000-0005-0000-0000-0000020E0000}"/>
    <cellStyle name="20% - Énfasis6 15 2" xfId="3651" xr:uid="{00000000-0005-0000-0000-0000030E0000}"/>
    <cellStyle name="20% - Énfasis6 15 3" xfId="3652" xr:uid="{00000000-0005-0000-0000-0000040E0000}"/>
    <cellStyle name="20% - Énfasis6 15 4" xfId="3653" xr:uid="{00000000-0005-0000-0000-0000050E0000}"/>
    <cellStyle name="20% - Énfasis6 15 5" xfId="3654" xr:uid="{00000000-0005-0000-0000-0000060E0000}"/>
    <cellStyle name="20% - Énfasis6 15 6" xfId="3655" xr:uid="{00000000-0005-0000-0000-0000070E0000}"/>
    <cellStyle name="20% - Énfasis6 15 7" xfId="3656" xr:uid="{00000000-0005-0000-0000-0000080E0000}"/>
    <cellStyle name="20% - Énfasis6 15 8" xfId="3657" xr:uid="{00000000-0005-0000-0000-0000090E0000}"/>
    <cellStyle name="20% - Énfasis6 15 9" xfId="3658" xr:uid="{00000000-0005-0000-0000-00000A0E0000}"/>
    <cellStyle name="20% - Énfasis6 16 10" xfId="3659" xr:uid="{00000000-0005-0000-0000-00000B0E0000}"/>
    <cellStyle name="20% - Énfasis6 16 11" xfId="3660" xr:uid="{00000000-0005-0000-0000-00000C0E0000}"/>
    <cellStyle name="20% - Énfasis6 16 12" xfId="3661" xr:uid="{00000000-0005-0000-0000-00000D0E0000}"/>
    <cellStyle name="20% - Énfasis6 16 13" xfId="3662" xr:uid="{00000000-0005-0000-0000-00000E0E0000}"/>
    <cellStyle name="20% - Énfasis6 16 14" xfId="3663" xr:uid="{00000000-0005-0000-0000-00000F0E0000}"/>
    <cellStyle name="20% - Énfasis6 16 15" xfId="3664" xr:uid="{00000000-0005-0000-0000-0000100E0000}"/>
    <cellStyle name="20% - Énfasis6 16 16" xfId="3665" xr:uid="{00000000-0005-0000-0000-0000110E0000}"/>
    <cellStyle name="20% - Énfasis6 16 17" xfId="3666" xr:uid="{00000000-0005-0000-0000-0000120E0000}"/>
    <cellStyle name="20% - Énfasis6 16 18" xfId="3667" xr:uid="{00000000-0005-0000-0000-0000130E0000}"/>
    <cellStyle name="20% - Énfasis6 16 2" xfId="3668" xr:uid="{00000000-0005-0000-0000-0000140E0000}"/>
    <cellStyle name="20% - Énfasis6 16 3" xfId="3669" xr:uid="{00000000-0005-0000-0000-0000150E0000}"/>
    <cellStyle name="20% - Énfasis6 16 4" xfId="3670" xr:uid="{00000000-0005-0000-0000-0000160E0000}"/>
    <cellStyle name="20% - Énfasis6 16 5" xfId="3671" xr:uid="{00000000-0005-0000-0000-0000170E0000}"/>
    <cellStyle name="20% - Énfasis6 16 6" xfId="3672" xr:uid="{00000000-0005-0000-0000-0000180E0000}"/>
    <cellStyle name="20% - Énfasis6 16 7" xfId="3673" xr:uid="{00000000-0005-0000-0000-0000190E0000}"/>
    <cellStyle name="20% - Énfasis6 16 8" xfId="3674" xr:uid="{00000000-0005-0000-0000-00001A0E0000}"/>
    <cellStyle name="20% - Énfasis6 16 9" xfId="3675" xr:uid="{00000000-0005-0000-0000-00001B0E0000}"/>
    <cellStyle name="20% - Énfasis6 17 10" xfId="3676" xr:uid="{00000000-0005-0000-0000-00001C0E0000}"/>
    <cellStyle name="20% - Énfasis6 17 11" xfId="3677" xr:uid="{00000000-0005-0000-0000-00001D0E0000}"/>
    <cellStyle name="20% - Énfasis6 17 12" xfId="3678" xr:uid="{00000000-0005-0000-0000-00001E0E0000}"/>
    <cellStyle name="20% - Énfasis6 17 13" xfId="3679" xr:uid="{00000000-0005-0000-0000-00001F0E0000}"/>
    <cellStyle name="20% - Énfasis6 17 14" xfId="3680" xr:uid="{00000000-0005-0000-0000-0000200E0000}"/>
    <cellStyle name="20% - Énfasis6 17 15" xfId="3681" xr:uid="{00000000-0005-0000-0000-0000210E0000}"/>
    <cellStyle name="20% - Énfasis6 17 16" xfId="3682" xr:uid="{00000000-0005-0000-0000-0000220E0000}"/>
    <cellStyle name="20% - Énfasis6 17 17" xfId="3683" xr:uid="{00000000-0005-0000-0000-0000230E0000}"/>
    <cellStyle name="20% - Énfasis6 17 18" xfId="3684" xr:uid="{00000000-0005-0000-0000-0000240E0000}"/>
    <cellStyle name="20% - Énfasis6 17 2" xfId="3685" xr:uid="{00000000-0005-0000-0000-0000250E0000}"/>
    <cellStyle name="20% - Énfasis6 17 3" xfId="3686" xr:uid="{00000000-0005-0000-0000-0000260E0000}"/>
    <cellStyle name="20% - Énfasis6 17 4" xfId="3687" xr:uid="{00000000-0005-0000-0000-0000270E0000}"/>
    <cellStyle name="20% - Énfasis6 17 5" xfId="3688" xr:uid="{00000000-0005-0000-0000-0000280E0000}"/>
    <cellStyle name="20% - Énfasis6 17 6" xfId="3689" xr:uid="{00000000-0005-0000-0000-0000290E0000}"/>
    <cellStyle name="20% - Énfasis6 17 7" xfId="3690" xr:uid="{00000000-0005-0000-0000-00002A0E0000}"/>
    <cellStyle name="20% - Énfasis6 17 8" xfId="3691" xr:uid="{00000000-0005-0000-0000-00002B0E0000}"/>
    <cellStyle name="20% - Énfasis6 17 9" xfId="3692" xr:uid="{00000000-0005-0000-0000-00002C0E0000}"/>
    <cellStyle name="20% - Énfasis6 18 10" xfId="3693" xr:uid="{00000000-0005-0000-0000-00002D0E0000}"/>
    <cellStyle name="20% - Énfasis6 18 11" xfId="3694" xr:uid="{00000000-0005-0000-0000-00002E0E0000}"/>
    <cellStyle name="20% - Énfasis6 18 12" xfId="3695" xr:uid="{00000000-0005-0000-0000-00002F0E0000}"/>
    <cellStyle name="20% - Énfasis6 18 13" xfId="3696" xr:uid="{00000000-0005-0000-0000-0000300E0000}"/>
    <cellStyle name="20% - Énfasis6 18 14" xfId="3697" xr:uid="{00000000-0005-0000-0000-0000310E0000}"/>
    <cellStyle name="20% - Énfasis6 18 15" xfId="3698" xr:uid="{00000000-0005-0000-0000-0000320E0000}"/>
    <cellStyle name="20% - Énfasis6 18 16" xfId="3699" xr:uid="{00000000-0005-0000-0000-0000330E0000}"/>
    <cellStyle name="20% - Énfasis6 18 17" xfId="3700" xr:uid="{00000000-0005-0000-0000-0000340E0000}"/>
    <cellStyle name="20% - Énfasis6 18 18" xfId="3701" xr:uid="{00000000-0005-0000-0000-0000350E0000}"/>
    <cellStyle name="20% - Énfasis6 18 2" xfId="3702" xr:uid="{00000000-0005-0000-0000-0000360E0000}"/>
    <cellStyle name="20% - Énfasis6 18 3" xfId="3703" xr:uid="{00000000-0005-0000-0000-0000370E0000}"/>
    <cellStyle name="20% - Énfasis6 18 4" xfId="3704" xr:uid="{00000000-0005-0000-0000-0000380E0000}"/>
    <cellStyle name="20% - Énfasis6 18 5" xfId="3705" xr:uid="{00000000-0005-0000-0000-0000390E0000}"/>
    <cellStyle name="20% - Énfasis6 18 6" xfId="3706" xr:uid="{00000000-0005-0000-0000-00003A0E0000}"/>
    <cellStyle name="20% - Énfasis6 18 7" xfId="3707" xr:uid="{00000000-0005-0000-0000-00003B0E0000}"/>
    <cellStyle name="20% - Énfasis6 18 8" xfId="3708" xr:uid="{00000000-0005-0000-0000-00003C0E0000}"/>
    <cellStyle name="20% - Énfasis6 18 9" xfId="3709" xr:uid="{00000000-0005-0000-0000-00003D0E0000}"/>
    <cellStyle name="20% - Énfasis6 19 10" xfId="3710" xr:uid="{00000000-0005-0000-0000-00003E0E0000}"/>
    <cellStyle name="20% - Énfasis6 19 11" xfId="3711" xr:uid="{00000000-0005-0000-0000-00003F0E0000}"/>
    <cellStyle name="20% - Énfasis6 19 12" xfId="3712" xr:uid="{00000000-0005-0000-0000-0000400E0000}"/>
    <cellStyle name="20% - Énfasis6 19 13" xfId="3713" xr:uid="{00000000-0005-0000-0000-0000410E0000}"/>
    <cellStyle name="20% - Énfasis6 19 14" xfId="3714" xr:uid="{00000000-0005-0000-0000-0000420E0000}"/>
    <cellStyle name="20% - Énfasis6 19 15" xfId="3715" xr:uid="{00000000-0005-0000-0000-0000430E0000}"/>
    <cellStyle name="20% - Énfasis6 19 16" xfId="3716" xr:uid="{00000000-0005-0000-0000-0000440E0000}"/>
    <cellStyle name="20% - Énfasis6 19 17" xfId="3717" xr:uid="{00000000-0005-0000-0000-0000450E0000}"/>
    <cellStyle name="20% - Énfasis6 19 18" xfId="3718" xr:uid="{00000000-0005-0000-0000-0000460E0000}"/>
    <cellStyle name="20% - Énfasis6 19 2" xfId="3719" xr:uid="{00000000-0005-0000-0000-0000470E0000}"/>
    <cellStyle name="20% - Énfasis6 19 3" xfId="3720" xr:uid="{00000000-0005-0000-0000-0000480E0000}"/>
    <cellStyle name="20% - Énfasis6 19 4" xfId="3721" xr:uid="{00000000-0005-0000-0000-0000490E0000}"/>
    <cellStyle name="20% - Énfasis6 19 5" xfId="3722" xr:uid="{00000000-0005-0000-0000-00004A0E0000}"/>
    <cellStyle name="20% - Énfasis6 19 6" xfId="3723" xr:uid="{00000000-0005-0000-0000-00004B0E0000}"/>
    <cellStyle name="20% - Énfasis6 19 7" xfId="3724" xr:uid="{00000000-0005-0000-0000-00004C0E0000}"/>
    <cellStyle name="20% - Énfasis6 19 8" xfId="3725" xr:uid="{00000000-0005-0000-0000-00004D0E0000}"/>
    <cellStyle name="20% - Énfasis6 19 9" xfId="3726" xr:uid="{00000000-0005-0000-0000-00004E0E0000}"/>
    <cellStyle name="20% - Énfasis6 2 10" xfId="3727" xr:uid="{00000000-0005-0000-0000-00004F0E0000}"/>
    <cellStyle name="20% - Énfasis6 2 11" xfId="3728" xr:uid="{00000000-0005-0000-0000-0000500E0000}"/>
    <cellStyle name="20% - Énfasis6 2 12" xfId="3729" xr:uid="{00000000-0005-0000-0000-0000510E0000}"/>
    <cellStyle name="20% - Énfasis6 2 13" xfId="3730" xr:uid="{00000000-0005-0000-0000-0000520E0000}"/>
    <cellStyle name="20% - Énfasis6 2 14" xfId="3731" xr:uid="{00000000-0005-0000-0000-0000530E0000}"/>
    <cellStyle name="20% - Énfasis6 2 15" xfId="3732" xr:uid="{00000000-0005-0000-0000-0000540E0000}"/>
    <cellStyle name="20% - Énfasis6 2 16" xfId="3733" xr:uid="{00000000-0005-0000-0000-0000550E0000}"/>
    <cellStyle name="20% - Énfasis6 2 17" xfId="3734" xr:uid="{00000000-0005-0000-0000-0000560E0000}"/>
    <cellStyle name="20% - Énfasis6 2 18" xfId="3735" xr:uid="{00000000-0005-0000-0000-0000570E0000}"/>
    <cellStyle name="20% - Énfasis6 2 2" xfId="3736" xr:uid="{00000000-0005-0000-0000-0000580E0000}"/>
    <cellStyle name="20% - Énfasis6 2 3" xfId="3737" xr:uid="{00000000-0005-0000-0000-0000590E0000}"/>
    <cellStyle name="20% - Énfasis6 2 4" xfId="3738" xr:uid="{00000000-0005-0000-0000-00005A0E0000}"/>
    <cellStyle name="20% - Énfasis6 2 5" xfId="3739" xr:uid="{00000000-0005-0000-0000-00005B0E0000}"/>
    <cellStyle name="20% - Énfasis6 2 6" xfId="3740" xr:uid="{00000000-0005-0000-0000-00005C0E0000}"/>
    <cellStyle name="20% - Énfasis6 2 7" xfId="3741" xr:uid="{00000000-0005-0000-0000-00005D0E0000}"/>
    <cellStyle name="20% - Énfasis6 2 8" xfId="3742" xr:uid="{00000000-0005-0000-0000-00005E0E0000}"/>
    <cellStyle name="20% - Énfasis6 2 9" xfId="3743" xr:uid="{00000000-0005-0000-0000-00005F0E0000}"/>
    <cellStyle name="20% - Énfasis6 20 10" xfId="3744" xr:uid="{00000000-0005-0000-0000-0000600E0000}"/>
    <cellStyle name="20% - Énfasis6 20 11" xfId="3745" xr:uid="{00000000-0005-0000-0000-0000610E0000}"/>
    <cellStyle name="20% - Énfasis6 20 12" xfId="3746" xr:uid="{00000000-0005-0000-0000-0000620E0000}"/>
    <cellStyle name="20% - Énfasis6 20 13" xfId="3747" xr:uid="{00000000-0005-0000-0000-0000630E0000}"/>
    <cellStyle name="20% - Énfasis6 20 14" xfId="3748" xr:uid="{00000000-0005-0000-0000-0000640E0000}"/>
    <cellStyle name="20% - Énfasis6 20 15" xfId="3749" xr:uid="{00000000-0005-0000-0000-0000650E0000}"/>
    <cellStyle name="20% - Énfasis6 20 16" xfId="3750" xr:uid="{00000000-0005-0000-0000-0000660E0000}"/>
    <cellStyle name="20% - Énfasis6 20 17" xfId="3751" xr:uid="{00000000-0005-0000-0000-0000670E0000}"/>
    <cellStyle name="20% - Énfasis6 20 18" xfId="3752" xr:uid="{00000000-0005-0000-0000-0000680E0000}"/>
    <cellStyle name="20% - Énfasis6 20 2" xfId="3753" xr:uid="{00000000-0005-0000-0000-0000690E0000}"/>
    <cellStyle name="20% - Énfasis6 20 3" xfId="3754" xr:uid="{00000000-0005-0000-0000-00006A0E0000}"/>
    <cellStyle name="20% - Énfasis6 20 4" xfId="3755" xr:uid="{00000000-0005-0000-0000-00006B0E0000}"/>
    <cellStyle name="20% - Énfasis6 20 5" xfId="3756" xr:uid="{00000000-0005-0000-0000-00006C0E0000}"/>
    <cellStyle name="20% - Énfasis6 20 6" xfId="3757" xr:uid="{00000000-0005-0000-0000-00006D0E0000}"/>
    <cellStyle name="20% - Énfasis6 20 7" xfId="3758" xr:uid="{00000000-0005-0000-0000-00006E0E0000}"/>
    <cellStyle name="20% - Énfasis6 20 8" xfId="3759" xr:uid="{00000000-0005-0000-0000-00006F0E0000}"/>
    <cellStyle name="20% - Énfasis6 20 9" xfId="3760" xr:uid="{00000000-0005-0000-0000-0000700E0000}"/>
    <cellStyle name="20% - Énfasis6 21 10" xfId="3761" xr:uid="{00000000-0005-0000-0000-0000710E0000}"/>
    <cellStyle name="20% - Énfasis6 21 11" xfId="3762" xr:uid="{00000000-0005-0000-0000-0000720E0000}"/>
    <cellStyle name="20% - Énfasis6 21 12" xfId="3763" xr:uid="{00000000-0005-0000-0000-0000730E0000}"/>
    <cellStyle name="20% - Énfasis6 21 13" xfId="3764" xr:uid="{00000000-0005-0000-0000-0000740E0000}"/>
    <cellStyle name="20% - Énfasis6 21 14" xfId="3765" xr:uid="{00000000-0005-0000-0000-0000750E0000}"/>
    <cellStyle name="20% - Énfasis6 21 15" xfId="3766" xr:uid="{00000000-0005-0000-0000-0000760E0000}"/>
    <cellStyle name="20% - Énfasis6 21 16" xfId="3767" xr:uid="{00000000-0005-0000-0000-0000770E0000}"/>
    <cellStyle name="20% - Énfasis6 21 17" xfId="3768" xr:uid="{00000000-0005-0000-0000-0000780E0000}"/>
    <cellStyle name="20% - Énfasis6 21 18" xfId="3769" xr:uid="{00000000-0005-0000-0000-0000790E0000}"/>
    <cellStyle name="20% - Énfasis6 21 2" xfId="3770" xr:uid="{00000000-0005-0000-0000-00007A0E0000}"/>
    <cellStyle name="20% - Énfasis6 21 3" xfId="3771" xr:uid="{00000000-0005-0000-0000-00007B0E0000}"/>
    <cellStyle name="20% - Énfasis6 21 4" xfId="3772" xr:uid="{00000000-0005-0000-0000-00007C0E0000}"/>
    <cellStyle name="20% - Énfasis6 21 5" xfId="3773" xr:uid="{00000000-0005-0000-0000-00007D0E0000}"/>
    <cellStyle name="20% - Énfasis6 21 6" xfId="3774" xr:uid="{00000000-0005-0000-0000-00007E0E0000}"/>
    <cellStyle name="20% - Énfasis6 21 7" xfId="3775" xr:uid="{00000000-0005-0000-0000-00007F0E0000}"/>
    <cellStyle name="20% - Énfasis6 21 8" xfId="3776" xr:uid="{00000000-0005-0000-0000-0000800E0000}"/>
    <cellStyle name="20% - Énfasis6 21 9" xfId="3777" xr:uid="{00000000-0005-0000-0000-0000810E0000}"/>
    <cellStyle name="20% - Énfasis6 22 10" xfId="3778" xr:uid="{00000000-0005-0000-0000-0000820E0000}"/>
    <cellStyle name="20% - Énfasis6 22 11" xfId="3779" xr:uid="{00000000-0005-0000-0000-0000830E0000}"/>
    <cellStyle name="20% - Énfasis6 22 12" xfId="3780" xr:uid="{00000000-0005-0000-0000-0000840E0000}"/>
    <cellStyle name="20% - Énfasis6 22 13" xfId="3781" xr:uid="{00000000-0005-0000-0000-0000850E0000}"/>
    <cellStyle name="20% - Énfasis6 22 14" xfId="3782" xr:uid="{00000000-0005-0000-0000-0000860E0000}"/>
    <cellStyle name="20% - Énfasis6 22 15" xfId="3783" xr:uid="{00000000-0005-0000-0000-0000870E0000}"/>
    <cellStyle name="20% - Énfasis6 22 16" xfId="3784" xr:uid="{00000000-0005-0000-0000-0000880E0000}"/>
    <cellStyle name="20% - Énfasis6 22 17" xfId="3785" xr:uid="{00000000-0005-0000-0000-0000890E0000}"/>
    <cellStyle name="20% - Énfasis6 22 18" xfId="3786" xr:uid="{00000000-0005-0000-0000-00008A0E0000}"/>
    <cellStyle name="20% - Énfasis6 22 2" xfId="3787" xr:uid="{00000000-0005-0000-0000-00008B0E0000}"/>
    <cellStyle name="20% - Énfasis6 22 3" xfId="3788" xr:uid="{00000000-0005-0000-0000-00008C0E0000}"/>
    <cellStyle name="20% - Énfasis6 22 4" xfId="3789" xr:uid="{00000000-0005-0000-0000-00008D0E0000}"/>
    <cellStyle name="20% - Énfasis6 22 5" xfId="3790" xr:uid="{00000000-0005-0000-0000-00008E0E0000}"/>
    <cellStyle name="20% - Énfasis6 22 6" xfId="3791" xr:uid="{00000000-0005-0000-0000-00008F0E0000}"/>
    <cellStyle name="20% - Énfasis6 22 7" xfId="3792" xr:uid="{00000000-0005-0000-0000-0000900E0000}"/>
    <cellStyle name="20% - Énfasis6 22 8" xfId="3793" xr:uid="{00000000-0005-0000-0000-0000910E0000}"/>
    <cellStyle name="20% - Énfasis6 22 9" xfId="3794" xr:uid="{00000000-0005-0000-0000-0000920E0000}"/>
    <cellStyle name="20% - Énfasis6 23 10" xfId="3795" xr:uid="{00000000-0005-0000-0000-0000930E0000}"/>
    <cellStyle name="20% - Énfasis6 23 11" xfId="3796" xr:uid="{00000000-0005-0000-0000-0000940E0000}"/>
    <cellStyle name="20% - Énfasis6 23 12" xfId="3797" xr:uid="{00000000-0005-0000-0000-0000950E0000}"/>
    <cellStyle name="20% - Énfasis6 23 13" xfId="3798" xr:uid="{00000000-0005-0000-0000-0000960E0000}"/>
    <cellStyle name="20% - Énfasis6 23 14" xfId="3799" xr:uid="{00000000-0005-0000-0000-0000970E0000}"/>
    <cellStyle name="20% - Énfasis6 23 15" xfId="3800" xr:uid="{00000000-0005-0000-0000-0000980E0000}"/>
    <cellStyle name="20% - Énfasis6 23 16" xfId="3801" xr:uid="{00000000-0005-0000-0000-0000990E0000}"/>
    <cellStyle name="20% - Énfasis6 23 17" xfId="3802" xr:uid="{00000000-0005-0000-0000-00009A0E0000}"/>
    <cellStyle name="20% - Énfasis6 23 18" xfId="3803" xr:uid="{00000000-0005-0000-0000-00009B0E0000}"/>
    <cellStyle name="20% - Énfasis6 23 2" xfId="3804" xr:uid="{00000000-0005-0000-0000-00009C0E0000}"/>
    <cellStyle name="20% - Énfasis6 23 3" xfId="3805" xr:uid="{00000000-0005-0000-0000-00009D0E0000}"/>
    <cellStyle name="20% - Énfasis6 23 4" xfId="3806" xr:uid="{00000000-0005-0000-0000-00009E0E0000}"/>
    <cellStyle name="20% - Énfasis6 23 5" xfId="3807" xr:uid="{00000000-0005-0000-0000-00009F0E0000}"/>
    <cellStyle name="20% - Énfasis6 23 6" xfId="3808" xr:uid="{00000000-0005-0000-0000-0000A00E0000}"/>
    <cellStyle name="20% - Énfasis6 23 7" xfId="3809" xr:uid="{00000000-0005-0000-0000-0000A10E0000}"/>
    <cellStyle name="20% - Énfasis6 23 8" xfId="3810" xr:uid="{00000000-0005-0000-0000-0000A20E0000}"/>
    <cellStyle name="20% - Énfasis6 23 9" xfId="3811" xr:uid="{00000000-0005-0000-0000-0000A30E0000}"/>
    <cellStyle name="20% - Énfasis6 24 10" xfId="3812" xr:uid="{00000000-0005-0000-0000-0000A40E0000}"/>
    <cellStyle name="20% - Énfasis6 24 11" xfId="3813" xr:uid="{00000000-0005-0000-0000-0000A50E0000}"/>
    <cellStyle name="20% - Énfasis6 24 12" xfId="3814" xr:uid="{00000000-0005-0000-0000-0000A60E0000}"/>
    <cellStyle name="20% - Énfasis6 24 13" xfId="3815" xr:uid="{00000000-0005-0000-0000-0000A70E0000}"/>
    <cellStyle name="20% - Énfasis6 24 14" xfId="3816" xr:uid="{00000000-0005-0000-0000-0000A80E0000}"/>
    <cellStyle name="20% - Énfasis6 24 15" xfId="3817" xr:uid="{00000000-0005-0000-0000-0000A90E0000}"/>
    <cellStyle name="20% - Énfasis6 24 16" xfId="3818" xr:uid="{00000000-0005-0000-0000-0000AA0E0000}"/>
    <cellStyle name="20% - Énfasis6 24 17" xfId="3819" xr:uid="{00000000-0005-0000-0000-0000AB0E0000}"/>
    <cellStyle name="20% - Énfasis6 24 18" xfId="3820" xr:uid="{00000000-0005-0000-0000-0000AC0E0000}"/>
    <cellStyle name="20% - Énfasis6 24 2" xfId="3821" xr:uid="{00000000-0005-0000-0000-0000AD0E0000}"/>
    <cellStyle name="20% - Énfasis6 24 3" xfId="3822" xr:uid="{00000000-0005-0000-0000-0000AE0E0000}"/>
    <cellStyle name="20% - Énfasis6 24 4" xfId="3823" xr:uid="{00000000-0005-0000-0000-0000AF0E0000}"/>
    <cellStyle name="20% - Énfasis6 24 5" xfId="3824" xr:uid="{00000000-0005-0000-0000-0000B00E0000}"/>
    <cellStyle name="20% - Énfasis6 24 6" xfId="3825" xr:uid="{00000000-0005-0000-0000-0000B10E0000}"/>
    <cellStyle name="20% - Énfasis6 24 7" xfId="3826" xr:uid="{00000000-0005-0000-0000-0000B20E0000}"/>
    <cellStyle name="20% - Énfasis6 24 8" xfId="3827" xr:uid="{00000000-0005-0000-0000-0000B30E0000}"/>
    <cellStyle name="20% - Énfasis6 24 9" xfId="3828" xr:uid="{00000000-0005-0000-0000-0000B40E0000}"/>
    <cellStyle name="20% - Énfasis6 25 10" xfId="3829" xr:uid="{00000000-0005-0000-0000-0000B50E0000}"/>
    <cellStyle name="20% - Énfasis6 25 11" xfId="3830" xr:uid="{00000000-0005-0000-0000-0000B60E0000}"/>
    <cellStyle name="20% - Énfasis6 25 12" xfId="3831" xr:uid="{00000000-0005-0000-0000-0000B70E0000}"/>
    <cellStyle name="20% - Énfasis6 25 13" xfId="3832" xr:uid="{00000000-0005-0000-0000-0000B80E0000}"/>
    <cellStyle name="20% - Énfasis6 25 14" xfId="3833" xr:uid="{00000000-0005-0000-0000-0000B90E0000}"/>
    <cellStyle name="20% - Énfasis6 25 15" xfId="3834" xr:uid="{00000000-0005-0000-0000-0000BA0E0000}"/>
    <cellStyle name="20% - Énfasis6 25 16" xfId="3835" xr:uid="{00000000-0005-0000-0000-0000BB0E0000}"/>
    <cellStyle name="20% - Énfasis6 25 17" xfId="3836" xr:uid="{00000000-0005-0000-0000-0000BC0E0000}"/>
    <cellStyle name="20% - Énfasis6 25 18" xfId="3837" xr:uid="{00000000-0005-0000-0000-0000BD0E0000}"/>
    <cellStyle name="20% - Énfasis6 25 2" xfId="3838" xr:uid="{00000000-0005-0000-0000-0000BE0E0000}"/>
    <cellStyle name="20% - Énfasis6 25 3" xfId="3839" xr:uid="{00000000-0005-0000-0000-0000BF0E0000}"/>
    <cellStyle name="20% - Énfasis6 25 4" xfId="3840" xr:uid="{00000000-0005-0000-0000-0000C00E0000}"/>
    <cellStyle name="20% - Énfasis6 25 5" xfId="3841" xr:uid="{00000000-0005-0000-0000-0000C10E0000}"/>
    <cellStyle name="20% - Énfasis6 25 6" xfId="3842" xr:uid="{00000000-0005-0000-0000-0000C20E0000}"/>
    <cellStyle name="20% - Énfasis6 25 7" xfId="3843" xr:uid="{00000000-0005-0000-0000-0000C30E0000}"/>
    <cellStyle name="20% - Énfasis6 25 8" xfId="3844" xr:uid="{00000000-0005-0000-0000-0000C40E0000}"/>
    <cellStyle name="20% - Énfasis6 25 9" xfId="3845" xr:uid="{00000000-0005-0000-0000-0000C50E0000}"/>
    <cellStyle name="20% - Énfasis6 26 10" xfId="3846" xr:uid="{00000000-0005-0000-0000-0000C60E0000}"/>
    <cellStyle name="20% - Énfasis6 26 11" xfId="3847" xr:uid="{00000000-0005-0000-0000-0000C70E0000}"/>
    <cellStyle name="20% - Énfasis6 26 12" xfId="3848" xr:uid="{00000000-0005-0000-0000-0000C80E0000}"/>
    <cellStyle name="20% - Énfasis6 26 13" xfId="3849" xr:uid="{00000000-0005-0000-0000-0000C90E0000}"/>
    <cellStyle name="20% - Énfasis6 26 14" xfId="3850" xr:uid="{00000000-0005-0000-0000-0000CA0E0000}"/>
    <cellStyle name="20% - Énfasis6 26 15" xfId="3851" xr:uid="{00000000-0005-0000-0000-0000CB0E0000}"/>
    <cellStyle name="20% - Énfasis6 26 16" xfId="3852" xr:uid="{00000000-0005-0000-0000-0000CC0E0000}"/>
    <cellStyle name="20% - Énfasis6 26 17" xfId="3853" xr:uid="{00000000-0005-0000-0000-0000CD0E0000}"/>
    <cellStyle name="20% - Énfasis6 26 18" xfId="3854" xr:uid="{00000000-0005-0000-0000-0000CE0E0000}"/>
    <cellStyle name="20% - Énfasis6 26 2" xfId="3855" xr:uid="{00000000-0005-0000-0000-0000CF0E0000}"/>
    <cellStyle name="20% - Énfasis6 26 3" xfId="3856" xr:uid="{00000000-0005-0000-0000-0000D00E0000}"/>
    <cellStyle name="20% - Énfasis6 26 4" xfId="3857" xr:uid="{00000000-0005-0000-0000-0000D10E0000}"/>
    <cellStyle name="20% - Énfasis6 26 5" xfId="3858" xr:uid="{00000000-0005-0000-0000-0000D20E0000}"/>
    <cellStyle name="20% - Énfasis6 26 6" xfId="3859" xr:uid="{00000000-0005-0000-0000-0000D30E0000}"/>
    <cellStyle name="20% - Énfasis6 26 7" xfId="3860" xr:uid="{00000000-0005-0000-0000-0000D40E0000}"/>
    <cellStyle name="20% - Énfasis6 26 8" xfId="3861" xr:uid="{00000000-0005-0000-0000-0000D50E0000}"/>
    <cellStyle name="20% - Énfasis6 26 9" xfId="3862" xr:uid="{00000000-0005-0000-0000-0000D60E0000}"/>
    <cellStyle name="20% - Énfasis6 27 10" xfId="3863" xr:uid="{00000000-0005-0000-0000-0000D70E0000}"/>
    <cellStyle name="20% - Énfasis6 27 11" xfId="3864" xr:uid="{00000000-0005-0000-0000-0000D80E0000}"/>
    <cellStyle name="20% - Énfasis6 27 12" xfId="3865" xr:uid="{00000000-0005-0000-0000-0000D90E0000}"/>
    <cellStyle name="20% - Énfasis6 27 13" xfId="3866" xr:uid="{00000000-0005-0000-0000-0000DA0E0000}"/>
    <cellStyle name="20% - Énfasis6 27 14" xfId="3867" xr:uid="{00000000-0005-0000-0000-0000DB0E0000}"/>
    <cellStyle name="20% - Énfasis6 27 15" xfId="3868" xr:uid="{00000000-0005-0000-0000-0000DC0E0000}"/>
    <cellStyle name="20% - Énfasis6 27 16" xfId="3869" xr:uid="{00000000-0005-0000-0000-0000DD0E0000}"/>
    <cellStyle name="20% - Énfasis6 27 17" xfId="3870" xr:uid="{00000000-0005-0000-0000-0000DE0E0000}"/>
    <cellStyle name="20% - Énfasis6 27 18" xfId="3871" xr:uid="{00000000-0005-0000-0000-0000DF0E0000}"/>
    <cellStyle name="20% - Énfasis6 27 2" xfId="3872" xr:uid="{00000000-0005-0000-0000-0000E00E0000}"/>
    <cellStyle name="20% - Énfasis6 27 3" xfId="3873" xr:uid="{00000000-0005-0000-0000-0000E10E0000}"/>
    <cellStyle name="20% - Énfasis6 27 4" xfId="3874" xr:uid="{00000000-0005-0000-0000-0000E20E0000}"/>
    <cellStyle name="20% - Énfasis6 27 5" xfId="3875" xr:uid="{00000000-0005-0000-0000-0000E30E0000}"/>
    <cellStyle name="20% - Énfasis6 27 6" xfId="3876" xr:uid="{00000000-0005-0000-0000-0000E40E0000}"/>
    <cellStyle name="20% - Énfasis6 27 7" xfId="3877" xr:uid="{00000000-0005-0000-0000-0000E50E0000}"/>
    <cellStyle name="20% - Énfasis6 27 8" xfId="3878" xr:uid="{00000000-0005-0000-0000-0000E60E0000}"/>
    <cellStyle name="20% - Énfasis6 27 9" xfId="3879" xr:uid="{00000000-0005-0000-0000-0000E70E0000}"/>
    <cellStyle name="20% - Énfasis6 28 10" xfId="3880" xr:uid="{00000000-0005-0000-0000-0000E80E0000}"/>
    <cellStyle name="20% - Énfasis6 28 11" xfId="3881" xr:uid="{00000000-0005-0000-0000-0000E90E0000}"/>
    <cellStyle name="20% - Énfasis6 28 12" xfId="3882" xr:uid="{00000000-0005-0000-0000-0000EA0E0000}"/>
    <cellStyle name="20% - Énfasis6 28 13" xfId="3883" xr:uid="{00000000-0005-0000-0000-0000EB0E0000}"/>
    <cellStyle name="20% - Énfasis6 28 14" xfId="3884" xr:uid="{00000000-0005-0000-0000-0000EC0E0000}"/>
    <cellStyle name="20% - Énfasis6 28 15" xfId="3885" xr:uid="{00000000-0005-0000-0000-0000ED0E0000}"/>
    <cellStyle name="20% - Énfasis6 28 16" xfId="3886" xr:uid="{00000000-0005-0000-0000-0000EE0E0000}"/>
    <cellStyle name="20% - Énfasis6 28 17" xfId="3887" xr:uid="{00000000-0005-0000-0000-0000EF0E0000}"/>
    <cellStyle name="20% - Énfasis6 28 18" xfId="3888" xr:uid="{00000000-0005-0000-0000-0000F00E0000}"/>
    <cellStyle name="20% - Énfasis6 28 2" xfId="3889" xr:uid="{00000000-0005-0000-0000-0000F10E0000}"/>
    <cellStyle name="20% - Énfasis6 28 3" xfId="3890" xr:uid="{00000000-0005-0000-0000-0000F20E0000}"/>
    <cellStyle name="20% - Énfasis6 28 4" xfId="3891" xr:uid="{00000000-0005-0000-0000-0000F30E0000}"/>
    <cellStyle name="20% - Énfasis6 28 5" xfId="3892" xr:uid="{00000000-0005-0000-0000-0000F40E0000}"/>
    <cellStyle name="20% - Énfasis6 28 6" xfId="3893" xr:uid="{00000000-0005-0000-0000-0000F50E0000}"/>
    <cellStyle name="20% - Énfasis6 28 7" xfId="3894" xr:uid="{00000000-0005-0000-0000-0000F60E0000}"/>
    <cellStyle name="20% - Énfasis6 28 8" xfId="3895" xr:uid="{00000000-0005-0000-0000-0000F70E0000}"/>
    <cellStyle name="20% - Énfasis6 28 9" xfId="3896" xr:uid="{00000000-0005-0000-0000-0000F80E0000}"/>
    <cellStyle name="20% - Énfasis6 29 10" xfId="3897" xr:uid="{00000000-0005-0000-0000-0000F90E0000}"/>
    <cellStyle name="20% - Énfasis6 29 11" xfId="3898" xr:uid="{00000000-0005-0000-0000-0000FA0E0000}"/>
    <cellStyle name="20% - Énfasis6 29 12" xfId="3899" xr:uid="{00000000-0005-0000-0000-0000FB0E0000}"/>
    <cellStyle name="20% - Énfasis6 29 13" xfId="3900" xr:uid="{00000000-0005-0000-0000-0000FC0E0000}"/>
    <cellStyle name="20% - Énfasis6 29 14" xfId="3901" xr:uid="{00000000-0005-0000-0000-0000FD0E0000}"/>
    <cellStyle name="20% - Énfasis6 29 15" xfId="3902" xr:uid="{00000000-0005-0000-0000-0000FE0E0000}"/>
    <cellStyle name="20% - Énfasis6 29 16" xfId="3903" xr:uid="{00000000-0005-0000-0000-0000FF0E0000}"/>
    <cellStyle name="20% - Énfasis6 29 17" xfId="3904" xr:uid="{00000000-0005-0000-0000-0000000F0000}"/>
    <cellStyle name="20% - Énfasis6 29 18" xfId="3905" xr:uid="{00000000-0005-0000-0000-0000010F0000}"/>
    <cellStyle name="20% - Énfasis6 29 2" xfId="3906" xr:uid="{00000000-0005-0000-0000-0000020F0000}"/>
    <cellStyle name="20% - Énfasis6 29 3" xfId="3907" xr:uid="{00000000-0005-0000-0000-0000030F0000}"/>
    <cellStyle name="20% - Énfasis6 29 4" xfId="3908" xr:uid="{00000000-0005-0000-0000-0000040F0000}"/>
    <cellStyle name="20% - Énfasis6 29 5" xfId="3909" xr:uid="{00000000-0005-0000-0000-0000050F0000}"/>
    <cellStyle name="20% - Énfasis6 29 6" xfId="3910" xr:uid="{00000000-0005-0000-0000-0000060F0000}"/>
    <cellStyle name="20% - Énfasis6 29 7" xfId="3911" xr:uid="{00000000-0005-0000-0000-0000070F0000}"/>
    <cellStyle name="20% - Énfasis6 29 8" xfId="3912" xr:uid="{00000000-0005-0000-0000-0000080F0000}"/>
    <cellStyle name="20% - Énfasis6 29 9" xfId="3913" xr:uid="{00000000-0005-0000-0000-0000090F0000}"/>
    <cellStyle name="20% - Énfasis6 3 10" xfId="3914" xr:uid="{00000000-0005-0000-0000-00000A0F0000}"/>
    <cellStyle name="20% - Énfasis6 3 11" xfId="3915" xr:uid="{00000000-0005-0000-0000-00000B0F0000}"/>
    <cellStyle name="20% - Énfasis6 3 12" xfId="3916" xr:uid="{00000000-0005-0000-0000-00000C0F0000}"/>
    <cellStyle name="20% - Énfasis6 3 13" xfId="3917" xr:uid="{00000000-0005-0000-0000-00000D0F0000}"/>
    <cellStyle name="20% - Énfasis6 3 14" xfId="3918" xr:uid="{00000000-0005-0000-0000-00000E0F0000}"/>
    <cellStyle name="20% - Énfasis6 3 15" xfId="3919" xr:uid="{00000000-0005-0000-0000-00000F0F0000}"/>
    <cellStyle name="20% - Énfasis6 3 16" xfId="3920" xr:uid="{00000000-0005-0000-0000-0000100F0000}"/>
    <cellStyle name="20% - Énfasis6 3 17" xfId="3921" xr:uid="{00000000-0005-0000-0000-0000110F0000}"/>
    <cellStyle name="20% - Énfasis6 3 18" xfId="3922" xr:uid="{00000000-0005-0000-0000-0000120F0000}"/>
    <cellStyle name="20% - Énfasis6 3 2" xfId="3923" xr:uid="{00000000-0005-0000-0000-0000130F0000}"/>
    <cellStyle name="20% - Énfasis6 3 3" xfId="3924" xr:uid="{00000000-0005-0000-0000-0000140F0000}"/>
    <cellStyle name="20% - Énfasis6 3 4" xfId="3925" xr:uid="{00000000-0005-0000-0000-0000150F0000}"/>
    <cellStyle name="20% - Énfasis6 3 5" xfId="3926" xr:uid="{00000000-0005-0000-0000-0000160F0000}"/>
    <cellStyle name="20% - Énfasis6 3 6" xfId="3927" xr:uid="{00000000-0005-0000-0000-0000170F0000}"/>
    <cellStyle name="20% - Énfasis6 3 7" xfId="3928" xr:uid="{00000000-0005-0000-0000-0000180F0000}"/>
    <cellStyle name="20% - Énfasis6 3 8" xfId="3929" xr:uid="{00000000-0005-0000-0000-0000190F0000}"/>
    <cellStyle name="20% - Énfasis6 3 9" xfId="3930" xr:uid="{00000000-0005-0000-0000-00001A0F0000}"/>
    <cellStyle name="20% - Énfasis6 30 10" xfId="3931" xr:uid="{00000000-0005-0000-0000-00001B0F0000}"/>
    <cellStyle name="20% - Énfasis6 30 11" xfId="3932" xr:uid="{00000000-0005-0000-0000-00001C0F0000}"/>
    <cellStyle name="20% - Énfasis6 30 12" xfId="3933" xr:uid="{00000000-0005-0000-0000-00001D0F0000}"/>
    <cellStyle name="20% - Énfasis6 30 13" xfId="3934" xr:uid="{00000000-0005-0000-0000-00001E0F0000}"/>
    <cellStyle name="20% - Énfasis6 30 14" xfId="3935" xr:uid="{00000000-0005-0000-0000-00001F0F0000}"/>
    <cellStyle name="20% - Énfasis6 30 15" xfId="3936" xr:uid="{00000000-0005-0000-0000-0000200F0000}"/>
    <cellStyle name="20% - Énfasis6 30 16" xfId="3937" xr:uid="{00000000-0005-0000-0000-0000210F0000}"/>
    <cellStyle name="20% - Énfasis6 30 17" xfId="3938" xr:uid="{00000000-0005-0000-0000-0000220F0000}"/>
    <cellStyle name="20% - Énfasis6 30 18" xfId="3939" xr:uid="{00000000-0005-0000-0000-0000230F0000}"/>
    <cellStyle name="20% - Énfasis6 30 2" xfId="3940" xr:uid="{00000000-0005-0000-0000-0000240F0000}"/>
    <cellStyle name="20% - Énfasis6 30 2 2" xfId="3941" xr:uid="{00000000-0005-0000-0000-0000250F0000}"/>
    <cellStyle name="20% - Énfasis6 30 3" xfId="3942" xr:uid="{00000000-0005-0000-0000-0000260F0000}"/>
    <cellStyle name="20% - Énfasis6 30 3 2" xfId="3943" xr:uid="{00000000-0005-0000-0000-0000270F0000}"/>
    <cellStyle name="20% - Énfasis6 30 4" xfId="3944" xr:uid="{00000000-0005-0000-0000-0000280F0000}"/>
    <cellStyle name="20% - Énfasis6 30 4 2" xfId="3945" xr:uid="{00000000-0005-0000-0000-0000290F0000}"/>
    <cellStyle name="20% - Énfasis6 30 5" xfId="3946" xr:uid="{00000000-0005-0000-0000-00002A0F0000}"/>
    <cellStyle name="20% - Énfasis6 30 6" xfId="3947" xr:uid="{00000000-0005-0000-0000-00002B0F0000}"/>
    <cellStyle name="20% - Énfasis6 30 7" xfId="3948" xr:uid="{00000000-0005-0000-0000-00002C0F0000}"/>
    <cellStyle name="20% - Énfasis6 30 8" xfId="3949" xr:uid="{00000000-0005-0000-0000-00002D0F0000}"/>
    <cellStyle name="20% - Énfasis6 30 9" xfId="3950" xr:uid="{00000000-0005-0000-0000-00002E0F0000}"/>
    <cellStyle name="20% - Énfasis6 31 10" xfId="3951" xr:uid="{00000000-0005-0000-0000-00002F0F0000}"/>
    <cellStyle name="20% - Énfasis6 31 11" xfId="3952" xr:uid="{00000000-0005-0000-0000-0000300F0000}"/>
    <cellStyle name="20% - Énfasis6 31 12" xfId="3953" xr:uid="{00000000-0005-0000-0000-0000310F0000}"/>
    <cellStyle name="20% - Énfasis6 31 13" xfId="3954" xr:uid="{00000000-0005-0000-0000-0000320F0000}"/>
    <cellStyle name="20% - Énfasis6 31 14" xfId="3955" xr:uid="{00000000-0005-0000-0000-0000330F0000}"/>
    <cellStyle name="20% - Énfasis6 31 15" xfId="3956" xr:uid="{00000000-0005-0000-0000-0000340F0000}"/>
    <cellStyle name="20% - Énfasis6 31 16" xfId="3957" xr:uid="{00000000-0005-0000-0000-0000350F0000}"/>
    <cellStyle name="20% - Énfasis6 31 17" xfId="3958" xr:uid="{00000000-0005-0000-0000-0000360F0000}"/>
    <cellStyle name="20% - Énfasis6 31 18" xfId="3959" xr:uid="{00000000-0005-0000-0000-0000370F0000}"/>
    <cellStyle name="20% - Énfasis6 31 19" xfId="3960" xr:uid="{00000000-0005-0000-0000-0000380F0000}"/>
    <cellStyle name="20% - Énfasis6 31 2" xfId="3961" xr:uid="{00000000-0005-0000-0000-0000390F0000}"/>
    <cellStyle name="20% - Énfasis6 31 2 2" xfId="3962" xr:uid="{00000000-0005-0000-0000-00003A0F0000}"/>
    <cellStyle name="20% - Énfasis6 31 3" xfId="3963" xr:uid="{00000000-0005-0000-0000-00003B0F0000}"/>
    <cellStyle name="20% - Énfasis6 31 3 2" xfId="3964" xr:uid="{00000000-0005-0000-0000-00003C0F0000}"/>
    <cellStyle name="20% - Énfasis6 31 4" xfId="3965" xr:uid="{00000000-0005-0000-0000-00003D0F0000}"/>
    <cellStyle name="20% - Énfasis6 31 4 2" xfId="3966" xr:uid="{00000000-0005-0000-0000-00003E0F0000}"/>
    <cellStyle name="20% - Énfasis6 31 5" xfId="3967" xr:uid="{00000000-0005-0000-0000-00003F0F0000}"/>
    <cellStyle name="20% - Énfasis6 31 6" xfId="3968" xr:uid="{00000000-0005-0000-0000-0000400F0000}"/>
    <cellStyle name="20% - Énfasis6 31 7" xfId="3969" xr:uid="{00000000-0005-0000-0000-0000410F0000}"/>
    <cellStyle name="20% - Énfasis6 31 8" xfId="3970" xr:uid="{00000000-0005-0000-0000-0000420F0000}"/>
    <cellStyle name="20% - Énfasis6 31 9" xfId="3971" xr:uid="{00000000-0005-0000-0000-0000430F0000}"/>
    <cellStyle name="20% - Énfasis6 32 10" xfId="3972" xr:uid="{00000000-0005-0000-0000-0000440F0000}"/>
    <cellStyle name="20% - Énfasis6 32 11" xfId="3973" xr:uid="{00000000-0005-0000-0000-0000450F0000}"/>
    <cellStyle name="20% - Énfasis6 32 12" xfId="3974" xr:uid="{00000000-0005-0000-0000-0000460F0000}"/>
    <cellStyle name="20% - Énfasis6 32 13" xfId="3975" xr:uid="{00000000-0005-0000-0000-0000470F0000}"/>
    <cellStyle name="20% - Énfasis6 32 14" xfId="3976" xr:uid="{00000000-0005-0000-0000-0000480F0000}"/>
    <cellStyle name="20% - Énfasis6 32 15" xfId="3977" xr:uid="{00000000-0005-0000-0000-0000490F0000}"/>
    <cellStyle name="20% - Énfasis6 32 16" xfId="3978" xr:uid="{00000000-0005-0000-0000-00004A0F0000}"/>
    <cellStyle name="20% - Énfasis6 32 17" xfId="3979" xr:uid="{00000000-0005-0000-0000-00004B0F0000}"/>
    <cellStyle name="20% - Énfasis6 32 18" xfId="3980" xr:uid="{00000000-0005-0000-0000-00004C0F0000}"/>
    <cellStyle name="20% - Énfasis6 32 19" xfId="3981" xr:uid="{00000000-0005-0000-0000-00004D0F0000}"/>
    <cellStyle name="20% - Énfasis6 32 2" xfId="3982" xr:uid="{00000000-0005-0000-0000-00004E0F0000}"/>
    <cellStyle name="20% - Énfasis6 32 2 2" xfId="3983" xr:uid="{00000000-0005-0000-0000-00004F0F0000}"/>
    <cellStyle name="20% - Énfasis6 32 3" xfId="3984" xr:uid="{00000000-0005-0000-0000-0000500F0000}"/>
    <cellStyle name="20% - Énfasis6 32 3 2" xfId="3985" xr:uid="{00000000-0005-0000-0000-0000510F0000}"/>
    <cellStyle name="20% - Énfasis6 32 4" xfId="3986" xr:uid="{00000000-0005-0000-0000-0000520F0000}"/>
    <cellStyle name="20% - Énfasis6 32 4 2" xfId="3987" xr:uid="{00000000-0005-0000-0000-0000530F0000}"/>
    <cellStyle name="20% - Énfasis6 32 5" xfId="3988" xr:uid="{00000000-0005-0000-0000-0000540F0000}"/>
    <cellStyle name="20% - Énfasis6 32 6" xfId="3989" xr:uid="{00000000-0005-0000-0000-0000550F0000}"/>
    <cellStyle name="20% - Énfasis6 32 7" xfId="3990" xr:uid="{00000000-0005-0000-0000-0000560F0000}"/>
    <cellStyle name="20% - Énfasis6 32 8" xfId="3991" xr:uid="{00000000-0005-0000-0000-0000570F0000}"/>
    <cellStyle name="20% - Énfasis6 32 9" xfId="3992" xr:uid="{00000000-0005-0000-0000-0000580F0000}"/>
    <cellStyle name="20% - Énfasis6 33 10" xfId="3993" xr:uid="{00000000-0005-0000-0000-0000590F0000}"/>
    <cellStyle name="20% - Énfasis6 33 11" xfId="3994" xr:uid="{00000000-0005-0000-0000-00005A0F0000}"/>
    <cellStyle name="20% - Énfasis6 33 12" xfId="3995" xr:uid="{00000000-0005-0000-0000-00005B0F0000}"/>
    <cellStyle name="20% - Énfasis6 33 13" xfId="3996" xr:uid="{00000000-0005-0000-0000-00005C0F0000}"/>
    <cellStyle name="20% - Énfasis6 33 14" xfId="3997" xr:uid="{00000000-0005-0000-0000-00005D0F0000}"/>
    <cellStyle name="20% - Énfasis6 33 15" xfId="3998" xr:uid="{00000000-0005-0000-0000-00005E0F0000}"/>
    <cellStyle name="20% - Énfasis6 33 16" xfId="3999" xr:uid="{00000000-0005-0000-0000-00005F0F0000}"/>
    <cellStyle name="20% - Énfasis6 33 17" xfId="4000" xr:uid="{00000000-0005-0000-0000-0000600F0000}"/>
    <cellStyle name="20% - Énfasis6 33 18" xfId="4001" xr:uid="{00000000-0005-0000-0000-0000610F0000}"/>
    <cellStyle name="20% - Énfasis6 33 19" xfId="4002" xr:uid="{00000000-0005-0000-0000-0000620F0000}"/>
    <cellStyle name="20% - Énfasis6 33 2" xfId="4003" xr:uid="{00000000-0005-0000-0000-0000630F0000}"/>
    <cellStyle name="20% - Énfasis6 33 2 2" xfId="4004" xr:uid="{00000000-0005-0000-0000-0000640F0000}"/>
    <cellStyle name="20% - Énfasis6 33 3" xfId="4005" xr:uid="{00000000-0005-0000-0000-0000650F0000}"/>
    <cellStyle name="20% - Énfasis6 33 3 2" xfId="4006" xr:uid="{00000000-0005-0000-0000-0000660F0000}"/>
    <cellStyle name="20% - Énfasis6 33 4" xfId="4007" xr:uid="{00000000-0005-0000-0000-0000670F0000}"/>
    <cellStyle name="20% - Énfasis6 33 4 2" xfId="4008" xr:uid="{00000000-0005-0000-0000-0000680F0000}"/>
    <cellStyle name="20% - Énfasis6 33 5" xfId="4009" xr:uid="{00000000-0005-0000-0000-0000690F0000}"/>
    <cellStyle name="20% - Énfasis6 33 6" xfId="4010" xr:uid="{00000000-0005-0000-0000-00006A0F0000}"/>
    <cellStyle name="20% - Énfasis6 33 7" xfId="4011" xr:uid="{00000000-0005-0000-0000-00006B0F0000}"/>
    <cellStyle name="20% - Énfasis6 33 8" xfId="4012" xr:uid="{00000000-0005-0000-0000-00006C0F0000}"/>
    <cellStyle name="20% - Énfasis6 33 9" xfId="4013" xr:uid="{00000000-0005-0000-0000-00006D0F0000}"/>
    <cellStyle name="20% - Énfasis6 34 10" xfId="4014" xr:uid="{00000000-0005-0000-0000-00006E0F0000}"/>
    <cellStyle name="20% - Énfasis6 34 11" xfId="4015" xr:uid="{00000000-0005-0000-0000-00006F0F0000}"/>
    <cellStyle name="20% - Énfasis6 34 12" xfId="4016" xr:uid="{00000000-0005-0000-0000-0000700F0000}"/>
    <cellStyle name="20% - Énfasis6 34 13" xfId="4017" xr:uid="{00000000-0005-0000-0000-0000710F0000}"/>
    <cellStyle name="20% - Énfasis6 34 14" xfId="4018" xr:uid="{00000000-0005-0000-0000-0000720F0000}"/>
    <cellStyle name="20% - Énfasis6 34 15" xfId="4019" xr:uid="{00000000-0005-0000-0000-0000730F0000}"/>
    <cellStyle name="20% - Énfasis6 34 16" xfId="4020" xr:uid="{00000000-0005-0000-0000-0000740F0000}"/>
    <cellStyle name="20% - Énfasis6 34 17" xfId="4021" xr:uid="{00000000-0005-0000-0000-0000750F0000}"/>
    <cellStyle name="20% - Énfasis6 34 18" xfId="4022" xr:uid="{00000000-0005-0000-0000-0000760F0000}"/>
    <cellStyle name="20% - Énfasis6 34 19" xfId="4023" xr:uid="{00000000-0005-0000-0000-0000770F0000}"/>
    <cellStyle name="20% - Énfasis6 34 2" xfId="4024" xr:uid="{00000000-0005-0000-0000-0000780F0000}"/>
    <cellStyle name="20% - Énfasis6 34 2 2" xfId="4025" xr:uid="{00000000-0005-0000-0000-0000790F0000}"/>
    <cellStyle name="20% - Énfasis6 34 3" xfId="4026" xr:uid="{00000000-0005-0000-0000-00007A0F0000}"/>
    <cellStyle name="20% - Énfasis6 34 3 2" xfId="4027" xr:uid="{00000000-0005-0000-0000-00007B0F0000}"/>
    <cellStyle name="20% - Énfasis6 34 4" xfId="4028" xr:uid="{00000000-0005-0000-0000-00007C0F0000}"/>
    <cellStyle name="20% - Énfasis6 34 4 2" xfId="4029" xr:uid="{00000000-0005-0000-0000-00007D0F0000}"/>
    <cellStyle name="20% - Énfasis6 34 5" xfId="4030" xr:uid="{00000000-0005-0000-0000-00007E0F0000}"/>
    <cellStyle name="20% - Énfasis6 34 6" xfId="4031" xr:uid="{00000000-0005-0000-0000-00007F0F0000}"/>
    <cellStyle name="20% - Énfasis6 34 7" xfId="4032" xr:uid="{00000000-0005-0000-0000-0000800F0000}"/>
    <cellStyle name="20% - Énfasis6 34 8" xfId="4033" xr:uid="{00000000-0005-0000-0000-0000810F0000}"/>
    <cellStyle name="20% - Énfasis6 34 9" xfId="4034" xr:uid="{00000000-0005-0000-0000-0000820F0000}"/>
    <cellStyle name="20% - Énfasis6 35 10" xfId="4035" xr:uid="{00000000-0005-0000-0000-0000830F0000}"/>
    <cellStyle name="20% - Énfasis6 35 11" xfId="4036" xr:uid="{00000000-0005-0000-0000-0000840F0000}"/>
    <cellStyle name="20% - Énfasis6 35 12" xfId="4037" xr:uid="{00000000-0005-0000-0000-0000850F0000}"/>
    <cellStyle name="20% - Énfasis6 35 13" xfId="4038" xr:uid="{00000000-0005-0000-0000-0000860F0000}"/>
    <cellStyle name="20% - Énfasis6 35 14" xfId="4039" xr:uid="{00000000-0005-0000-0000-0000870F0000}"/>
    <cellStyle name="20% - Énfasis6 35 15" xfId="4040" xr:uid="{00000000-0005-0000-0000-0000880F0000}"/>
    <cellStyle name="20% - Énfasis6 35 16" xfId="4041" xr:uid="{00000000-0005-0000-0000-0000890F0000}"/>
    <cellStyle name="20% - Énfasis6 35 17" xfId="4042" xr:uid="{00000000-0005-0000-0000-00008A0F0000}"/>
    <cellStyle name="20% - Énfasis6 35 18" xfId="4043" xr:uid="{00000000-0005-0000-0000-00008B0F0000}"/>
    <cellStyle name="20% - Énfasis6 35 19" xfId="4044" xr:uid="{00000000-0005-0000-0000-00008C0F0000}"/>
    <cellStyle name="20% - Énfasis6 35 2" xfId="4045" xr:uid="{00000000-0005-0000-0000-00008D0F0000}"/>
    <cellStyle name="20% - Énfasis6 35 2 2" xfId="4046" xr:uid="{00000000-0005-0000-0000-00008E0F0000}"/>
    <cellStyle name="20% - Énfasis6 35 3" xfId="4047" xr:uid="{00000000-0005-0000-0000-00008F0F0000}"/>
    <cellStyle name="20% - Énfasis6 35 3 2" xfId="4048" xr:uid="{00000000-0005-0000-0000-0000900F0000}"/>
    <cellStyle name="20% - Énfasis6 35 4" xfId="4049" xr:uid="{00000000-0005-0000-0000-0000910F0000}"/>
    <cellStyle name="20% - Énfasis6 35 4 2" xfId="4050" xr:uid="{00000000-0005-0000-0000-0000920F0000}"/>
    <cellStyle name="20% - Énfasis6 35 5" xfId="4051" xr:uid="{00000000-0005-0000-0000-0000930F0000}"/>
    <cellStyle name="20% - Énfasis6 35 6" xfId="4052" xr:uid="{00000000-0005-0000-0000-0000940F0000}"/>
    <cellStyle name="20% - Énfasis6 35 7" xfId="4053" xr:uid="{00000000-0005-0000-0000-0000950F0000}"/>
    <cellStyle name="20% - Énfasis6 35 8" xfId="4054" xr:uid="{00000000-0005-0000-0000-0000960F0000}"/>
    <cellStyle name="20% - Énfasis6 35 9" xfId="4055" xr:uid="{00000000-0005-0000-0000-0000970F0000}"/>
    <cellStyle name="20% - Énfasis6 36 10" xfId="4056" xr:uid="{00000000-0005-0000-0000-0000980F0000}"/>
    <cellStyle name="20% - Énfasis6 36 11" xfId="4057" xr:uid="{00000000-0005-0000-0000-0000990F0000}"/>
    <cellStyle name="20% - Énfasis6 36 12" xfId="4058" xr:uid="{00000000-0005-0000-0000-00009A0F0000}"/>
    <cellStyle name="20% - Énfasis6 36 13" xfId="4059" xr:uid="{00000000-0005-0000-0000-00009B0F0000}"/>
    <cellStyle name="20% - Énfasis6 36 14" xfId="4060" xr:uid="{00000000-0005-0000-0000-00009C0F0000}"/>
    <cellStyle name="20% - Énfasis6 36 15" xfId="4061" xr:uid="{00000000-0005-0000-0000-00009D0F0000}"/>
    <cellStyle name="20% - Énfasis6 36 16" xfId="4062" xr:uid="{00000000-0005-0000-0000-00009E0F0000}"/>
    <cellStyle name="20% - Énfasis6 36 17" xfId="4063" xr:uid="{00000000-0005-0000-0000-00009F0F0000}"/>
    <cellStyle name="20% - Énfasis6 36 18" xfId="4064" xr:uid="{00000000-0005-0000-0000-0000A00F0000}"/>
    <cellStyle name="20% - Énfasis6 36 19" xfId="4065" xr:uid="{00000000-0005-0000-0000-0000A10F0000}"/>
    <cellStyle name="20% - Énfasis6 36 2" xfId="4066" xr:uid="{00000000-0005-0000-0000-0000A20F0000}"/>
    <cellStyle name="20% - Énfasis6 36 2 2" xfId="4067" xr:uid="{00000000-0005-0000-0000-0000A30F0000}"/>
    <cellStyle name="20% - Énfasis6 36 3" xfId="4068" xr:uid="{00000000-0005-0000-0000-0000A40F0000}"/>
    <cellStyle name="20% - Énfasis6 36 3 2" xfId="4069" xr:uid="{00000000-0005-0000-0000-0000A50F0000}"/>
    <cellStyle name="20% - Énfasis6 36 4" xfId="4070" xr:uid="{00000000-0005-0000-0000-0000A60F0000}"/>
    <cellStyle name="20% - Énfasis6 36 4 2" xfId="4071" xr:uid="{00000000-0005-0000-0000-0000A70F0000}"/>
    <cellStyle name="20% - Énfasis6 36 5" xfId="4072" xr:uid="{00000000-0005-0000-0000-0000A80F0000}"/>
    <cellStyle name="20% - Énfasis6 36 6" xfId="4073" xr:uid="{00000000-0005-0000-0000-0000A90F0000}"/>
    <cellStyle name="20% - Énfasis6 36 7" xfId="4074" xr:uid="{00000000-0005-0000-0000-0000AA0F0000}"/>
    <cellStyle name="20% - Énfasis6 36 8" xfId="4075" xr:uid="{00000000-0005-0000-0000-0000AB0F0000}"/>
    <cellStyle name="20% - Énfasis6 36 9" xfId="4076" xr:uid="{00000000-0005-0000-0000-0000AC0F0000}"/>
    <cellStyle name="20% - Énfasis6 37 10" xfId="4077" xr:uid="{00000000-0005-0000-0000-0000AD0F0000}"/>
    <cellStyle name="20% - Énfasis6 37 11" xfId="4078" xr:uid="{00000000-0005-0000-0000-0000AE0F0000}"/>
    <cellStyle name="20% - Énfasis6 37 12" xfId="4079" xr:uid="{00000000-0005-0000-0000-0000AF0F0000}"/>
    <cellStyle name="20% - Énfasis6 37 13" xfId="4080" xr:uid="{00000000-0005-0000-0000-0000B00F0000}"/>
    <cellStyle name="20% - Énfasis6 37 14" xfId="4081" xr:uid="{00000000-0005-0000-0000-0000B10F0000}"/>
    <cellStyle name="20% - Énfasis6 37 15" xfId="4082" xr:uid="{00000000-0005-0000-0000-0000B20F0000}"/>
    <cellStyle name="20% - Énfasis6 37 16" xfId="4083" xr:uid="{00000000-0005-0000-0000-0000B30F0000}"/>
    <cellStyle name="20% - Énfasis6 37 17" xfId="4084" xr:uid="{00000000-0005-0000-0000-0000B40F0000}"/>
    <cellStyle name="20% - Énfasis6 37 18" xfId="4085" xr:uid="{00000000-0005-0000-0000-0000B50F0000}"/>
    <cellStyle name="20% - Énfasis6 37 19" xfId="4086" xr:uid="{00000000-0005-0000-0000-0000B60F0000}"/>
    <cellStyle name="20% - Énfasis6 37 2" xfId="4087" xr:uid="{00000000-0005-0000-0000-0000B70F0000}"/>
    <cellStyle name="20% - Énfasis6 37 2 2" xfId="4088" xr:uid="{00000000-0005-0000-0000-0000B80F0000}"/>
    <cellStyle name="20% - Énfasis6 37 3" xfId="4089" xr:uid="{00000000-0005-0000-0000-0000B90F0000}"/>
    <cellStyle name="20% - Énfasis6 37 3 2" xfId="4090" xr:uid="{00000000-0005-0000-0000-0000BA0F0000}"/>
    <cellStyle name="20% - Énfasis6 37 4" xfId="4091" xr:uid="{00000000-0005-0000-0000-0000BB0F0000}"/>
    <cellStyle name="20% - Énfasis6 37 4 2" xfId="4092" xr:uid="{00000000-0005-0000-0000-0000BC0F0000}"/>
    <cellStyle name="20% - Énfasis6 37 5" xfId="4093" xr:uid="{00000000-0005-0000-0000-0000BD0F0000}"/>
    <cellStyle name="20% - Énfasis6 37 6" xfId="4094" xr:uid="{00000000-0005-0000-0000-0000BE0F0000}"/>
    <cellStyle name="20% - Énfasis6 37 7" xfId="4095" xr:uid="{00000000-0005-0000-0000-0000BF0F0000}"/>
    <cellStyle name="20% - Énfasis6 37 8" xfId="4096" xr:uid="{00000000-0005-0000-0000-0000C00F0000}"/>
    <cellStyle name="20% - Énfasis6 37 9" xfId="4097" xr:uid="{00000000-0005-0000-0000-0000C10F0000}"/>
    <cellStyle name="20% - Énfasis6 38 10" xfId="4098" xr:uid="{00000000-0005-0000-0000-0000C20F0000}"/>
    <cellStyle name="20% - Énfasis6 38 11" xfId="4099" xr:uid="{00000000-0005-0000-0000-0000C30F0000}"/>
    <cellStyle name="20% - Énfasis6 38 12" xfId="4100" xr:uid="{00000000-0005-0000-0000-0000C40F0000}"/>
    <cellStyle name="20% - Énfasis6 38 13" xfId="4101" xr:uid="{00000000-0005-0000-0000-0000C50F0000}"/>
    <cellStyle name="20% - Énfasis6 38 14" xfId="4102" xr:uid="{00000000-0005-0000-0000-0000C60F0000}"/>
    <cellStyle name="20% - Énfasis6 38 15" xfId="4103" xr:uid="{00000000-0005-0000-0000-0000C70F0000}"/>
    <cellStyle name="20% - Énfasis6 38 16" xfId="4104" xr:uid="{00000000-0005-0000-0000-0000C80F0000}"/>
    <cellStyle name="20% - Énfasis6 38 17" xfId="4105" xr:uid="{00000000-0005-0000-0000-0000C90F0000}"/>
    <cellStyle name="20% - Énfasis6 38 18" xfId="4106" xr:uid="{00000000-0005-0000-0000-0000CA0F0000}"/>
    <cellStyle name="20% - Énfasis6 38 19" xfId="4107" xr:uid="{00000000-0005-0000-0000-0000CB0F0000}"/>
    <cellStyle name="20% - Énfasis6 38 2" xfId="4108" xr:uid="{00000000-0005-0000-0000-0000CC0F0000}"/>
    <cellStyle name="20% - Énfasis6 38 2 2" xfId="4109" xr:uid="{00000000-0005-0000-0000-0000CD0F0000}"/>
    <cellStyle name="20% - Énfasis6 38 3" xfId="4110" xr:uid="{00000000-0005-0000-0000-0000CE0F0000}"/>
    <cellStyle name="20% - Énfasis6 38 3 2" xfId="4111" xr:uid="{00000000-0005-0000-0000-0000CF0F0000}"/>
    <cellStyle name="20% - Énfasis6 38 4" xfId="4112" xr:uid="{00000000-0005-0000-0000-0000D00F0000}"/>
    <cellStyle name="20% - Énfasis6 38 4 2" xfId="4113" xr:uid="{00000000-0005-0000-0000-0000D10F0000}"/>
    <cellStyle name="20% - Énfasis6 38 5" xfId="4114" xr:uid="{00000000-0005-0000-0000-0000D20F0000}"/>
    <cellStyle name="20% - Énfasis6 38 6" xfId="4115" xr:uid="{00000000-0005-0000-0000-0000D30F0000}"/>
    <cellStyle name="20% - Énfasis6 38 7" xfId="4116" xr:uid="{00000000-0005-0000-0000-0000D40F0000}"/>
    <cellStyle name="20% - Énfasis6 38 8" xfId="4117" xr:uid="{00000000-0005-0000-0000-0000D50F0000}"/>
    <cellStyle name="20% - Énfasis6 38 9" xfId="4118" xr:uid="{00000000-0005-0000-0000-0000D60F0000}"/>
    <cellStyle name="20% - Énfasis6 39" xfId="4119" xr:uid="{00000000-0005-0000-0000-0000D70F0000}"/>
    <cellStyle name="20% - Énfasis6 39 10" xfId="4120" xr:uid="{00000000-0005-0000-0000-0000D80F0000}"/>
    <cellStyle name="20% - Énfasis6 39 11" xfId="4121" xr:uid="{00000000-0005-0000-0000-0000D90F0000}"/>
    <cellStyle name="20% - Énfasis6 39 12" xfId="4122" xr:uid="{00000000-0005-0000-0000-0000DA0F0000}"/>
    <cellStyle name="20% - Énfasis6 39 13" xfId="4123" xr:uid="{00000000-0005-0000-0000-0000DB0F0000}"/>
    <cellStyle name="20% - Énfasis6 39 14" xfId="4124" xr:uid="{00000000-0005-0000-0000-0000DC0F0000}"/>
    <cellStyle name="20% - Énfasis6 39 15" xfId="4125" xr:uid="{00000000-0005-0000-0000-0000DD0F0000}"/>
    <cellStyle name="20% - Énfasis6 39 16" xfId="4126" xr:uid="{00000000-0005-0000-0000-0000DE0F0000}"/>
    <cellStyle name="20% - Énfasis6 39 2" xfId="4127" xr:uid="{00000000-0005-0000-0000-0000DF0F0000}"/>
    <cellStyle name="20% - Énfasis6 39 3" xfId="4128" xr:uid="{00000000-0005-0000-0000-0000E00F0000}"/>
    <cellStyle name="20% - Énfasis6 39 4" xfId="4129" xr:uid="{00000000-0005-0000-0000-0000E10F0000}"/>
    <cellStyle name="20% - Énfasis6 39 5" xfId="4130" xr:uid="{00000000-0005-0000-0000-0000E20F0000}"/>
    <cellStyle name="20% - Énfasis6 39 6" xfId="4131" xr:uid="{00000000-0005-0000-0000-0000E30F0000}"/>
    <cellStyle name="20% - Énfasis6 39 7" xfId="4132" xr:uid="{00000000-0005-0000-0000-0000E40F0000}"/>
    <cellStyle name="20% - Énfasis6 39 8" xfId="4133" xr:uid="{00000000-0005-0000-0000-0000E50F0000}"/>
    <cellStyle name="20% - Énfasis6 39 9" xfId="4134" xr:uid="{00000000-0005-0000-0000-0000E60F0000}"/>
    <cellStyle name="20% - Énfasis6 4 10" xfId="4135" xr:uid="{00000000-0005-0000-0000-0000E70F0000}"/>
    <cellStyle name="20% - Énfasis6 4 11" xfId="4136" xr:uid="{00000000-0005-0000-0000-0000E80F0000}"/>
    <cellStyle name="20% - Énfasis6 4 12" xfId="4137" xr:uid="{00000000-0005-0000-0000-0000E90F0000}"/>
    <cellStyle name="20% - Énfasis6 4 13" xfId="4138" xr:uid="{00000000-0005-0000-0000-0000EA0F0000}"/>
    <cellStyle name="20% - Énfasis6 4 14" xfId="4139" xr:uid="{00000000-0005-0000-0000-0000EB0F0000}"/>
    <cellStyle name="20% - Énfasis6 4 15" xfId="4140" xr:uid="{00000000-0005-0000-0000-0000EC0F0000}"/>
    <cellStyle name="20% - Énfasis6 4 16" xfId="4141" xr:uid="{00000000-0005-0000-0000-0000ED0F0000}"/>
    <cellStyle name="20% - Énfasis6 4 17" xfId="4142" xr:uid="{00000000-0005-0000-0000-0000EE0F0000}"/>
    <cellStyle name="20% - Énfasis6 4 18" xfId="4143" xr:uid="{00000000-0005-0000-0000-0000EF0F0000}"/>
    <cellStyle name="20% - Énfasis6 4 19" xfId="4144" xr:uid="{00000000-0005-0000-0000-0000F00F0000}"/>
    <cellStyle name="20% - Énfasis6 4 2" xfId="4145" xr:uid="{00000000-0005-0000-0000-0000F10F0000}"/>
    <cellStyle name="20% - Énfasis6 4 2 2" xfId="4146" xr:uid="{00000000-0005-0000-0000-0000F20F0000}"/>
    <cellStyle name="20% - Énfasis6 4 3" xfId="4147" xr:uid="{00000000-0005-0000-0000-0000F30F0000}"/>
    <cellStyle name="20% - Énfasis6 4 3 2" xfId="4148" xr:uid="{00000000-0005-0000-0000-0000F40F0000}"/>
    <cellStyle name="20% - Énfasis6 4 4" xfId="4149" xr:uid="{00000000-0005-0000-0000-0000F50F0000}"/>
    <cellStyle name="20% - Énfasis6 4 4 2" xfId="4150" xr:uid="{00000000-0005-0000-0000-0000F60F0000}"/>
    <cellStyle name="20% - Énfasis6 4 5" xfId="4151" xr:uid="{00000000-0005-0000-0000-0000F70F0000}"/>
    <cellStyle name="20% - Énfasis6 4 6" xfId="4152" xr:uid="{00000000-0005-0000-0000-0000F80F0000}"/>
    <cellStyle name="20% - Énfasis6 4 7" xfId="4153" xr:uid="{00000000-0005-0000-0000-0000F90F0000}"/>
    <cellStyle name="20% - Énfasis6 4 8" xfId="4154" xr:uid="{00000000-0005-0000-0000-0000FA0F0000}"/>
    <cellStyle name="20% - Énfasis6 4 9" xfId="4155" xr:uid="{00000000-0005-0000-0000-0000FB0F0000}"/>
    <cellStyle name="20% - Énfasis6 40" xfId="4156" xr:uid="{00000000-0005-0000-0000-0000FC0F0000}"/>
    <cellStyle name="20% - Énfasis6 40 10" xfId="4157" xr:uid="{00000000-0005-0000-0000-0000FD0F0000}"/>
    <cellStyle name="20% - Énfasis6 40 11" xfId="4158" xr:uid="{00000000-0005-0000-0000-0000FE0F0000}"/>
    <cellStyle name="20% - Énfasis6 40 12" xfId="4159" xr:uid="{00000000-0005-0000-0000-0000FF0F0000}"/>
    <cellStyle name="20% - Énfasis6 40 13" xfId="4160" xr:uid="{00000000-0005-0000-0000-000000100000}"/>
    <cellStyle name="20% - Énfasis6 40 14" xfId="4161" xr:uid="{00000000-0005-0000-0000-000001100000}"/>
    <cellStyle name="20% - Énfasis6 40 15" xfId="4162" xr:uid="{00000000-0005-0000-0000-000002100000}"/>
    <cellStyle name="20% - Énfasis6 40 16" xfId="4163" xr:uid="{00000000-0005-0000-0000-000003100000}"/>
    <cellStyle name="20% - Énfasis6 40 2" xfId="4164" xr:uid="{00000000-0005-0000-0000-000004100000}"/>
    <cellStyle name="20% - Énfasis6 40 3" xfId="4165" xr:uid="{00000000-0005-0000-0000-000005100000}"/>
    <cellStyle name="20% - Énfasis6 40 4" xfId="4166" xr:uid="{00000000-0005-0000-0000-000006100000}"/>
    <cellStyle name="20% - Énfasis6 40 5" xfId="4167" xr:uid="{00000000-0005-0000-0000-000007100000}"/>
    <cellStyle name="20% - Énfasis6 40 6" xfId="4168" xr:uid="{00000000-0005-0000-0000-000008100000}"/>
    <cellStyle name="20% - Énfasis6 40 7" xfId="4169" xr:uid="{00000000-0005-0000-0000-000009100000}"/>
    <cellStyle name="20% - Énfasis6 40 8" xfId="4170" xr:uid="{00000000-0005-0000-0000-00000A100000}"/>
    <cellStyle name="20% - Énfasis6 40 9" xfId="4171" xr:uid="{00000000-0005-0000-0000-00000B100000}"/>
    <cellStyle name="20% - Énfasis6 41" xfId="4172" xr:uid="{00000000-0005-0000-0000-00000C100000}"/>
    <cellStyle name="20% - Énfasis6 41 10" xfId="4173" xr:uid="{00000000-0005-0000-0000-00000D100000}"/>
    <cellStyle name="20% - Énfasis6 41 11" xfId="4174" xr:uid="{00000000-0005-0000-0000-00000E100000}"/>
    <cellStyle name="20% - Énfasis6 41 12" xfId="4175" xr:uid="{00000000-0005-0000-0000-00000F100000}"/>
    <cellStyle name="20% - Énfasis6 41 13" xfId="4176" xr:uid="{00000000-0005-0000-0000-000010100000}"/>
    <cellStyle name="20% - Énfasis6 41 14" xfId="4177" xr:uid="{00000000-0005-0000-0000-000011100000}"/>
    <cellStyle name="20% - Énfasis6 41 15" xfId="4178" xr:uid="{00000000-0005-0000-0000-000012100000}"/>
    <cellStyle name="20% - Énfasis6 41 16" xfId="4179" xr:uid="{00000000-0005-0000-0000-000013100000}"/>
    <cellStyle name="20% - Énfasis6 41 2" xfId="4180" xr:uid="{00000000-0005-0000-0000-000014100000}"/>
    <cellStyle name="20% - Énfasis6 41 3" xfId="4181" xr:uid="{00000000-0005-0000-0000-000015100000}"/>
    <cellStyle name="20% - Énfasis6 41 4" xfId="4182" xr:uid="{00000000-0005-0000-0000-000016100000}"/>
    <cellStyle name="20% - Énfasis6 41 5" xfId="4183" xr:uid="{00000000-0005-0000-0000-000017100000}"/>
    <cellStyle name="20% - Énfasis6 41 6" xfId="4184" xr:uid="{00000000-0005-0000-0000-000018100000}"/>
    <cellStyle name="20% - Énfasis6 41 7" xfId="4185" xr:uid="{00000000-0005-0000-0000-000019100000}"/>
    <cellStyle name="20% - Énfasis6 41 8" xfId="4186" xr:uid="{00000000-0005-0000-0000-00001A100000}"/>
    <cellStyle name="20% - Énfasis6 41 9" xfId="4187" xr:uid="{00000000-0005-0000-0000-00001B100000}"/>
    <cellStyle name="20% - Énfasis6 42" xfId="4188" xr:uid="{00000000-0005-0000-0000-00001C100000}"/>
    <cellStyle name="20% - Énfasis6 43" xfId="4189" xr:uid="{00000000-0005-0000-0000-00001D100000}"/>
    <cellStyle name="20% - Énfasis6 44" xfId="4190" xr:uid="{00000000-0005-0000-0000-00001E100000}"/>
    <cellStyle name="20% - Énfasis6 45" xfId="4191" xr:uid="{00000000-0005-0000-0000-00001F100000}"/>
    <cellStyle name="20% - Énfasis6 46" xfId="4192" xr:uid="{00000000-0005-0000-0000-000020100000}"/>
    <cellStyle name="20% - Énfasis6 47" xfId="4193" xr:uid="{00000000-0005-0000-0000-000021100000}"/>
    <cellStyle name="20% - Énfasis6 48" xfId="4194" xr:uid="{00000000-0005-0000-0000-000022100000}"/>
    <cellStyle name="20% - Énfasis6 49" xfId="4195" xr:uid="{00000000-0005-0000-0000-000023100000}"/>
    <cellStyle name="20% - Énfasis6 5 10" xfId="4196" xr:uid="{00000000-0005-0000-0000-000024100000}"/>
    <cellStyle name="20% - Énfasis6 5 11" xfId="4197" xr:uid="{00000000-0005-0000-0000-000025100000}"/>
    <cellStyle name="20% - Énfasis6 5 12" xfId="4198" xr:uid="{00000000-0005-0000-0000-000026100000}"/>
    <cellStyle name="20% - Énfasis6 5 13" xfId="4199" xr:uid="{00000000-0005-0000-0000-000027100000}"/>
    <cellStyle name="20% - Énfasis6 5 14" xfId="4200" xr:uid="{00000000-0005-0000-0000-000028100000}"/>
    <cellStyle name="20% - Énfasis6 5 15" xfId="4201" xr:uid="{00000000-0005-0000-0000-000029100000}"/>
    <cellStyle name="20% - Énfasis6 5 16" xfId="4202" xr:uid="{00000000-0005-0000-0000-00002A100000}"/>
    <cellStyle name="20% - Énfasis6 5 17" xfId="4203" xr:uid="{00000000-0005-0000-0000-00002B100000}"/>
    <cellStyle name="20% - Énfasis6 5 18" xfId="4204" xr:uid="{00000000-0005-0000-0000-00002C100000}"/>
    <cellStyle name="20% - Énfasis6 5 19" xfId="4205" xr:uid="{00000000-0005-0000-0000-00002D100000}"/>
    <cellStyle name="20% - Énfasis6 5 2" xfId="4206" xr:uid="{00000000-0005-0000-0000-00002E100000}"/>
    <cellStyle name="20% - Énfasis6 5 2 2" xfId="4207" xr:uid="{00000000-0005-0000-0000-00002F100000}"/>
    <cellStyle name="20% - Énfasis6 5 3" xfId="4208" xr:uid="{00000000-0005-0000-0000-000030100000}"/>
    <cellStyle name="20% - Énfasis6 5 3 2" xfId="4209" xr:uid="{00000000-0005-0000-0000-000031100000}"/>
    <cellStyle name="20% - Énfasis6 5 4" xfId="4210" xr:uid="{00000000-0005-0000-0000-000032100000}"/>
    <cellStyle name="20% - Énfasis6 5 4 2" xfId="4211" xr:uid="{00000000-0005-0000-0000-000033100000}"/>
    <cellStyle name="20% - Énfasis6 5 5" xfId="4212" xr:uid="{00000000-0005-0000-0000-000034100000}"/>
    <cellStyle name="20% - Énfasis6 5 6" xfId="4213" xr:uid="{00000000-0005-0000-0000-000035100000}"/>
    <cellStyle name="20% - Énfasis6 5 7" xfId="4214" xr:uid="{00000000-0005-0000-0000-000036100000}"/>
    <cellStyle name="20% - Énfasis6 5 8" xfId="4215" xr:uid="{00000000-0005-0000-0000-000037100000}"/>
    <cellStyle name="20% - Énfasis6 5 9" xfId="4216" xr:uid="{00000000-0005-0000-0000-000038100000}"/>
    <cellStyle name="20% - Énfasis6 50" xfId="4217" xr:uid="{00000000-0005-0000-0000-000039100000}"/>
    <cellStyle name="20% - Énfasis6 51" xfId="4218" xr:uid="{00000000-0005-0000-0000-00003A100000}"/>
    <cellStyle name="20% - Énfasis6 52" xfId="4219" xr:uid="{00000000-0005-0000-0000-00003B100000}"/>
    <cellStyle name="20% - Énfasis6 53" xfId="4220" xr:uid="{00000000-0005-0000-0000-00003C100000}"/>
    <cellStyle name="20% - Énfasis6 54" xfId="4221" xr:uid="{00000000-0005-0000-0000-00003D100000}"/>
    <cellStyle name="20% - Énfasis6 55" xfId="4222" xr:uid="{00000000-0005-0000-0000-00003E100000}"/>
    <cellStyle name="20% - Énfasis6 56" xfId="4223" xr:uid="{00000000-0005-0000-0000-00003F100000}"/>
    <cellStyle name="20% - Énfasis6 57" xfId="4224" xr:uid="{00000000-0005-0000-0000-000040100000}"/>
    <cellStyle name="20% - Énfasis6 58" xfId="4225" xr:uid="{00000000-0005-0000-0000-000041100000}"/>
    <cellStyle name="20% - Énfasis6 59" xfId="4226" xr:uid="{00000000-0005-0000-0000-000042100000}"/>
    <cellStyle name="20% - Énfasis6 6 10" xfId="4227" xr:uid="{00000000-0005-0000-0000-000043100000}"/>
    <cellStyle name="20% - Énfasis6 6 11" xfId="4228" xr:uid="{00000000-0005-0000-0000-000044100000}"/>
    <cellStyle name="20% - Énfasis6 6 12" xfId="4229" xr:uid="{00000000-0005-0000-0000-000045100000}"/>
    <cellStyle name="20% - Énfasis6 6 13" xfId="4230" xr:uid="{00000000-0005-0000-0000-000046100000}"/>
    <cellStyle name="20% - Énfasis6 6 14" xfId="4231" xr:uid="{00000000-0005-0000-0000-000047100000}"/>
    <cellStyle name="20% - Énfasis6 6 15" xfId="4232" xr:uid="{00000000-0005-0000-0000-000048100000}"/>
    <cellStyle name="20% - Énfasis6 6 16" xfId="4233" xr:uid="{00000000-0005-0000-0000-000049100000}"/>
    <cellStyle name="20% - Énfasis6 6 17" xfId="4234" xr:uid="{00000000-0005-0000-0000-00004A100000}"/>
    <cellStyle name="20% - Énfasis6 6 18" xfId="4235" xr:uid="{00000000-0005-0000-0000-00004B100000}"/>
    <cellStyle name="20% - Énfasis6 6 19" xfId="4236" xr:uid="{00000000-0005-0000-0000-00004C100000}"/>
    <cellStyle name="20% - Énfasis6 6 2" xfId="4237" xr:uid="{00000000-0005-0000-0000-00004D100000}"/>
    <cellStyle name="20% - Énfasis6 6 2 2" xfId="4238" xr:uid="{00000000-0005-0000-0000-00004E100000}"/>
    <cellStyle name="20% - Énfasis6 6 3" xfId="4239" xr:uid="{00000000-0005-0000-0000-00004F100000}"/>
    <cellStyle name="20% - Énfasis6 6 3 2" xfId="4240" xr:uid="{00000000-0005-0000-0000-000050100000}"/>
    <cellStyle name="20% - Énfasis6 6 4" xfId="4241" xr:uid="{00000000-0005-0000-0000-000051100000}"/>
    <cellStyle name="20% - Énfasis6 6 4 2" xfId="4242" xr:uid="{00000000-0005-0000-0000-000052100000}"/>
    <cellStyle name="20% - Énfasis6 6 5" xfId="4243" xr:uid="{00000000-0005-0000-0000-000053100000}"/>
    <cellStyle name="20% - Énfasis6 6 6" xfId="4244" xr:uid="{00000000-0005-0000-0000-000054100000}"/>
    <cellStyle name="20% - Énfasis6 6 7" xfId="4245" xr:uid="{00000000-0005-0000-0000-000055100000}"/>
    <cellStyle name="20% - Énfasis6 6 8" xfId="4246" xr:uid="{00000000-0005-0000-0000-000056100000}"/>
    <cellStyle name="20% - Énfasis6 6 9" xfId="4247" xr:uid="{00000000-0005-0000-0000-000057100000}"/>
    <cellStyle name="20% - Énfasis6 60" xfId="4248" xr:uid="{00000000-0005-0000-0000-000058100000}"/>
    <cellStyle name="20% - Énfasis6 61" xfId="4249" xr:uid="{00000000-0005-0000-0000-000059100000}"/>
    <cellStyle name="20% - Énfasis6 62" xfId="4250" xr:uid="{00000000-0005-0000-0000-00005A100000}"/>
    <cellStyle name="20% - Énfasis6 63" xfId="4251" xr:uid="{00000000-0005-0000-0000-00005B100000}"/>
    <cellStyle name="20% - Énfasis6 64" xfId="4252" xr:uid="{00000000-0005-0000-0000-00005C100000}"/>
    <cellStyle name="20% - Énfasis6 7 10" xfId="4253" xr:uid="{00000000-0005-0000-0000-00005D100000}"/>
    <cellStyle name="20% - Énfasis6 7 11" xfId="4254" xr:uid="{00000000-0005-0000-0000-00005E100000}"/>
    <cellStyle name="20% - Énfasis6 7 12" xfId="4255" xr:uid="{00000000-0005-0000-0000-00005F100000}"/>
    <cellStyle name="20% - Énfasis6 7 13" xfId="4256" xr:uid="{00000000-0005-0000-0000-000060100000}"/>
    <cellStyle name="20% - Énfasis6 7 14" xfId="4257" xr:uid="{00000000-0005-0000-0000-000061100000}"/>
    <cellStyle name="20% - Énfasis6 7 15" xfId="4258" xr:uid="{00000000-0005-0000-0000-000062100000}"/>
    <cellStyle name="20% - Énfasis6 7 16" xfId="4259" xr:uid="{00000000-0005-0000-0000-000063100000}"/>
    <cellStyle name="20% - Énfasis6 7 17" xfId="4260" xr:uid="{00000000-0005-0000-0000-000064100000}"/>
    <cellStyle name="20% - Énfasis6 7 18" xfId="4261" xr:uid="{00000000-0005-0000-0000-000065100000}"/>
    <cellStyle name="20% - Énfasis6 7 19" xfId="4262" xr:uid="{00000000-0005-0000-0000-000066100000}"/>
    <cellStyle name="20% - Énfasis6 7 2" xfId="4263" xr:uid="{00000000-0005-0000-0000-000067100000}"/>
    <cellStyle name="20% - Énfasis6 7 2 2" xfId="4264" xr:uid="{00000000-0005-0000-0000-000068100000}"/>
    <cellStyle name="20% - Énfasis6 7 3" xfId="4265" xr:uid="{00000000-0005-0000-0000-000069100000}"/>
    <cellStyle name="20% - Énfasis6 7 3 2" xfId="4266" xr:uid="{00000000-0005-0000-0000-00006A100000}"/>
    <cellStyle name="20% - Énfasis6 7 4" xfId="4267" xr:uid="{00000000-0005-0000-0000-00006B100000}"/>
    <cellStyle name="20% - Énfasis6 7 4 2" xfId="4268" xr:uid="{00000000-0005-0000-0000-00006C100000}"/>
    <cellStyle name="20% - Énfasis6 7 5" xfId="4269" xr:uid="{00000000-0005-0000-0000-00006D100000}"/>
    <cellStyle name="20% - Énfasis6 7 6" xfId="4270" xr:uid="{00000000-0005-0000-0000-00006E100000}"/>
    <cellStyle name="20% - Énfasis6 7 7" xfId="4271" xr:uid="{00000000-0005-0000-0000-00006F100000}"/>
    <cellStyle name="20% - Énfasis6 7 8" xfId="4272" xr:uid="{00000000-0005-0000-0000-000070100000}"/>
    <cellStyle name="20% - Énfasis6 7 9" xfId="4273" xr:uid="{00000000-0005-0000-0000-000071100000}"/>
    <cellStyle name="20% - Énfasis6 8 10" xfId="4274" xr:uid="{00000000-0005-0000-0000-000072100000}"/>
    <cellStyle name="20% - Énfasis6 8 11" xfId="4275" xr:uid="{00000000-0005-0000-0000-000073100000}"/>
    <cellStyle name="20% - Énfasis6 8 12" xfId="4276" xr:uid="{00000000-0005-0000-0000-000074100000}"/>
    <cellStyle name="20% - Énfasis6 8 13" xfId="4277" xr:uid="{00000000-0005-0000-0000-000075100000}"/>
    <cellStyle name="20% - Énfasis6 8 14" xfId="4278" xr:uid="{00000000-0005-0000-0000-000076100000}"/>
    <cellStyle name="20% - Énfasis6 8 15" xfId="4279" xr:uid="{00000000-0005-0000-0000-000077100000}"/>
    <cellStyle name="20% - Énfasis6 8 16" xfId="4280" xr:uid="{00000000-0005-0000-0000-000078100000}"/>
    <cellStyle name="20% - Énfasis6 8 17" xfId="4281" xr:uid="{00000000-0005-0000-0000-000079100000}"/>
    <cellStyle name="20% - Énfasis6 8 18" xfId="4282" xr:uid="{00000000-0005-0000-0000-00007A100000}"/>
    <cellStyle name="20% - Énfasis6 8 19" xfId="4283" xr:uid="{00000000-0005-0000-0000-00007B100000}"/>
    <cellStyle name="20% - Énfasis6 8 2" xfId="4284" xr:uid="{00000000-0005-0000-0000-00007C100000}"/>
    <cellStyle name="20% - Énfasis6 8 2 2" xfId="4285" xr:uid="{00000000-0005-0000-0000-00007D100000}"/>
    <cellStyle name="20% - Énfasis6 8 3" xfId="4286" xr:uid="{00000000-0005-0000-0000-00007E100000}"/>
    <cellStyle name="20% - Énfasis6 8 3 2" xfId="4287" xr:uid="{00000000-0005-0000-0000-00007F100000}"/>
    <cellStyle name="20% - Énfasis6 8 4" xfId="4288" xr:uid="{00000000-0005-0000-0000-000080100000}"/>
    <cellStyle name="20% - Énfasis6 8 4 2" xfId="4289" xr:uid="{00000000-0005-0000-0000-000081100000}"/>
    <cellStyle name="20% - Énfasis6 8 5" xfId="4290" xr:uid="{00000000-0005-0000-0000-000082100000}"/>
    <cellStyle name="20% - Énfasis6 8 6" xfId="4291" xr:uid="{00000000-0005-0000-0000-000083100000}"/>
    <cellStyle name="20% - Énfasis6 8 7" xfId="4292" xr:uid="{00000000-0005-0000-0000-000084100000}"/>
    <cellStyle name="20% - Énfasis6 8 8" xfId="4293" xr:uid="{00000000-0005-0000-0000-000085100000}"/>
    <cellStyle name="20% - Énfasis6 8 9" xfId="4294" xr:uid="{00000000-0005-0000-0000-000086100000}"/>
    <cellStyle name="20% - Énfasis6 9 10" xfId="4295" xr:uid="{00000000-0005-0000-0000-000087100000}"/>
    <cellStyle name="20% - Énfasis6 9 11" xfId="4296" xr:uid="{00000000-0005-0000-0000-000088100000}"/>
    <cellStyle name="20% - Énfasis6 9 12" xfId="4297" xr:uid="{00000000-0005-0000-0000-000089100000}"/>
    <cellStyle name="20% - Énfasis6 9 13" xfId="4298" xr:uid="{00000000-0005-0000-0000-00008A100000}"/>
    <cellStyle name="20% - Énfasis6 9 14" xfId="4299" xr:uid="{00000000-0005-0000-0000-00008B100000}"/>
    <cellStyle name="20% - Énfasis6 9 15" xfId="4300" xr:uid="{00000000-0005-0000-0000-00008C100000}"/>
    <cellStyle name="20% - Énfasis6 9 16" xfId="4301" xr:uid="{00000000-0005-0000-0000-00008D100000}"/>
    <cellStyle name="20% - Énfasis6 9 17" xfId="4302" xr:uid="{00000000-0005-0000-0000-00008E100000}"/>
    <cellStyle name="20% - Énfasis6 9 18" xfId="4303" xr:uid="{00000000-0005-0000-0000-00008F100000}"/>
    <cellStyle name="20% - Énfasis6 9 19" xfId="4304" xr:uid="{00000000-0005-0000-0000-000090100000}"/>
    <cellStyle name="20% - Énfasis6 9 2" xfId="4305" xr:uid="{00000000-0005-0000-0000-000091100000}"/>
    <cellStyle name="20% - Énfasis6 9 2 2" xfId="4306" xr:uid="{00000000-0005-0000-0000-000092100000}"/>
    <cellStyle name="20% - Énfasis6 9 3" xfId="4307" xr:uid="{00000000-0005-0000-0000-000093100000}"/>
    <cellStyle name="20% - Énfasis6 9 3 2" xfId="4308" xr:uid="{00000000-0005-0000-0000-000094100000}"/>
    <cellStyle name="20% - Énfasis6 9 4" xfId="4309" xr:uid="{00000000-0005-0000-0000-000095100000}"/>
    <cellStyle name="20% - Énfasis6 9 4 2" xfId="4310" xr:uid="{00000000-0005-0000-0000-000096100000}"/>
    <cellStyle name="20% - Énfasis6 9 5" xfId="4311" xr:uid="{00000000-0005-0000-0000-000097100000}"/>
    <cellStyle name="20% - Énfasis6 9 6" xfId="4312" xr:uid="{00000000-0005-0000-0000-000098100000}"/>
    <cellStyle name="20% - Énfasis6 9 7" xfId="4313" xr:uid="{00000000-0005-0000-0000-000099100000}"/>
    <cellStyle name="20% - Énfasis6 9 8" xfId="4314" xr:uid="{00000000-0005-0000-0000-00009A100000}"/>
    <cellStyle name="20% - Énfasis6 9 9" xfId="4315" xr:uid="{00000000-0005-0000-0000-00009B100000}"/>
    <cellStyle name="40% - Énfasis1" xfId="32530" builtinId="31" customBuiltin="1"/>
    <cellStyle name="40% - Énfasis1 10 10" xfId="4316" xr:uid="{00000000-0005-0000-0000-00009D100000}"/>
    <cellStyle name="40% - Énfasis1 10 11" xfId="4317" xr:uid="{00000000-0005-0000-0000-00009E100000}"/>
    <cellStyle name="40% - Énfasis1 10 12" xfId="4318" xr:uid="{00000000-0005-0000-0000-00009F100000}"/>
    <cellStyle name="40% - Énfasis1 10 13" xfId="4319" xr:uid="{00000000-0005-0000-0000-0000A0100000}"/>
    <cellStyle name="40% - Énfasis1 10 14" xfId="4320" xr:uid="{00000000-0005-0000-0000-0000A1100000}"/>
    <cellStyle name="40% - Énfasis1 10 15" xfId="4321" xr:uid="{00000000-0005-0000-0000-0000A2100000}"/>
    <cellStyle name="40% - Énfasis1 10 16" xfId="4322" xr:uid="{00000000-0005-0000-0000-0000A3100000}"/>
    <cellStyle name="40% - Énfasis1 10 17" xfId="4323" xr:uid="{00000000-0005-0000-0000-0000A4100000}"/>
    <cellStyle name="40% - Énfasis1 10 18" xfId="4324" xr:uid="{00000000-0005-0000-0000-0000A5100000}"/>
    <cellStyle name="40% - Énfasis1 10 19" xfId="4325" xr:uid="{00000000-0005-0000-0000-0000A6100000}"/>
    <cellStyle name="40% - Énfasis1 10 2" xfId="4326" xr:uid="{00000000-0005-0000-0000-0000A7100000}"/>
    <cellStyle name="40% - Énfasis1 10 2 2" xfId="4327" xr:uid="{00000000-0005-0000-0000-0000A8100000}"/>
    <cellStyle name="40% - Énfasis1 10 3" xfId="4328" xr:uid="{00000000-0005-0000-0000-0000A9100000}"/>
    <cellStyle name="40% - Énfasis1 10 3 2" xfId="4329" xr:uid="{00000000-0005-0000-0000-0000AA100000}"/>
    <cellStyle name="40% - Énfasis1 10 4" xfId="4330" xr:uid="{00000000-0005-0000-0000-0000AB100000}"/>
    <cellStyle name="40% - Énfasis1 10 4 2" xfId="4331" xr:uid="{00000000-0005-0000-0000-0000AC100000}"/>
    <cellStyle name="40% - Énfasis1 10 5" xfId="4332" xr:uid="{00000000-0005-0000-0000-0000AD100000}"/>
    <cellStyle name="40% - Énfasis1 10 6" xfId="4333" xr:uid="{00000000-0005-0000-0000-0000AE100000}"/>
    <cellStyle name="40% - Énfasis1 10 7" xfId="4334" xr:uid="{00000000-0005-0000-0000-0000AF100000}"/>
    <cellStyle name="40% - Énfasis1 10 8" xfId="4335" xr:uid="{00000000-0005-0000-0000-0000B0100000}"/>
    <cellStyle name="40% - Énfasis1 10 9" xfId="4336" xr:uid="{00000000-0005-0000-0000-0000B1100000}"/>
    <cellStyle name="40% - Énfasis1 11 10" xfId="4337" xr:uid="{00000000-0005-0000-0000-0000B2100000}"/>
    <cellStyle name="40% - Énfasis1 11 11" xfId="4338" xr:uid="{00000000-0005-0000-0000-0000B3100000}"/>
    <cellStyle name="40% - Énfasis1 11 12" xfId="4339" xr:uid="{00000000-0005-0000-0000-0000B4100000}"/>
    <cellStyle name="40% - Énfasis1 11 13" xfId="4340" xr:uid="{00000000-0005-0000-0000-0000B5100000}"/>
    <cellStyle name="40% - Énfasis1 11 14" xfId="4341" xr:uid="{00000000-0005-0000-0000-0000B6100000}"/>
    <cellStyle name="40% - Énfasis1 11 15" xfId="4342" xr:uid="{00000000-0005-0000-0000-0000B7100000}"/>
    <cellStyle name="40% - Énfasis1 11 16" xfId="4343" xr:uid="{00000000-0005-0000-0000-0000B8100000}"/>
    <cellStyle name="40% - Énfasis1 11 17" xfId="4344" xr:uid="{00000000-0005-0000-0000-0000B9100000}"/>
    <cellStyle name="40% - Énfasis1 11 18" xfId="4345" xr:uid="{00000000-0005-0000-0000-0000BA100000}"/>
    <cellStyle name="40% - Énfasis1 11 19" xfId="4346" xr:uid="{00000000-0005-0000-0000-0000BB100000}"/>
    <cellStyle name="40% - Énfasis1 11 2" xfId="4347" xr:uid="{00000000-0005-0000-0000-0000BC100000}"/>
    <cellStyle name="40% - Énfasis1 11 2 2" xfId="4348" xr:uid="{00000000-0005-0000-0000-0000BD100000}"/>
    <cellStyle name="40% - Énfasis1 11 3" xfId="4349" xr:uid="{00000000-0005-0000-0000-0000BE100000}"/>
    <cellStyle name="40% - Énfasis1 11 3 2" xfId="4350" xr:uid="{00000000-0005-0000-0000-0000BF100000}"/>
    <cellStyle name="40% - Énfasis1 11 4" xfId="4351" xr:uid="{00000000-0005-0000-0000-0000C0100000}"/>
    <cellStyle name="40% - Énfasis1 11 4 2" xfId="4352" xr:uid="{00000000-0005-0000-0000-0000C1100000}"/>
    <cellStyle name="40% - Énfasis1 11 5" xfId="4353" xr:uid="{00000000-0005-0000-0000-0000C2100000}"/>
    <cellStyle name="40% - Énfasis1 11 6" xfId="4354" xr:uid="{00000000-0005-0000-0000-0000C3100000}"/>
    <cellStyle name="40% - Énfasis1 11 7" xfId="4355" xr:uid="{00000000-0005-0000-0000-0000C4100000}"/>
    <cellStyle name="40% - Énfasis1 11 8" xfId="4356" xr:uid="{00000000-0005-0000-0000-0000C5100000}"/>
    <cellStyle name="40% - Énfasis1 11 9" xfId="4357" xr:uid="{00000000-0005-0000-0000-0000C6100000}"/>
    <cellStyle name="40% - Énfasis1 12 10" xfId="4358" xr:uid="{00000000-0005-0000-0000-0000C7100000}"/>
    <cellStyle name="40% - Énfasis1 12 11" xfId="4359" xr:uid="{00000000-0005-0000-0000-0000C8100000}"/>
    <cellStyle name="40% - Énfasis1 12 12" xfId="4360" xr:uid="{00000000-0005-0000-0000-0000C9100000}"/>
    <cellStyle name="40% - Énfasis1 12 13" xfId="4361" xr:uid="{00000000-0005-0000-0000-0000CA100000}"/>
    <cellStyle name="40% - Énfasis1 12 14" xfId="4362" xr:uid="{00000000-0005-0000-0000-0000CB100000}"/>
    <cellStyle name="40% - Énfasis1 12 15" xfId="4363" xr:uid="{00000000-0005-0000-0000-0000CC100000}"/>
    <cellStyle name="40% - Énfasis1 12 16" xfId="4364" xr:uid="{00000000-0005-0000-0000-0000CD100000}"/>
    <cellStyle name="40% - Énfasis1 12 17" xfId="4365" xr:uid="{00000000-0005-0000-0000-0000CE100000}"/>
    <cellStyle name="40% - Énfasis1 12 18" xfId="4366" xr:uid="{00000000-0005-0000-0000-0000CF100000}"/>
    <cellStyle name="40% - Énfasis1 12 19" xfId="4367" xr:uid="{00000000-0005-0000-0000-0000D0100000}"/>
    <cellStyle name="40% - Énfasis1 12 2" xfId="4368" xr:uid="{00000000-0005-0000-0000-0000D1100000}"/>
    <cellStyle name="40% - Énfasis1 12 2 2" xfId="4369" xr:uid="{00000000-0005-0000-0000-0000D2100000}"/>
    <cellStyle name="40% - Énfasis1 12 3" xfId="4370" xr:uid="{00000000-0005-0000-0000-0000D3100000}"/>
    <cellStyle name="40% - Énfasis1 12 3 2" xfId="4371" xr:uid="{00000000-0005-0000-0000-0000D4100000}"/>
    <cellStyle name="40% - Énfasis1 12 4" xfId="4372" xr:uid="{00000000-0005-0000-0000-0000D5100000}"/>
    <cellStyle name="40% - Énfasis1 12 4 2" xfId="4373" xr:uid="{00000000-0005-0000-0000-0000D6100000}"/>
    <cellStyle name="40% - Énfasis1 12 5" xfId="4374" xr:uid="{00000000-0005-0000-0000-0000D7100000}"/>
    <cellStyle name="40% - Énfasis1 12 6" xfId="4375" xr:uid="{00000000-0005-0000-0000-0000D8100000}"/>
    <cellStyle name="40% - Énfasis1 12 7" xfId="4376" xr:uid="{00000000-0005-0000-0000-0000D9100000}"/>
    <cellStyle name="40% - Énfasis1 12 8" xfId="4377" xr:uid="{00000000-0005-0000-0000-0000DA100000}"/>
    <cellStyle name="40% - Énfasis1 12 9" xfId="4378" xr:uid="{00000000-0005-0000-0000-0000DB100000}"/>
    <cellStyle name="40% - Énfasis1 13 10" xfId="4379" xr:uid="{00000000-0005-0000-0000-0000DC100000}"/>
    <cellStyle name="40% - Énfasis1 13 11" xfId="4380" xr:uid="{00000000-0005-0000-0000-0000DD100000}"/>
    <cellStyle name="40% - Énfasis1 13 12" xfId="4381" xr:uid="{00000000-0005-0000-0000-0000DE100000}"/>
    <cellStyle name="40% - Énfasis1 13 13" xfId="4382" xr:uid="{00000000-0005-0000-0000-0000DF100000}"/>
    <cellStyle name="40% - Énfasis1 13 14" xfId="4383" xr:uid="{00000000-0005-0000-0000-0000E0100000}"/>
    <cellStyle name="40% - Énfasis1 13 15" xfId="4384" xr:uid="{00000000-0005-0000-0000-0000E1100000}"/>
    <cellStyle name="40% - Énfasis1 13 16" xfId="4385" xr:uid="{00000000-0005-0000-0000-0000E2100000}"/>
    <cellStyle name="40% - Énfasis1 13 17" xfId="4386" xr:uid="{00000000-0005-0000-0000-0000E3100000}"/>
    <cellStyle name="40% - Énfasis1 13 18" xfId="4387" xr:uid="{00000000-0005-0000-0000-0000E4100000}"/>
    <cellStyle name="40% - Énfasis1 13 19" xfId="4388" xr:uid="{00000000-0005-0000-0000-0000E5100000}"/>
    <cellStyle name="40% - Énfasis1 13 2" xfId="4389" xr:uid="{00000000-0005-0000-0000-0000E6100000}"/>
    <cellStyle name="40% - Énfasis1 13 2 2" xfId="4390" xr:uid="{00000000-0005-0000-0000-0000E7100000}"/>
    <cellStyle name="40% - Énfasis1 13 3" xfId="4391" xr:uid="{00000000-0005-0000-0000-0000E8100000}"/>
    <cellStyle name="40% - Énfasis1 13 3 2" xfId="4392" xr:uid="{00000000-0005-0000-0000-0000E9100000}"/>
    <cellStyle name="40% - Énfasis1 13 4" xfId="4393" xr:uid="{00000000-0005-0000-0000-0000EA100000}"/>
    <cellStyle name="40% - Énfasis1 13 4 2" xfId="4394" xr:uid="{00000000-0005-0000-0000-0000EB100000}"/>
    <cellStyle name="40% - Énfasis1 13 5" xfId="4395" xr:uid="{00000000-0005-0000-0000-0000EC100000}"/>
    <cellStyle name="40% - Énfasis1 13 6" xfId="4396" xr:uid="{00000000-0005-0000-0000-0000ED100000}"/>
    <cellStyle name="40% - Énfasis1 13 7" xfId="4397" xr:uid="{00000000-0005-0000-0000-0000EE100000}"/>
    <cellStyle name="40% - Énfasis1 13 8" xfId="4398" xr:uid="{00000000-0005-0000-0000-0000EF100000}"/>
    <cellStyle name="40% - Énfasis1 13 9" xfId="4399" xr:uid="{00000000-0005-0000-0000-0000F0100000}"/>
    <cellStyle name="40% - Énfasis1 14 10" xfId="4400" xr:uid="{00000000-0005-0000-0000-0000F1100000}"/>
    <cellStyle name="40% - Énfasis1 14 11" xfId="4401" xr:uid="{00000000-0005-0000-0000-0000F2100000}"/>
    <cellStyle name="40% - Énfasis1 14 12" xfId="4402" xr:uid="{00000000-0005-0000-0000-0000F3100000}"/>
    <cellStyle name="40% - Énfasis1 14 13" xfId="4403" xr:uid="{00000000-0005-0000-0000-0000F4100000}"/>
    <cellStyle name="40% - Énfasis1 14 14" xfId="4404" xr:uid="{00000000-0005-0000-0000-0000F5100000}"/>
    <cellStyle name="40% - Énfasis1 14 15" xfId="4405" xr:uid="{00000000-0005-0000-0000-0000F6100000}"/>
    <cellStyle name="40% - Énfasis1 14 16" xfId="4406" xr:uid="{00000000-0005-0000-0000-0000F7100000}"/>
    <cellStyle name="40% - Énfasis1 14 17" xfId="4407" xr:uid="{00000000-0005-0000-0000-0000F8100000}"/>
    <cellStyle name="40% - Énfasis1 14 18" xfId="4408" xr:uid="{00000000-0005-0000-0000-0000F9100000}"/>
    <cellStyle name="40% - Énfasis1 14 19" xfId="4409" xr:uid="{00000000-0005-0000-0000-0000FA100000}"/>
    <cellStyle name="40% - Énfasis1 14 2" xfId="4410" xr:uid="{00000000-0005-0000-0000-0000FB100000}"/>
    <cellStyle name="40% - Énfasis1 14 2 2" xfId="4411" xr:uid="{00000000-0005-0000-0000-0000FC100000}"/>
    <cellStyle name="40% - Énfasis1 14 3" xfId="4412" xr:uid="{00000000-0005-0000-0000-0000FD100000}"/>
    <cellStyle name="40% - Énfasis1 14 3 2" xfId="4413" xr:uid="{00000000-0005-0000-0000-0000FE100000}"/>
    <cellStyle name="40% - Énfasis1 14 4" xfId="4414" xr:uid="{00000000-0005-0000-0000-0000FF100000}"/>
    <cellStyle name="40% - Énfasis1 14 4 2" xfId="4415" xr:uid="{00000000-0005-0000-0000-000000110000}"/>
    <cellStyle name="40% - Énfasis1 14 5" xfId="4416" xr:uid="{00000000-0005-0000-0000-000001110000}"/>
    <cellStyle name="40% - Énfasis1 14 6" xfId="4417" xr:uid="{00000000-0005-0000-0000-000002110000}"/>
    <cellStyle name="40% - Énfasis1 14 7" xfId="4418" xr:uid="{00000000-0005-0000-0000-000003110000}"/>
    <cellStyle name="40% - Énfasis1 14 8" xfId="4419" xr:uid="{00000000-0005-0000-0000-000004110000}"/>
    <cellStyle name="40% - Énfasis1 14 9" xfId="4420" xr:uid="{00000000-0005-0000-0000-000005110000}"/>
    <cellStyle name="40% - Énfasis1 15 10" xfId="4421" xr:uid="{00000000-0005-0000-0000-000006110000}"/>
    <cellStyle name="40% - Énfasis1 15 11" xfId="4422" xr:uid="{00000000-0005-0000-0000-000007110000}"/>
    <cellStyle name="40% - Énfasis1 15 12" xfId="4423" xr:uid="{00000000-0005-0000-0000-000008110000}"/>
    <cellStyle name="40% - Énfasis1 15 13" xfId="4424" xr:uid="{00000000-0005-0000-0000-000009110000}"/>
    <cellStyle name="40% - Énfasis1 15 14" xfId="4425" xr:uid="{00000000-0005-0000-0000-00000A110000}"/>
    <cellStyle name="40% - Énfasis1 15 15" xfId="4426" xr:uid="{00000000-0005-0000-0000-00000B110000}"/>
    <cellStyle name="40% - Énfasis1 15 16" xfId="4427" xr:uid="{00000000-0005-0000-0000-00000C110000}"/>
    <cellStyle name="40% - Énfasis1 15 17" xfId="4428" xr:uid="{00000000-0005-0000-0000-00000D110000}"/>
    <cellStyle name="40% - Énfasis1 15 18" xfId="4429" xr:uid="{00000000-0005-0000-0000-00000E110000}"/>
    <cellStyle name="40% - Énfasis1 15 19" xfId="4430" xr:uid="{00000000-0005-0000-0000-00000F110000}"/>
    <cellStyle name="40% - Énfasis1 15 2" xfId="4431" xr:uid="{00000000-0005-0000-0000-000010110000}"/>
    <cellStyle name="40% - Énfasis1 15 2 2" xfId="4432" xr:uid="{00000000-0005-0000-0000-000011110000}"/>
    <cellStyle name="40% - Énfasis1 15 3" xfId="4433" xr:uid="{00000000-0005-0000-0000-000012110000}"/>
    <cellStyle name="40% - Énfasis1 15 3 2" xfId="4434" xr:uid="{00000000-0005-0000-0000-000013110000}"/>
    <cellStyle name="40% - Énfasis1 15 4" xfId="4435" xr:uid="{00000000-0005-0000-0000-000014110000}"/>
    <cellStyle name="40% - Énfasis1 15 4 2" xfId="4436" xr:uid="{00000000-0005-0000-0000-000015110000}"/>
    <cellStyle name="40% - Énfasis1 15 5" xfId="4437" xr:uid="{00000000-0005-0000-0000-000016110000}"/>
    <cellStyle name="40% - Énfasis1 15 6" xfId="4438" xr:uid="{00000000-0005-0000-0000-000017110000}"/>
    <cellStyle name="40% - Énfasis1 15 7" xfId="4439" xr:uid="{00000000-0005-0000-0000-000018110000}"/>
    <cellStyle name="40% - Énfasis1 15 8" xfId="4440" xr:uid="{00000000-0005-0000-0000-000019110000}"/>
    <cellStyle name="40% - Énfasis1 15 9" xfId="4441" xr:uid="{00000000-0005-0000-0000-00001A110000}"/>
    <cellStyle name="40% - Énfasis1 16 10" xfId="4442" xr:uid="{00000000-0005-0000-0000-00001B110000}"/>
    <cellStyle name="40% - Énfasis1 16 11" xfId="4443" xr:uid="{00000000-0005-0000-0000-00001C110000}"/>
    <cellStyle name="40% - Énfasis1 16 12" xfId="4444" xr:uid="{00000000-0005-0000-0000-00001D110000}"/>
    <cellStyle name="40% - Énfasis1 16 13" xfId="4445" xr:uid="{00000000-0005-0000-0000-00001E110000}"/>
    <cellStyle name="40% - Énfasis1 16 14" xfId="4446" xr:uid="{00000000-0005-0000-0000-00001F110000}"/>
    <cellStyle name="40% - Énfasis1 16 15" xfId="4447" xr:uid="{00000000-0005-0000-0000-000020110000}"/>
    <cellStyle name="40% - Énfasis1 16 16" xfId="4448" xr:uid="{00000000-0005-0000-0000-000021110000}"/>
    <cellStyle name="40% - Énfasis1 16 17" xfId="4449" xr:uid="{00000000-0005-0000-0000-000022110000}"/>
    <cellStyle name="40% - Énfasis1 16 18" xfId="4450" xr:uid="{00000000-0005-0000-0000-000023110000}"/>
    <cellStyle name="40% - Énfasis1 16 19" xfId="4451" xr:uid="{00000000-0005-0000-0000-000024110000}"/>
    <cellStyle name="40% - Énfasis1 16 2" xfId="4452" xr:uid="{00000000-0005-0000-0000-000025110000}"/>
    <cellStyle name="40% - Énfasis1 16 2 2" xfId="4453" xr:uid="{00000000-0005-0000-0000-000026110000}"/>
    <cellStyle name="40% - Énfasis1 16 3" xfId="4454" xr:uid="{00000000-0005-0000-0000-000027110000}"/>
    <cellStyle name="40% - Énfasis1 16 3 2" xfId="4455" xr:uid="{00000000-0005-0000-0000-000028110000}"/>
    <cellStyle name="40% - Énfasis1 16 4" xfId="4456" xr:uid="{00000000-0005-0000-0000-000029110000}"/>
    <cellStyle name="40% - Énfasis1 16 4 2" xfId="4457" xr:uid="{00000000-0005-0000-0000-00002A110000}"/>
    <cellStyle name="40% - Énfasis1 16 5" xfId="4458" xr:uid="{00000000-0005-0000-0000-00002B110000}"/>
    <cellStyle name="40% - Énfasis1 16 6" xfId="4459" xr:uid="{00000000-0005-0000-0000-00002C110000}"/>
    <cellStyle name="40% - Énfasis1 16 7" xfId="4460" xr:uid="{00000000-0005-0000-0000-00002D110000}"/>
    <cellStyle name="40% - Énfasis1 16 8" xfId="4461" xr:uid="{00000000-0005-0000-0000-00002E110000}"/>
    <cellStyle name="40% - Énfasis1 16 9" xfId="4462" xr:uid="{00000000-0005-0000-0000-00002F110000}"/>
    <cellStyle name="40% - Énfasis1 17 10" xfId="4463" xr:uid="{00000000-0005-0000-0000-000030110000}"/>
    <cellStyle name="40% - Énfasis1 17 11" xfId="4464" xr:uid="{00000000-0005-0000-0000-000031110000}"/>
    <cellStyle name="40% - Énfasis1 17 12" xfId="4465" xr:uid="{00000000-0005-0000-0000-000032110000}"/>
    <cellStyle name="40% - Énfasis1 17 13" xfId="4466" xr:uid="{00000000-0005-0000-0000-000033110000}"/>
    <cellStyle name="40% - Énfasis1 17 14" xfId="4467" xr:uid="{00000000-0005-0000-0000-000034110000}"/>
    <cellStyle name="40% - Énfasis1 17 15" xfId="4468" xr:uid="{00000000-0005-0000-0000-000035110000}"/>
    <cellStyle name="40% - Énfasis1 17 16" xfId="4469" xr:uid="{00000000-0005-0000-0000-000036110000}"/>
    <cellStyle name="40% - Énfasis1 17 17" xfId="4470" xr:uid="{00000000-0005-0000-0000-000037110000}"/>
    <cellStyle name="40% - Énfasis1 17 18" xfId="4471" xr:uid="{00000000-0005-0000-0000-000038110000}"/>
    <cellStyle name="40% - Énfasis1 17 19" xfId="4472" xr:uid="{00000000-0005-0000-0000-000039110000}"/>
    <cellStyle name="40% - Énfasis1 17 2" xfId="4473" xr:uid="{00000000-0005-0000-0000-00003A110000}"/>
    <cellStyle name="40% - Énfasis1 17 2 2" xfId="4474" xr:uid="{00000000-0005-0000-0000-00003B110000}"/>
    <cellStyle name="40% - Énfasis1 17 3" xfId="4475" xr:uid="{00000000-0005-0000-0000-00003C110000}"/>
    <cellStyle name="40% - Énfasis1 17 3 2" xfId="4476" xr:uid="{00000000-0005-0000-0000-00003D110000}"/>
    <cellStyle name="40% - Énfasis1 17 4" xfId="4477" xr:uid="{00000000-0005-0000-0000-00003E110000}"/>
    <cellStyle name="40% - Énfasis1 17 4 2" xfId="4478" xr:uid="{00000000-0005-0000-0000-00003F110000}"/>
    <cellStyle name="40% - Énfasis1 17 5" xfId="4479" xr:uid="{00000000-0005-0000-0000-000040110000}"/>
    <cellStyle name="40% - Énfasis1 17 6" xfId="4480" xr:uid="{00000000-0005-0000-0000-000041110000}"/>
    <cellStyle name="40% - Énfasis1 17 7" xfId="4481" xr:uid="{00000000-0005-0000-0000-000042110000}"/>
    <cellStyle name="40% - Énfasis1 17 8" xfId="4482" xr:uid="{00000000-0005-0000-0000-000043110000}"/>
    <cellStyle name="40% - Énfasis1 17 9" xfId="4483" xr:uid="{00000000-0005-0000-0000-000044110000}"/>
    <cellStyle name="40% - Énfasis1 18 10" xfId="4484" xr:uid="{00000000-0005-0000-0000-000045110000}"/>
    <cellStyle name="40% - Énfasis1 18 11" xfId="4485" xr:uid="{00000000-0005-0000-0000-000046110000}"/>
    <cellStyle name="40% - Énfasis1 18 12" xfId="4486" xr:uid="{00000000-0005-0000-0000-000047110000}"/>
    <cellStyle name="40% - Énfasis1 18 13" xfId="4487" xr:uid="{00000000-0005-0000-0000-000048110000}"/>
    <cellStyle name="40% - Énfasis1 18 14" xfId="4488" xr:uid="{00000000-0005-0000-0000-000049110000}"/>
    <cellStyle name="40% - Énfasis1 18 15" xfId="4489" xr:uid="{00000000-0005-0000-0000-00004A110000}"/>
    <cellStyle name="40% - Énfasis1 18 16" xfId="4490" xr:uid="{00000000-0005-0000-0000-00004B110000}"/>
    <cellStyle name="40% - Énfasis1 18 17" xfId="4491" xr:uid="{00000000-0005-0000-0000-00004C110000}"/>
    <cellStyle name="40% - Énfasis1 18 18" xfId="4492" xr:uid="{00000000-0005-0000-0000-00004D110000}"/>
    <cellStyle name="40% - Énfasis1 18 19" xfId="4493" xr:uid="{00000000-0005-0000-0000-00004E110000}"/>
    <cellStyle name="40% - Énfasis1 18 2" xfId="4494" xr:uid="{00000000-0005-0000-0000-00004F110000}"/>
    <cellStyle name="40% - Énfasis1 18 2 2" xfId="4495" xr:uid="{00000000-0005-0000-0000-000050110000}"/>
    <cellStyle name="40% - Énfasis1 18 3" xfId="4496" xr:uid="{00000000-0005-0000-0000-000051110000}"/>
    <cellStyle name="40% - Énfasis1 18 3 2" xfId="4497" xr:uid="{00000000-0005-0000-0000-000052110000}"/>
    <cellStyle name="40% - Énfasis1 18 4" xfId="4498" xr:uid="{00000000-0005-0000-0000-000053110000}"/>
    <cellStyle name="40% - Énfasis1 18 4 2" xfId="4499" xr:uid="{00000000-0005-0000-0000-000054110000}"/>
    <cellStyle name="40% - Énfasis1 18 5" xfId="4500" xr:uid="{00000000-0005-0000-0000-000055110000}"/>
    <cellStyle name="40% - Énfasis1 18 6" xfId="4501" xr:uid="{00000000-0005-0000-0000-000056110000}"/>
    <cellStyle name="40% - Énfasis1 18 7" xfId="4502" xr:uid="{00000000-0005-0000-0000-000057110000}"/>
    <cellStyle name="40% - Énfasis1 18 8" xfId="4503" xr:uid="{00000000-0005-0000-0000-000058110000}"/>
    <cellStyle name="40% - Énfasis1 18 9" xfId="4504" xr:uid="{00000000-0005-0000-0000-000059110000}"/>
    <cellStyle name="40% - Énfasis1 19 10" xfId="4505" xr:uid="{00000000-0005-0000-0000-00005A110000}"/>
    <cellStyle name="40% - Énfasis1 19 11" xfId="4506" xr:uid="{00000000-0005-0000-0000-00005B110000}"/>
    <cellStyle name="40% - Énfasis1 19 12" xfId="4507" xr:uid="{00000000-0005-0000-0000-00005C110000}"/>
    <cellStyle name="40% - Énfasis1 19 13" xfId="4508" xr:uid="{00000000-0005-0000-0000-00005D110000}"/>
    <cellStyle name="40% - Énfasis1 19 14" xfId="4509" xr:uid="{00000000-0005-0000-0000-00005E110000}"/>
    <cellStyle name="40% - Énfasis1 19 15" xfId="4510" xr:uid="{00000000-0005-0000-0000-00005F110000}"/>
    <cellStyle name="40% - Énfasis1 19 16" xfId="4511" xr:uid="{00000000-0005-0000-0000-000060110000}"/>
    <cellStyle name="40% - Énfasis1 19 17" xfId="4512" xr:uid="{00000000-0005-0000-0000-000061110000}"/>
    <cellStyle name="40% - Énfasis1 19 18" xfId="4513" xr:uid="{00000000-0005-0000-0000-000062110000}"/>
    <cellStyle name="40% - Énfasis1 19 19" xfId="4514" xr:uid="{00000000-0005-0000-0000-000063110000}"/>
    <cellStyle name="40% - Énfasis1 19 2" xfId="4515" xr:uid="{00000000-0005-0000-0000-000064110000}"/>
    <cellStyle name="40% - Énfasis1 19 2 2" xfId="4516" xr:uid="{00000000-0005-0000-0000-000065110000}"/>
    <cellStyle name="40% - Énfasis1 19 3" xfId="4517" xr:uid="{00000000-0005-0000-0000-000066110000}"/>
    <cellStyle name="40% - Énfasis1 19 3 2" xfId="4518" xr:uid="{00000000-0005-0000-0000-000067110000}"/>
    <cellStyle name="40% - Énfasis1 19 4" xfId="4519" xr:uid="{00000000-0005-0000-0000-000068110000}"/>
    <cellStyle name="40% - Énfasis1 19 4 2" xfId="4520" xr:uid="{00000000-0005-0000-0000-000069110000}"/>
    <cellStyle name="40% - Énfasis1 19 5" xfId="4521" xr:uid="{00000000-0005-0000-0000-00006A110000}"/>
    <cellStyle name="40% - Énfasis1 19 6" xfId="4522" xr:uid="{00000000-0005-0000-0000-00006B110000}"/>
    <cellStyle name="40% - Énfasis1 19 7" xfId="4523" xr:uid="{00000000-0005-0000-0000-00006C110000}"/>
    <cellStyle name="40% - Énfasis1 19 8" xfId="4524" xr:uid="{00000000-0005-0000-0000-00006D110000}"/>
    <cellStyle name="40% - Énfasis1 19 9" xfId="4525" xr:uid="{00000000-0005-0000-0000-00006E110000}"/>
    <cellStyle name="40% - Énfasis1 2 10" xfId="4526" xr:uid="{00000000-0005-0000-0000-00006F110000}"/>
    <cellStyle name="40% - Énfasis1 2 11" xfId="4527" xr:uid="{00000000-0005-0000-0000-000070110000}"/>
    <cellStyle name="40% - Énfasis1 2 12" xfId="4528" xr:uid="{00000000-0005-0000-0000-000071110000}"/>
    <cellStyle name="40% - Énfasis1 2 13" xfId="4529" xr:uid="{00000000-0005-0000-0000-000072110000}"/>
    <cellStyle name="40% - Énfasis1 2 14" xfId="4530" xr:uid="{00000000-0005-0000-0000-000073110000}"/>
    <cellStyle name="40% - Énfasis1 2 15" xfId="4531" xr:uid="{00000000-0005-0000-0000-000074110000}"/>
    <cellStyle name="40% - Énfasis1 2 16" xfId="4532" xr:uid="{00000000-0005-0000-0000-000075110000}"/>
    <cellStyle name="40% - Énfasis1 2 17" xfId="4533" xr:uid="{00000000-0005-0000-0000-000076110000}"/>
    <cellStyle name="40% - Énfasis1 2 18" xfId="4534" xr:uid="{00000000-0005-0000-0000-000077110000}"/>
    <cellStyle name="40% - Énfasis1 2 19" xfId="4535" xr:uid="{00000000-0005-0000-0000-000078110000}"/>
    <cellStyle name="40% - Énfasis1 2 2" xfId="4536" xr:uid="{00000000-0005-0000-0000-000079110000}"/>
    <cellStyle name="40% - Énfasis1 2 2 2" xfId="4537" xr:uid="{00000000-0005-0000-0000-00007A110000}"/>
    <cellStyle name="40% - Énfasis1 2 3" xfId="4538" xr:uid="{00000000-0005-0000-0000-00007B110000}"/>
    <cellStyle name="40% - Énfasis1 2 3 2" xfId="4539" xr:uid="{00000000-0005-0000-0000-00007C110000}"/>
    <cellStyle name="40% - Énfasis1 2 4" xfId="4540" xr:uid="{00000000-0005-0000-0000-00007D110000}"/>
    <cellStyle name="40% - Énfasis1 2 4 2" xfId="4541" xr:uid="{00000000-0005-0000-0000-00007E110000}"/>
    <cellStyle name="40% - Énfasis1 2 5" xfId="4542" xr:uid="{00000000-0005-0000-0000-00007F110000}"/>
    <cellStyle name="40% - Énfasis1 2 6" xfId="4543" xr:uid="{00000000-0005-0000-0000-000080110000}"/>
    <cellStyle name="40% - Énfasis1 2 7" xfId="4544" xr:uid="{00000000-0005-0000-0000-000081110000}"/>
    <cellStyle name="40% - Énfasis1 2 8" xfId="4545" xr:uid="{00000000-0005-0000-0000-000082110000}"/>
    <cellStyle name="40% - Énfasis1 2 9" xfId="4546" xr:uid="{00000000-0005-0000-0000-000083110000}"/>
    <cellStyle name="40% - Énfasis1 20 10" xfId="4547" xr:uid="{00000000-0005-0000-0000-000084110000}"/>
    <cellStyle name="40% - Énfasis1 20 11" xfId="4548" xr:uid="{00000000-0005-0000-0000-000085110000}"/>
    <cellStyle name="40% - Énfasis1 20 12" xfId="4549" xr:uid="{00000000-0005-0000-0000-000086110000}"/>
    <cellStyle name="40% - Énfasis1 20 13" xfId="4550" xr:uid="{00000000-0005-0000-0000-000087110000}"/>
    <cellStyle name="40% - Énfasis1 20 14" xfId="4551" xr:uid="{00000000-0005-0000-0000-000088110000}"/>
    <cellStyle name="40% - Énfasis1 20 15" xfId="4552" xr:uid="{00000000-0005-0000-0000-000089110000}"/>
    <cellStyle name="40% - Énfasis1 20 16" xfId="4553" xr:uid="{00000000-0005-0000-0000-00008A110000}"/>
    <cellStyle name="40% - Énfasis1 20 17" xfId="4554" xr:uid="{00000000-0005-0000-0000-00008B110000}"/>
    <cellStyle name="40% - Énfasis1 20 18" xfId="4555" xr:uid="{00000000-0005-0000-0000-00008C110000}"/>
    <cellStyle name="40% - Énfasis1 20 19" xfId="4556" xr:uid="{00000000-0005-0000-0000-00008D110000}"/>
    <cellStyle name="40% - Énfasis1 20 2" xfId="4557" xr:uid="{00000000-0005-0000-0000-00008E110000}"/>
    <cellStyle name="40% - Énfasis1 20 2 2" xfId="4558" xr:uid="{00000000-0005-0000-0000-00008F110000}"/>
    <cellStyle name="40% - Énfasis1 20 3" xfId="4559" xr:uid="{00000000-0005-0000-0000-000090110000}"/>
    <cellStyle name="40% - Énfasis1 20 3 2" xfId="4560" xr:uid="{00000000-0005-0000-0000-000091110000}"/>
    <cellStyle name="40% - Énfasis1 20 4" xfId="4561" xr:uid="{00000000-0005-0000-0000-000092110000}"/>
    <cellStyle name="40% - Énfasis1 20 4 2" xfId="4562" xr:uid="{00000000-0005-0000-0000-000093110000}"/>
    <cellStyle name="40% - Énfasis1 20 5" xfId="4563" xr:uid="{00000000-0005-0000-0000-000094110000}"/>
    <cellStyle name="40% - Énfasis1 20 6" xfId="4564" xr:uid="{00000000-0005-0000-0000-000095110000}"/>
    <cellStyle name="40% - Énfasis1 20 7" xfId="4565" xr:uid="{00000000-0005-0000-0000-000096110000}"/>
    <cellStyle name="40% - Énfasis1 20 8" xfId="4566" xr:uid="{00000000-0005-0000-0000-000097110000}"/>
    <cellStyle name="40% - Énfasis1 20 9" xfId="4567" xr:uid="{00000000-0005-0000-0000-000098110000}"/>
    <cellStyle name="40% - Énfasis1 21 10" xfId="4568" xr:uid="{00000000-0005-0000-0000-000099110000}"/>
    <cellStyle name="40% - Énfasis1 21 11" xfId="4569" xr:uid="{00000000-0005-0000-0000-00009A110000}"/>
    <cellStyle name="40% - Énfasis1 21 12" xfId="4570" xr:uid="{00000000-0005-0000-0000-00009B110000}"/>
    <cellStyle name="40% - Énfasis1 21 13" xfId="4571" xr:uid="{00000000-0005-0000-0000-00009C110000}"/>
    <cellStyle name="40% - Énfasis1 21 14" xfId="4572" xr:uid="{00000000-0005-0000-0000-00009D110000}"/>
    <cellStyle name="40% - Énfasis1 21 15" xfId="4573" xr:uid="{00000000-0005-0000-0000-00009E110000}"/>
    <cellStyle name="40% - Énfasis1 21 16" xfId="4574" xr:uid="{00000000-0005-0000-0000-00009F110000}"/>
    <cellStyle name="40% - Énfasis1 21 17" xfId="4575" xr:uid="{00000000-0005-0000-0000-0000A0110000}"/>
    <cellStyle name="40% - Énfasis1 21 18" xfId="4576" xr:uid="{00000000-0005-0000-0000-0000A1110000}"/>
    <cellStyle name="40% - Énfasis1 21 19" xfId="4577" xr:uid="{00000000-0005-0000-0000-0000A2110000}"/>
    <cellStyle name="40% - Énfasis1 21 2" xfId="4578" xr:uid="{00000000-0005-0000-0000-0000A3110000}"/>
    <cellStyle name="40% - Énfasis1 21 2 2" xfId="4579" xr:uid="{00000000-0005-0000-0000-0000A4110000}"/>
    <cellStyle name="40% - Énfasis1 21 3" xfId="4580" xr:uid="{00000000-0005-0000-0000-0000A5110000}"/>
    <cellStyle name="40% - Énfasis1 21 3 2" xfId="4581" xr:uid="{00000000-0005-0000-0000-0000A6110000}"/>
    <cellStyle name="40% - Énfasis1 21 4" xfId="4582" xr:uid="{00000000-0005-0000-0000-0000A7110000}"/>
    <cellStyle name="40% - Énfasis1 21 4 2" xfId="4583" xr:uid="{00000000-0005-0000-0000-0000A8110000}"/>
    <cellStyle name="40% - Énfasis1 21 5" xfId="4584" xr:uid="{00000000-0005-0000-0000-0000A9110000}"/>
    <cellStyle name="40% - Énfasis1 21 6" xfId="4585" xr:uid="{00000000-0005-0000-0000-0000AA110000}"/>
    <cellStyle name="40% - Énfasis1 21 7" xfId="4586" xr:uid="{00000000-0005-0000-0000-0000AB110000}"/>
    <cellStyle name="40% - Énfasis1 21 8" xfId="4587" xr:uid="{00000000-0005-0000-0000-0000AC110000}"/>
    <cellStyle name="40% - Énfasis1 21 9" xfId="4588" xr:uid="{00000000-0005-0000-0000-0000AD110000}"/>
    <cellStyle name="40% - Énfasis1 22 10" xfId="4589" xr:uid="{00000000-0005-0000-0000-0000AE110000}"/>
    <cellStyle name="40% - Énfasis1 22 11" xfId="4590" xr:uid="{00000000-0005-0000-0000-0000AF110000}"/>
    <cellStyle name="40% - Énfasis1 22 12" xfId="4591" xr:uid="{00000000-0005-0000-0000-0000B0110000}"/>
    <cellStyle name="40% - Énfasis1 22 13" xfId="4592" xr:uid="{00000000-0005-0000-0000-0000B1110000}"/>
    <cellStyle name="40% - Énfasis1 22 14" xfId="4593" xr:uid="{00000000-0005-0000-0000-0000B2110000}"/>
    <cellStyle name="40% - Énfasis1 22 15" xfId="4594" xr:uid="{00000000-0005-0000-0000-0000B3110000}"/>
    <cellStyle name="40% - Énfasis1 22 16" xfId="4595" xr:uid="{00000000-0005-0000-0000-0000B4110000}"/>
    <cellStyle name="40% - Énfasis1 22 17" xfId="4596" xr:uid="{00000000-0005-0000-0000-0000B5110000}"/>
    <cellStyle name="40% - Énfasis1 22 18" xfId="4597" xr:uid="{00000000-0005-0000-0000-0000B6110000}"/>
    <cellStyle name="40% - Énfasis1 22 19" xfId="4598" xr:uid="{00000000-0005-0000-0000-0000B7110000}"/>
    <cellStyle name="40% - Énfasis1 22 2" xfId="4599" xr:uid="{00000000-0005-0000-0000-0000B8110000}"/>
    <cellStyle name="40% - Énfasis1 22 2 2" xfId="4600" xr:uid="{00000000-0005-0000-0000-0000B9110000}"/>
    <cellStyle name="40% - Énfasis1 22 3" xfId="4601" xr:uid="{00000000-0005-0000-0000-0000BA110000}"/>
    <cellStyle name="40% - Énfasis1 22 3 2" xfId="4602" xr:uid="{00000000-0005-0000-0000-0000BB110000}"/>
    <cellStyle name="40% - Énfasis1 22 4" xfId="4603" xr:uid="{00000000-0005-0000-0000-0000BC110000}"/>
    <cellStyle name="40% - Énfasis1 22 4 2" xfId="4604" xr:uid="{00000000-0005-0000-0000-0000BD110000}"/>
    <cellStyle name="40% - Énfasis1 22 5" xfId="4605" xr:uid="{00000000-0005-0000-0000-0000BE110000}"/>
    <cellStyle name="40% - Énfasis1 22 6" xfId="4606" xr:uid="{00000000-0005-0000-0000-0000BF110000}"/>
    <cellStyle name="40% - Énfasis1 22 7" xfId="4607" xr:uid="{00000000-0005-0000-0000-0000C0110000}"/>
    <cellStyle name="40% - Énfasis1 22 8" xfId="4608" xr:uid="{00000000-0005-0000-0000-0000C1110000}"/>
    <cellStyle name="40% - Énfasis1 22 9" xfId="4609" xr:uid="{00000000-0005-0000-0000-0000C2110000}"/>
    <cellStyle name="40% - Énfasis1 23 10" xfId="4610" xr:uid="{00000000-0005-0000-0000-0000C3110000}"/>
    <cellStyle name="40% - Énfasis1 23 11" xfId="4611" xr:uid="{00000000-0005-0000-0000-0000C4110000}"/>
    <cellStyle name="40% - Énfasis1 23 12" xfId="4612" xr:uid="{00000000-0005-0000-0000-0000C5110000}"/>
    <cellStyle name="40% - Énfasis1 23 13" xfId="4613" xr:uid="{00000000-0005-0000-0000-0000C6110000}"/>
    <cellStyle name="40% - Énfasis1 23 14" xfId="4614" xr:uid="{00000000-0005-0000-0000-0000C7110000}"/>
    <cellStyle name="40% - Énfasis1 23 15" xfId="4615" xr:uid="{00000000-0005-0000-0000-0000C8110000}"/>
    <cellStyle name="40% - Énfasis1 23 16" xfId="4616" xr:uid="{00000000-0005-0000-0000-0000C9110000}"/>
    <cellStyle name="40% - Énfasis1 23 17" xfId="4617" xr:uid="{00000000-0005-0000-0000-0000CA110000}"/>
    <cellStyle name="40% - Énfasis1 23 18" xfId="4618" xr:uid="{00000000-0005-0000-0000-0000CB110000}"/>
    <cellStyle name="40% - Énfasis1 23 19" xfId="4619" xr:uid="{00000000-0005-0000-0000-0000CC110000}"/>
    <cellStyle name="40% - Énfasis1 23 2" xfId="4620" xr:uid="{00000000-0005-0000-0000-0000CD110000}"/>
    <cellStyle name="40% - Énfasis1 23 2 2" xfId="4621" xr:uid="{00000000-0005-0000-0000-0000CE110000}"/>
    <cellStyle name="40% - Énfasis1 23 3" xfId="4622" xr:uid="{00000000-0005-0000-0000-0000CF110000}"/>
    <cellStyle name="40% - Énfasis1 23 3 2" xfId="4623" xr:uid="{00000000-0005-0000-0000-0000D0110000}"/>
    <cellStyle name="40% - Énfasis1 23 4" xfId="4624" xr:uid="{00000000-0005-0000-0000-0000D1110000}"/>
    <cellStyle name="40% - Énfasis1 23 4 2" xfId="4625" xr:uid="{00000000-0005-0000-0000-0000D2110000}"/>
    <cellStyle name="40% - Énfasis1 23 5" xfId="4626" xr:uid="{00000000-0005-0000-0000-0000D3110000}"/>
    <cellStyle name="40% - Énfasis1 23 6" xfId="4627" xr:uid="{00000000-0005-0000-0000-0000D4110000}"/>
    <cellStyle name="40% - Énfasis1 23 7" xfId="4628" xr:uid="{00000000-0005-0000-0000-0000D5110000}"/>
    <cellStyle name="40% - Énfasis1 23 8" xfId="4629" xr:uid="{00000000-0005-0000-0000-0000D6110000}"/>
    <cellStyle name="40% - Énfasis1 23 9" xfId="4630" xr:uid="{00000000-0005-0000-0000-0000D7110000}"/>
    <cellStyle name="40% - Énfasis1 24 10" xfId="4631" xr:uid="{00000000-0005-0000-0000-0000D8110000}"/>
    <cellStyle name="40% - Énfasis1 24 11" xfId="4632" xr:uid="{00000000-0005-0000-0000-0000D9110000}"/>
    <cellStyle name="40% - Énfasis1 24 12" xfId="4633" xr:uid="{00000000-0005-0000-0000-0000DA110000}"/>
    <cellStyle name="40% - Énfasis1 24 13" xfId="4634" xr:uid="{00000000-0005-0000-0000-0000DB110000}"/>
    <cellStyle name="40% - Énfasis1 24 14" xfId="4635" xr:uid="{00000000-0005-0000-0000-0000DC110000}"/>
    <cellStyle name="40% - Énfasis1 24 15" xfId="4636" xr:uid="{00000000-0005-0000-0000-0000DD110000}"/>
    <cellStyle name="40% - Énfasis1 24 16" xfId="4637" xr:uid="{00000000-0005-0000-0000-0000DE110000}"/>
    <cellStyle name="40% - Énfasis1 24 17" xfId="4638" xr:uid="{00000000-0005-0000-0000-0000DF110000}"/>
    <cellStyle name="40% - Énfasis1 24 18" xfId="4639" xr:uid="{00000000-0005-0000-0000-0000E0110000}"/>
    <cellStyle name="40% - Énfasis1 24 19" xfId="4640" xr:uid="{00000000-0005-0000-0000-0000E1110000}"/>
    <cellStyle name="40% - Énfasis1 24 2" xfId="4641" xr:uid="{00000000-0005-0000-0000-0000E2110000}"/>
    <cellStyle name="40% - Énfasis1 24 2 2" xfId="4642" xr:uid="{00000000-0005-0000-0000-0000E3110000}"/>
    <cellStyle name="40% - Énfasis1 24 3" xfId="4643" xr:uid="{00000000-0005-0000-0000-0000E4110000}"/>
    <cellStyle name="40% - Énfasis1 24 3 2" xfId="4644" xr:uid="{00000000-0005-0000-0000-0000E5110000}"/>
    <cellStyle name="40% - Énfasis1 24 4" xfId="4645" xr:uid="{00000000-0005-0000-0000-0000E6110000}"/>
    <cellStyle name="40% - Énfasis1 24 4 2" xfId="4646" xr:uid="{00000000-0005-0000-0000-0000E7110000}"/>
    <cellStyle name="40% - Énfasis1 24 5" xfId="4647" xr:uid="{00000000-0005-0000-0000-0000E8110000}"/>
    <cellStyle name="40% - Énfasis1 24 6" xfId="4648" xr:uid="{00000000-0005-0000-0000-0000E9110000}"/>
    <cellStyle name="40% - Énfasis1 24 7" xfId="4649" xr:uid="{00000000-0005-0000-0000-0000EA110000}"/>
    <cellStyle name="40% - Énfasis1 24 8" xfId="4650" xr:uid="{00000000-0005-0000-0000-0000EB110000}"/>
    <cellStyle name="40% - Énfasis1 24 9" xfId="4651" xr:uid="{00000000-0005-0000-0000-0000EC110000}"/>
    <cellStyle name="40% - Énfasis1 25 10" xfId="4652" xr:uid="{00000000-0005-0000-0000-0000ED110000}"/>
    <cellStyle name="40% - Énfasis1 25 11" xfId="4653" xr:uid="{00000000-0005-0000-0000-0000EE110000}"/>
    <cellStyle name="40% - Énfasis1 25 12" xfId="4654" xr:uid="{00000000-0005-0000-0000-0000EF110000}"/>
    <cellStyle name="40% - Énfasis1 25 13" xfId="4655" xr:uid="{00000000-0005-0000-0000-0000F0110000}"/>
    <cellStyle name="40% - Énfasis1 25 14" xfId="4656" xr:uid="{00000000-0005-0000-0000-0000F1110000}"/>
    <cellStyle name="40% - Énfasis1 25 15" xfId="4657" xr:uid="{00000000-0005-0000-0000-0000F2110000}"/>
    <cellStyle name="40% - Énfasis1 25 16" xfId="4658" xr:uid="{00000000-0005-0000-0000-0000F3110000}"/>
    <cellStyle name="40% - Énfasis1 25 17" xfId="4659" xr:uid="{00000000-0005-0000-0000-0000F4110000}"/>
    <cellStyle name="40% - Énfasis1 25 18" xfId="4660" xr:uid="{00000000-0005-0000-0000-0000F5110000}"/>
    <cellStyle name="40% - Énfasis1 25 19" xfId="4661" xr:uid="{00000000-0005-0000-0000-0000F6110000}"/>
    <cellStyle name="40% - Énfasis1 25 2" xfId="4662" xr:uid="{00000000-0005-0000-0000-0000F7110000}"/>
    <cellStyle name="40% - Énfasis1 25 2 2" xfId="4663" xr:uid="{00000000-0005-0000-0000-0000F8110000}"/>
    <cellStyle name="40% - Énfasis1 25 3" xfId="4664" xr:uid="{00000000-0005-0000-0000-0000F9110000}"/>
    <cellStyle name="40% - Énfasis1 25 3 2" xfId="4665" xr:uid="{00000000-0005-0000-0000-0000FA110000}"/>
    <cellStyle name="40% - Énfasis1 25 4" xfId="4666" xr:uid="{00000000-0005-0000-0000-0000FB110000}"/>
    <cellStyle name="40% - Énfasis1 25 4 2" xfId="4667" xr:uid="{00000000-0005-0000-0000-0000FC110000}"/>
    <cellStyle name="40% - Énfasis1 25 5" xfId="4668" xr:uid="{00000000-0005-0000-0000-0000FD110000}"/>
    <cellStyle name="40% - Énfasis1 25 6" xfId="4669" xr:uid="{00000000-0005-0000-0000-0000FE110000}"/>
    <cellStyle name="40% - Énfasis1 25 7" xfId="4670" xr:uid="{00000000-0005-0000-0000-0000FF110000}"/>
    <cellStyle name="40% - Énfasis1 25 8" xfId="4671" xr:uid="{00000000-0005-0000-0000-000000120000}"/>
    <cellStyle name="40% - Énfasis1 25 9" xfId="4672" xr:uid="{00000000-0005-0000-0000-000001120000}"/>
    <cellStyle name="40% - Énfasis1 26 10" xfId="4673" xr:uid="{00000000-0005-0000-0000-000002120000}"/>
    <cellStyle name="40% - Énfasis1 26 11" xfId="4674" xr:uid="{00000000-0005-0000-0000-000003120000}"/>
    <cellStyle name="40% - Énfasis1 26 12" xfId="4675" xr:uid="{00000000-0005-0000-0000-000004120000}"/>
    <cellStyle name="40% - Énfasis1 26 13" xfId="4676" xr:uid="{00000000-0005-0000-0000-000005120000}"/>
    <cellStyle name="40% - Énfasis1 26 14" xfId="4677" xr:uid="{00000000-0005-0000-0000-000006120000}"/>
    <cellStyle name="40% - Énfasis1 26 15" xfId="4678" xr:uid="{00000000-0005-0000-0000-000007120000}"/>
    <cellStyle name="40% - Énfasis1 26 16" xfId="4679" xr:uid="{00000000-0005-0000-0000-000008120000}"/>
    <cellStyle name="40% - Énfasis1 26 17" xfId="4680" xr:uid="{00000000-0005-0000-0000-000009120000}"/>
    <cellStyle name="40% - Énfasis1 26 18" xfId="4681" xr:uid="{00000000-0005-0000-0000-00000A120000}"/>
    <cellStyle name="40% - Énfasis1 26 19" xfId="4682" xr:uid="{00000000-0005-0000-0000-00000B120000}"/>
    <cellStyle name="40% - Énfasis1 26 2" xfId="4683" xr:uid="{00000000-0005-0000-0000-00000C120000}"/>
    <cellStyle name="40% - Énfasis1 26 2 2" xfId="4684" xr:uid="{00000000-0005-0000-0000-00000D120000}"/>
    <cellStyle name="40% - Énfasis1 26 3" xfId="4685" xr:uid="{00000000-0005-0000-0000-00000E120000}"/>
    <cellStyle name="40% - Énfasis1 26 3 2" xfId="4686" xr:uid="{00000000-0005-0000-0000-00000F120000}"/>
    <cellStyle name="40% - Énfasis1 26 4" xfId="4687" xr:uid="{00000000-0005-0000-0000-000010120000}"/>
    <cellStyle name="40% - Énfasis1 26 4 2" xfId="4688" xr:uid="{00000000-0005-0000-0000-000011120000}"/>
    <cellStyle name="40% - Énfasis1 26 5" xfId="4689" xr:uid="{00000000-0005-0000-0000-000012120000}"/>
    <cellStyle name="40% - Énfasis1 26 6" xfId="4690" xr:uid="{00000000-0005-0000-0000-000013120000}"/>
    <cellStyle name="40% - Énfasis1 26 7" xfId="4691" xr:uid="{00000000-0005-0000-0000-000014120000}"/>
    <cellStyle name="40% - Énfasis1 26 8" xfId="4692" xr:uid="{00000000-0005-0000-0000-000015120000}"/>
    <cellStyle name="40% - Énfasis1 26 9" xfId="4693" xr:uid="{00000000-0005-0000-0000-000016120000}"/>
    <cellStyle name="40% - Énfasis1 27 10" xfId="4694" xr:uid="{00000000-0005-0000-0000-000017120000}"/>
    <cellStyle name="40% - Énfasis1 27 11" xfId="4695" xr:uid="{00000000-0005-0000-0000-000018120000}"/>
    <cellStyle name="40% - Énfasis1 27 12" xfId="4696" xr:uid="{00000000-0005-0000-0000-000019120000}"/>
    <cellStyle name="40% - Énfasis1 27 13" xfId="4697" xr:uid="{00000000-0005-0000-0000-00001A120000}"/>
    <cellStyle name="40% - Énfasis1 27 14" xfId="4698" xr:uid="{00000000-0005-0000-0000-00001B120000}"/>
    <cellStyle name="40% - Énfasis1 27 15" xfId="4699" xr:uid="{00000000-0005-0000-0000-00001C120000}"/>
    <cellStyle name="40% - Énfasis1 27 16" xfId="4700" xr:uid="{00000000-0005-0000-0000-00001D120000}"/>
    <cellStyle name="40% - Énfasis1 27 17" xfId="4701" xr:uid="{00000000-0005-0000-0000-00001E120000}"/>
    <cellStyle name="40% - Énfasis1 27 18" xfId="4702" xr:uid="{00000000-0005-0000-0000-00001F120000}"/>
    <cellStyle name="40% - Énfasis1 27 19" xfId="4703" xr:uid="{00000000-0005-0000-0000-000020120000}"/>
    <cellStyle name="40% - Énfasis1 27 2" xfId="4704" xr:uid="{00000000-0005-0000-0000-000021120000}"/>
    <cellStyle name="40% - Énfasis1 27 2 2" xfId="4705" xr:uid="{00000000-0005-0000-0000-000022120000}"/>
    <cellStyle name="40% - Énfasis1 27 3" xfId="4706" xr:uid="{00000000-0005-0000-0000-000023120000}"/>
    <cellStyle name="40% - Énfasis1 27 3 2" xfId="4707" xr:uid="{00000000-0005-0000-0000-000024120000}"/>
    <cellStyle name="40% - Énfasis1 27 4" xfId="4708" xr:uid="{00000000-0005-0000-0000-000025120000}"/>
    <cellStyle name="40% - Énfasis1 27 4 2" xfId="4709" xr:uid="{00000000-0005-0000-0000-000026120000}"/>
    <cellStyle name="40% - Énfasis1 27 5" xfId="4710" xr:uid="{00000000-0005-0000-0000-000027120000}"/>
    <cellStyle name="40% - Énfasis1 27 6" xfId="4711" xr:uid="{00000000-0005-0000-0000-000028120000}"/>
    <cellStyle name="40% - Énfasis1 27 7" xfId="4712" xr:uid="{00000000-0005-0000-0000-000029120000}"/>
    <cellStyle name="40% - Énfasis1 27 8" xfId="4713" xr:uid="{00000000-0005-0000-0000-00002A120000}"/>
    <cellStyle name="40% - Énfasis1 27 9" xfId="4714" xr:uid="{00000000-0005-0000-0000-00002B120000}"/>
    <cellStyle name="40% - Énfasis1 28 10" xfId="4715" xr:uid="{00000000-0005-0000-0000-00002C120000}"/>
    <cellStyle name="40% - Énfasis1 28 11" xfId="4716" xr:uid="{00000000-0005-0000-0000-00002D120000}"/>
    <cellStyle name="40% - Énfasis1 28 12" xfId="4717" xr:uid="{00000000-0005-0000-0000-00002E120000}"/>
    <cellStyle name="40% - Énfasis1 28 13" xfId="4718" xr:uid="{00000000-0005-0000-0000-00002F120000}"/>
    <cellStyle name="40% - Énfasis1 28 14" xfId="4719" xr:uid="{00000000-0005-0000-0000-000030120000}"/>
    <cellStyle name="40% - Énfasis1 28 15" xfId="4720" xr:uid="{00000000-0005-0000-0000-000031120000}"/>
    <cellStyle name="40% - Énfasis1 28 16" xfId="4721" xr:uid="{00000000-0005-0000-0000-000032120000}"/>
    <cellStyle name="40% - Énfasis1 28 17" xfId="4722" xr:uid="{00000000-0005-0000-0000-000033120000}"/>
    <cellStyle name="40% - Énfasis1 28 18" xfId="4723" xr:uid="{00000000-0005-0000-0000-000034120000}"/>
    <cellStyle name="40% - Énfasis1 28 19" xfId="4724" xr:uid="{00000000-0005-0000-0000-000035120000}"/>
    <cellStyle name="40% - Énfasis1 28 2" xfId="4725" xr:uid="{00000000-0005-0000-0000-000036120000}"/>
    <cellStyle name="40% - Énfasis1 28 2 2" xfId="4726" xr:uid="{00000000-0005-0000-0000-000037120000}"/>
    <cellStyle name="40% - Énfasis1 28 3" xfId="4727" xr:uid="{00000000-0005-0000-0000-000038120000}"/>
    <cellStyle name="40% - Énfasis1 28 3 2" xfId="4728" xr:uid="{00000000-0005-0000-0000-000039120000}"/>
    <cellStyle name="40% - Énfasis1 28 4" xfId="4729" xr:uid="{00000000-0005-0000-0000-00003A120000}"/>
    <cellStyle name="40% - Énfasis1 28 4 2" xfId="4730" xr:uid="{00000000-0005-0000-0000-00003B120000}"/>
    <cellStyle name="40% - Énfasis1 28 5" xfId="4731" xr:uid="{00000000-0005-0000-0000-00003C120000}"/>
    <cellStyle name="40% - Énfasis1 28 6" xfId="4732" xr:uid="{00000000-0005-0000-0000-00003D120000}"/>
    <cellStyle name="40% - Énfasis1 28 7" xfId="4733" xr:uid="{00000000-0005-0000-0000-00003E120000}"/>
    <cellStyle name="40% - Énfasis1 28 8" xfId="4734" xr:uid="{00000000-0005-0000-0000-00003F120000}"/>
    <cellStyle name="40% - Énfasis1 28 9" xfId="4735" xr:uid="{00000000-0005-0000-0000-000040120000}"/>
    <cellStyle name="40% - Énfasis1 29 10" xfId="4736" xr:uid="{00000000-0005-0000-0000-000041120000}"/>
    <cellStyle name="40% - Énfasis1 29 11" xfId="4737" xr:uid="{00000000-0005-0000-0000-000042120000}"/>
    <cellStyle name="40% - Énfasis1 29 12" xfId="4738" xr:uid="{00000000-0005-0000-0000-000043120000}"/>
    <cellStyle name="40% - Énfasis1 29 13" xfId="4739" xr:uid="{00000000-0005-0000-0000-000044120000}"/>
    <cellStyle name="40% - Énfasis1 29 14" xfId="4740" xr:uid="{00000000-0005-0000-0000-000045120000}"/>
    <cellStyle name="40% - Énfasis1 29 15" xfId="4741" xr:uid="{00000000-0005-0000-0000-000046120000}"/>
    <cellStyle name="40% - Énfasis1 29 16" xfId="4742" xr:uid="{00000000-0005-0000-0000-000047120000}"/>
    <cellStyle name="40% - Énfasis1 29 17" xfId="4743" xr:uid="{00000000-0005-0000-0000-000048120000}"/>
    <cellStyle name="40% - Énfasis1 29 18" xfId="4744" xr:uid="{00000000-0005-0000-0000-000049120000}"/>
    <cellStyle name="40% - Énfasis1 29 19" xfId="4745" xr:uid="{00000000-0005-0000-0000-00004A120000}"/>
    <cellStyle name="40% - Énfasis1 29 2" xfId="4746" xr:uid="{00000000-0005-0000-0000-00004B120000}"/>
    <cellStyle name="40% - Énfasis1 29 2 2" xfId="4747" xr:uid="{00000000-0005-0000-0000-00004C120000}"/>
    <cellStyle name="40% - Énfasis1 29 3" xfId="4748" xr:uid="{00000000-0005-0000-0000-00004D120000}"/>
    <cellStyle name="40% - Énfasis1 29 3 2" xfId="4749" xr:uid="{00000000-0005-0000-0000-00004E120000}"/>
    <cellStyle name="40% - Énfasis1 29 4" xfId="4750" xr:uid="{00000000-0005-0000-0000-00004F120000}"/>
    <cellStyle name="40% - Énfasis1 29 4 2" xfId="4751" xr:uid="{00000000-0005-0000-0000-000050120000}"/>
    <cellStyle name="40% - Énfasis1 29 5" xfId="4752" xr:uid="{00000000-0005-0000-0000-000051120000}"/>
    <cellStyle name="40% - Énfasis1 29 6" xfId="4753" xr:uid="{00000000-0005-0000-0000-000052120000}"/>
    <cellStyle name="40% - Énfasis1 29 7" xfId="4754" xr:uid="{00000000-0005-0000-0000-000053120000}"/>
    <cellStyle name="40% - Énfasis1 29 8" xfId="4755" xr:uid="{00000000-0005-0000-0000-000054120000}"/>
    <cellStyle name="40% - Énfasis1 29 9" xfId="4756" xr:uid="{00000000-0005-0000-0000-000055120000}"/>
    <cellStyle name="40% - Énfasis1 3 10" xfId="4757" xr:uid="{00000000-0005-0000-0000-000056120000}"/>
    <cellStyle name="40% - Énfasis1 3 11" xfId="4758" xr:uid="{00000000-0005-0000-0000-000057120000}"/>
    <cellStyle name="40% - Énfasis1 3 12" xfId="4759" xr:uid="{00000000-0005-0000-0000-000058120000}"/>
    <cellStyle name="40% - Énfasis1 3 13" xfId="4760" xr:uid="{00000000-0005-0000-0000-000059120000}"/>
    <cellStyle name="40% - Énfasis1 3 14" xfId="4761" xr:uid="{00000000-0005-0000-0000-00005A120000}"/>
    <cellStyle name="40% - Énfasis1 3 15" xfId="4762" xr:uid="{00000000-0005-0000-0000-00005B120000}"/>
    <cellStyle name="40% - Énfasis1 3 16" xfId="4763" xr:uid="{00000000-0005-0000-0000-00005C120000}"/>
    <cellStyle name="40% - Énfasis1 3 17" xfId="4764" xr:uid="{00000000-0005-0000-0000-00005D120000}"/>
    <cellStyle name="40% - Énfasis1 3 18" xfId="4765" xr:uid="{00000000-0005-0000-0000-00005E120000}"/>
    <cellStyle name="40% - Énfasis1 3 19" xfId="4766" xr:uid="{00000000-0005-0000-0000-00005F120000}"/>
    <cellStyle name="40% - Énfasis1 3 2" xfId="4767" xr:uid="{00000000-0005-0000-0000-000060120000}"/>
    <cellStyle name="40% - Énfasis1 3 2 2" xfId="4768" xr:uid="{00000000-0005-0000-0000-000061120000}"/>
    <cellStyle name="40% - Énfasis1 3 3" xfId="4769" xr:uid="{00000000-0005-0000-0000-000062120000}"/>
    <cellStyle name="40% - Énfasis1 3 3 2" xfId="4770" xr:uid="{00000000-0005-0000-0000-000063120000}"/>
    <cellStyle name="40% - Énfasis1 3 4" xfId="4771" xr:uid="{00000000-0005-0000-0000-000064120000}"/>
    <cellStyle name="40% - Énfasis1 3 4 2" xfId="4772" xr:uid="{00000000-0005-0000-0000-000065120000}"/>
    <cellStyle name="40% - Énfasis1 3 5" xfId="4773" xr:uid="{00000000-0005-0000-0000-000066120000}"/>
    <cellStyle name="40% - Énfasis1 3 6" xfId="4774" xr:uid="{00000000-0005-0000-0000-000067120000}"/>
    <cellStyle name="40% - Énfasis1 3 7" xfId="4775" xr:uid="{00000000-0005-0000-0000-000068120000}"/>
    <cellStyle name="40% - Énfasis1 3 8" xfId="4776" xr:uid="{00000000-0005-0000-0000-000069120000}"/>
    <cellStyle name="40% - Énfasis1 3 9" xfId="4777" xr:uid="{00000000-0005-0000-0000-00006A120000}"/>
    <cellStyle name="40% - Énfasis1 30 10" xfId="4778" xr:uid="{00000000-0005-0000-0000-00006B120000}"/>
    <cellStyle name="40% - Énfasis1 30 11" xfId="4779" xr:uid="{00000000-0005-0000-0000-00006C120000}"/>
    <cellStyle name="40% - Énfasis1 30 12" xfId="4780" xr:uid="{00000000-0005-0000-0000-00006D120000}"/>
    <cellStyle name="40% - Énfasis1 30 13" xfId="4781" xr:uid="{00000000-0005-0000-0000-00006E120000}"/>
    <cellStyle name="40% - Énfasis1 30 14" xfId="4782" xr:uid="{00000000-0005-0000-0000-00006F120000}"/>
    <cellStyle name="40% - Énfasis1 30 15" xfId="4783" xr:uid="{00000000-0005-0000-0000-000070120000}"/>
    <cellStyle name="40% - Énfasis1 30 16" xfId="4784" xr:uid="{00000000-0005-0000-0000-000071120000}"/>
    <cellStyle name="40% - Énfasis1 30 17" xfId="4785" xr:uid="{00000000-0005-0000-0000-000072120000}"/>
    <cellStyle name="40% - Énfasis1 30 18" xfId="4786" xr:uid="{00000000-0005-0000-0000-000073120000}"/>
    <cellStyle name="40% - Énfasis1 30 19" xfId="4787" xr:uid="{00000000-0005-0000-0000-000074120000}"/>
    <cellStyle name="40% - Énfasis1 30 2" xfId="4788" xr:uid="{00000000-0005-0000-0000-000075120000}"/>
    <cellStyle name="40% - Énfasis1 30 2 2" xfId="4789" xr:uid="{00000000-0005-0000-0000-000076120000}"/>
    <cellStyle name="40% - Énfasis1 30 3" xfId="4790" xr:uid="{00000000-0005-0000-0000-000077120000}"/>
    <cellStyle name="40% - Énfasis1 30 3 2" xfId="4791" xr:uid="{00000000-0005-0000-0000-000078120000}"/>
    <cellStyle name="40% - Énfasis1 30 4" xfId="4792" xr:uid="{00000000-0005-0000-0000-000079120000}"/>
    <cellStyle name="40% - Énfasis1 30 4 2" xfId="4793" xr:uid="{00000000-0005-0000-0000-00007A120000}"/>
    <cellStyle name="40% - Énfasis1 30 5" xfId="4794" xr:uid="{00000000-0005-0000-0000-00007B120000}"/>
    <cellStyle name="40% - Énfasis1 30 6" xfId="4795" xr:uid="{00000000-0005-0000-0000-00007C120000}"/>
    <cellStyle name="40% - Énfasis1 30 7" xfId="4796" xr:uid="{00000000-0005-0000-0000-00007D120000}"/>
    <cellStyle name="40% - Énfasis1 30 8" xfId="4797" xr:uid="{00000000-0005-0000-0000-00007E120000}"/>
    <cellStyle name="40% - Énfasis1 30 9" xfId="4798" xr:uid="{00000000-0005-0000-0000-00007F120000}"/>
    <cellStyle name="40% - Énfasis1 31 10" xfId="4799" xr:uid="{00000000-0005-0000-0000-000080120000}"/>
    <cellStyle name="40% - Énfasis1 31 11" xfId="4800" xr:uid="{00000000-0005-0000-0000-000081120000}"/>
    <cellStyle name="40% - Énfasis1 31 12" xfId="4801" xr:uid="{00000000-0005-0000-0000-000082120000}"/>
    <cellStyle name="40% - Énfasis1 31 13" xfId="4802" xr:uid="{00000000-0005-0000-0000-000083120000}"/>
    <cellStyle name="40% - Énfasis1 31 14" xfId="4803" xr:uid="{00000000-0005-0000-0000-000084120000}"/>
    <cellStyle name="40% - Énfasis1 31 15" xfId="4804" xr:uid="{00000000-0005-0000-0000-000085120000}"/>
    <cellStyle name="40% - Énfasis1 31 16" xfId="4805" xr:uid="{00000000-0005-0000-0000-000086120000}"/>
    <cellStyle name="40% - Énfasis1 31 17" xfId="4806" xr:uid="{00000000-0005-0000-0000-000087120000}"/>
    <cellStyle name="40% - Énfasis1 31 18" xfId="4807" xr:uid="{00000000-0005-0000-0000-000088120000}"/>
    <cellStyle name="40% - Énfasis1 31 19" xfId="4808" xr:uid="{00000000-0005-0000-0000-000089120000}"/>
    <cellStyle name="40% - Énfasis1 31 2" xfId="4809" xr:uid="{00000000-0005-0000-0000-00008A120000}"/>
    <cellStyle name="40% - Énfasis1 31 2 2" xfId="4810" xr:uid="{00000000-0005-0000-0000-00008B120000}"/>
    <cellStyle name="40% - Énfasis1 31 3" xfId="4811" xr:uid="{00000000-0005-0000-0000-00008C120000}"/>
    <cellStyle name="40% - Énfasis1 31 3 2" xfId="4812" xr:uid="{00000000-0005-0000-0000-00008D120000}"/>
    <cellStyle name="40% - Énfasis1 31 4" xfId="4813" xr:uid="{00000000-0005-0000-0000-00008E120000}"/>
    <cellStyle name="40% - Énfasis1 31 4 2" xfId="4814" xr:uid="{00000000-0005-0000-0000-00008F120000}"/>
    <cellStyle name="40% - Énfasis1 31 5" xfId="4815" xr:uid="{00000000-0005-0000-0000-000090120000}"/>
    <cellStyle name="40% - Énfasis1 31 6" xfId="4816" xr:uid="{00000000-0005-0000-0000-000091120000}"/>
    <cellStyle name="40% - Énfasis1 31 7" xfId="4817" xr:uid="{00000000-0005-0000-0000-000092120000}"/>
    <cellStyle name="40% - Énfasis1 31 8" xfId="4818" xr:uid="{00000000-0005-0000-0000-000093120000}"/>
    <cellStyle name="40% - Énfasis1 31 9" xfId="4819" xr:uid="{00000000-0005-0000-0000-000094120000}"/>
    <cellStyle name="40% - Énfasis1 32 10" xfId="4820" xr:uid="{00000000-0005-0000-0000-000095120000}"/>
    <cellStyle name="40% - Énfasis1 32 11" xfId="4821" xr:uid="{00000000-0005-0000-0000-000096120000}"/>
    <cellStyle name="40% - Énfasis1 32 12" xfId="4822" xr:uid="{00000000-0005-0000-0000-000097120000}"/>
    <cellStyle name="40% - Énfasis1 32 13" xfId="4823" xr:uid="{00000000-0005-0000-0000-000098120000}"/>
    <cellStyle name="40% - Énfasis1 32 14" xfId="4824" xr:uid="{00000000-0005-0000-0000-000099120000}"/>
    <cellStyle name="40% - Énfasis1 32 15" xfId="4825" xr:uid="{00000000-0005-0000-0000-00009A120000}"/>
    <cellStyle name="40% - Énfasis1 32 16" xfId="4826" xr:uid="{00000000-0005-0000-0000-00009B120000}"/>
    <cellStyle name="40% - Énfasis1 32 17" xfId="4827" xr:uid="{00000000-0005-0000-0000-00009C120000}"/>
    <cellStyle name="40% - Énfasis1 32 18" xfId="4828" xr:uid="{00000000-0005-0000-0000-00009D120000}"/>
    <cellStyle name="40% - Énfasis1 32 19" xfId="4829" xr:uid="{00000000-0005-0000-0000-00009E120000}"/>
    <cellStyle name="40% - Énfasis1 32 2" xfId="4830" xr:uid="{00000000-0005-0000-0000-00009F120000}"/>
    <cellStyle name="40% - Énfasis1 32 2 2" xfId="4831" xr:uid="{00000000-0005-0000-0000-0000A0120000}"/>
    <cellStyle name="40% - Énfasis1 32 3" xfId="4832" xr:uid="{00000000-0005-0000-0000-0000A1120000}"/>
    <cellStyle name="40% - Énfasis1 32 3 2" xfId="4833" xr:uid="{00000000-0005-0000-0000-0000A2120000}"/>
    <cellStyle name="40% - Énfasis1 32 4" xfId="4834" xr:uid="{00000000-0005-0000-0000-0000A3120000}"/>
    <cellStyle name="40% - Énfasis1 32 4 2" xfId="4835" xr:uid="{00000000-0005-0000-0000-0000A4120000}"/>
    <cellStyle name="40% - Énfasis1 32 5" xfId="4836" xr:uid="{00000000-0005-0000-0000-0000A5120000}"/>
    <cellStyle name="40% - Énfasis1 32 6" xfId="4837" xr:uid="{00000000-0005-0000-0000-0000A6120000}"/>
    <cellStyle name="40% - Énfasis1 32 7" xfId="4838" xr:uid="{00000000-0005-0000-0000-0000A7120000}"/>
    <cellStyle name="40% - Énfasis1 32 8" xfId="4839" xr:uid="{00000000-0005-0000-0000-0000A8120000}"/>
    <cellStyle name="40% - Énfasis1 32 9" xfId="4840" xr:uid="{00000000-0005-0000-0000-0000A9120000}"/>
    <cellStyle name="40% - Énfasis1 33 10" xfId="4841" xr:uid="{00000000-0005-0000-0000-0000AA120000}"/>
    <cellStyle name="40% - Énfasis1 33 11" xfId="4842" xr:uid="{00000000-0005-0000-0000-0000AB120000}"/>
    <cellStyle name="40% - Énfasis1 33 12" xfId="4843" xr:uid="{00000000-0005-0000-0000-0000AC120000}"/>
    <cellStyle name="40% - Énfasis1 33 13" xfId="4844" xr:uid="{00000000-0005-0000-0000-0000AD120000}"/>
    <cellStyle name="40% - Énfasis1 33 14" xfId="4845" xr:uid="{00000000-0005-0000-0000-0000AE120000}"/>
    <cellStyle name="40% - Énfasis1 33 15" xfId="4846" xr:uid="{00000000-0005-0000-0000-0000AF120000}"/>
    <cellStyle name="40% - Énfasis1 33 16" xfId="4847" xr:uid="{00000000-0005-0000-0000-0000B0120000}"/>
    <cellStyle name="40% - Énfasis1 33 17" xfId="4848" xr:uid="{00000000-0005-0000-0000-0000B1120000}"/>
    <cellStyle name="40% - Énfasis1 33 18" xfId="4849" xr:uid="{00000000-0005-0000-0000-0000B2120000}"/>
    <cellStyle name="40% - Énfasis1 33 19" xfId="4850" xr:uid="{00000000-0005-0000-0000-0000B3120000}"/>
    <cellStyle name="40% - Énfasis1 33 2" xfId="4851" xr:uid="{00000000-0005-0000-0000-0000B4120000}"/>
    <cellStyle name="40% - Énfasis1 33 2 2" xfId="4852" xr:uid="{00000000-0005-0000-0000-0000B5120000}"/>
    <cellStyle name="40% - Énfasis1 33 3" xfId="4853" xr:uid="{00000000-0005-0000-0000-0000B6120000}"/>
    <cellStyle name="40% - Énfasis1 33 3 2" xfId="4854" xr:uid="{00000000-0005-0000-0000-0000B7120000}"/>
    <cellStyle name="40% - Énfasis1 33 4" xfId="4855" xr:uid="{00000000-0005-0000-0000-0000B8120000}"/>
    <cellStyle name="40% - Énfasis1 33 4 2" xfId="4856" xr:uid="{00000000-0005-0000-0000-0000B9120000}"/>
    <cellStyle name="40% - Énfasis1 33 5" xfId="4857" xr:uid="{00000000-0005-0000-0000-0000BA120000}"/>
    <cellStyle name="40% - Énfasis1 33 6" xfId="4858" xr:uid="{00000000-0005-0000-0000-0000BB120000}"/>
    <cellStyle name="40% - Énfasis1 33 7" xfId="4859" xr:uid="{00000000-0005-0000-0000-0000BC120000}"/>
    <cellStyle name="40% - Énfasis1 33 8" xfId="4860" xr:uid="{00000000-0005-0000-0000-0000BD120000}"/>
    <cellStyle name="40% - Énfasis1 33 9" xfId="4861" xr:uid="{00000000-0005-0000-0000-0000BE120000}"/>
    <cellStyle name="40% - Énfasis1 34 10" xfId="4862" xr:uid="{00000000-0005-0000-0000-0000BF120000}"/>
    <cellStyle name="40% - Énfasis1 34 11" xfId="4863" xr:uid="{00000000-0005-0000-0000-0000C0120000}"/>
    <cellStyle name="40% - Énfasis1 34 12" xfId="4864" xr:uid="{00000000-0005-0000-0000-0000C1120000}"/>
    <cellStyle name="40% - Énfasis1 34 13" xfId="4865" xr:uid="{00000000-0005-0000-0000-0000C2120000}"/>
    <cellStyle name="40% - Énfasis1 34 14" xfId="4866" xr:uid="{00000000-0005-0000-0000-0000C3120000}"/>
    <cellStyle name="40% - Énfasis1 34 15" xfId="4867" xr:uid="{00000000-0005-0000-0000-0000C4120000}"/>
    <cellStyle name="40% - Énfasis1 34 16" xfId="4868" xr:uid="{00000000-0005-0000-0000-0000C5120000}"/>
    <cellStyle name="40% - Énfasis1 34 17" xfId="4869" xr:uid="{00000000-0005-0000-0000-0000C6120000}"/>
    <cellStyle name="40% - Énfasis1 34 18" xfId="4870" xr:uid="{00000000-0005-0000-0000-0000C7120000}"/>
    <cellStyle name="40% - Énfasis1 34 19" xfId="4871" xr:uid="{00000000-0005-0000-0000-0000C8120000}"/>
    <cellStyle name="40% - Énfasis1 34 2" xfId="4872" xr:uid="{00000000-0005-0000-0000-0000C9120000}"/>
    <cellStyle name="40% - Énfasis1 34 2 2" xfId="4873" xr:uid="{00000000-0005-0000-0000-0000CA120000}"/>
    <cellStyle name="40% - Énfasis1 34 3" xfId="4874" xr:uid="{00000000-0005-0000-0000-0000CB120000}"/>
    <cellStyle name="40% - Énfasis1 34 3 2" xfId="4875" xr:uid="{00000000-0005-0000-0000-0000CC120000}"/>
    <cellStyle name="40% - Énfasis1 34 4" xfId="4876" xr:uid="{00000000-0005-0000-0000-0000CD120000}"/>
    <cellStyle name="40% - Énfasis1 34 4 2" xfId="4877" xr:uid="{00000000-0005-0000-0000-0000CE120000}"/>
    <cellStyle name="40% - Énfasis1 34 5" xfId="4878" xr:uid="{00000000-0005-0000-0000-0000CF120000}"/>
    <cellStyle name="40% - Énfasis1 34 6" xfId="4879" xr:uid="{00000000-0005-0000-0000-0000D0120000}"/>
    <cellStyle name="40% - Énfasis1 34 7" xfId="4880" xr:uid="{00000000-0005-0000-0000-0000D1120000}"/>
    <cellStyle name="40% - Énfasis1 34 8" xfId="4881" xr:uid="{00000000-0005-0000-0000-0000D2120000}"/>
    <cellStyle name="40% - Énfasis1 34 9" xfId="4882" xr:uid="{00000000-0005-0000-0000-0000D3120000}"/>
    <cellStyle name="40% - Énfasis1 35 10" xfId="4883" xr:uid="{00000000-0005-0000-0000-0000D4120000}"/>
    <cellStyle name="40% - Énfasis1 35 11" xfId="4884" xr:uid="{00000000-0005-0000-0000-0000D5120000}"/>
    <cellStyle name="40% - Énfasis1 35 12" xfId="4885" xr:uid="{00000000-0005-0000-0000-0000D6120000}"/>
    <cellStyle name="40% - Énfasis1 35 13" xfId="4886" xr:uid="{00000000-0005-0000-0000-0000D7120000}"/>
    <cellStyle name="40% - Énfasis1 35 14" xfId="4887" xr:uid="{00000000-0005-0000-0000-0000D8120000}"/>
    <cellStyle name="40% - Énfasis1 35 15" xfId="4888" xr:uid="{00000000-0005-0000-0000-0000D9120000}"/>
    <cellStyle name="40% - Énfasis1 35 16" xfId="4889" xr:uid="{00000000-0005-0000-0000-0000DA120000}"/>
    <cellStyle name="40% - Énfasis1 35 17" xfId="4890" xr:uid="{00000000-0005-0000-0000-0000DB120000}"/>
    <cellStyle name="40% - Énfasis1 35 18" xfId="4891" xr:uid="{00000000-0005-0000-0000-0000DC120000}"/>
    <cellStyle name="40% - Énfasis1 35 19" xfId="4892" xr:uid="{00000000-0005-0000-0000-0000DD120000}"/>
    <cellStyle name="40% - Énfasis1 35 2" xfId="4893" xr:uid="{00000000-0005-0000-0000-0000DE120000}"/>
    <cellStyle name="40% - Énfasis1 35 2 2" xfId="4894" xr:uid="{00000000-0005-0000-0000-0000DF120000}"/>
    <cellStyle name="40% - Énfasis1 35 3" xfId="4895" xr:uid="{00000000-0005-0000-0000-0000E0120000}"/>
    <cellStyle name="40% - Énfasis1 35 3 2" xfId="4896" xr:uid="{00000000-0005-0000-0000-0000E1120000}"/>
    <cellStyle name="40% - Énfasis1 35 4" xfId="4897" xr:uid="{00000000-0005-0000-0000-0000E2120000}"/>
    <cellStyle name="40% - Énfasis1 35 4 2" xfId="4898" xr:uid="{00000000-0005-0000-0000-0000E3120000}"/>
    <cellStyle name="40% - Énfasis1 35 5" xfId="4899" xr:uid="{00000000-0005-0000-0000-0000E4120000}"/>
    <cellStyle name="40% - Énfasis1 35 6" xfId="4900" xr:uid="{00000000-0005-0000-0000-0000E5120000}"/>
    <cellStyle name="40% - Énfasis1 35 7" xfId="4901" xr:uid="{00000000-0005-0000-0000-0000E6120000}"/>
    <cellStyle name="40% - Énfasis1 35 8" xfId="4902" xr:uid="{00000000-0005-0000-0000-0000E7120000}"/>
    <cellStyle name="40% - Énfasis1 35 9" xfId="4903" xr:uid="{00000000-0005-0000-0000-0000E8120000}"/>
    <cellStyle name="40% - Énfasis1 36 10" xfId="4904" xr:uid="{00000000-0005-0000-0000-0000E9120000}"/>
    <cellStyle name="40% - Énfasis1 36 11" xfId="4905" xr:uid="{00000000-0005-0000-0000-0000EA120000}"/>
    <cellStyle name="40% - Énfasis1 36 12" xfId="4906" xr:uid="{00000000-0005-0000-0000-0000EB120000}"/>
    <cellStyle name="40% - Énfasis1 36 13" xfId="4907" xr:uid="{00000000-0005-0000-0000-0000EC120000}"/>
    <cellStyle name="40% - Énfasis1 36 14" xfId="4908" xr:uid="{00000000-0005-0000-0000-0000ED120000}"/>
    <cellStyle name="40% - Énfasis1 36 15" xfId="4909" xr:uid="{00000000-0005-0000-0000-0000EE120000}"/>
    <cellStyle name="40% - Énfasis1 36 16" xfId="4910" xr:uid="{00000000-0005-0000-0000-0000EF120000}"/>
    <cellStyle name="40% - Énfasis1 36 17" xfId="4911" xr:uid="{00000000-0005-0000-0000-0000F0120000}"/>
    <cellStyle name="40% - Énfasis1 36 18" xfId="4912" xr:uid="{00000000-0005-0000-0000-0000F1120000}"/>
    <cellStyle name="40% - Énfasis1 36 19" xfId="4913" xr:uid="{00000000-0005-0000-0000-0000F2120000}"/>
    <cellStyle name="40% - Énfasis1 36 2" xfId="4914" xr:uid="{00000000-0005-0000-0000-0000F3120000}"/>
    <cellStyle name="40% - Énfasis1 36 2 2" xfId="4915" xr:uid="{00000000-0005-0000-0000-0000F4120000}"/>
    <cellStyle name="40% - Énfasis1 36 3" xfId="4916" xr:uid="{00000000-0005-0000-0000-0000F5120000}"/>
    <cellStyle name="40% - Énfasis1 36 3 2" xfId="4917" xr:uid="{00000000-0005-0000-0000-0000F6120000}"/>
    <cellStyle name="40% - Énfasis1 36 4" xfId="4918" xr:uid="{00000000-0005-0000-0000-0000F7120000}"/>
    <cellStyle name="40% - Énfasis1 36 4 2" xfId="4919" xr:uid="{00000000-0005-0000-0000-0000F8120000}"/>
    <cellStyle name="40% - Énfasis1 36 5" xfId="4920" xr:uid="{00000000-0005-0000-0000-0000F9120000}"/>
    <cellStyle name="40% - Énfasis1 36 6" xfId="4921" xr:uid="{00000000-0005-0000-0000-0000FA120000}"/>
    <cellStyle name="40% - Énfasis1 36 7" xfId="4922" xr:uid="{00000000-0005-0000-0000-0000FB120000}"/>
    <cellStyle name="40% - Énfasis1 36 8" xfId="4923" xr:uid="{00000000-0005-0000-0000-0000FC120000}"/>
    <cellStyle name="40% - Énfasis1 36 9" xfId="4924" xr:uid="{00000000-0005-0000-0000-0000FD120000}"/>
    <cellStyle name="40% - Énfasis1 37 10" xfId="4925" xr:uid="{00000000-0005-0000-0000-0000FE120000}"/>
    <cellStyle name="40% - Énfasis1 37 11" xfId="4926" xr:uid="{00000000-0005-0000-0000-0000FF120000}"/>
    <cellStyle name="40% - Énfasis1 37 12" xfId="4927" xr:uid="{00000000-0005-0000-0000-000000130000}"/>
    <cellStyle name="40% - Énfasis1 37 13" xfId="4928" xr:uid="{00000000-0005-0000-0000-000001130000}"/>
    <cellStyle name="40% - Énfasis1 37 14" xfId="4929" xr:uid="{00000000-0005-0000-0000-000002130000}"/>
    <cellStyle name="40% - Énfasis1 37 15" xfId="4930" xr:uid="{00000000-0005-0000-0000-000003130000}"/>
    <cellStyle name="40% - Énfasis1 37 16" xfId="4931" xr:uid="{00000000-0005-0000-0000-000004130000}"/>
    <cellStyle name="40% - Énfasis1 37 17" xfId="4932" xr:uid="{00000000-0005-0000-0000-000005130000}"/>
    <cellStyle name="40% - Énfasis1 37 18" xfId="4933" xr:uid="{00000000-0005-0000-0000-000006130000}"/>
    <cellStyle name="40% - Énfasis1 37 19" xfId="4934" xr:uid="{00000000-0005-0000-0000-000007130000}"/>
    <cellStyle name="40% - Énfasis1 37 2" xfId="4935" xr:uid="{00000000-0005-0000-0000-000008130000}"/>
    <cellStyle name="40% - Énfasis1 37 2 2" xfId="4936" xr:uid="{00000000-0005-0000-0000-000009130000}"/>
    <cellStyle name="40% - Énfasis1 37 3" xfId="4937" xr:uid="{00000000-0005-0000-0000-00000A130000}"/>
    <cellStyle name="40% - Énfasis1 37 3 2" xfId="4938" xr:uid="{00000000-0005-0000-0000-00000B130000}"/>
    <cellStyle name="40% - Énfasis1 37 4" xfId="4939" xr:uid="{00000000-0005-0000-0000-00000C130000}"/>
    <cellStyle name="40% - Énfasis1 37 4 2" xfId="4940" xr:uid="{00000000-0005-0000-0000-00000D130000}"/>
    <cellStyle name="40% - Énfasis1 37 5" xfId="4941" xr:uid="{00000000-0005-0000-0000-00000E130000}"/>
    <cellStyle name="40% - Énfasis1 37 6" xfId="4942" xr:uid="{00000000-0005-0000-0000-00000F130000}"/>
    <cellStyle name="40% - Énfasis1 37 7" xfId="4943" xr:uid="{00000000-0005-0000-0000-000010130000}"/>
    <cellStyle name="40% - Énfasis1 37 8" xfId="4944" xr:uid="{00000000-0005-0000-0000-000011130000}"/>
    <cellStyle name="40% - Énfasis1 37 9" xfId="4945" xr:uid="{00000000-0005-0000-0000-000012130000}"/>
    <cellStyle name="40% - Énfasis1 38 10" xfId="4946" xr:uid="{00000000-0005-0000-0000-000013130000}"/>
    <cellStyle name="40% - Énfasis1 38 11" xfId="4947" xr:uid="{00000000-0005-0000-0000-000014130000}"/>
    <cellStyle name="40% - Énfasis1 38 12" xfId="4948" xr:uid="{00000000-0005-0000-0000-000015130000}"/>
    <cellStyle name="40% - Énfasis1 38 13" xfId="4949" xr:uid="{00000000-0005-0000-0000-000016130000}"/>
    <cellStyle name="40% - Énfasis1 38 14" xfId="4950" xr:uid="{00000000-0005-0000-0000-000017130000}"/>
    <cellStyle name="40% - Énfasis1 38 15" xfId="4951" xr:uid="{00000000-0005-0000-0000-000018130000}"/>
    <cellStyle name="40% - Énfasis1 38 16" xfId="4952" xr:uid="{00000000-0005-0000-0000-000019130000}"/>
    <cellStyle name="40% - Énfasis1 38 17" xfId="4953" xr:uid="{00000000-0005-0000-0000-00001A130000}"/>
    <cellStyle name="40% - Énfasis1 38 18" xfId="4954" xr:uid="{00000000-0005-0000-0000-00001B130000}"/>
    <cellStyle name="40% - Énfasis1 38 19" xfId="4955" xr:uid="{00000000-0005-0000-0000-00001C130000}"/>
    <cellStyle name="40% - Énfasis1 38 2" xfId="4956" xr:uid="{00000000-0005-0000-0000-00001D130000}"/>
    <cellStyle name="40% - Énfasis1 38 2 2" xfId="4957" xr:uid="{00000000-0005-0000-0000-00001E130000}"/>
    <cellStyle name="40% - Énfasis1 38 3" xfId="4958" xr:uid="{00000000-0005-0000-0000-00001F130000}"/>
    <cellStyle name="40% - Énfasis1 38 3 2" xfId="4959" xr:uid="{00000000-0005-0000-0000-000020130000}"/>
    <cellStyle name="40% - Énfasis1 38 4" xfId="4960" xr:uid="{00000000-0005-0000-0000-000021130000}"/>
    <cellStyle name="40% - Énfasis1 38 4 2" xfId="4961" xr:uid="{00000000-0005-0000-0000-000022130000}"/>
    <cellStyle name="40% - Énfasis1 38 5" xfId="4962" xr:uid="{00000000-0005-0000-0000-000023130000}"/>
    <cellStyle name="40% - Énfasis1 38 6" xfId="4963" xr:uid="{00000000-0005-0000-0000-000024130000}"/>
    <cellStyle name="40% - Énfasis1 38 7" xfId="4964" xr:uid="{00000000-0005-0000-0000-000025130000}"/>
    <cellStyle name="40% - Énfasis1 38 8" xfId="4965" xr:uid="{00000000-0005-0000-0000-000026130000}"/>
    <cellStyle name="40% - Énfasis1 38 9" xfId="4966" xr:uid="{00000000-0005-0000-0000-000027130000}"/>
    <cellStyle name="40% - Énfasis1 39" xfId="4967" xr:uid="{00000000-0005-0000-0000-000028130000}"/>
    <cellStyle name="40% - Énfasis1 39 10" xfId="4968" xr:uid="{00000000-0005-0000-0000-000029130000}"/>
    <cellStyle name="40% - Énfasis1 39 11" xfId="4969" xr:uid="{00000000-0005-0000-0000-00002A130000}"/>
    <cellStyle name="40% - Énfasis1 39 12" xfId="4970" xr:uid="{00000000-0005-0000-0000-00002B130000}"/>
    <cellStyle name="40% - Énfasis1 39 13" xfId="4971" xr:uid="{00000000-0005-0000-0000-00002C130000}"/>
    <cellStyle name="40% - Énfasis1 39 14" xfId="4972" xr:uid="{00000000-0005-0000-0000-00002D130000}"/>
    <cellStyle name="40% - Énfasis1 39 15" xfId="4973" xr:uid="{00000000-0005-0000-0000-00002E130000}"/>
    <cellStyle name="40% - Énfasis1 39 16" xfId="4974" xr:uid="{00000000-0005-0000-0000-00002F130000}"/>
    <cellStyle name="40% - Énfasis1 39 2" xfId="4975" xr:uid="{00000000-0005-0000-0000-000030130000}"/>
    <cellStyle name="40% - Énfasis1 39 3" xfId="4976" xr:uid="{00000000-0005-0000-0000-000031130000}"/>
    <cellStyle name="40% - Énfasis1 39 4" xfId="4977" xr:uid="{00000000-0005-0000-0000-000032130000}"/>
    <cellStyle name="40% - Énfasis1 39 5" xfId="4978" xr:uid="{00000000-0005-0000-0000-000033130000}"/>
    <cellStyle name="40% - Énfasis1 39 6" xfId="4979" xr:uid="{00000000-0005-0000-0000-000034130000}"/>
    <cellStyle name="40% - Énfasis1 39 7" xfId="4980" xr:uid="{00000000-0005-0000-0000-000035130000}"/>
    <cellStyle name="40% - Énfasis1 39 8" xfId="4981" xr:uid="{00000000-0005-0000-0000-000036130000}"/>
    <cellStyle name="40% - Énfasis1 39 9" xfId="4982" xr:uid="{00000000-0005-0000-0000-000037130000}"/>
    <cellStyle name="40% - Énfasis1 4 10" xfId="4983" xr:uid="{00000000-0005-0000-0000-000038130000}"/>
    <cellStyle name="40% - Énfasis1 4 11" xfId="4984" xr:uid="{00000000-0005-0000-0000-000039130000}"/>
    <cellStyle name="40% - Énfasis1 4 12" xfId="4985" xr:uid="{00000000-0005-0000-0000-00003A130000}"/>
    <cellStyle name="40% - Énfasis1 4 13" xfId="4986" xr:uid="{00000000-0005-0000-0000-00003B130000}"/>
    <cellStyle name="40% - Énfasis1 4 14" xfId="4987" xr:uid="{00000000-0005-0000-0000-00003C130000}"/>
    <cellStyle name="40% - Énfasis1 4 15" xfId="4988" xr:uid="{00000000-0005-0000-0000-00003D130000}"/>
    <cellStyle name="40% - Énfasis1 4 16" xfId="4989" xr:uid="{00000000-0005-0000-0000-00003E130000}"/>
    <cellStyle name="40% - Énfasis1 4 17" xfId="4990" xr:uid="{00000000-0005-0000-0000-00003F130000}"/>
    <cellStyle name="40% - Énfasis1 4 18" xfId="4991" xr:uid="{00000000-0005-0000-0000-000040130000}"/>
    <cellStyle name="40% - Énfasis1 4 19" xfId="4992" xr:uid="{00000000-0005-0000-0000-000041130000}"/>
    <cellStyle name="40% - Énfasis1 4 2" xfId="4993" xr:uid="{00000000-0005-0000-0000-000042130000}"/>
    <cellStyle name="40% - Énfasis1 4 2 2" xfId="4994" xr:uid="{00000000-0005-0000-0000-000043130000}"/>
    <cellStyle name="40% - Énfasis1 4 3" xfId="4995" xr:uid="{00000000-0005-0000-0000-000044130000}"/>
    <cellStyle name="40% - Énfasis1 4 3 2" xfId="4996" xr:uid="{00000000-0005-0000-0000-000045130000}"/>
    <cellStyle name="40% - Énfasis1 4 4" xfId="4997" xr:uid="{00000000-0005-0000-0000-000046130000}"/>
    <cellStyle name="40% - Énfasis1 4 4 2" xfId="4998" xr:uid="{00000000-0005-0000-0000-000047130000}"/>
    <cellStyle name="40% - Énfasis1 4 5" xfId="4999" xr:uid="{00000000-0005-0000-0000-000048130000}"/>
    <cellStyle name="40% - Énfasis1 4 6" xfId="5000" xr:uid="{00000000-0005-0000-0000-000049130000}"/>
    <cellStyle name="40% - Énfasis1 4 7" xfId="5001" xr:uid="{00000000-0005-0000-0000-00004A130000}"/>
    <cellStyle name="40% - Énfasis1 4 8" xfId="5002" xr:uid="{00000000-0005-0000-0000-00004B130000}"/>
    <cellStyle name="40% - Énfasis1 4 9" xfId="5003" xr:uid="{00000000-0005-0000-0000-00004C130000}"/>
    <cellStyle name="40% - Énfasis1 40" xfId="5004" xr:uid="{00000000-0005-0000-0000-00004D130000}"/>
    <cellStyle name="40% - Énfasis1 40 10" xfId="5005" xr:uid="{00000000-0005-0000-0000-00004E130000}"/>
    <cellStyle name="40% - Énfasis1 40 11" xfId="5006" xr:uid="{00000000-0005-0000-0000-00004F130000}"/>
    <cellStyle name="40% - Énfasis1 40 12" xfId="5007" xr:uid="{00000000-0005-0000-0000-000050130000}"/>
    <cellStyle name="40% - Énfasis1 40 13" xfId="5008" xr:uid="{00000000-0005-0000-0000-000051130000}"/>
    <cellStyle name="40% - Énfasis1 40 14" xfId="5009" xr:uid="{00000000-0005-0000-0000-000052130000}"/>
    <cellStyle name="40% - Énfasis1 40 15" xfId="5010" xr:uid="{00000000-0005-0000-0000-000053130000}"/>
    <cellStyle name="40% - Énfasis1 40 16" xfId="5011" xr:uid="{00000000-0005-0000-0000-000054130000}"/>
    <cellStyle name="40% - Énfasis1 40 2" xfId="5012" xr:uid="{00000000-0005-0000-0000-000055130000}"/>
    <cellStyle name="40% - Énfasis1 40 3" xfId="5013" xr:uid="{00000000-0005-0000-0000-000056130000}"/>
    <cellStyle name="40% - Énfasis1 40 4" xfId="5014" xr:uid="{00000000-0005-0000-0000-000057130000}"/>
    <cellStyle name="40% - Énfasis1 40 5" xfId="5015" xr:uid="{00000000-0005-0000-0000-000058130000}"/>
    <cellStyle name="40% - Énfasis1 40 6" xfId="5016" xr:uid="{00000000-0005-0000-0000-000059130000}"/>
    <cellStyle name="40% - Énfasis1 40 7" xfId="5017" xr:uid="{00000000-0005-0000-0000-00005A130000}"/>
    <cellStyle name="40% - Énfasis1 40 8" xfId="5018" xr:uid="{00000000-0005-0000-0000-00005B130000}"/>
    <cellStyle name="40% - Énfasis1 40 9" xfId="5019" xr:uid="{00000000-0005-0000-0000-00005C130000}"/>
    <cellStyle name="40% - Énfasis1 41" xfId="5020" xr:uid="{00000000-0005-0000-0000-00005D130000}"/>
    <cellStyle name="40% - Énfasis1 41 10" xfId="5021" xr:uid="{00000000-0005-0000-0000-00005E130000}"/>
    <cellStyle name="40% - Énfasis1 41 11" xfId="5022" xr:uid="{00000000-0005-0000-0000-00005F130000}"/>
    <cellStyle name="40% - Énfasis1 41 12" xfId="5023" xr:uid="{00000000-0005-0000-0000-000060130000}"/>
    <cellStyle name="40% - Énfasis1 41 13" xfId="5024" xr:uid="{00000000-0005-0000-0000-000061130000}"/>
    <cellStyle name="40% - Énfasis1 41 14" xfId="5025" xr:uid="{00000000-0005-0000-0000-000062130000}"/>
    <cellStyle name="40% - Énfasis1 41 15" xfId="5026" xr:uid="{00000000-0005-0000-0000-000063130000}"/>
    <cellStyle name="40% - Énfasis1 41 16" xfId="5027" xr:uid="{00000000-0005-0000-0000-000064130000}"/>
    <cellStyle name="40% - Énfasis1 41 2" xfId="5028" xr:uid="{00000000-0005-0000-0000-000065130000}"/>
    <cellStyle name="40% - Énfasis1 41 3" xfId="5029" xr:uid="{00000000-0005-0000-0000-000066130000}"/>
    <cellStyle name="40% - Énfasis1 41 4" xfId="5030" xr:uid="{00000000-0005-0000-0000-000067130000}"/>
    <cellStyle name="40% - Énfasis1 41 5" xfId="5031" xr:uid="{00000000-0005-0000-0000-000068130000}"/>
    <cellStyle name="40% - Énfasis1 41 6" xfId="5032" xr:uid="{00000000-0005-0000-0000-000069130000}"/>
    <cellStyle name="40% - Énfasis1 41 7" xfId="5033" xr:uid="{00000000-0005-0000-0000-00006A130000}"/>
    <cellStyle name="40% - Énfasis1 41 8" xfId="5034" xr:uid="{00000000-0005-0000-0000-00006B130000}"/>
    <cellStyle name="40% - Énfasis1 41 9" xfId="5035" xr:uid="{00000000-0005-0000-0000-00006C130000}"/>
    <cellStyle name="40% - Énfasis1 42" xfId="5036" xr:uid="{00000000-0005-0000-0000-00006D130000}"/>
    <cellStyle name="40% - Énfasis1 43" xfId="5037" xr:uid="{00000000-0005-0000-0000-00006E130000}"/>
    <cellStyle name="40% - Énfasis1 44" xfId="5038" xr:uid="{00000000-0005-0000-0000-00006F130000}"/>
    <cellStyle name="40% - Énfasis1 45" xfId="5039" xr:uid="{00000000-0005-0000-0000-000070130000}"/>
    <cellStyle name="40% - Énfasis1 46" xfId="5040" xr:uid="{00000000-0005-0000-0000-000071130000}"/>
    <cellStyle name="40% - Énfasis1 47" xfId="5041" xr:uid="{00000000-0005-0000-0000-000072130000}"/>
    <cellStyle name="40% - Énfasis1 48" xfId="5042" xr:uid="{00000000-0005-0000-0000-000073130000}"/>
    <cellStyle name="40% - Énfasis1 49" xfId="5043" xr:uid="{00000000-0005-0000-0000-000074130000}"/>
    <cellStyle name="40% - Énfasis1 5 10" xfId="5044" xr:uid="{00000000-0005-0000-0000-000075130000}"/>
    <cellStyle name="40% - Énfasis1 5 11" xfId="5045" xr:uid="{00000000-0005-0000-0000-000076130000}"/>
    <cellStyle name="40% - Énfasis1 5 12" xfId="5046" xr:uid="{00000000-0005-0000-0000-000077130000}"/>
    <cellStyle name="40% - Énfasis1 5 13" xfId="5047" xr:uid="{00000000-0005-0000-0000-000078130000}"/>
    <cellStyle name="40% - Énfasis1 5 14" xfId="5048" xr:uid="{00000000-0005-0000-0000-000079130000}"/>
    <cellStyle name="40% - Énfasis1 5 15" xfId="5049" xr:uid="{00000000-0005-0000-0000-00007A130000}"/>
    <cellStyle name="40% - Énfasis1 5 16" xfId="5050" xr:uid="{00000000-0005-0000-0000-00007B130000}"/>
    <cellStyle name="40% - Énfasis1 5 17" xfId="5051" xr:uid="{00000000-0005-0000-0000-00007C130000}"/>
    <cellStyle name="40% - Énfasis1 5 18" xfId="5052" xr:uid="{00000000-0005-0000-0000-00007D130000}"/>
    <cellStyle name="40% - Énfasis1 5 19" xfId="5053" xr:uid="{00000000-0005-0000-0000-00007E130000}"/>
    <cellStyle name="40% - Énfasis1 5 2" xfId="5054" xr:uid="{00000000-0005-0000-0000-00007F130000}"/>
    <cellStyle name="40% - Énfasis1 5 2 2" xfId="5055" xr:uid="{00000000-0005-0000-0000-000080130000}"/>
    <cellStyle name="40% - Énfasis1 5 3" xfId="5056" xr:uid="{00000000-0005-0000-0000-000081130000}"/>
    <cellStyle name="40% - Énfasis1 5 3 2" xfId="5057" xr:uid="{00000000-0005-0000-0000-000082130000}"/>
    <cellStyle name="40% - Énfasis1 5 4" xfId="5058" xr:uid="{00000000-0005-0000-0000-000083130000}"/>
    <cellStyle name="40% - Énfasis1 5 4 2" xfId="5059" xr:uid="{00000000-0005-0000-0000-000084130000}"/>
    <cellStyle name="40% - Énfasis1 5 5" xfId="5060" xr:uid="{00000000-0005-0000-0000-000085130000}"/>
    <cellStyle name="40% - Énfasis1 5 6" xfId="5061" xr:uid="{00000000-0005-0000-0000-000086130000}"/>
    <cellStyle name="40% - Énfasis1 5 7" xfId="5062" xr:uid="{00000000-0005-0000-0000-000087130000}"/>
    <cellStyle name="40% - Énfasis1 5 8" xfId="5063" xr:uid="{00000000-0005-0000-0000-000088130000}"/>
    <cellStyle name="40% - Énfasis1 5 9" xfId="5064" xr:uid="{00000000-0005-0000-0000-000089130000}"/>
    <cellStyle name="40% - Énfasis1 50" xfId="5065" xr:uid="{00000000-0005-0000-0000-00008A130000}"/>
    <cellStyle name="40% - Énfasis1 51" xfId="5066" xr:uid="{00000000-0005-0000-0000-00008B130000}"/>
    <cellStyle name="40% - Énfasis1 52" xfId="5067" xr:uid="{00000000-0005-0000-0000-00008C130000}"/>
    <cellStyle name="40% - Énfasis1 53" xfId="5068" xr:uid="{00000000-0005-0000-0000-00008D130000}"/>
    <cellStyle name="40% - Énfasis1 54" xfId="5069" xr:uid="{00000000-0005-0000-0000-00008E130000}"/>
    <cellStyle name="40% - Énfasis1 55" xfId="5070" xr:uid="{00000000-0005-0000-0000-00008F130000}"/>
    <cellStyle name="40% - Énfasis1 56" xfId="5071" xr:uid="{00000000-0005-0000-0000-000090130000}"/>
    <cellStyle name="40% - Énfasis1 57" xfId="5072" xr:uid="{00000000-0005-0000-0000-000091130000}"/>
    <cellStyle name="40% - Énfasis1 58" xfId="5073" xr:uid="{00000000-0005-0000-0000-000092130000}"/>
    <cellStyle name="40% - Énfasis1 59" xfId="5074" xr:uid="{00000000-0005-0000-0000-000093130000}"/>
    <cellStyle name="40% - Énfasis1 6 10" xfId="5075" xr:uid="{00000000-0005-0000-0000-000094130000}"/>
    <cellStyle name="40% - Énfasis1 6 11" xfId="5076" xr:uid="{00000000-0005-0000-0000-000095130000}"/>
    <cellStyle name="40% - Énfasis1 6 12" xfId="5077" xr:uid="{00000000-0005-0000-0000-000096130000}"/>
    <cellStyle name="40% - Énfasis1 6 13" xfId="5078" xr:uid="{00000000-0005-0000-0000-000097130000}"/>
    <cellStyle name="40% - Énfasis1 6 14" xfId="5079" xr:uid="{00000000-0005-0000-0000-000098130000}"/>
    <cellStyle name="40% - Énfasis1 6 15" xfId="5080" xr:uid="{00000000-0005-0000-0000-000099130000}"/>
    <cellStyle name="40% - Énfasis1 6 16" xfId="5081" xr:uid="{00000000-0005-0000-0000-00009A130000}"/>
    <cellStyle name="40% - Énfasis1 6 17" xfId="5082" xr:uid="{00000000-0005-0000-0000-00009B130000}"/>
    <cellStyle name="40% - Énfasis1 6 18" xfId="5083" xr:uid="{00000000-0005-0000-0000-00009C130000}"/>
    <cellStyle name="40% - Énfasis1 6 19" xfId="5084" xr:uid="{00000000-0005-0000-0000-00009D130000}"/>
    <cellStyle name="40% - Énfasis1 6 2" xfId="5085" xr:uid="{00000000-0005-0000-0000-00009E130000}"/>
    <cellStyle name="40% - Énfasis1 6 2 2" xfId="5086" xr:uid="{00000000-0005-0000-0000-00009F130000}"/>
    <cellStyle name="40% - Énfasis1 6 3" xfId="5087" xr:uid="{00000000-0005-0000-0000-0000A0130000}"/>
    <cellStyle name="40% - Énfasis1 6 3 2" xfId="5088" xr:uid="{00000000-0005-0000-0000-0000A1130000}"/>
    <cellStyle name="40% - Énfasis1 6 4" xfId="5089" xr:uid="{00000000-0005-0000-0000-0000A2130000}"/>
    <cellStyle name="40% - Énfasis1 6 4 2" xfId="5090" xr:uid="{00000000-0005-0000-0000-0000A3130000}"/>
    <cellStyle name="40% - Énfasis1 6 5" xfId="5091" xr:uid="{00000000-0005-0000-0000-0000A4130000}"/>
    <cellStyle name="40% - Énfasis1 6 6" xfId="5092" xr:uid="{00000000-0005-0000-0000-0000A5130000}"/>
    <cellStyle name="40% - Énfasis1 6 7" xfId="5093" xr:uid="{00000000-0005-0000-0000-0000A6130000}"/>
    <cellStyle name="40% - Énfasis1 6 8" xfId="5094" xr:uid="{00000000-0005-0000-0000-0000A7130000}"/>
    <cellStyle name="40% - Énfasis1 6 9" xfId="5095" xr:uid="{00000000-0005-0000-0000-0000A8130000}"/>
    <cellStyle name="40% - Énfasis1 60" xfId="5096" xr:uid="{00000000-0005-0000-0000-0000A9130000}"/>
    <cellStyle name="40% - Énfasis1 61" xfId="5097" xr:uid="{00000000-0005-0000-0000-0000AA130000}"/>
    <cellStyle name="40% - Énfasis1 62" xfId="5098" xr:uid="{00000000-0005-0000-0000-0000AB130000}"/>
    <cellStyle name="40% - Énfasis1 63" xfId="5099" xr:uid="{00000000-0005-0000-0000-0000AC130000}"/>
    <cellStyle name="40% - Énfasis1 64" xfId="5100" xr:uid="{00000000-0005-0000-0000-0000AD130000}"/>
    <cellStyle name="40% - Énfasis1 7 10" xfId="5101" xr:uid="{00000000-0005-0000-0000-0000AE130000}"/>
    <cellStyle name="40% - Énfasis1 7 11" xfId="5102" xr:uid="{00000000-0005-0000-0000-0000AF130000}"/>
    <cellStyle name="40% - Énfasis1 7 12" xfId="5103" xr:uid="{00000000-0005-0000-0000-0000B0130000}"/>
    <cellStyle name="40% - Énfasis1 7 13" xfId="5104" xr:uid="{00000000-0005-0000-0000-0000B1130000}"/>
    <cellStyle name="40% - Énfasis1 7 14" xfId="5105" xr:uid="{00000000-0005-0000-0000-0000B2130000}"/>
    <cellStyle name="40% - Énfasis1 7 15" xfId="5106" xr:uid="{00000000-0005-0000-0000-0000B3130000}"/>
    <cellStyle name="40% - Énfasis1 7 16" xfId="5107" xr:uid="{00000000-0005-0000-0000-0000B4130000}"/>
    <cellStyle name="40% - Énfasis1 7 17" xfId="5108" xr:uid="{00000000-0005-0000-0000-0000B5130000}"/>
    <cellStyle name="40% - Énfasis1 7 18" xfId="5109" xr:uid="{00000000-0005-0000-0000-0000B6130000}"/>
    <cellStyle name="40% - Énfasis1 7 19" xfId="5110" xr:uid="{00000000-0005-0000-0000-0000B7130000}"/>
    <cellStyle name="40% - Énfasis1 7 2" xfId="5111" xr:uid="{00000000-0005-0000-0000-0000B8130000}"/>
    <cellStyle name="40% - Énfasis1 7 2 2" xfId="5112" xr:uid="{00000000-0005-0000-0000-0000B9130000}"/>
    <cellStyle name="40% - Énfasis1 7 3" xfId="5113" xr:uid="{00000000-0005-0000-0000-0000BA130000}"/>
    <cellStyle name="40% - Énfasis1 7 3 2" xfId="5114" xr:uid="{00000000-0005-0000-0000-0000BB130000}"/>
    <cellStyle name="40% - Énfasis1 7 4" xfId="5115" xr:uid="{00000000-0005-0000-0000-0000BC130000}"/>
    <cellStyle name="40% - Énfasis1 7 4 2" xfId="5116" xr:uid="{00000000-0005-0000-0000-0000BD130000}"/>
    <cellStyle name="40% - Énfasis1 7 5" xfId="5117" xr:uid="{00000000-0005-0000-0000-0000BE130000}"/>
    <cellStyle name="40% - Énfasis1 7 6" xfId="5118" xr:uid="{00000000-0005-0000-0000-0000BF130000}"/>
    <cellStyle name="40% - Énfasis1 7 7" xfId="5119" xr:uid="{00000000-0005-0000-0000-0000C0130000}"/>
    <cellStyle name="40% - Énfasis1 7 8" xfId="5120" xr:uid="{00000000-0005-0000-0000-0000C1130000}"/>
    <cellStyle name="40% - Énfasis1 7 9" xfId="5121" xr:uid="{00000000-0005-0000-0000-0000C2130000}"/>
    <cellStyle name="40% - Énfasis1 8 10" xfId="5122" xr:uid="{00000000-0005-0000-0000-0000C3130000}"/>
    <cellStyle name="40% - Énfasis1 8 11" xfId="5123" xr:uid="{00000000-0005-0000-0000-0000C4130000}"/>
    <cellStyle name="40% - Énfasis1 8 12" xfId="5124" xr:uid="{00000000-0005-0000-0000-0000C5130000}"/>
    <cellStyle name="40% - Énfasis1 8 13" xfId="5125" xr:uid="{00000000-0005-0000-0000-0000C6130000}"/>
    <cellStyle name="40% - Énfasis1 8 14" xfId="5126" xr:uid="{00000000-0005-0000-0000-0000C7130000}"/>
    <cellStyle name="40% - Énfasis1 8 15" xfId="5127" xr:uid="{00000000-0005-0000-0000-0000C8130000}"/>
    <cellStyle name="40% - Énfasis1 8 16" xfId="5128" xr:uid="{00000000-0005-0000-0000-0000C9130000}"/>
    <cellStyle name="40% - Énfasis1 8 17" xfId="5129" xr:uid="{00000000-0005-0000-0000-0000CA130000}"/>
    <cellStyle name="40% - Énfasis1 8 18" xfId="5130" xr:uid="{00000000-0005-0000-0000-0000CB130000}"/>
    <cellStyle name="40% - Énfasis1 8 19" xfId="5131" xr:uid="{00000000-0005-0000-0000-0000CC130000}"/>
    <cellStyle name="40% - Énfasis1 8 2" xfId="5132" xr:uid="{00000000-0005-0000-0000-0000CD130000}"/>
    <cellStyle name="40% - Énfasis1 8 2 2" xfId="5133" xr:uid="{00000000-0005-0000-0000-0000CE130000}"/>
    <cellStyle name="40% - Énfasis1 8 3" xfId="5134" xr:uid="{00000000-0005-0000-0000-0000CF130000}"/>
    <cellStyle name="40% - Énfasis1 8 3 2" xfId="5135" xr:uid="{00000000-0005-0000-0000-0000D0130000}"/>
    <cellStyle name="40% - Énfasis1 8 4" xfId="5136" xr:uid="{00000000-0005-0000-0000-0000D1130000}"/>
    <cellStyle name="40% - Énfasis1 8 4 2" xfId="5137" xr:uid="{00000000-0005-0000-0000-0000D2130000}"/>
    <cellStyle name="40% - Énfasis1 8 5" xfId="5138" xr:uid="{00000000-0005-0000-0000-0000D3130000}"/>
    <cellStyle name="40% - Énfasis1 8 6" xfId="5139" xr:uid="{00000000-0005-0000-0000-0000D4130000}"/>
    <cellStyle name="40% - Énfasis1 8 7" xfId="5140" xr:uid="{00000000-0005-0000-0000-0000D5130000}"/>
    <cellStyle name="40% - Énfasis1 8 8" xfId="5141" xr:uid="{00000000-0005-0000-0000-0000D6130000}"/>
    <cellStyle name="40% - Énfasis1 8 9" xfId="5142" xr:uid="{00000000-0005-0000-0000-0000D7130000}"/>
    <cellStyle name="40% - Énfasis1 9 10" xfId="5143" xr:uid="{00000000-0005-0000-0000-0000D8130000}"/>
    <cellStyle name="40% - Énfasis1 9 11" xfId="5144" xr:uid="{00000000-0005-0000-0000-0000D9130000}"/>
    <cellStyle name="40% - Énfasis1 9 12" xfId="5145" xr:uid="{00000000-0005-0000-0000-0000DA130000}"/>
    <cellStyle name="40% - Énfasis1 9 13" xfId="5146" xr:uid="{00000000-0005-0000-0000-0000DB130000}"/>
    <cellStyle name="40% - Énfasis1 9 14" xfId="5147" xr:uid="{00000000-0005-0000-0000-0000DC130000}"/>
    <cellStyle name="40% - Énfasis1 9 15" xfId="5148" xr:uid="{00000000-0005-0000-0000-0000DD130000}"/>
    <cellStyle name="40% - Énfasis1 9 16" xfId="5149" xr:uid="{00000000-0005-0000-0000-0000DE130000}"/>
    <cellStyle name="40% - Énfasis1 9 17" xfId="5150" xr:uid="{00000000-0005-0000-0000-0000DF130000}"/>
    <cellStyle name="40% - Énfasis1 9 18" xfId="5151" xr:uid="{00000000-0005-0000-0000-0000E0130000}"/>
    <cellStyle name="40% - Énfasis1 9 19" xfId="5152" xr:uid="{00000000-0005-0000-0000-0000E1130000}"/>
    <cellStyle name="40% - Énfasis1 9 2" xfId="5153" xr:uid="{00000000-0005-0000-0000-0000E2130000}"/>
    <cellStyle name="40% - Énfasis1 9 2 2" xfId="5154" xr:uid="{00000000-0005-0000-0000-0000E3130000}"/>
    <cellStyle name="40% - Énfasis1 9 3" xfId="5155" xr:uid="{00000000-0005-0000-0000-0000E4130000}"/>
    <cellStyle name="40% - Énfasis1 9 3 2" xfId="5156" xr:uid="{00000000-0005-0000-0000-0000E5130000}"/>
    <cellStyle name="40% - Énfasis1 9 4" xfId="5157" xr:uid="{00000000-0005-0000-0000-0000E6130000}"/>
    <cellStyle name="40% - Énfasis1 9 4 2" xfId="5158" xr:uid="{00000000-0005-0000-0000-0000E7130000}"/>
    <cellStyle name="40% - Énfasis1 9 5" xfId="5159" xr:uid="{00000000-0005-0000-0000-0000E8130000}"/>
    <cellStyle name="40% - Énfasis1 9 6" xfId="5160" xr:uid="{00000000-0005-0000-0000-0000E9130000}"/>
    <cellStyle name="40% - Énfasis1 9 7" xfId="5161" xr:uid="{00000000-0005-0000-0000-0000EA130000}"/>
    <cellStyle name="40% - Énfasis1 9 8" xfId="5162" xr:uid="{00000000-0005-0000-0000-0000EB130000}"/>
    <cellStyle name="40% - Énfasis1 9 9" xfId="5163" xr:uid="{00000000-0005-0000-0000-0000EC130000}"/>
    <cellStyle name="40% - Énfasis2" xfId="32534" builtinId="35" customBuiltin="1"/>
    <cellStyle name="40% - Énfasis2 10 10" xfId="5164" xr:uid="{00000000-0005-0000-0000-0000EE130000}"/>
    <cellStyle name="40% - Énfasis2 10 11" xfId="5165" xr:uid="{00000000-0005-0000-0000-0000EF130000}"/>
    <cellStyle name="40% - Énfasis2 10 12" xfId="5166" xr:uid="{00000000-0005-0000-0000-0000F0130000}"/>
    <cellStyle name="40% - Énfasis2 10 13" xfId="5167" xr:uid="{00000000-0005-0000-0000-0000F1130000}"/>
    <cellStyle name="40% - Énfasis2 10 14" xfId="5168" xr:uid="{00000000-0005-0000-0000-0000F2130000}"/>
    <cellStyle name="40% - Énfasis2 10 15" xfId="5169" xr:uid="{00000000-0005-0000-0000-0000F3130000}"/>
    <cellStyle name="40% - Énfasis2 10 16" xfId="5170" xr:uid="{00000000-0005-0000-0000-0000F4130000}"/>
    <cellStyle name="40% - Énfasis2 10 17" xfId="5171" xr:uid="{00000000-0005-0000-0000-0000F5130000}"/>
    <cellStyle name="40% - Énfasis2 10 18" xfId="5172" xr:uid="{00000000-0005-0000-0000-0000F6130000}"/>
    <cellStyle name="40% - Énfasis2 10 19" xfId="5173" xr:uid="{00000000-0005-0000-0000-0000F7130000}"/>
    <cellStyle name="40% - Énfasis2 10 2" xfId="5174" xr:uid="{00000000-0005-0000-0000-0000F8130000}"/>
    <cellStyle name="40% - Énfasis2 10 2 2" xfId="5175" xr:uid="{00000000-0005-0000-0000-0000F9130000}"/>
    <cellStyle name="40% - Énfasis2 10 3" xfId="5176" xr:uid="{00000000-0005-0000-0000-0000FA130000}"/>
    <cellStyle name="40% - Énfasis2 10 3 2" xfId="5177" xr:uid="{00000000-0005-0000-0000-0000FB130000}"/>
    <cellStyle name="40% - Énfasis2 10 4" xfId="5178" xr:uid="{00000000-0005-0000-0000-0000FC130000}"/>
    <cellStyle name="40% - Énfasis2 10 4 2" xfId="5179" xr:uid="{00000000-0005-0000-0000-0000FD130000}"/>
    <cellStyle name="40% - Énfasis2 10 5" xfId="5180" xr:uid="{00000000-0005-0000-0000-0000FE130000}"/>
    <cellStyle name="40% - Énfasis2 10 6" xfId="5181" xr:uid="{00000000-0005-0000-0000-0000FF130000}"/>
    <cellStyle name="40% - Énfasis2 10 7" xfId="5182" xr:uid="{00000000-0005-0000-0000-000000140000}"/>
    <cellStyle name="40% - Énfasis2 10 8" xfId="5183" xr:uid="{00000000-0005-0000-0000-000001140000}"/>
    <cellStyle name="40% - Énfasis2 10 9" xfId="5184" xr:uid="{00000000-0005-0000-0000-000002140000}"/>
    <cellStyle name="40% - Énfasis2 11 10" xfId="5185" xr:uid="{00000000-0005-0000-0000-000003140000}"/>
    <cellStyle name="40% - Énfasis2 11 11" xfId="5186" xr:uid="{00000000-0005-0000-0000-000004140000}"/>
    <cellStyle name="40% - Énfasis2 11 12" xfId="5187" xr:uid="{00000000-0005-0000-0000-000005140000}"/>
    <cellStyle name="40% - Énfasis2 11 13" xfId="5188" xr:uid="{00000000-0005-0000-0000-000006140000}"/>
    <cellStyle name="40% - Énfasis2 11 14" xfId="5189" xr:uid="{00000000-0005-0000-0000-000007140000}"/>
    <cellStyle name="40% - Énfasis2 11 15" xfId="5190" xr:uid="{00000000-0005-0000-0000-000008140000}"/>
    <cellStyle name="40% - Énfasis2 11 16" xfId="5191" xr:uid="{00000000-0005-0000-0000-000009140000}"/>
    <cellStyle name="40% - Énfasis2 11 17" xfId="5192" xr:uid="{00000000-0005-0000-0000-00000A140000}"/>
    <cellStyle name="40% - Énfasis2 11 18" xfId="5193" xr:uid="{00000000-0005-0000-0000-00000B140000}"/>
    <cellStyle name="40% - Énfasis2 11 19" xfId="5194" xr:uid="{00000000-0005-0000-0000-00000C140000}"/>
    <cellStyle name="40% - Énfasis2 11 2" xfId="5195" xr:uid="{00000000-0005-0000-0000-00000D140000}"/>
    <cellStyle name="40% - Énfasis2 11 2 2" xfId="5196" xr:uid="{00000000-0005-0000-0000-00000E140000}"/>
    <cellStyle name="40% - Énfasis2 11 3" xfId="5197" xr:uid="{00000000-0005-0000-0000-00000F140000}"/>
    <cellStyle name="40% - Énfasis2 11 3 2" xfId="5198" xr:uid="{00000000-0005-0000-0000-000010140000}"/>
    <cellStyle name="40% - Énfasis2 11 4" xfId="5199" xr:uid="{00000000-0005-0000-0000-000011140000}"/>
    <cellStyle name="40% - Énfasis2 11 4 2" xfId="5200" xr:uid="{00000000-0005-0000-0000-000012140000}"/>
    <cellStyle name="40% - Énfasis2 11 5" xfId="5201" xr:uid="{00000000-0005-0000-0000-000013140000}"/>
    <cellStyle name="40% - Énfasis2 11 6" xfId="5202" xr:uid="{00000000-0005-0000-0000-000014140000}"/>
    <cellStyle name="40% - Énfasis2 11 7" xfId="5203" xr:uid="{00000000-0005-0000-0000-000015140000}"/>
    <cellStyle name="40% - Énfasis2 11 8" xfId="5204" xr:uid="{00000000-0005-0000-0000-000016140000}"/>
    <cellStyle name="40% - Énfasis2 11 9" xfId="5205" xr:uid="{00000000-0005-0000-0000-000017140000}"/>
    <cellStyle name="40% - Énfasis2 12 10" xfId="5206" xr:uid="{00000000-0005-0000-0000-000018140000}"/>
    <cellStyle name="40% - Énfasis2 12 11" xfId="5207" xr:uid="{00000000-0005-0000-0000-000019140000}"/>
    <cellStyle name="40% - Énfasis2 12 12" xfId="5208" xr:uid="{00000000-0005-0000-0000-00001A140000}"/>
    <cellStyle name="40% - Énfasis2 12 13" xfId="5209" xr:uid="{00000000-0005-0000-0000-00001B140000}"/>
    <cellStyle name="40% - Énfasis2 12 14" xfId="5210" xr:uid="{00000000-0005-0000-0000-00001C140000}"/>
    <cellStyle name="40% - Énfasis2 12 15" xfId="5211" xr:uid="{00000000-0005-0000-0000-00001D140000}"/>
    <cellStyle name="40% - Énfasis2 12 16" xfId="5212" xr:uid="{00000000-0005-0000-0000-00001E140000}"/>
    <cellStyle name="40% - Énfasis2 12 17" xfId="5213" xr:uid="{00000000-0005-0000-0000-00001F140000}"/>
    <cellStyle name="40% - Énfasis2 12 18" xfId="5214" xr:uid="{00000000-0005-0000-0000-000020140000}"/>
    <cellStyle name="40% - Énfasis2 12 19" xfId="5215" xr:uid="{00000000-0005-0000-0000-000021140000}"/>
    <cellStyle name="40% - Énfasis2 12 2" xfId="5216" xr:uid="{00000000-0005-0000-0000-000022140000}"/>
    <cellStyle name="40% - Énfasis2 12 2 2" xfId="5217" xr:uid="{00000000-0005-0000-0000-000023140000}"/>
    <cellStyle name="40% - Énfasis2 12 3" xfId="5218" xr:uid="{00000000-0005-0000-0000-000024140000}"/>
    <cellStyle name="40% - Énfasis2 12 3 2" xfId="5219" xr:uid="{00000000-0005-0000-0000-000025140000}"/>
    <cellStyle name="40% - Énfasis2 12 4" xfId="5220" xr:uid="{00000000-0005-0000-0000-000026140000}"/>
    <cellStyle name="40% - Énfasis2 12 4 2" xfId="5221" xr:uid="{00000000-0005-0000-0000-000027140000}"/>
    <cellStyle name="40% - Énfasis2 12 5" xfId="5222" xr:uid="{00000000-0005-0000-0000-000028140000}"/>
    <cellStyle name="40% - Énfasis2 12 6" xfId="5223" xr:uid="{00000000-0005-0000-0000-000029140000}"/>
    <cellStyle name="40% - Énfasis2 12 7" xfId="5224" xr:uid="{00000000-0005-0000-0000-00002A140000}"/>
    <cellStyle name="40% - Énfasis2 12 8" xfId="5225" xr:uid="{00000000-0005-0000-0000-00002B140000}"/>
    <cellStyle name="40% - Énfasis2 12 9" xfId="5226" xr:uid="{00000000-0005-0000-0000-00002C140000}"/>
    <cellStyle name="40% - Énfasis2 13 10" xfId="5227" xr:uid="{00000000-0005-0000-0000-00002D140000}"/>
    <cellStyle name="40% - Énfasis2 13 11" xfId="5228" xr:uid="{00000000-0005-0000-0000-00002E140000}"/>
    <cellStyle name="40% - Énfasis2 13 12" xfId="5229" xr:uid="{00000000-0005-0000-0000-00002F140000}"/>
    <cellStyle name="40% - Énfasis2 13 13" xfId="5230" xr:uid="{00000000-0005-0000-0000-000030140000}"/>
    <cellStyle name="40% - Énfasis2 13 14" xfId="5231" xr:uid="{00000000-0005-0000-0000-000031140000}"/>
    <cellStyle name="40% - Énfasis2 13 15" xfId="5232" xr:uid="{00000000-0005-0000-0000-000032140000}"/>
    <cellStyle name="40% - Énfasis2 13 16" xfId="5233" xr:uid="{00000000-0005-0000-0000-000033140000}"/>
    <cellStyle name="40% - Énfasis2 13 17" xfId="5234" xr:uid="{00000000-0005-0000-0000-000034140000}"/>
    <cellStyle name="40% - Énfasis2 13 18" xfId="5235" xr:uid="{00000000-0005-0000-0000-000035140000}"/>
    <cellStyle name="40% - Énfasis2 13 19" xfId="5236" xr:uid="{00000000-0005-0000-0000-000036140000}"/>
    <cellStyle name="40% - Énfasis2 13 2" xfId="5237" xr:uid="{00000000-0005-0000-0000-000037140000}"/>
    <cellStyle name="40% - Énfasis2 13 2 2" xfId="5238" xr:uid="{00000000-0005-0000-0000-000038140000}"/>
    <cellStyle name="40% - Énfasis2 13 3" xfId="5239" xr:uid="{00000000-0005-0000-0000-000039140000}"/>
    <cellStyle name="40% - Énfasis2 13 3 2" xfId="5240" xr:uid="{00000000-0005-0000-0000-00003A140000}"/>
    <cellStyle name="40% - Énfasis2 13 4" xfId="5241" xr:uid="{00000000-0005-0000-0000-00003B140000}"/>
    <cellStyle name="40% - Énfasis2 13 4 2" xfId="5242" xr:uid="{00000000-0005-0000-0000-00003C140000}"/>
    <cellStyle name="40% - Énfasis2 13 5" xfId="5243" xr:uid="{00000000-0005-0000-0000-00003D140000}"/>
    <cellStyle name="40% - Énfasis2 13 6" xfId="5244" xr:uid="{00000000-0005-0000-0000-00003E140000}"/>
    <cellStyle name="40% - Énfasis2 13 7" xfId="5245" xr:uid="{00000000-0005-0000-0000-00003F140000}"/>
    <cellStyle name="40% - Énfasis2 13 8" xfId="5246" xr:uid="{00000000-0005-0000-0000-000040140000}"/>
    <cellStyle name="40% - Énfasis2 13 9" xfId="5247" xr:uid="{00000000-0005-0000-0000-000041140000}"/>
    <cellStyle name="40% - Énfasis2 14 10" xfId="5248" xr:uid="{00000000-0005-0000-0000-000042140000}"/>
    <cellStyle name="40% - Énfasis2 14 11" xfId="5249" xr:uid="{00000000-0005-0000-0000-000043140000}"/>
    <cellStyle name="40% - Énfasis2 14 12" xfId="5250" xr:uid="{00000000-0005-0000-0000-000044140000}"/>
    <cellStyle name="40% - Énfasis2 14 13" xfId="5251" xr:uid="{00000000-0005-0000-0000-000045140000}"/>
    <cellStyle name="40% - Énfasis2 14 14" xfId="5252" xr:uid="{00000000-0005-0000-0000-000046140000}"/>
    <cellStyle name="40% - Énfasis2 14 15" xfId="5253" xr:uid="{00000000-0005-0000-0000-000047140000}"/>
    <cellStyle name="40% - Énfasis2 14 16" xfId="5254" xr:uid="{00000000-0005-0000-0000-000048140000}"/>
    <cellStyle name="40% - Énfasis2 14 17" xfId="5255" xr:uid="{00000000-0005-0000-0000-000049140000}"/>
    <cellStyle name="40% - Énfasis2 14 18" xfId="5256" xr:uid="{00000000-0005-0000-0000-00004A140000}"/>
    <cellStyle name="40% - Énfasis2 14 19" xfId="5257" xr:uid="{00000000-0005-0000-0000-00004B140000}"/>
    <cellStyle name="40% - Énfasis2 14 2" xfId="5258" xr:uid="{00000000-0005-0000-0000-00004C140000}"/>
    <cellStyle name="40% - Énfasis2 14 2 2" xfId="5259" xr:uid="{00000000-0005-0000-0000-00004D140000}"/>
    <cellStyle name="40% - Énfasis2 14 3" xfId="5260" xr:uid="{00000000-0005-0000-0000-00004E140000}"/>
    <cellStyle name="40% - Énfasis2 14 3 2" xfId="5261" xr:uid="{00000000-0005-0000-0000-00004F140000}"/>
    <cellStyle name="40% - Énfasis2 14 4" xfId="5262" xr:uid="{00000000-0005-0000-0000-000050140000}"/>
    <cellStyle name="40% - Énfasis2 14 4 2" xfId="5263" xr:uid="{00000000-0005-0000-0000-000051140000}"/>
    <cellStyle name="40% - Énfasis2 14 5" xfId="5264" xr:uid="{00000000-0005-0000-0000-000052140000}"/>
    <cellStyle name="40% - Énfasis2 14 6" xfId="5265" xr:uid="{00000000-0005-0000-0000-000053140000}"/>
    <cellStyle name="40% - Énfasis2 14 7" xfId="5266" xr:uid="{00000000-0005-0000-0000-000054140000}"/>
    <cellStyle name="40% - Énfasis2 14 8" xfId="5267" xr:uid="{00000000-0005-0000-0000-000055140000}"/>
    <cellStyle name="40% - Énfasis2 14 9" xfId="5268" xr:uid="{00000000-0005-0000-0000-000056140000}"/>
    <cellStyle name="40% - Énfasis2 15 10" xfId="5269" xr:uid="{00000000-0005-0000-0000-000057140000}"/>
    <cellStyle name="40% - Énfasis2 15 11" xfId="5270" xr:uid="{00000000-0005-0000-0000-000058140000}"/>
    <cellStyle name="40% - Énfasis2 15 12" xfId="5271" xr:uid="{00000000-0005-0000-0000-000059140000}"/>
    <cellStyle name="40% - Énfasis2 15 13" xfId="5272" xr:uid="{00000000-0005-0000-0000-00005A140000}"/>
    <cellStyle name="40% - Énfasis2 15 14" xfId="5273" xr:uid="{00000000-0005-0000-0000-00005B140000}"/>
    <cellStyle name="40% - Énfasis2 15 15" xfId="5274" xr:uid="{00000000-0005-0000-0000-00005C140000}"/>
    <cellStyle name="40% - Énfasis2 15 16" xfId="5275" xr:uid="{00000000-0005-0000-0000-00005D140000}"/>
    <cellStyle name="40% - Énfasis2 15 17" xfId="5276" xr:uid="{00000000-0005-0000-0000-00005E140000}"/>
    <cellStyle name="40% - Énfasis2 15 18" xfId="5277" xr:uid="{00000000-0005-0000-0000-00005F140000}"/>
    <cellStyle name="40% - Énfasis2 15 19" xfId="5278" xr:uid="{00000000-0005-0000-0000-000060140000}"/>
    <cellStyle name="40% - Énfasis2 15 2" xfId="5279" xr:uid="{00000000-0005-0000-0000-000061140000}"/>
    <cellStyle name="40% - Énfasis2 15 2 2" xfId="5280" xr:uid="{00000000-0005-0000-0000-000062140000}"/>
    <cellStyle name="40% - Énfasis2 15 3" xfId="5281" xr:uid="{00000000-0005-0000-0000-000063140000}"/>
    <cellStyle name="40% - Énfasis2 15 3 2" xfId="5282" xr:uid="{00000000-0005-0000-0000-000064140000}"/>
    <cellStyle name="40% - Énfasis2 15 4" xfId="5283" xr:uid="{00000000-0005-0000-0000-000065140000}"/>
    <cellStyle name="40% - Énfasis2 15 4 2" xfId="5284" xr:uid="{00000000-0005-0000-0000-000066140000}"/>
    <cellStyle name="40% - Énfasis2 15 5" xfId="5285" xr:uid="{00000000-0005-0000-0000-000067140000}"/>
    <cellStyle name="40% - Énfasis2 15 6" xfId="5286" xr:uid="{00000000-0005-0000-0000-000068140000}"/>
    <cellStyle name="40% - Énfasis2 15 7" xfId="5287" xr:uid="{00000000-0005-0000-0000-000069140000}"/>
    <cellStyle name="40% - Énfasis2 15 8" xfId="5288" xr:uid="{00000000-0005-0000-0000-00006A140000}"/>
    <cellStyle name="40% - Énfasis2 15 9" xfId="5289" xr:uid="{00000000-0005-0000-0000-00006B140000}"/>
    <cellStyle name="40% - Énfasis2 16 10" xfId="5290" xr:uid="{00000000-0005-0000-0000-00006C140000}"/>
    <cellStyle name="40% - Énfasis2 16 11" xfId="5291" xr:uid="{00000000-0005-0000-0000-00006D140000}"/>
    <cellStyle name="40% - Énfasis2 16 12" xfId="5292" xr:uid="{00000000-0005-0000-0000-00006E140000}"/>
    <cellStyle name="40% - Énfasis2 16 13" xfId="5293" xr:uid="{00000000-0005-0000-0000-00006F140000}"/>
    <cellStyle name="40% - Énfasis2 16 14" xfId="5294" xr:uid="{00000000-0005-0000-0000-000070140000}"/>
    <cellStyle name="40% - Énfasis2 16 15" xfId="5295" xr:uid="{00000000-0005-0000-0000-000071140000}"/>
    <cellStyle name="40% - Énfasis2 16 16" xfId="5296" xr:uid="{00000000-0005-0000-0000-000072140000}"/>
    <cellStyle name="40% - Énfasis2 16 17" xfId="5297" xr:uid="{00000000-0005-0000-0000-000073140000}"/>
    <cellStyle name="40% - Énfasis2 16 18" xfId="5298" xr:uid="{00000000-0005-0000-0000-000074140000}"/>
    <cellStyle name="40% - Énfasis2 16 19" xfId="5299" xr:uid="{00000000-0005-0000-0000-000075140000}"/>
    <cellStyle name="40% - Énfasis2 16 2" xfId="5300" xr:uid="{00000000-0005-0000-0000-000076140000}"/>
    <cellStyle name="40% - Énfasis2 16 2 2" xfId="5301" xr:uid="{00000000-0005-0000-0000-000077140000}"/>
    <cellStyle name="40% - Énfasis2 16 3" xfId="5302" xr:uid="{00000000-0005-0000-0000-000078140000}"/>
    <cellStyle name="40% - Énfasis2 16 3 2" xfId="5303" xr:uid="{00000000-0005-0000-0000-000079140000}"/>
    <cellStyle name="40% - Énfasis2 16 4" xfId="5304" xr:uid="{00000000-0005-0000-0000-00007A140000}"/>
    <cellStyle name="40% - Énfasis2 16 4 2" xfId="5305" xr:uid="{00000000-0005-0000-0000-00007B140000}"/>
    <cellStyle name="40% - Énfasis2 16 5" xfId="5306" xr:uid="{00000000-0005-0000-0000-00007C140000}"/>
    <cellStyle name="40% - Énfasis2 16 6" xfId="5307" xr:uid="{00000000-0005-0000-0000-00007D140000}"/>
    <cellStyle name="40% - Énfasis2 16 7" xfId="5308" xr:uid="{00000000-0005-0000-0000-00007E140000}"/>
    <cellStyle name="40% - Énfasis2 16 8" xfId="5309" xr:uid="{00000000-0005-0000-0000-00007F140000}"/>
    <cellStyle name="40% - Énfasis2 16 9" xfId="5310" xr:uid="{00000000-0005-0000-0000-000080140000}"/>
    <cellStyle name="40% - Énfasis2 17 10" xfId="5311" xr:uid="{00000000-0005-0000-0000-000081140000}"/>
    <cellStyle name="40% - Énfasis2 17 11" xfId="5312" xr:uid="{00000000-0005-0000-0000-000082140000}"/>
    <cellStyle name="40% - Énfasis2 17 12" xfId="5313" xr:uid="{00000000-0005-0000-0000-000083140000}"/>
    <cellStyle name="40% - Énfasis2 17 13" xfId="5314" xr:uid="{00000000-0005-0000-0000-000084140000}"/>
    <cellStyle name="40% - Énfasis2 17 14" xfId="5315" xr:uid="{00000000-0005-0000-0000-000085140000}"/>
    <cellStyle name="40% - Énfasis2 17 15" xfId="5316" xr:uid="{00000000-0005-0000-0000-000086140000}"/>
    <cellStyle name="40% - Énfasis2 17 16" xfId="5317" xr:uid="{00000000-0005-0000-0000-000087140000}"/>
    <cellStyle name="40% - Énfasis2 17 17" xfId="5318" xr:uid="{00000000-0005-0000-0000-000088140000}"/>
    <cellStyle name="40% - Énfasis2 17 18" xfId="5319" xr:uid="{00000000-0005-0000-0000-000089140000}"/>
    <cellStyle name="40% - Énfasis2 17 19" xfId="5320" xr:uid="{00000000-0005-0000-0000-00008A140000}"/>
    <cellStyle name="40% - Énfasis2 17 2" xfId="5321" xr:uid="{00000000-0005-0000-0000-00008B140000}"/>
    <cellStyle name="40% - Énfasis2 17 2 2" xfId="5322" xr:uid="{00000000-0005-0000-0000-00008C140000}"/>
    <cellStyle name="40% - Énfasis2 17 3" xfId="5323" xr:uid="{00000000-0005-0000-0000-00008D140000}"/>
    <cellStyle name="40% - Énfasis2 17 3 2" xfId="5324" xr:uid="{00000000-0005-0000-0000-00008E140000}"/>
    <cellStyle name="40% - Énfasis2 17 4" xfId="5325" xr:uid="{00000000-0005-0000-0000-00008F140000}"/>
    <cellStyle name="40% - Énfasis2 17 4 2" xfId="5326" xr:uid="{00000000-0005-0000-0000-000090140000}"/>
    <cellStyle name="40% - Énfasis2 17 5" xfId="5327" xr:uid="{00000000-0005-0000-0000-000091140000}"/>
    <cellStyle name="40% - Énfasis2 17 6" xfId="5328" xr:uid="{00000000-0005-0000-0000-000092140000}"/>
    <cellStyle name="40% - Énfasis2 17 7" xfId="5329" xr:uid="{00000000-0005-0000-0000-000093140000}"/>
    <cellStyle name="40% - Énfasis2 17 8" xfId="5330" xr:uid="{00000000-0005-0000-0000-000094140000}"/>
    <cellStyle name="40% - Énfasis2 17 9" xfId="5331" xr:uid="{00000000-0005-0000-0000-000095140000}"/>
    <cellStyle name="40% - Énfasis2 18 10" xfId="5332" xr:uid="{00000000-0005-0000-0000-000096140000}"/>
    <cellStyle name="40% - Énfasis2 18 11" xfId="5333" xr:uid="{00000000-0005-0000-0000-000097140000}"/>
    <cellStyle name="40% - Énfasis2 18 12" xfId="5334" xr:uid="{00000000-0005-0000-0000-000098140000}"/>
    <cellStyle name="40% - Énfasis2 18 13" xfId="5335" xr:uid="{00000000-0005-0000-0000-000099140000}"/>
    <cellStyle name="40% - Énfasis2 18 14" xfId="5336" xr:uid="{00000000-0005-0000-0000-00009A140000}"/>
    <cellStyle name="40% - Énfasis2 18 15" xfId="5337" xr:uid="{00000000-0005-0000-0000-00009B140000}"/>
    <cellStyle name="40% - Énfasis2 18 16" xfId="5338" xr:uid="{00000000-0005-0000-0000-00009C140000}"/>
    <cellStyle name="40% - Énfasis2 18 17" xfId="5339" xr:uid="{00000000-0005-0000-0000-00009D140000}"/>
    <cellStyle name="40% - Énfasis2 18 18" xfId="5340" xr:uid="{00000000-0005-0000-0000-00009E140000}"/>
    <cellStyle name="40% - Énfasis2 18 19" xfId="5341" xr:uid="{00000000-0005-0000-0000-00009F140000}"/>
    <cellStyle name="40% - Énfasis2 18 2" xfId="5342" xr:uid="{00000000-0005-0000-0000-0000A0140000}"/>
    <cellStyle name="40% - Énfasis2 18 2 2" xfId="5343" xr:uid="{00000000-0005-0000-0000-0000A1140000}"/>
    <cellStyle name="40% - Énfasis2 18 3" xfId="5344" xr:uid="{00000000-0005-0000-0000-0000A2140000}"/>
    <cellStyle name="40% - Énfasis2 18 3 2" xfId="5345" xr:uid="{00000000-0005-0000-0000-0000A3140000}"/>
    <cellStyle name="40% - Énfasis2 18 4" xfId="5346" xr:uid="{00000000-0005-0000-0000-0000A4140000}"/>
    <cellStyle name="40% - Énfasis2 18 4 2" xfId="5347" xr:uid="{00000000-0005-0000-0000-0000A5140000}"/>
    <cellStyle name="40% - Énfasis2 18 5" xfId="5348" xr:uid="{00000000-0005-0000-0000-0000A6140000}"/>
    <cellStyle name="40% - Énfasis2 18 6" xfId="5349" xr:uid="{00000000-0005-0000-0000-0000A7140000}"/>
    <cellStyle name="40% - Énfasis2 18 7" xfId="5350" xr:uid="{00000000-0005-0000-0000-0000A8140000}"/>
    <cellStyle name="40% - Énfasis2 18 8" xfId="5351" xr:uid="{00000000-0005-0000-0000-0000A9140000}"/>
    <cellStyle name="40% - Énfasis2 18 9" xfId="5352" xr:uid="{00000000-0005-0000-0000-0000AA140000}"/>
    <cellStyle name="40% - Énfasis2 19 10" xfId="5353" xr:uid="{00000000-0005-0000-0000-0000AB140000}"/>
    <cellStyle name="40% - Énfasis2 19 11" xfId="5354" xr:uid="{00000000-0005-0000-0000-0000AC140000}"/>
    <cellStyle name="40% - Énfasis2 19 12" xfId="5355" xr:uid="{00000000-0005-0000-0000-0000AD140000}"/>
    <cellStyle name="40% - Énfasis2 19 13" xfId="5356" xr:uid="{00000000-0005-0000-0000-0000AE140000}"/>
    <cellStyle name="40% - Énfasis2 19 14" xfId="5357" xr:uid="{00000000-0005-0000-0000-0000AF140000}"/>
    <cellStyle name="40% - Énfasis2 19 15" xfId="5358" xr:uid="{00000000-0005-0000-0000-0000B0140000}"/>
    <cellStyle name="40% - Énfasis2 19 16" xfId="5359" xr:uid="{00000000-0005-0000-0000-0000B1140000}"/>
    <cellStyle name="40% - Énfasis2 19 17" xfId="5360" xr:uid="{00000000-0005-0000-0000-0000B2140000}"/>
    <cellStyle name="40% - Énfasis2 19 18" xfId="5361" xr:uid="{00000000-0005-0000-0000-0000B3140000}"/>
    <cellStyle name="40% - Énfasis2 19 19" xfId="5362" xr:uid="{00000000-0005-0000-0000-0000B4140000}"/>
    <cellStyle name="40% - Énfasis2 19 2" xfId="5363" xr:uid="{00000000-0005-0000-0000-0000B5140000}"/>
    <cellStyle name="40% - Énfasis2 19 2 2" xfId="5364" xr:uid="{00000000-0005-0000-0000-0000B6140000}"/>
    <cellStyle name="40% - Énfasis2 19 3" xfId="5365" xr:uid="{00000000-0005-0000-0000-0000B7140000}"/>
    <cellStyle name="40% - Énfasis2 19 3 2" xfId="5366" xr:uid="{00000000-0005-0000-0000-0000B8140000}"/>
    <cellStyle name="40% - Énfasis2 19 4" xfId="5367" xr:uid="{00000000-0005-0000-0000-0000B9140000}"/>
    <cellStyle name="40% - Énfasis2 19 4 2" xfId="5368" xr:uid="{00000000-0005-0000-0000-0000BA140000}"/>
    <cellStyle name="40% - Énfasis2 19 5" xfId="5369" xr:uid="{00000000-0005-0000-0000-0000BB140000}"/>
    <cellStyle name="40% - Énfasis2 19 6" xfId="5370" xr:uid="{00000000-0005-0000-0000-0000BC140000}"/>
    <cellStyle name="40% - Énfasis2 19 7" xfId="5371" xr:uid="{00000000-0005-0000-0000-0000BD140000}"/>
    <cellStyle name="40% - Énfasis2 19 8" xfId="5372" xr:uid="{00000000-0005-0000-0000-0000BE140000}"/>
    <cellStyle name="40% - Énfasis2 19 9" xfId="5373" xr:uid="{00000000-0005-0000-0000-0000BF140000}"/>
    <cellStyle name="40% - Énfasis2 2 10" xfId="5374" xr:uid="{00000000-0005-0000-0000-0000C0140000}"/>
    <cellStyle name="40% - Énfasis2 2 11" xfId="5375" xr:uid="{00000000-0005-0000-0000-0000C1140000}"/>
    <cellStyle name="40% - Énfasis2 2 12" xfId="5376" xr:uid="{00000000-0005-0000-0000-0000C2140000}"/>
    <cellStyle name="40% - Énfasis2 2 13" xfId="5377" xr:uid="{00000000-0005-0000-0000-0000C3140000}"/>
    <cellStyle name="40% - Énfasis2 2 14" xfId="5378" xr:uid="{00000000-0005-0000-0000-0000C4140000}"/>
    <cellStyle name="40% - Énfasis2 2 15" xfId="5379" xr:uid="{00000000-0005-0000-0000-0000C5140000}"/>
    <cellStyle name="40% - Énfasis2 2 16" xfId="5380" xr:uid="{00000000-0005-0000-0000-0000C6140000}"/>
    <cellStyle name="40% - Énfasis2 2 17" xfId="5381" xr:uid="{00000000-0005-0000-0000-0000C7140000}"/>
    <cellStyle name="40% - Énfasis2 2 18" xfId="5382" xr:uid="{00000000-0005-0000-0000-0000C8140000}"/>
    <cellStyle name="40% - Énfasis2 2 19" xfId="5383" xr:uid="{00000000-0005-0000-0000-0000C9140000}"/>
    <cellStyle name="40% - Énfasis2 2 2" xfId="5384" xr:uid="{00000000-0005-0000-0000-0000CA140000}"/>
    <cellStyle name="40% - Énfasis2 2 2 2" xfId="5385" xr:uid="{00000000-0005-0000-0000-0000CB140000}"/>
    <cellStyle name="40% - Énfasis2 2 3" xfId="5386" xr:uid="{00000000-0005-0000-0000-0000CC140000}"/>
    <cellStyle name="40% - Énfasis2 2 3 2" xfId="5387" xr:uid="{00000000-0005-0000-0000-0000CD140000}"/>
    <cellStyle name="40% - Énfasis2 2 4" xfId="5388" xr:uid="{00000000-0005-0000-0000-0000CE140000}"/>
    <cellStyle name="40% - Énfasis2 2 4 2" xfId="5389" xr:uid="{00000000-0005-0000-0000-0000CF140000}"/>
    <cellStyle name="40% - Énfasis2 2 5" xfId="5390" xr:uid="{00000000-0005-0000-0000-0000D0140000}"/>
    <cellStyle name="40% - Énfasis2 2 6" xfId="5391" xr:uid="{00000000-0005-0000-0000-0000D1140000}"/>
    <cellStyle name="40% - Énfasis2 2 7" xfId="5392" xr:uid="{00000000-0005-0000-0000-0000D2140000}"/>
    <cellStyle name="40% - Énfasis2 2 8" xfId="5393" xr:uid="{00000000-0005-0000-0000-0000D3140000}"/>
    <cellStyle name="40% - Énfasis2 2 9" xfId="5394" xr:uid="{00000000-0005-0000-0000-0000D4140000}"/>
    <cellStyle name="40% - Énfasis2 20 10" xfId="5395" xr:uid="{00000000-0005-0000-0000-0000D5140000}"/>
    <cellStyle name="40% - Énfasis2 20 11" xfId="5396" xr:uid="{00000000-0005-0000-0000-0000D6140000}"/>
    <cellStyle name="40% - Énfasis2 20 12" xfId="5397" xr:uid="{00000000-0005-0000-0000-0000D7140000}"/>
    <cellStyle name="40% - Énfasis2 20 13" xfId="5398" xr:uid="{00000000-0005-0000-0000-0000D8140000}"/>
    <cellStyle name="40% - Énfasis2 20 14" xfId="5399" xr:uid="{00000000-0005-0000-0000-0000D9140000}"/>
    <cellStyle name="40% - Énfasis2 20 15" xfId="5400" xr:uid="{00000000-0005-0000-0000-0000DA140000}"/>
    <cellStyle name="40% - Énfasis2 20 16" xfId="5401" xr:uid="{00000000-0005-0000-0000-0000DB140000}"/>
    <cellStyle name="40% - Énfasis2 20 17" xfId="5402" xr:uid="{00000000-0005-0000-0000-0000DC140000}"/>
    <cellStyle name="40% - Énfasis2 20 18" xfId="5403" xr:uid="{00000000-0005-0000-0000-0000DD140000}"/>
    <cellStyle name="40% - Énfasis2 20 19" xfId="5404" xr:uid="{00000000-0005-0000-0000-0000DE140000}"/>
    <cellStyle name="40% - Énfasis2 20 2" xfId="5405" xr:uid="{00000000-0005-0000-0000-0000DF140000}"/>
    <cellStyle name="40% - Énfasis2 20 2 2" xfId="5406" xr:uid="{00000000-0005-0000-0000-0000E0140000}"/>
    <cellStyle name="40% - Énfasis2 20 3" xfId="5407" xr:uid="{00000000-0005-0000-0000-0000E1140000}"/>
    <cellStyle name="40% - Énfasis2 20 3 2" xfId="5408" xr:uid="{00000000-0005-0000-0000-0000E2140000}"/>
    <cellStyle name="40% - Énfasis2 20 4" xfId="5409" xr:uid="{00000000-0005-0000-0000-0000E3140000}"/>
    <cellStyle name="40% - Énfasis2 20 4 2" xfId="5410" xr:uid="{00000000-0005-0000-0000-0000E4140000}"/>
    <cellStyle name="40% - Énfasis2 20 5" xfId="5411" xr:uid="{00000000-0005-0000-0000-0000E5140000}"/>
    <cellStyle name="40% - Énfasis2 20 6" xfId="5412" xr:uid="{00000000-0005-0000-0000-0000E6140000}"/>
    <cellStyle name="40% - Énfasis2 20 7" xfId="5413" xr:uid="{00000000-0005-0000-0000-0000E7140000}"/>
    <cellStyle name="40% - Énfasis2 20 8" xfId="5414" xr:uid="{00000000-0005-0000-0000-0000E8140000}"/>
    <cellStyle name="40% - Énfasis2 20 9" xfId="5415" xr:uid="{00000000-0005-0000-0000-0000E9140000}"/>
    <cellStyle name="40% - Énfasis2 21 10" xfId="5416" xr:uid="{00000000-0005-0000-0000-0000EA140000}"/>
    <cellStyle name="40% - Énfasis2 21 11" xfId="5417" xr:uid="{00000000-0005-0000-0000-0000EB140000}"/>
    <cellStyle name="40% - Énfasis2 21 12" xfId="5418" xr:uid="{00000000-0005-0000-0000-0000EC140000}"/>
    <cellStyle name="40% - Énfasis2 21 13" xfId="5419" xr:uid="{00000000-0005-0000-0000-0000ED140000}"/>
    <cellStyle name="40% - Énfasis2 21 14" xfId="5420" xr:uid="{00000000-0005-0000-0000-0000EE140000}"/>
    <cellStyle name="40% - Énfasis2 21 15" xfId="5421" xr:uid="{00000000-0005-0000-0000-0000EF140000}"/>
    <cellStyle name="40% - Énfasis2 21 16" xfId="5422" xr:uid="{00000000-0005-0000-0000-0000F0140000}"/>
    <cellStyle name="40% - Énfasis2 21 17" xfId="5423" xr:uid="{00000000-0005-0000-0000-0000F1140000}"/>
    <cellStyle name="40% - Énfasis2 21 18" xfId="5424" xr:uid="{00000000-0005-0000-0000-0000F2140000}"/>
    <cellStyle name="40% - Énfasis2 21 19" xfId="5425" xr:uid="{00000000-0005-0000-0000-0000F3140000}"/>
    <cellStyle name="40% - Énfasis2 21 2" xfId="5426" xr:uid="{00000000-0005-0000-0000-0000F4140000}"/>
    <cellStyle name="40% - Énfasis2 21 2 2" xfId="5427" xr:uid="{00000000-0005-0000-0000-0000F5140000}"/>
    <cellStyle name="40% - Énfasis2 21 3" xfId="5428" xr:uid="{00000000-0005-0000-0000-0000F6140000}"/>
    <cellStyle name="40% - Énfasis2 21 3 2" xfId="5429" xr:uid="{00000000-0005-0000-0000-0000F7140000}"/>
    <cellStyle name="40% - Énfasis2 21 4" xfId="5430" xr:uid="{00000000-0005-0000-0000-0000F8140000}"/>
    <cellStyle name="40% - Énfasis2 21 4 2" xfId="5431" xr:uid="{00000000-0005-0000-0000-0000F9140000}"/>
    <cellStyle name="40% - Énfasis2 21 5" xfId="5432" xr:uid="{00000000-0005-0000-0000-0000FA140000}"/>
    <cellStyle name="40% - Énfasis2 21 6" xfId="5433" xr:uid="{00000000-0005-0000-0000-0000FB140000}"/>
    <cellStyle name="40% - Énfasis2 21 7" xfId="5434" xr:uid="{00000000-0005-0000-0000-0000FC140000}"/>
    <cellStyle name="40% - Énfasis2 21 8" xfId="5435" xr:uid="{00000000-0005-0000-0000-0000FD140000}"/>
    <cellStyle name="40% - Énfasis2 21 9" xfId="5436" xr:uid="{00000000-0005-0000-0000-0000FE140000}"/>
    <cellStyle name="40% - Énfasis2 22 10" xfId="5437" xr:uid="{00000000-0005-0000-0000-0000FF140000}"/>
    <cellStyle name="40% - Énfasis2 22 11" xfId="5438" xr:uid="{00000000-0005-0000-0000-000000150000}"/>
    <cellStyle name="40% - Énfasis2 22 12" xfId="5439" xr:uid="{00000000-0005-0000-0000-000001150000}"/>
    <cellStyle name="40% - Énfasis2 22 13" xfId="5440" xr:uid="{00000000-0005-0000-0000-000002150000}"/>
    <cellStyle name="40% - Énfasis2 22 14" xfId="5441" xr:uid="{00000000-0005-0000-0000-000003150000}"/>
    <cellStyle name="40% - Énfasis2 22 15" xfId="5442" xr:uid="{00000000-0005-0000-0000-000004150000}"/>
    <cellStyle name="40% - Énfasis2 22 16" xfId="5443" xr:uid="{00000000-0005-0000-0000-000005150000}"/>
    <cellStyle name="40% - Énfasis2 22 17" xfId="5444" xr:uid="{00000000-0005-0000-0000-000006150000}"/>
    <cellStyle name="40% - Énfasis2 22 18" xfId="5445" xr:uid="{00000000-0005-0000-0000-000007150000}"/>
    <cellStyle name="40% - Énfasis2 22 19" xfId="5446" xr:uid="{00000000-0005-0000-0000-000008150000}"/>
    <cellStyle name="40% - Énfasis2 22 2" xfId="5447" xr:uid="{00000000-0005-0000-0000-000009150000}"/>
    <cellStyle name="40% - Énfasis2 22 2 2" xfId="5448" xr:uid="{00000000-0005-0000-0000-00000A150000}"/>
    <cellStyle name="40% - Énfasis2 22 3" xfId="5449" xr:uid="{00000000-0005-0000-0000-00000B150000}"/>
    <cellStyle name="40% - Énfasis2 22 3 2" xfId="5450" xr:uid="{00000000-0005-0000-0000-00000C150000}"/>
    <cellStyle name="40% - Énfasis2 22 4" xfId="5451" xr:uid="{00000000-0005-0000-0000-00000D150000}"/>
    <cellStyle name="40% - Énfasis2 22 4 2" xfId="5452" xr:uid="{00000000-0005-0000-0000-00000E150000}"/>
    <cellStyle name="40% - Énfasis2 22 5" xfId="5453" xr:uid="{00000000-0005-0000-0000-00000F150000}"/>
    <cellStyle name="40% - Énfasis2 22 6" xfId="5454" xr:uid="{00000000-0005-0000-0000-000010150000}"/>
    <cellStyle name="40% - Énfasis2 22 7" xfId="5455" xr:uid="{00000000-0005-0000-0000-000011150000}"/>
    <cellStyle name="40% - Énfasis2 22 8" xfId="5456" xr:uid="{00000000-0005-0000-0000-000012150000}"/>
    <cellStyle name="40% - Énfasis2 22 9" xfId="5457" xr:uid="{00000000-0005-0000-0000-000013150000}"/>
    <cellStyle name="40% - Énfasis2 23 10" xfId="5458" xr:uid="{00000000-0005-0000-0000-000014150000}"/>
    <cellStyle name="40% - Énfasis2 23 11" xfId="5459" xr:uid="{00000000-0005-0000-0000-000015150000}"/>
    <cellStyle name="40% - Énfasis2 23 12" xfId="5460" xr:uid="{00000000-0005-0000-0000-000016150000}"/>
    <cellStyle name="40% - Énfasis2 23 13" xfId="5461" xr:uid="{00000000-0005-0000-0000-000017150000}"/>
    <cellStyle name="40% - Énfasis2 23 14" xfId="5462" xr:uid="{00000000-0005-0000-0000-000018150000}"/>
    <cellStyle name="40% - Énfasis2 23 15" xfId="5463" xr:uid="{00000000-0005-0000-0000-000019150000}"/>
    <cellStyle name="40% - Énfasis2 23 16" xfId="5464" xr:uid="{00000000-0005-0000-0000-00001A150000}"/>
    <cellStyle name="40% - Énfasis2 23 17" xfId="5465" xr:uid="{00000000-0005-0000-0000-00001B150000}"/>
    <cellStyle name="40% - Énfasis2 23 18" xfId="5466" xr:uid="{00000000-0005-0000-0000-00001C150000}"/>
    <cellStyle name="40% - Énfasis2 23 19" xfId="5467" xr:uid="{00000000-0005-0000-0000-00001D150000}"/>
    <cellStyle name="40% - Énfasis2 23 2" xfId="5468" xr:uid="{00000000-0005-0000-0000-00001E150000}"/>
    <cellStyle name="40% - Énfasis2 23 2 2" xfId="5469" xr:uid="{00000000-0005-0000-0000-00001F150000}"/>
    <cellStyle name="40% - Énfasis2 23 3" xfId="5470" xr:uid="{00000000-0005-0000-0000-000020150000}"/>
    <cellStyle name="40% - Énfasis2 23 3 2" xfId="5471" xr:uid="{00000000-0005-0000-0000-000021150000}"/>
    <cellStyle name="40% - Énfasis2 23 4" xfId="5472" xr:uid="{00000000-0005-0000-0000-000022150000}"/>
    <cellStyle name="40% - Énfasis2 23 4 2" xfId="5473" xr:uid="{00000000-0005-0000-0000-000023150000}"/>
    <cellStyle name="40% - Énfasis2 23 5" xfId="5474" xr:uid="{00000000-0005-0000-0000-000024150000}"/>
    <cellStyle name="40% - Énfasis2 23 6" xfId="5475" xr:uid="{00000000-0005-0000-0000-000025150000}"/>
    <cellStyle name="40% - Énfasis2 23 7" xfId="5476" xr:uid="{00000000-0005-0000-0000-000026150000}"/>
    <cellStyle name="40% - Énfasis2 23 8" xfId="5477" xr:uid="{00000000-0005-0000-0000-000027150000}"/>
    <cellStyle name="40% - Énfasis2 23 9" xfId="5478" xr:uid="{00000000-0005-0000-0000-000028150000}"/>
    <cellStyle name="40% - Énfasis2 24 10" xfId="5479" xr:uid="{00000000-0005-0000-0000-000029150000}"/>
    <cellStyle name="40% - Énfasis2 24 11" xfId="5480" xr:uid="{00000000-0005-0000-0000-00002A150000}"/>
    <cellStyle name="40% - Énfasis2 24 12" xfId="5481" xr:uid="{00000000-0005-0000-0000-00002B150000}"/>
    <cellStyle name="40% - Énfasis2 24 13" xfId="5482" xr:uid="{00000000-0005-0000-0000-00002C150000}"/>
    <cellStyle name="40% - Énfasis2 24 14" xfId="5483" xr:uid="{00000000-0005-0000-0000-00002D150000}"/>
    <cellStyle name="40% - Énfasis2 24 15" xfId="5484" xr:uid="{00000000-0005-0000-0000-00002E150000}"/>
    <cellStyle name="40% - Énfasis2 24 16" xfId="5485" xr:uid="{00000000-0005-0000-0000-00002F150000}"/>
    <cellStyle name="40% - Énfasis2 24 17" xfId="5486" xr:uid="{00000000-0005-0000-0000-000030150000}"/>
    <cellStyle name="40% - Énfasis2 24 18" xfId="5487" xr:uid="{00000000-0005-0000-0000-000031150000}"/>
    <cellStyle name="40% - Énfasis2 24 19" xfId="5488" xr:uid="{00000000-0005-0000-0000-000032150000}"/>
    <cellStyle name="40% - Énfasis2 24 2" xfId="5489" xr:uid="{00000000-0005-0000-0000-000033150000}"/>
    <cellStyle name="40% - Énfasis2 24 2 2" xfId="5490" xr:uid="{00000000-0005-0000-0000-000034150000}"/>
    <cellStyle name="40% - Énfasis2 24 3" xfId="5491" xr:uid="{00000000-0005-0000-0000-000035150000}"/>
    <cellStyle name="40% - Énfasis2 24 3 2" xfId="5492" xr:uid="{00000000-0005-0000-0000-000036150000}"/>
    <cellStyle name="40% - Énfasis2 24 4" xfId="5493" xr:uid="{00000000-0005-0000-0000-000037150000}"/>
    <cellStyle name="40% - Énfasis2 24 4 2" xfId="5494" xr:uid="{00000000-0005-0000-0000-000038150000}"/>
    <cellStyle name="40% - Énfasis2 24 5" xfId="5495" xr:uid="{00000000-0005-0000-0000-000039150000}"/>
    <cellStyle name="40% - Énfasis2 24 6" xfId="5496" xr:uid="{00000000-0005-0000-0000-00003A150000}"/>
    <cellStyle name="40% - Énfasis2 24 7" xfId="5497" xr:uid="{00000000-0005-0000-0000-00003B150000}"/>
    <cellStyle name="40% - Énfasis2 24 8" xfId="5498" xr:uid="{00000000-0005-0000-0000-00003C150000}"/>
    <cellStyle name="40% - Énfasis2 24 9" xfId="5499" xr:uid="{00000000-0005-0000-0000-00003D150000}"/>
    <cellStyle name="40% - Énfasis2 25 10" xfId="5500" xr:uid="{00000000-0005-0000-0000-00003E150000}"/>
    <cellStyle name="40% - Énfasis2 25 11" xfId="5501" xr:uid="{00000000-0005-0000-0000-00003F150000}"/>
    <cellStyle name="40% - Énfasis2 25 12" xfId="5502" xr:uid="{00000000-0005-0000-0000-000040150000}"/>
    <cellStyle name="40% - Énfasis2 25 13" xfId="5503" xr:uid="{00000000-0005-0000-0000-000041150000}"/>
    <cellStyle name="40% - Énfasis2 25 14" xfId="5504" xr:uid="{00000000-0005-0000-0000-000042150000}"/>
    <cellStyle name="40% - Énfasis2 25 15" xfId="5505" xr:uid="{00000000-0005-0000-0000-000043150000}"/>
    <cellStyle name="40% - Énfasis2 25 16" xfId="5506" xr:uid="{00000000-0005-0000-0000-000044150000}"/>
    <cellStyle name="40% - Énfasis2 25 17" xfId="5507" xr:uid="{00000000-0005-0000-0000-000045150000}"/>
    <cellStyle name="40% - Énfasis2 25 18" xfId="5508" xr:uid="{00000000-0005-0000-0000-000046150000}"/>
    <cellStyle name="40% - Énfasis2 25 19" xfId="5509" xr:uid="{00000000-0005-0000-0000-000047150000}"/>
    <cellStyle name="40% - Énfasis2 25 2" xfId="5510" xr:uid="{00000000-0005-0000-0000-000048150000}"/>
    <cellStyle name="40% - Énfasis2 25 2 2" xfId="5511" xr:uid="{00000000-0005-0000-0000-000049150000}"/>
    <cellStyle name="40% - Énfasis2 25 3" xfId="5512" xr:uid="{00000000-0005-0000-0000-00004A150000}"/>
    <cellStyle name="40% - Énfasis2 25 3 2" xfId="5513" xr:uid="{00000000-0005-0000-0000-00004B150000}"/>
    <cellStyle name="40% - Énfasis2 25 4" xfId="5514" xr:uid="{00000000-0005-0000-0000-00004C150000}"/>
    <cellStyle name="40% - Énfasis2 25 4 2" xfId="5515" xr:uid="{00000000-0005-0000-0000-00004D150000}"/>
    <cellStyle name="40% - Énfasis2 25 5" xfId="5516" xr:uid="{00000000-0005-0000-0000-00004E150000}"/>
    <cellStyle name="40% - Énfasis2 25 6" xfId="5517" xr:uid="{00000000-0005-0000-0000-00004F150000}"/>
    <cellStyle name="40% - Énfasis2 25 7" xfId="5518" xr:uid="{00000000-0005-0000-0000-000050150000}"/>
    <cellStyle name="40% - Énfasis2 25 8" xfId="5519" xr:uid="{00000000-0005-0000-0000-000051150000}"/>
    <cellStyle name="40% - Énfasis2 25 9" xfId="5520" xr:uid="{00000000-0005-0000-0000-000052150000}"/>
    <cellStyle name="40% - Énfasis2 26 10" xfId="5521" xr:uid="{00000000-0005-0000-0000-000053150000}"/>
    <cellStyle name="40% - Énfasis2 26 11" xfId="5522" xr:uid="{00000000-0005-0000-0000-000054150000}"/>
    <cellStyle name="40% - Énfasis2 26 12" xfId="5523" xr:uid="{00000000-0005-0000-0000-000055150000}"/>
    <cellStyle name="40% - Énfasis2 26 13" xfId="5524" xr:uid="{00000000-0005-0000-0000-000056150000}"/>
    <cellStyle name="40% - Énfasis2 26 14" xfId="5525" xr:uid="{00000000-0005-0000-0000-000057150000}"/>
    <cellStyle name="40% - Énfasis2 26 15" xfId="5526" xr:uid="{00000000-0005-0000-0000-000058150000}"/>
    <cellStyle name="40% - Énfasis2 26 16" xfId="5527" xr:uid="{00000000-0005-0000-0000-000059150000}"/>
    <cellStyle name="40% - Énfasis2 26 17" xfId="5528" xr:uid="{00000000-0005-0000-0000-00005A150000}"/>
    <cellStyle name="40% - Énfasis2 26 18" xfId="5529" xr:uid="{00000000-0005-0000-0000-00005B150000}"/>
    <cellStyle name="40% - Énfasis2 26 19" xfId="5530" xr:uid="{00000000-0005-0000-0000-00005C150000}"/>
    <cellStyle name="40% - Énfasis2 26 2" xfId="5531" xr:uid="{00000000-0005-0000-0000-00005D150000}"/>
    <cellStyle name="40% - Énfasis2 26 2 2" xfId="5532" xr:uid="{00000000-0005-0000-0000-00005E150000}"/>
    <cellStyle name="40% - Énfasis2 26 3" xfId="5533" xr:uid="{00000000-0005-0000-0000-00005F150000}"/>
    <cellStyle name="40% - Énfasis2 26 3 2" xfId="5534" xr:uid="{00000000-0005-0000-0000-000060150000}"/>
    <cellStyle name="40% - Énfasis2 26 4" xfId="5535" xr:uid="{00000000-0005-0000-0000-000061150000}"/>
    <cellStyle name="40% - Énfasis2 26 4 2" xfId="5536" xr:uid="{00000000-0005-0000-0000-000062150000}"/>
    <cellStyle name="40% - Énfasis2 26 5" xfId="5537" xr:uid="{00000000-0005-0000-0000-000063150000}"/>
    <cellStyle name="40% - Énfasis2 26 6" xfId="5538" xr:uid="{00000000-0005-0000-0000-000064150000}"/>
    <cellStyle name="40% - Énfasis2 26 7" xfId="5539" xr:uid="{00000000-0005-0000-0000-000065150000}"/>
    <cellStyle name="40% - Énfasis2 26 8" xfId="5540" xr:uid="{00000000-0005-0000-0000-000066150000}"/>
    <cellStyle name="40% - Énfasis2 26 9" xfId="5541" xr:uid="{00000000-0005-0000-0000-000067150000}"/>
    <cellStyle name="40% - Énfasis2 27 10" xfId="5542" xr:uid="{00000000-0005-0000-0000-000068150000}"/>
    <cellStyle name="40% - Énfasis2 27 11" xfId="5543" xr:uid="{00000000-0005-0000-0000-000069150000}"/>
    <cellStyle name="40% - Énfasis2 27 12" xfId="5544" xr:uid="{00000000-0005-0000-0000-00006A150000}"/>
    <cellStyle name="40% - Énfasis2 27 13" xfId="5545" xr:uid="{00000000-0005-0000-0000-00006B150000}"/>
    <cellStyle name="40% - Énfasis2 27 14" xfId="5546" xr:uid="{00000000-0005-0000-0000-00006C150000}"/>
    <cellStyle name="40% - Énfasis2 27 15" xfId="5547" xr:uid="{00000000-0005-0000-0000-00006D150000}"/>
    <cellStyle name="40% - Énfasis2 27 16" xfId="5548" xr:uid="{00000000-0005-0000-0000-00006E150000}"/>
    <cellStyle name="40% - Énfasis2 27 17" xfId="5549" xr:uid="{00000000-0005-0000-0000-00006F150000}"/>
    <cellStyle name="40% - Énfasis2 27 18" xfId="5550" xr:uid="{00000000-0005-0000-0000-000070150000}"/>
    <cellStyle name="40% - Énfasis2 27 19" xfId="5551" xr:uid="{00000000-0005-0000-0000-000071150000}"/>
    <cellStyle name="40% - Énfasis2 27 2" xfId="5552" xr:uid="{00000000-0005-0000-0000-000072150000}"/>
    <cellStyle name="40% - Énfasis2 27 2 2" xfId="5553" xr:uid="{00000000-0005-0000-0000-000073150000}"/>
    <cellStyle name="40% - Énfasis2 27 3" xfId="5554" xr:uid="{00000000-0005-0000-0000-000074150000}"/>
    <cellStyle name="40% - Énfasis2 27 3 2" xfId="5555" xr:uid="{00000000-0005-0000-0000-000075150000}"/>
    <cellStyle name="40% - Énfasis2 27 4" xfId="5556" xr:uid="{00000000-0005-0000-0000-000076150000}"/>
    <cellStyle name="40% - Énfasis2 27 4 2" xfId="5557" xr:uid="{00000000-0005-0000-0000-000077150000}"/>
    <cellStyle name="40% - Énfasis2 27 5" xfId="5558" xr:uid="{00000000-0005-0000-0000-000078150000}"/>
    <cellStyle name="40% - Énfasis2 27 6" xfId="5559" xr:uid="{00000000-0005-0000-0000-000079150000}"/>
    <cellStyle name="40% - Énfasis2 27 7" xfId="5560" xr:uid="{00000000-0005-0000-0000-00007A150000}"/>
    <cellStyle name="40% - Énfasis2 27 8" xfId="5561" xr:uid="{00000000-0005-0000-0000-00007B150000}"/>
    <cellStyle name="40% - Énfasis2 27 9" xfId="5562" xr:uid="{00000000-0005-0000-0000-00007C150000}"/>
    <cellStyle name="40% - Énfasis2 28 10" xfId="5563" xr:uid="{00000000-0005-0000-0000-00007D150000}"/>
    <cellStyle name="40% - Énfasis2 28 11" xfId="5564" xr:uid="{00000000-0005-0000-0000-00007E150000}"/>
    <cellStyle name="40% - Énfasis2 28 12" xfId="5565" xr:uid="{00000000-0005-0000-0000-00007F150000}"/>
    <cellStyle name="40% - Énfasis2 28 13" xfId="5566" xr:uid="{00000000-0005-0000-0000-000080150000}"/>
    <cellStyle name="40% - Énfasis2 28 14" xfId="5567" xr:uid="{00000000-0005-0000-0000-000081150000}"/>
    <cellStyle name="40% - Énfasis2 28 15" xfId="5568" xr:uid="{00000000-0005-0000-0000-000082150000}"/>
    <cellStyle name="40% - Énfasis2 28 16" xfId="5569" xr:uid="{00000000-0005-0000-0000-000083150000}"/>
    <cellStyle name="40% - Énfasis2 28 17" xfId="5570" xr:uid="{00000000-0005-0000-0000-000084150000}"/>
    <cellStyle name="40% - Énfasis2 28 18" xfId="5571" xr:uid="{00000000-0005-0000-0000-000085150000}"/>
    <cellStyle name="40% - Énfasis2 28 19" xfId="5572" xr:uid="{00000000-0005-0000-0000-000086150000}"/>
    <cellStyle name="40% - Énfasis2 28 2" xfId="5573" xr:uid="{00000000-0005-0000-0000-000087150000}"/>
    <cellStyle name="40% - Énfasis2 28 2 2" xfId="5574" xr:uid="{00000000-0005-0000-0000-000088150000}"/>
    <cellStyle name="40% - Énfasis2 28 3" xfId="5575" xr:uid="{00000000-0005-0000-0000-000089150000}"/>
    <cellStyle name="40% - Énfasis2 28 3 2" xfId="5576" xr:uid="{00000000-0005-0000-0000-00008A150000}"/>
    <cellStyle name="40% - Énfasis2 28 4" xfId="5577" xr:uid="{00000000-0005-0000-0000-00008B150000}"/>
    <cellStyle name="40% - Énfasis2 28 4 2" xfId="5578" xr:uid="{00000000-0005-0000-0000-00008C150000}"/>
    <cellStyle name="40% - Énfasis2 28 5" xfId="5579" xr:uid="{00000000-0005-0000-0000-00008D150000}"/>
    <cellStyle name="40% - Énfasis2 28 6" xfId="5580" xr:uid="{00000000-0005-0000-0000-00008E150000}"/>
    <cellStyle name="40% - Énfasis2 28 7" xfId="5581" xr:uid="{00000000-0005-0000-0000-00008F150000}"/>
    <cellStyle name="40% - Énfasis2 28 8" xfId="5582" xr:uid="{00000000-0005-0000-0000-000090150000}"/>
    <cellStyle name="40% - Énfasis2 28 9" xfId="5583" xr:uid="{00000000-0005-0000-0000-000091150000}"/>
    <cellStyle name="40% - Énfasis2 29 10" xfId="5584" xr:uid="{00000000-0005-0000-0000-000092150000}"/>
    <cellStyle name="40% - Énfasis2 29 11" xfId="5585" xr:uid="{00000000-0005-0000-0000-000093150000}"/>
    <cellStyle name="40% - Énfasis2 29 12" xfId="5586" xr:uid="{00000000-0005-0000-0000-000094150000}"/>
    <cellStyle name="40% - Énfasis2 29 13" xfId="5587" xr:uid="{00000000-0005-0000-0000-000095150000}"/>
    <cellStyle name="40% - Énfasis2 29 14" xfId="5588" xr:uid="{00000000-0005-0000-0000-000096150000}"/>
    <cellStyle name="40% - Énfasis2 29 15" xfId="5589" xr:uid="{00000000-0005-0000-0000-000097150000}"/>
    <cellStyle name="40% - Énfasis2 29 16" xfId="5590" xr:uid="{00000000-0005-0000-0000-000098150000}"/>
    <cellStyle name="40% - Énfasis2 29 17" xfId="5591" xr:uid="{00000000-0005-0000-0000-000099150000}"/>
    <cellStyle name="40% - Énfasis2 29 18" xfId="5592" xr:uid="{00000000-0005-0000-0000-00009A150000}"/>
    <cellStyle name="40% - Énfasis2 29 19" xfId="5593" xr:uid="{00000000-0005-0000-0000-00009B150000}"/>
    <cellStyle name="40% - Énfasis2 29 2" xfId="5594" xr:uid="{00000000-0005-0000-0000-00009C150000}"/>
    <cellStyle name="40% - Énfasis2 29 2 2" xfId="5595" xr:uid="{00000000-0005-0000-0000-00009D150000}"/>
    <cellStyle name="40% - Énfasis2 29 3" xfId="5596" xr:uid="{00000000-0005-0000-0000-00009E150000}"/>
    <cellStyle name="40% - Énfasis2 29 3 2" xfId="5597" xr:uid="{00000000-0005-0000-0000-00009F150000}"/>
    <cellStyle name="40% - Énfasis2 29 4" xfId="5598" xr:uid="{00000000-0005-0000-0000-0000A0150000}"/>
    <cellStyle name="40% - Énfasis2 29 4 2" xfId="5599" xr:uid="{00000000-0005-0000-0000-0000A1150000}"/>
    <cellStyle name="40% - Énfasis2 29 5" xfId="5600" xr:uid="{00000000-0005-0000-0000-0000A2150000}"/>
    <cellStyle name="40% - Énfasis2 29 6" xfId="5601" xr:uid="{00000000-0005-0000-0000-0000A3150000}"/>
    <cellStyle name="40% - Énfasis2 29 7" xfId="5602" xr:uid="{00000000-0005-0000-0000-0000A4150000}"/>
    <cellStyle name="40% - Énfasis2 29 8" xfId="5603" xr:uid="{00000000-0005-0000-0000-0000A5150000}"/>
    <cellStyle name="40% - Énfasis2 29 9" xfId="5604" xr:uid="{00000000-0005-0000-0000-0000A6150000}"/>
    <cellStyle name="40% - Énfasis2 3 10" xfId="5605" xr:uid="{00000000-0005-0000-0000-0000A7150000}"/>
    <cellStyle name="40% - Énfasis2 3 11" xfId="5606" xr:uid="{00000000-0005-0000-0000-0000A8150000}"/>
    <cellStyle name="40% - Énfasis2 3 12" xfId="5607" xr:uid="{00000000-0005-0000-0000-0000A9150000}"/>
    <cellStyle name="40% - Énfasis2 3 13" xfId="5608" xr:uid="{00000000-0005-0000-0000-0000AA150000}"/>
    <cellStyle name="40% - Énfasis2 3 14" xfId="5609" xr:uid="{00000000-0005-0000-0000-0000AB150000}"/>
    <cellStyle name="40% - Énfasis2 3 15" xfId="5610" xr:uid="{00000000-0005-0000-0000-0000AC150000}"/>
    <cellStyle name="40% - Énfasis2 3 16" xfId="5611" xr:uid="{00000000-0005-0000-0000-0000AD150000}"/>
    <cellStyle name="40% - Énfasis2 3 17" xfId="5612" xr:uid="{00000000-0005-0000-0000-0000AE150000}"/>
    <cellStyle name="40% - Énfasis2 3 18" xfId="5613" xr:uid="{00000000-0005-0000-0000-0000AF150000}"/>
    <cellStyle name="40% - Énfasis2 3 19" xfId="5614" xr:uid="{00000000-0005-0000-0000-0000B0150000}"/>
    <cellStyle name="40% - Énfasis2 3 2" xfId="5615" xr:uid="{00000000-0005-0000-0000-0000B1150000}"/>
    <cellStyle name="40% - Énfasis2 3 2 2" xfId="5616" xr:uid="{00000000-0005-0000-0000-0000B2150000}"/>
    <cellStyle name="40% - Énfasis2 3 3" xfId="5617" xr:uid="{00000000-0005-0000-0000-0000B3150000}"/>
    <cellStyle name="40% - Énfasis2 3 3 2" xfId="5618" xr:uid="{00000000-0005-0000-0000-0000B4150000}"/>
    <cellStyle name="40% - Énfasis2 3 4" xfId="5619" xr:uid="{00000000-0005-0000-0000-0000B5150000}"/>
    <cellStyle name="40% - Énfasis2 3 4 2" xfId="5620" xr:uid="{00000000-0005-0000-0000-0000B6150000}"/>
    <cellStyle name="40% - Énfasis2 3 5" xfId="5621" xr:uid="{00000000-0005-0000-0000-0000B7150000}"/>
    <cellStyle name="40% - Énfasis2 3 6" xfId="5622" xr:uid="{00000000-0005-0000-0000-0000B8150000}"/>
    <cellStyle name="40% - Énfasis2 3 7" xfId="5623" xr:uid="{00000000-0005-0000-0000-0000B9150000}"/>
    <cellStyle name="40% - Énfasis2 3 8" xfId="5624" xr:uid="{00000000-0005-0000-0000-0000BA150000}"/>
    <cellStyle name="40% - Énfasis2 3 9" xfId="5625" xr:uid="{00000000-0005-0000-0000-0000BB150000}"/>
    <cellStyle name="40% - Énfasis2 30 10" xfId="5626" xr:uid="{00000000-0005-0000-0000-0000BC150000}"/>
    <cellStyle name="40% - Énfasis2 30 11" xfId="5627" xr:uid="{00000000-0005-0000-0000-0000BD150000}"/>
    <cellStyle name="40% - Énfasis2 30 12" xfId="5628" xr:uid="{00000000-0005-0000-0000-0000BE150000}"/>
    <cellStyle name="40% - Énfasis2 30 13" xfId="5629" xr:uid="{00000000-0005-0000-0000-0000BF150000}"/>
    <cellStyle name="40% - Énfasis2 30 14" xfId="5630" xr:uid="{00000000-0005-0000-0000-0000C0150000}"/>
    <cellStyle name="40% - Énfasis2 30 15" xfId="5631" xr:uid="{00000000-0005-0000-0000-0000C1150000}"/>
    <cellStyle name="40% - Énfasis2 30 16" xfId="5632" xr:uid="{00000000-0005-0000-0000-0000C2150000}"/>
    <cellStyle name="40% - Énfasis2 30 17" xfId="5633" xr:uid="{00000000-0005-0000-0000-0000C3150000}"/>
    <cellStyle name="40% - Énfasis2 30 18" xfId="5634" xr:uid="{00000000-0005-0000-0000-0000C4150000}"/>
    <cellStyle name="40% - Énfasis2 30 19" xfId="5635" xr:uid="{00000000-0005-0000-0000-0000C5150000}"/>
    <cellStyle name="40% - Énfasis2 30 2" xfId="5636" xr:uid="{00000000-0005-0000-0000-0000C6150000}"/>
    <cellStyle name="40% - Énfasis2 30 2 2" xfId="5637" xr:uid="{00000000-0005-0000-0000-0000C7150000}"/>
    <cellStyle name="40% - Énfasis2 30 3" xfId="5638" xr:uid="{00000000-0005-0000-0000-0000C8150000}"/>
    <cellStyle name="40% - Énfasis2 30 3 2" xfId="5639" xr:uid="{00000000-0005-0000-0000-0000C9150000}"/>
    <cellStyle name="40% - Énfasis2 30 4" xfId="5640" xr:uid="{00000000-0005-0000-0000-0000CA150000}"/>
    <cellStyle name="40% - Énfasis2 30 4 2" xfId="5641" xr:uid="{00000000-0005-0000-0000-0000CB150000}"/>
    <cellStyle name="40% - Énfasis2 30 5" xfId="5642" xr:uid="{00000000-0005-0000-0000-0000CC150000}"/>
    <cellStyle name="40% - Énfasis2 30 6" xfId="5643" xr:uid="{00000000-0005-0000-0000-0000CD150000}"/>
    <cellStyle name="40% - Énfasis2 30 7" xfId="5644" xr:uid="{00000000-0005-0000-0000-0000CE150000}"/>
    <cellStyle name="40% - Énfasis2 30 8" xfId="5645" xr:uid="{00000000-0005-0000-0000-0000CF150000}"/>
    <cellStyle name="40% - Énfasis2 30 9" xfId="5646" xr:uid="{00000000-0005-0000-0000-0000D0150000}"/>
    <cellStyle name="40% - Énfasis2 31 10" xfId="5647" xr:uid="{00000000-0005-0000-0000-0000D1150000}"/>
    <cellStyle name="40% - Énfasis2 31 11" xfId="5648" xr:uid="{00000000-0005-0000-0000-0000D2150000}"/>
    <cellStyle name="40% - Énfasis2 31 12" xfId="5649" xr:uid="{00000000-0005-0000-0000-0000D3150000}"/>
    <cellStyle name="40% - Énfasis2 31 13" xfId="5650" xr:uid="{00000000-0005-0000-0000-0000D4150000}"/>
    <cellStyle name="40% - Énfasis2 31 14" xfId="5651" xr:uid="{00000000-0005-0000-0000-0000D5150000}"/>
    <cellStyle name="40% - Énfasis2 31 15" xfId="5652" xr:uid="{00000000-0005-0000-0000-0000D6150000}"/>
    <cellStyle name="40% - Énfasis2 31 16" xfId="5653" xr:uid="{00000000-0005-0000-0000-0000D7150000}"/>
    <cellStyle name="40% - Énfasis2 31 17" xfId="5654" xr:uid="{00000000-0005-0000-0000-0000D8150000}"/>
    <cellStyle name="40% - Énfasis2 31 18" xfId="5655" xr:uid="{00000000-0005-0000-0000-0000D9150000}"/>
    <cellStyle name="40% - Énfasis2 31 19" xfId="5656" xr:uid="{00000000-0005-0000-0000-0000DA150000}"/>
    <cellStyle name="40% - Énfasis2 31 2" xfId="5657" xr:uid="{00000000-0005-0000-0000-0000DB150000}"/>
    <cellStyle name="40% - Énfasis2 31 2 2" xfId="5658" xr:uid="{00000000-0005-0000-0000-0000DC150000}"/>
    <cellStyle name="40% - Énfasis2 31 3" xfId="5659" xr:uid="{00000000-0005-0000-0000-0000DD150000}"/>
    <cellStyle name="40% - Énfasis2 31 3 2" xfId="5660" xr:uid="{00000000-0005-0000-0000-0000DE150000}"/>
    <cellStyle name="40% - Énfasis2 31 4" xfId="5661" xr:uid="{00000000-0005-0000-0000-0000DF150000}"/>
    <cellStyle name="40% - Énfasis2 31 4 2" xfId="5662" xr:uid="{00000000-0005-0000-0000-0000E0150000}"/>
    <cellStyle name="40% - Énfasis2 31 5" xfId="5663" xr:uid="{00000000-0005-0000-0000-0000E1150000}"/>
    <cellStyle name="40% - Énfasis2 31 6" xfId="5664" xr:uid="{00000000-0005-0000-0000-0000E2150000}"/>
    <cellStyle name="40% - Énfasis2 31 7" xfId="5665" xr:uid="{00000000-0005-0000-0000-0000E3150000}"/>
    <cellStyle name="40% - Énfasis2 31 8" xfId="5666" xr:uid="{00000000-0005-0000-0000-0000E4150000}"/>
    <cellStyle name="40% - Énfasis2 31 9" xfId="5667" xr:uid="{00000000-0005-0000-0000-0000E5150000}"/>
    <cellStyle name="40% - Énfasis2 32 10" xfId="5668" xr:uid="{00000000-0005-0000-0000-0000E6150000}"/>
    <cellStyle name="40% - Énfasis2 32 11" xfId="5669" xr:uid="{00000000-0005-0000-0000-0000E7150000}"/>
    <cellStyle name="40% - Énfasis2 32 12" xfId="5670" xr:uid="{00000000-0005-0000-0000-0000E8150000}"/>
    <cellStyle name="40% - Énfasis2 32 13" xfId="5671" xr:uid="{00000000-0005-0000-0000-0000E9150000}"/>
    <cellStyle name="40% - Énfasis2 32 14" xfId="5672" xr:uid="{00000000-0005-0000-0000-0000EA150000}"/>
    <cellStyle name="40% - Énfasis2 32 15" xfId="5673" xr:uid="{00000000-0005-0000-0000-0000EB150000}"/>
    <cellStyle name="40% - Énfasis2 32 16" xfId="5674" xr:uid="{00000000-0005-0000-0000-0000EC150000}"/>
    <cellStyle name="40% - Énfasis2 32 17" xfId="5675" xr:uid="{00000000-0005-0000-0000-0000ED150000}"/>
    <cellStyle name="40% - Énfasis2 32 18" xfId="5676" xr:uid="{00000000-0005-0000-0000-0000EE150000}"/>
    <cellStyle name="40% - Énfasis2 32 19" xfId="5677" xr:uid="{00000000-0005-0000-0000-0000EF150000}"/>
    <cellStyle name="40% - Énfasis2 32 2" xfId="5678" xr:uid="{00000000-0005-0000-0000-0000F0150000}"/>
    <cellStyle name="40% - Énfasis2 32 2 2" xfId="5679" xr:uid="{00000000-0005-0000-0000-0000F1150000}"/>
    <cellStyle name="40% - Énfasis2 32 3" xfId="5680" xr:uid="{00000000-0005-0000-0000-0000F2150000}"/>
    <cellStyle name="40% - Énfasis2 32 3 2" xfId="5681" xr:uid="{00000000-0005-0000-0000-0000F3150000}"/>
    <cellStyle name="40% - Énfasis2 32 4" xfId="5682" xr:uid="{00000000-0005-0000-0000-0000F4150000}"/>
    <cellStyle name="40% - Énfasis2 32 4 2" xfId="5683" xr:uid="{00000000-0005-0000-0000-0000F5150000}"/>
    <cellStyle name="40% - Énfasis2 32 5" xfId="5684" xr:uid="{00000000-0005-0000-0000-0000F6150000}"/>
    <cellStyle name="40% - Énfasis2 32 6" xfId="5685" xr:uid="{00000000-0005-0000-0000-0000F7150000}"/>
    <cellStyle name="40% - Énfasis2 32 7" xfId="5686" xr:uid="{00000000-0005-0000-0000-0000F8150000}"/>
    <cellStyle name="40% - Énfasis2 32 8" xfId="5687" xr:uid="{00000000-0005-0000-0000-0000F9150000}"/>
    <cellStyle name="40% - Énfasis2 32 9" xfId="5688" xr:uid="{00000000-0005-0000-0000-0000FA150000}"/>
    <cellStyle name="40% - Énfasis2 33 10" xfId="5689" xr:uid="{00000000-0005-0000-0000-0000FB150000}"/>
    <cellStyle name="40% - Énfasis2 33 11" xfId="5690" xr:uid="{00000000-0005-0000-0000-0000FC150000}"/>
    <cellStyle name="40% - Énfasis2 33 12" xfId="5691" xr:uid="{00000000-0005-0000-0000-0000FD150000}"/>
    <cellStyle name="40% - Énfasis2 33 13" xfId="5692" xr:uid="{00000000-0005-0000-0000-0000FE150000}"/>
    <cellStyle name="40% - Énfasis2 33 14" xfId="5693" xr:uid="{00000000-0005-0000-0000-0000FF150000}"/>
    <cellStyle name="40% - Énfasis2 33 15" xfId="5694" xr:uid="{00000000-0005-0000-0000-000000160000}"/>
    <cellStyle name="40% - Énfasis2 33 16" xfId="5695" xr:uid="{00000000-0005-0000-0000-000001160000}"/>
    <cellStyle name="40% - Énfasis2 33 17" xfId="5696" xr:uid="{00000000-0005-0000-0000-000002160000}"/>
    <cellStyle name="40% - Énfasis2 33 18" xfId="5697" xr:uid="{00000000-0005-0000-0000-000003160000}"/>
    <cellStyle name="40% - Énfasis2 33 19" xfId="5698" xr:uid="{00000000-0005-0000-0000-000004160000}"/>
    <cellStyle name="40% - Énfasis2 33 2" xfId="5699" xr:uid="{00000000-0005-0000-0000-000005160000}"/>
    <cellStyle name="40% - Énfasis2 33 2 2" xfId="5700" xr:uid="{00000000-0005-0000-0000-000006160000}"/>
    <cellStyle name="40% - Énfasis2 33 3" xfId="5701" xr:uid="{00000000-0005-0000-0000-000007160000}"/>
    <cellStyle name="40% - Énfasis2 33 3 2" xfId="5702" xr:uid="{00000000-0005-0000-0000-000008160000}"/>
    <cellStyle name="40% - Énfasis2 33 4" xfId="5703" xr:uid="{00000000-0005-0000-0000-000009160000}"/>
    <cellStyle name="40% - Énfasis2 33 4 2" xfId="5704" xr:uid="{00000000-0005-0000-0000-00000A160000}"/>
    <cellStyle name="40% - Énfasis2 33 5" xfId="5705" xr:uid="{00000000-0005-0000-0000-00000B160000}"/>
    <cellStyle name="40% - Énfasis2 33 6" xfId="5706" xr:uid="{00000000-0005-0000-0000-00000C160000}"/>
    <cellStyle name="40% - Énfasis2 33 7" xfId="5707" xr:uid="{00000000-0005-0000-0000-00000D160000}"/>
    <cellStyle name="40% - Énfasis2 33 8" xfId="5708" xr:uid="{00000000-0005-0000-0000-00000E160000}"/>
    <cellStyle name="40% - Énfasis2 33 9" xfId="5709" xr:uid="{00000000-0005-0000-0000-00000F160000}"/>
    <cellStyle name="40% - Énfasis2 34 10" xfId="5710" xr:uid="{00000000-0005-0000-0000-000010160000}"/>
    <cellStyle name="40% - Énfasis2 34 11" xfId="5711" xr:uid="{00000000-0005-0000-0000-000011160000}"/>
    <cellStyle name="40% - Énfasis2 34 12" xfId="5712" xr:uid="{00000000-0005-0000-0000-000012160000}"/>
    <cellStyle name="40% - Énfasis2 34 13" xfId="5713" xr:uid="{00000000-0005-0000-0000-000013160000}"/>
    <cellStyle name="40% - Énfasis2 34 14" xfId="5714" xr:uid="{00000000-0005-0000-0000-000014160000}"/>
    <cellStyle name="40% - Énfasis2 34 15" xfId="5715" xr:uid="{00000000-0005-0000-0000-000015160000}"/>
    <cellStyle name="40% - Énfasis2 34 16" xfId="5716" xr:uid="{00000000-0005-0000-0000-000016160000}"/>
    <cellStyle name="40% - Énfasis2 34 17" xfId="5717" xr:uid="{00000000-0005-0000-0000-000017160000}"/>
    <cellStyle name="40% - Énfasis2 34 18" xfId="5718" xr:uid="{00000000-0005-0000-0000-000018160000}"/>
    <cellStyle name="40% - Énfasis2 34 19" xfId="5719" xr:uid="{00000000-0005-0000-0000-000019160000}"/>
    <cellStyle name="40% - Énfasis2 34 2" xfId="5720" xr:uid="{00000000-0005-0000-0000-00001A160000}"/>
    <cellStyle name="40% - Énfasis2 34 2 2" xfId="5721" xr:uid="{00000000-0005-0000-0000-00001B160000}"/>
    <cellStyle name="40% - Énfasis2 34 3" xfId="5722" xr:uid="{00000000-0005-0000-0000-00001C160000}"/>
    <cellStyle name="40% - Énfasis2 34 3 2" xfId="5723" xr:uid="{00000000-0005-0000-0000-00001D160000}"/>
    <cellStyle name="40% - Énfasis2 34 4" xfId="5724" xr:uid="{00000000-0005-0000-0000-00001E160000}"/>
    <cellStyle name="40% - Énfasis2 34 4 2" xfId="5725" xr:uid="{00000000-0005-0000-0000-00001F160000}"/>
    <cellStyle name="40% - Énfasis2 34 5" xfId="5726" xr:uid="{00000000-0005-0000-0000-000020160000}"/>
    <cellStyle name="40% - Énfasis2 34 6" xfId="5727" xr:uid="{00000000-0005-0000-0000-000021160000}"/>
    <cellStyle name="40% - Énfasis2 34 7" xfId="5728" xr:uid="{00000000-0005-0000-0000-000022160000}"/>
    <cellStyle name="40% - Énfasis2 34 8" xfId="5729" xr:uid="{00000000-0005-0000-0000-000023160000}"/>
    <cellStyle name="40% - Énfasis2 34 9" xfId="5730" xr:uid="{00000000-0005-0000-0000-000024160000}"/>
    <cellStyle name="40% - Énfasis2 35 10" xfId="5731" xr:uid="{00000000-0005-0000-0000-000025160000}"/>
    <cellStyle name="40% - Énfasis2 35 11" xfId="5732" xr:uid="{00000000-0005-0000-0000-000026160000}"/>
    <cellStyle name="40% - Énfasis2 35 12" xfId="5733" xr:uid="{00000000-0005-0000-0000-000027160000}"/>
    <cellStyle name="40% - Énfasis2 35 13" xfId="5734" xr:uid="{00000000-0005-0000-0000-000028160000}"/>
    <cellStyle name="40% - Énfasis2 35 14" xfId="5735" xr:uid="{00000000-0005-0000-0000-000029160000}"/>
    <cellStyle name="40% - Énfasis2 35 15" xfId="5736" xr:uid="{00000000-0005-0000-0000-00002A160000}"/>
    <cellStyle name="40% - Énfasis2 35 16" xfId="5737" xr:uid="{00000000-0005-0000-0000-00002B160000}"/>
    <cellStyle name="40% - Énfasis2 35 17" xfId="5738" xr:uid="{00000000-0005-0000-0000-00002C160000}"/>
    <cellStyle name="40% - Énfasis2 35 18" xfId="5739" xr:uid="{00000000-0005-0000-0000-00002D160000}"/>
    <cellStyle name="40% - Énfasis2 35 19" xfId="5740" xr:uid="{00000000-0005-0000-0000-00002E160000}"/>
    <cellStyle name="40% - Énfasis2 35 2" xfId="5741" xr:uid="{00000000-0005-0000-0000-00002F160000}"/>
    <cellStyle name="40% - Énfasis2 35 2 2" xfId="5742" xr:uid="{00000000-0005-0000-0000-000030160000}"/>
    <cellStyle name="40% - Énfasis2 35 3" xfId="5743" xr:uid="{00000000-0005-0000-0000-000031160000}"/>
    <cellStyle name="40% - Énfasis2 35 3 2" xfId="5744" xr:uid="{00000000-0005-0000-0000-000032160000}"/>
    <cellStyle name="40% - Énfasis2 35 4" xfId="5745" xr:uid="{00000000-0005-0000-0000-000033160000}"/>
    <cellStyle name="40% - Énfasis2 35 4 2" xfId="5746" xr:uid="{00000000-0005-0000-0000-000034160000}"/>
    <cellStyle name="40% - Énfasis2 35 5" xfId="5747" xr:uid="{00000000-0005-0000-0000-000035160000}"/>
    <cellStyle name="40% - Énfasis2 35 6" xfId="5748" xr:uid="{00000000-0005-0000-0000-000036160000}"/>
    <cellStyle name="40% - Énfasis2 35 7" xfId="5749" xr:uid="{00000000-0005-0000-0000-000037160000}"/>
    <cellStyle name="40% - Énfasis2 35 8" xfId="5750" xr:uid="{00000000-0005-0000-0000-000038160000}"/>
    <cellStyle name="40% - Énfasis2 35 9" xfId="5751" xr:uid="{00000000-0005-0000-0000-000039160000}"/>
    <cellStyle name="40% - Énfasis2 36 10" xfId="5752" xr:uid="{00000000-0005-0000-0000-00003A160000}"/>
    <cellStyle name="40% - Énfasis2 36 11" xfId="5753" xr:uid="{00000000-0005-0000-0000-00003B160000}"/>
    <cellStyle name="40% - Énfasis2 36 12" xfId="5754" xr:uid="{00000000-0005-0000-0000-00003C160000}"/>
    <cellStyle name="40% - Énfasis2 36 13" xfId="5755" xr:uid="{00000000-0005-0000-0000-00003D160000}"/>
    <cellStyle name="40% - Énfasis2 36 14" xfId="5756" xr:uid="{00000000-0005-0000-0000-00003E160000}"/>
    <cellStyle name="40% - Énfasis2 36 15" xfId="5757" xr:uid="{00000000-0005-0000-0000-00003F160000}"/>
    <cellStyle name="40% - Énfasis2 36 16" xfId="5758" xr:uid="{00000000-0005-0000-0000-000040160000}"/>
    <cellStyle name="40% - Énfasis2 36 17" xfId="5759" xr:uid="{00000000-0005-0000-0000-000041160000}"/>
    <cellStyle name="40% - Énfasis2 36 18" xfId="5760" xr:uid="{00000000-0005-0000-0000-000042160000}"/>
    <cellStyle name="40% - Énfasis2 36 19" xfId="5761" xr:uid="{00000000-0005-0000-0000-000043160000}"/>
    <cellStyle name="40% - Énfasis2 36 2" xfId="5762" xr:uid="{00000000-0005-0000-0000-000044160000}"/>
    <cellStyle name="40% - Énfasis2 36 2 2" xfId="5763" xr:uid="{00000000-0005-0000-0000-000045160000}"/>
    <cellStyle name="40% - Énfasis2 36 3" xfId="5764" xr:uid="{00000000-0005-0000-0000-000046160000}"/>
    <cellStyle name="40% - Énfasis2 36 3 2" xfId="5765" xr:uid="{00000000-0005-0000-0000-000047160000}"/>
    <cellStyle name="40% - Énfasis2 36 4" xfId="5766" xr:uid="{00000000-0005-0000-0000-000048160000}"/>
    <cellStyle name="40% - Énfasis2 36 4 2" xfId="5767" xr:uid="{00000000-0005-0000-0000-000049160000}"/>
    <cellStyle name="40% - Énfasis2 36 5" xfId="5768" xr:uid="{00000000-0005-0000-0000-00004A160000}"/>
    <cellStyle name="40% - Énfasis2 36 6" xfId="5769" xr:uid="{00000000-0005-0000-0000-00004B160000}"/>
    <cellStyle name="40% - Énfasis2 36 7" xfId="5770" xr:uid="{00000000-0005-0000-0000-00004C160000}"/>
    <cellStyle name="40% - Énfasis2 36 8" xfId="5771" xr:uid="{00000000-0005-0000-0000-00004D160000}"/>
    <cellStyle name="40% - Énfasis2 36 9" xfId="5772" xr:uid="{00000000-0005-0000-0000-00004E160000}"/>
    <cellStyle name="40% - Énfasis2 37 10" xfId="5773" xr:uid="{00000000-0005-0000-0000-00004F160000}"/>
    <cellStyle name="40% - Énfasis2 37 11" xfId="5774" xr:uid="{00000000-0005-0000-0000-000050160000}"/>
    <cellStyle name="40% - Énfasis2 37 12" xfId="5775" xr:uid="{00000000-0005-0000-0000-000051160000}"/>
    <cellStyle name="40% - Énfasis2 37 13" xfId="5776" xr:uid="{00000000-0005-0000-0000-000052160000}"/>
    <cellStyle name="40% - Énfasis2 37 14" xfId="5777" xr:uid="{00000000-0005-0000-0000-000053160000}"/>
    <cellStyle name="40% - Énfasis2 37 15" xfId="5778" xr:uid="{00000000-0005-0000-0000-000054160000}"/>
    <cellStyle name="40% - Énfasis2 37 16" xfId="5779" xr:uid="{00000000-0005-0000-0000-000055160000}"/>
    <cellStyle name="40% - Énfasis2 37 17" xfId="5780" xr:uid="{00000000-0005-0000-0000-000056160000}"/>
    <cellStyle name="40% - Énfasis2 37 18" xfId="5781" xr:uid="{00000000-0005-0000-0000-000057160000}"/>
    <cellStyle name="40% - Énfasis2 37 19" xfId="5782" xr:uid="{00000000-0005-0000-0000-000058160000}"/>
    <cellStyle name="40% - Énfasis2 37 2" xfId="5783" xr:uid="{00000000-0005-0000-0000-000059160000}"/>
    <cellStyle name="40% - Énfasis2 37 2 2" xfId="5784" xr:uid="{00000000-0005-0000-0000-00005A160000}"/>
    <cellStyle name="40% - Énfasis2 37 3" xfId="5785" xr:uid="{00000000-0005-0000-0000-00005B160000}"/>
    <cellStyle name="40% - Énfasis2 37 3 2" xfId="5786" xr:uid="{00000000-0005-0000-0000-00005C160000}"/>
    <cellStyle name="40% - Énfasis2 37 4" xfId="5787" xr:uid="{00000000-0005-0000-0000-00005D160000}"/>
    <cellStyle name="40% - Énfasis2 37 4 2" xfId="5788" xr:uid="{00000000-0005-0000-0000-00005E160000}"/>
    <cellStyle name="40% - Énfasis2 37 5" xfId="5789" xr:uid="{00000000-0005-0000-0000-00005F160000}"/>
    <cellStyle name="40% - Énfasis2 37 6" xfId="5790" xr:uid="{00000000-0005-0000-0000-000060160000}"/>
    <cellStyle name="40% - Énfasis2 37 7" xfId="5791" xr:uid="{00000000-0005-0000-0000-000061160000}"/>
    <cellStyle name="40% - Énfasis2 37 8" xfId="5792" xr:uid="{00000000-0005-0000-0000-000062160000}"/>
    <cellStyle name="40% - Énfasis2 37 9" xfId="5793" xr:uid="{00000000-0005-0000-0000-000063160000}"/>
    <cellStyle name="40% - Énfasis2 38 10" xfId="5794" xr:uid="{00000000-0005-0000-0000-000064160000}"/>
    <cellStyle name="40% - Énfasis2 38 11" xfId="5795" xr:uid="{00000000-0005-0000-0000-000065160000}"/>
    <cellStyle name="40% - Énfasis2 38 12" xfId="5796" xr:uid="{00000000-0005-0000-0000-000066160000}"/>
    <cellStyle name="40% - Énfasis2 38 13" xfId="5797" xr:uid="{00000000-0005-0000-0000-000067160000}"/>
    <cellStyle name="40% - Énfasis2 38 14" xfId="5798" xr:uid="{00000000-0005-0000-0000-000068160000}"/>
    <cellStyle name="40% - Énfasis2 38 15" xfId="5799" xr:uid="{00000000-0005-0000-0000-000069160000}"/>
    <cellStyle name="40% - Énfasis2 38 16" xfId="5800" xr:uid="{00000000-0005-0000-0000-00006A160000}"/>
    <cellStyle name="40% - Énfasis2 38 17" xfId="5801" xr:uid="{00000000-0005-0000-0000-00006B160000}"/>
    <cellStyle name="40% - Énfasis2 38 18" xfId="5802" xr:uid="{00000000-0005-0000-0000-00006C160000}"/>
    <cellStyle name="40% - Énfasis2 38 19" xfId="5803" xr:uid="{00000000-0005-0000-0000-00006D160000}"/>
    <cellStyle name="40% - Énfasis2 38 2" xfId="5804" xr:uid="{00000000-0005-0000-0000-00006E160000}"/>
    <cellStyle name="40% - Énfasis2 38 2 2" xfId="5805" xr:uid="{00000000-0005-0000-0000-00006F160000}"/>
    <cellStyle name="40% - Énfasis2 38 3" xfId="5806" xr:uid="{00000000-0005-0000-0000-000070160000}"/>
    <cellStyle name="40% - Énfasis2 38 3 2" xfId="5807" xr:uid="{00000000-0005-0000-0000-000071160000}"/>
    <cellStyle name="40% - Énfasis2 38 4" xfId="5808" xr:uid="{00000000-0005-0000-0000-000072160000}"/>
    <cellStyle name="40% - Énfasis2 38 4 2" xfId="5809" xr:uid="{00000000-0005-0000-0000-000073160000}"/>
    <cellStyle name="40% - Énfasis2 38 5" xfId="5810" xr:uid="{00000000-0005-0000-0000-000074160000}"/>
    <cellStyle name="40% - Énfasis2 38 6" xfId="5811" xr:uid="{00000000-0005-0000-0000-000075160000}"/>
    <cellStyle name="40% - Énfasis2 38 7" xfId="5812" xr:uid="{00000000-0005-0000-0000-000076160000}"/>
    <cellStyle name="40% - Énfasis2 38 8" xfId="5813" xr:uid="{00000000-0005-0000-0000-000077160000}"/>
    <cellStyle name="40% - Énfasis2 38 9" xfId="5814" xr:uid="{00000000-0005-0000-0000-000078160000}"/>
    <cellStyle name="40% - Énfasis2 39" xfId="5815" xr:uid="{00000000-0005-0000-0000-000079160000}"/>
    <cellStyle name="40% - Énfasis2 39 10" xfId="5816" xr:uid="{00000000-0005-0000-0000-00007A160000}"/>
    <cellStyle name="40% - Énfasis2 39 11" xfId="5817" xr:uid="{00000000-0005-0000-0000-00007B160000}"/>
    <cellStyle name="40% - Énfasis2 39 12" xfId="5818" xr:uid="{00000000-0005-0000-0000-00007C160000}"/>
    <cellStyle name="40% - Énfasis2 39 13" xfId="5819" xr:uid="{00000000-0005-0000-0000-00007D160000}"/>
    <cellStyle name="40% - Énfasis2 39 14" xfId="5820" xr:uid="{00000000-0005-0000-0000-00007E160000}"/>
    <cellStyle name="40% - Énfasis2 39 15" xfId="5821" xr:uid="{00000000-0005-0000-0000-00007F160000}"/>
    <cellStyle name="40% - Énfasis2 39 16" xfId="5822" xr:uid="{00000000-0005-0000-0000-000080160000}"/>
    <cellStyle name="40% - Énfasis2 39 2" xfId="5823" xr:uid="{00000000-0005-0000-0000-000081160000}"/>
    <cellStyle name="40% - Énfasis2 39 3" xfId="5824" xr:uid="{00000000-0005-0000-0000-000082160000}"/>
    <cellStyle name="40% - Énfasis2 39 4" xfId="5825" xr:uid="{00000000-0005-0000-0000-000083160000}"/>
    <cellStyle name="40% - Énfasis2 39 5" xfId="5826" xr:uid="{00000000-0005-0000-0000-000084160000}"/>
    <cellStyle name="40% - Énfasis2 39 6" xfId="5827" xr:uid="{00000000-0005-0000-0000-000085160000}"/>
    <cellStyle name="40% - Énfasis2 39 7" xfId="5828" xr:uid="{00000000-0005-0000-0000-000086160000}"/>
    <cellStyle name="40% - Énfasis2 39 8" xfId="5829" xr:uid="{00000000-0005-0000-0000-000087160000}"/>
    <cellStyle name="40% - Énfasis2 39 9" xfId="5830" xr:uid="{00000000-0005-0000-0000-000088160000}"/>
    <cellStyle name="40% - Énfasis2 4 10" xfId="5831" xr:uid="{00000000-0005-0000-0000-000089160000}"/>
    <cellStyle name="40% - Énfasis2 4 11" xfId="5832" xr:uid="{00000000-0005-0000-0000-00008A160000}"/>
    <cellStyle name="40% - Énfasis2 4 12" xfId="5833" xr:uid="{00000000-0005-0000-0000-00008B160000}"/>
    <cellStyle name="40% - Énfasis2 4 13" xfId="5834" xr:uid="{00000000-0005-0000-0000-00008C160000}"/>
    <cellStyle name="40% - Énfasis2 4 14" xfId="5835" xr:uid="{00000000-0005-0000-0000-00008D160000}"/>
    <cellStyle name="40% - Énfasis2 4 15" xfId="5836" xr:uid="{00000000-0005-0000-0000-00008E160000}"/>
    <cellStyle name="40% - Énfasis2 4 16" xfId="5837" xr:uid="{00000000-0005-0000-0000-00008F160000}"/>
    <cellStyle name="40% - Énfasis2 4 17" xfId="5838" xr:uid="{00000000-0005-0000-0000-000090160000}"/>
    <cellStyle name="40% - Énfasis2 4 18" xfId="5839" xr:uid="{00000000-0005-0000-0000-000091160000}"/>
    <cellStyle name="40% - Énfasis2 4 19" xfId="5840" xr:uid="{00000000-0005-0000-0000-000092160000}"/>
    <cellStyle name="40% - Énfasis2 4 2" xfId="5841" xr:uid="{00000000-0005-0000-0000-000093160000}"/>
    <cellStyle name="40% - Énfasis2 4 2 2" xfId="5842" xr:uid="{00000000-0005-0000-0000-000094160000}"/>
    <cellStyle name="40% - Énfasis2 4 3" xfId="5843" xr:uid="{00000000-0005-0000-0000-000095160000}"/>
    <cellStyle name="40% - Énfasis2 4 3 2" xfId="5844" xr:uid="{00000000-0005-0000-0000-000096160000}"/>
    <cellStyle name="40% - Énfasis2 4 4" xfId="5845" xr:uid="{00000000-0005-0000-0000-000097160000}"/>
    <cellStyle name="40% - Énfasis2 4 4 2" xfId="5846" xr:uid="{00000000-0005-0000-0000-000098160000}"/>
    <cellStyle name="40% - Énfasis2 4 5" xfId="5847" xr:uid="{00000000-0005-0000-0000-000099160000}"/>
    <cellStyle name="40% - Énfasis2 4 6" xfId="5848" xr:uid="{00000000-0005-0000-0000-00009A160000}"/>
    <cellStyle name="40% - Énfasis2 4 7" xfId="5849" xr:uid="{00000000-0005-0000-0000-00009B160000}"/>
    <cellStyle name="40% - Énfasis2 4 8" xfId="5850" xr:uid="{00000000-0005-0000-0000-00009C160000}"/>
    <cellStyle name="40% - Énfasis2 4 9" xfId="5851" xr:uid="{00000000-0005-0000-0000-00009D160000}"/>
    <cellStyle name="40% - Énfasis2 40" xfId="5852" xr:uid="{00000000-0005-0000-0000-00009E160000}"/>
    <cellStyle name="40% - Énfasis2 40 10" xfId="5853" xr:uid="{00000000-0005-0000-0000-00009F160000}"/>
    <cellStyle name="40% - Énfasis2 40 11" xfId="5854" xr:uid="{00000000-0005-0000-0000-0000A0160000}"/>
    <cellStyle name="40% - Énfasis2 40 12" xfId="5855" xr:uid="{00000000-0005-0000-0000-0000A1160000}"/>
    <cellStyle name="40% - Énfasis2 40 13" xfId="5856" xr:uid="{00000000-0005-0000-0000-0000A2160000}"/>
    <cellStyle name="40% - Énfasis2 40 14" xfId="5857" xr:uid="{00000000-0005-0000-0000-0000A3160000}"/>
    <cellStyle name="40% - Énfasis2 40 15" xfId="5858" xr:uid="{00000000-0005-0000-0000-0000A4160000}"/>
    <cellStyle name="40% - Énfasis2 40 16" xfId="5859" xr:uid="{00000000-0005-0000-0000-0000A5160000}"/>
    <cellStyle name="40% - Énfasis2 40 2" xfId="5860" xr:uid="{00000000-0005-0000-0000-0000A6160000}"/>
    <cellStyle name="40% - Énfasis2 40 3" xfId="5861" xr:uid="{00000000-0005-0000-0000-0000A7160000}"/>
    <cellStyle name="40% - Énfasis2 40 4" xfId="5862" xr:uid="{00000000-0005-0000-0000-0000A8160000}"/>
    <cellStyle name="40% - Énfasis2 40 5" xfId="5863" xr:uid="{00000000-0005-0000-0000-0000A9160000}"/>
    <cellStyle name="40% - Énfasis2 40 6" xfId="5864" xr:uid="{00000000-0005-0000-0000-0000AA160000}"/>
    <cellStyle name="40% - Énfasis2 40 7" xfId="5865" xr:uid="{00000000-0005-0000-0000-0000AB160000}"/>
    <cellStyle name="40% - Énfasis2 40 8" xfId="5866" xr:uid="{00000000-0005-0000-0000-0000AC160000}"/>
    <cellStyle name="40% - Énfasis2 40 9" xfId="5867" xr:uid="{00000000-0005-0000-0000-0000AD160000}"/>
    <cellStyle name="40% - Énfasis2 41" xfId="5868" xr:uid="{00000000-0005-0000-0000-0000AE160000}"/>
    <cellStyle name="40% - Énfasis2 41 10" xfId="5869" xr:uid="{00000000-0005-0000-0000-0000AF160000}"/>
    <cellStyle name="40% - Énfasis2 41 11" xfId="5870" xr:uid="{00000000-0005-0000-0000-0000B0160000}"/>
    <cellStyle name="40% - Énfasis2 41 12" xfId="5871" xr:uid="{00000000-0005-0000-0000-0000B1160000}"/>
    <cellStyle name="40% - Énfasis2 41 13" xfId="5872" xr:uid="{00000000-0005-0000-0000-0000B2160000}"/>
    <cellStyle name="40% - Énfasis2 41 14" xfId="5873" xr:uid="{00000000-0005-0000-0000-0000B3160000}"/>
    <cellStyle name="40% - Énfasis2 41 15" xfId="5874" xr:uid="{00000000-0005-0000-0000-0000B4160000}"/>
    <cellStyle name="40% - Énfasis2 41 16" xfId="5875" xr:uid="{00000000-0005-0000-0000-0000B5160000}"/>
    <cellStyle name="40% - Énfasis2 41 2" xfId="5876" xr:uid="{00000000-0005-0000-0000-0000B6160000}"/>
    <cellStyle name="40% - Énfasis2 41 3" xfId="5877" xr:uid="{00000000-0005-0000-0000-0000B7160000}"/>
    <cellStyle name="40% - Énfasis2 41 4" xfId="5878" xr:uid="{00000000-0005-0000-0000-0000B8160000}"/>
    <cellStyle name="40% - Énfasis2 41 5" xfId="5879" xr:uid="{00000000-0005-0000-0000-0000B9160000}"/>
    <cellStyle name="40% - Énfasis2 41 6" xfId="5880" xr:uid="{00000000-0005-0000-0000-0000BA160000}"/>
    <cellStyle name="40% - Énfasis2 41 7" xfId="5881" xr:uid="{00000000-0005-0000-0000-0000BB160000}"/>
    <cellStyle name="40% - Énfasis2 41 8" xfId="5882" xr:uid="{00000000-0005-0000-0000-0000BC160000}"/>
    <cellStyle name="40% - Énfasis2 41 9" xfId="5883" xr:uid="{00000000-0005-0000-0000-0000BD160000}"/>
    <cellStyle name="40% - Énfasis2 42" xfId="5884" xr:uid="{00000000-0005-0000-0000-0000BE160000}"/>
    <cellStyle name="40% - Énfasis2 43" xfId="5885" xr:uid="{00000000-0005-0000-0000-0000BF160000}"/>
    <cellStyle name="40% - Énfasis2 44" xfId="5886" xr:uid="{00000000-0005-0000-0000-0000C0160000}"/>
    <cellStyle name="40% - Énfasis2 45" xfId="5887" xr:uid="{00000000-0005-0000-0000-0000C1160000}"/>
    <cellStyle name="40% - Énfasis2 46" xfId="5888" xr:uid="{00000000-0005-0000-0000-0000C2160000}"/>
    <cellStyle name="40% - Énfasis2 47" xfId="5889" xr:uid="{00000000-0005-0000-0000-0000C3160000}"/>
    <cellStyle name="40% - Énfasis2 48" xfId="5890" xr:uid="{00000000-0005-0000-0000-0000C4160000}"/>
    <cellStyle name="40% - Énfasis2 49" xfId="5891" xr:uid="{00000000-0005-0000-0000-0000C5160000}"/>
    <cellStyle name="40% - Énfasis2 5 10" xfId="5892" xr:uid="{00000000-0005-0000-0000-0000C6160000}"/>
    <cellStyle name="40% - Énfasis2 5 11" xfId="5893" xr:uid="{00000000-0005-0000-0000-0000C7160000}"/>
    <cellStyle name="40% - Énfasis2 5 12" xfId="5894" xr:uid="{00000000-0005-0000-0000-0000C8160000}"/>
    <cellStyle name="40% - Énfasis2 5 13" xfId="5895" xr:uid="{00000000-0005-0000-0000-0000C9160000}"/>
    <cellStyle name="40% - Énfasis2 5 14" xfId="5896" xr:uid="{00000000-0005-0000-0000-0000CA160000}"/>
    <cellStyle name="40% - Énfasis2 5 15" xfId="5897" xr:uid="{00000000-0005-0000-0000-0000CB160000}"/>
    <cellStyle name="40% - Énfasis2 5 16" xfId="5898" xr:uid="{00000000-0005-0000-0000-0000CC160000}"/>
    <cellStyle name="40% - Énfasis2 5 17" xfId="5899" xr:uid="{00000000-0005-0000-0000-0000CD160000}"/>
    <cellStyle name="40% - Énfasis2 5 18" xfId="5900" xr:uid="{00000000-0005-0000-0000-0000CE160000}"/>
    <cellStyle name="40% - Énfasis2 5 19" xfId="5901" xr:uid="{00000000-0005-0000-0000-0000CF160000}"/>
    <cellStyle name="40% - Énfasis2 5 2" xfId="5902" xr:uid="{00000000-0005-0000-0000-0000D0160000}"/>
    <cellStyle name="40% - Énfasis2 5 2 2" xfId="5903" xr:uid="{00000000-0005-0000-0000-0000D1160000}"/>
    <cellStyle name="40% - Énfasis2 5 3" xfId="5904" xr:uid="{00000000-0005-0000-0000-0000D2160000}"/>
    <cellStyle name="40% - Énfasis2 5 3 2" xfId="5905" xr:uid="{00000000-0005-0000-0000-0000D3160000}"/>
    <cellStyle name="40% - Énfasis2 5 4" xfId="5906" xr:uid="{00000000-0005-0000-0000-0000D4160000}"/>
    <cellStyle name="40% - Énfasis2 5 4 2" xfId="5907" xr:uid="{00000000-0005-0000-0000-0000D5160000}"/>
    <cellStyle name="40% - Énfasis2 5 5" xfId="5908" xr:uid="{00000000-0005-0000-0000-0000D6160000}"/>
    <cellStyle name="40% - Énfasis2 5 6" xfId="5909" xr:uid="{00000000-0005-0000-0000-0000D7160000}"/>
    <cellStyle name="40% - Énfasis2 5 7" xfId="5910" xr:uid="{00000000-0005-0000-0000-0000D8160000}"/>
    <cellStyle name="40% - Énfasis2 5 8" xfId="5911" xr:uid="{00000000-0005-0000-0000-0000D9160000}"/>
    <cellStyle name="40% - Énfasis2 5 9" xfId="5912" xr:uid="{00000000-0005-0000-0000-0000DA160000}"/>
    <cellStyle name="40% - Énfasis2 50" xfId="5913" xr:uid="{00000000-0005-0000-0000-0000DB160000}"/>
    <cellStyle name="40% - Énfasis2 51" xfId="5914" xr:uid="{00000000-0005-0000-0000-0000DC160000}"/>
    <cellStyle name="40% - Énfasis2 52" xfId="5915" xr:uid="{00000000-0005-0000-0000-0000DD160000}"/>
    <cellStyle name="40% - Énfasis2 53" xfId="5916" xr:uid="{00000000-0005-0000-0000-0000DE160000}"/>
    <cellStyle name="40% - Énfasis2 54" xfId="5917" xr:uid="{00000000-0005-0000-0000-0000DF160000}"/>
    <cellStyle name="40% - Énfasis2 55" xfId="5918" xr:uid="{00000000-0005-0000-0000-0000E0160000}"/>
    <cellStyle name="40% - Énfasis2 56" xfId="5919" xr:uid="{00000000-0005-0000-0000-0000E1160000}"/>
    <cellStyle name="40% - Énfasis2 57" xfId="5920" xr:uid="{00000000-0005-0000-0000-0000E2160000}"/>
    <cellStyle name="40% - Énfasis2 58" xfId="5921" xr:uid="{00000000-0005-0000-0000-0000E3160000}"/>
    <cellStyle name="40% - Énfasis2 59" xfId="5922" xr:uid="{00000000-0005-0000-0000-0000E4160000}"/>
    <cellStyle name="40% - Énfasis2 6 10" xfId="5923" xr:uid="{00000000-0005-0000-0000-0000E5160000}"/>
    <cellStyle name="40% - Énfasis2 6 11" xfId="5924" xr:uid="{00000000-0005-0000-0000-0000E6160000}"/>
    <cellStyle name="40% - Énfasis2 6 12" xfId="5925" xr:uid="{00000000-0005-0000-0000-0000E7160000}"/>
    <cellStyle name="40% - Énfasis2 6 13" xfId="5926" xr:uid="{00000000-0005-0000-0000-0000E8160000}"/>
    <cellStyle name="40% - Énfasis2 6 14" xfId="5927" xr:uid="{00000000-0005-0000-0000-0000E9160000}"/>
    <cellStyle name="40% - Énfasis2 6 15" xfId="5928" xr:uid="{00000000-0005-0000-0000-0000EA160000}"/>
    <cellStyle name="40% - Énfasis2 6 16" xfId="5929" xr:uid="{00000000-0005-0000-0000-0000EB160000}"/>
    <cellStyle name="40% - Énfasis2 6 17" xfId="5930" xr:uid="{00000000-0005-0000-0000-0000EC160000}"/>
    <cellStyle name="40% - Énfasis2 6 18" xfId="5931" xr:uid="{00000000-0005-0000-0000-0000ED160000}"/>
    <cellStyle name="40% - Énfasis2 6 19" xfId="5932" xr:uid="{00000000-0005-0000-0000-0000EE160000}"/>
    <cellStyle name="40% - Énfasis2 6 2" xfId="5933" xr:uid="{00000000-0005-0000-0000-0000EF160000}"/>
    <cellStyle name="40% - Énfasis2 6 2 2" xfId="5934" xr:uid="{00000000-0005-0000-0000-0000F0160000}"/>
    <cellStyle name="40% - Énfasis2 6 3" xfId="5935" xr:uid="{00000000-0005-0000-0000-0000F1160000}"/>
    <cellStyle name="40% - Énfasis2 6 3 2" xfId="5936" xr:uid="{00000000-0005-0000-0000-0000F2160000}"/>
    <cellStyle name="40% - Énfasis2 6 4" xfId="5937" xr:uid="{00000000-0005-0000-0000-0000F3160000}"/>
    <cellStyle name="40% - Énfasis2 6 4 2" xfId="5938" xr:uid="{00000000-0005-0000-0000-0000F4160000}"/>
    <cellStyle name="40% - Énfasis2 6 5" xfId="5939" xr:uid="{00000000-0005-0000-0000-0000F5160000}"/>
    <cellStyle name="40% - Énfasis2 6 6" xfId="5940" xr:uid="{00000000-0005-0000-0000-0000F6160000}"/>
    <cellStyle name="40% - Énfasis2 6 7" xfId="5941" xr:uid="{00000000-0005-0000-0000-0000F7160000}"/>
    <cellStyle name="40% - Énfasis2 6 8" xfId="5942" xr:uid="{00000000-0005-0000-0000-0000F8160000}"/>
    <cellStyle name="40% - Énfasis2 6 9" xfId="5943" xr:uid="{00000000-0005-0000-0000-0000F9160000}"/>
    <cellStyle name="40% - Énfasis2 60" xfId="5944" xr:uid="{00000000-0005-0000-0000-0000FA160000}"/>
    <cellStyle name="40% - Énfasis2 61" xfId="5945" xr:uid="{00000000-0005-0000-0000-0000FB160000}"/>
    <cellStyle name="40% - Énfasis2 62" xfId="5946" xr:uid="{00000000-0005-0000-0000-0000FC160000}"/>
    <cellStyle name="40% - Énfasis2 63" xfId="5947" xr:uid="{00000000-0005-0000-0000-0000FD160000}"/>
    <cellStyle name="40% - Énfasis2 64" xfId="5948" xr:uid="{00000000-0005-0000-0000-0000FE160000}"/>
    <cellStyle name="40% - Énfasis2 7 10" xfId="5949" xr:uid="{00000000-0005-0000-0000-0000FF160000}"/>
    <cellStyle name="40% - Énfasis2 7 11" xfId="5950" xr:uid="{00000000-0005-0000-0000-000000170000}"/>
    <cellStyle name="40% - Énfasis2 7 12" xfId="5951" xr:uid="{00000000-0005-0000-0000-000001170000}"/>
    <cellStyle name="40% - Énfasis2 7 13" xfId="5952" xr:uid="{00000000-0005-0000-0000-000002170000}"/>
    <cellStyle name="40% - Énfasis2 7 14" xfId="5953" xr:uid="{00000000-0005-0000-0000-000003170000}"/>
    <cellStyle name="40% - Énfasis2 7 15" xfId="5954" xr:uid="{00000000-0005-0000-0000-000004170000}"/>
    <cellStyle name="40% - Énfasis2 7 16" xfId="5955" xr:uid="{00000000-0005-0000-0000-000005170000}"/>
    <cellStyle name="40% - Énfasis2 7 17" xfId="5956" xr:uid="{00000000-0005-0000-0000-000006170000}"/>
    <cellStyle name="40% - Énfasis2 7 18" xfId="5957" xr:uid="{00000000-0005-0000-0000-000007170000}"/>
    <cellStyle name="40% - Énfasis2 7 19" xfId="5958" xr:uid="{00000000-0005-0000-0000-000008170000}"/>
    <cellStyle name="40% - Énfasis2 7 2" xfId="5959" xr:uid="{00000000-0005-0000-0000-000009170000}"/>
    <cellStyle name="40% - Énfasis2 7 2 2" xfId="5960" xr:uid="{00000000-0005-0000-0000-00000A170000}"/>
    <cellStyle name="40% - Énfasis2 7 3" xfId="5961" xr:uid="{00000000-0005-0000-0000-00000B170000}"/>
    <cellStyle name="40% - Énfasis2 7 3 2" xfId="5962" xr:uid="{00000000-0005-0000-0000-00000C170000}"/>
    <cellStyle name="40% - Énfasis2 7 4" xfId="5963" xr:uid="{00000000-0005-0000-0000-00000D170000}"/>
    <cellStyle name="40% - Énfasis2 7 4 2" xfId="5964" xr:uid="{00000000-0005-0000-0000-00000E170000}"/>
    <cellStyle name="40% - Énfasis2 7 5" xfId="5965" xr:uid="{00000000-0005-0000-0000-00000F170000}"/>
    <cellStyle name="40% - Énfasis2 7 6" xfId="5966" xr:uid="{00000000-0005-0000-0000-000010170000}"/>
    <cellStyle name="40% - Énfasis2 7 7" xfId="5967" xr:uid="{00000000-0005-0000-0000-000011170000}"/>
    <cellStyle name="40% - Énfasis2 7 8" xfId="5968" xr:uid="{00000000-0005-0000-0000-000012170000}"/>
    <cellStyle name="40% - Énfasis2 7 9" xfId="5969" xr:uid="{00000000-0005-0000-0000-000013170000}"/>
    <cellStyle name="40% - Énfasis2 8 10" xfId="5970" xr:uid="{00000000-0005-0000-0000-000014170000}"/>
    <cellStyle name="40% - Énfasis2 8 11" xfId="5971" xr:uid="{00000000-0005-0000-0000-000015170000}"/>
    <cellStyle name="40% - Énfasis2 8 12" xfId="5972" xr:uid="{00000000-0005-0000-0000-000016170000}"/>
    <cellStyle name="40% - Énfasis2 8 13" xfId="5973" xr:uid="{00000000-0005-0000-0000-000017170000}"/>
    <cellStyle name="40% - Énfasis2 8 14" xfId="5974" xr:uid="{00000000-0005-0000-0000-000018170000}"/>
    <cellStyle name="40% - Énfasis2 8 15" xfId="5975" xr:uid="{00000000-0005-0000-0000-000019170000}"/>
    <cellStyle name="40% - Énfasis2 8 16" xfId="5976" xr:uid="{00000000-0005-0000-0000-00001A170000}"/>
    <cellStyle name="40% - Énfasis2 8 17" xfId="5977" xr:uid="{00000000-0005-0000-0000-00001B170000}"/>
    <cellStyle name="40% - Énfasis2 8 18" xfId="5978" xr:uid="{00000000-0005-0000-0000-00001C170000}"/>
    <cellStyle name="40% - Énfasis2 8 19" xfId="5979" xr:uid="{00000000-0005-0000-0000-00001D170000}"/>
    <cellStyle name="40% - Énfasis2 8 2" xfId="5980" xr:uid="{00000000-0005-0000-0000-00001E170000}"/>
    <cellStyle name="40% - Énfasis2 8 2 2" xfId="5981" xr:uid="{00000000-0005-0000-0000-00001F170000}"/>
    <cellStyle name="40% - Énfasis2 8 3" xfId="5982" xr:uid="{00000000-0005-0000-0000-000020170000}"/>
    <cellStyle name="40% - Énfasis2 8 3 2" xfId="5983" xr:uid="{00000000-0005-0000-0000-000021170000}"/>
    <cellStyle name="40% - Énfasis2 8 4" xfId="5984" xr:uid="{00000000-0005-0000-0000-000022170000}"/>
    <cellStyle name="40% - Énfasis2 8 4 2" xfId="5985" xr:uid="{00000000-0005-0000-0000-000023170000}"/>
    <cellStyle name="40% - Énfasis2 8 5" xfId="5986" xr:uid="{00000000-0005-0000-0000-000024170000}"/>
    <cellStyle name="40% - Énfasis2 8 6" xfId="5987" xr:uid="{00000000-0005-0000-0000-000025170000}"/>
    <cellStyle name="40% - Énfasis2 8 7" xfId="5988" xr:uid="{00000000-0005-0000-0000-000026170000}"/>
    <cellStyle name="40% - Énfasis2 8 8" xfId="5989" xr:uid="{00000000-0005-0000-0000-000027170000}"/>
    <cellStyle name="40% - Énfasis2 8 9" xfId="5990" xr:uid="{00000000-0005-0000-0000-000028170000}"/>
    <cellStyle name="40% - Énfasis2 9 10" xfId="5991" xr:uid="{00000000-0005-0000-0000-000029170000}"/>
    <cellStyle name="40% - Énfasis2 9 11" xfId="5992" xr:uid="{00000000-0005-0000-0000-00002A170000}"/>
    <cellStyle name="40% - Énfasis2 9 12" xfId="5993" xr:uid="{00000000-0005-0000-0000-00002B170000}"/>
    <cellStyle name="40% - Énfasis2 9 13" xfId="5994" xr:uid="{00000000-0005-0000-0000-00002C170000}"/>
    <cellStyle name="40% - Énfasis2 9 14" xfId="5995" xr:uid="{00000000-0005-0000-0000-00002D170000}"/>
    <cellStyle name="40% - Énfasis2 9 15" xfId="5996" xr:uid="{00000000-0005-0000-0000-00002E170000}"/>
    <cellStyle name="40% - Énfasis2 9 16" xfId="5997" xr:uid="{00000000-0005-0000-0000-00002F170000}"/>
    <cellStyle name="40% - Énfasis2 9 17" xfId="5998" xr:uid="{00000000-0005-0000-0000-000030170000}"/>
    <cellStyle name="40% - Énfasis2 9 18" xfId="5999" xr:uid="{00000000-0005-0000-0000-000031170000}"/>
    <cellStyle name="40% - Énfasis2 9 19" xfId="6000" xr:uid="{00000000-0005-0000-0000-000032170000}"/>
    <cellStyle name="40% - Énfasis2 9 2" xfId="6001" xr:uid="{00000000-0005-0000-0000-000033170000}"/>
    <cellStyle name="40% - Énfasis2 9 2 2" xfId="6002" xr:uid="{00000000-0005-0000-0000-000034170000}"/>
    <cellStyle name="40% - Énfasis2 9 3" xfId="6003" xr:uid="{00000000-0005-0000-0000-000035170000}"/>
    <cellStyle name="40% - Énfasis2 9 3 2" xfId="6004" xr:uid="{00000000-0005-0000-0000-000036170000}"/>
    <cellStyle name="40% - Énfasis2 9 4" xfId="6005" xr:uid="{00000000-0005-0000-0000-000037170000}"/>
    <cellStyle name="40% - Énfasis2 9 4 2" xfId="6006" xr:uid="{00000000-0005-0000-0000-000038170000}"/>
    <cellStyle name="40% - Énfasis2 9 5" xfId="6007" xr:uid="{00000000-0005-0000-0000-000039170000}"/>
    <cellStyle name="40% - Énfasis2 9 6" xfId="6008" xr:uid="{00000000-0005-0000-0000-00003A170000}"/>
    <cellStyle name="40% - Énfasis2 9 7" xfId="6009" xr:uid="{00000000-0005-0000-0000-00003B170000}"/>
    <cellStyle name="40% - Énfasis2 9 8" xfId="6010" xr:uid="{00000000-0005-0000-0000-00003C170000}"/>
    <cellStyle name="40% - Énfasis2 9 9" xfId="6011" xr:uid="{00000000-0005-0000-0000-00003D170000}"/>
    <cellStyle name="40% - Énfasis3" xfId="32538" builtinId="39" customBuiltin="1"/>
    <cellStyle name="40% - Énfasis3 10 10" xfId="6012" xr:uid="{00000000-0005-0000-0000-00003F170000}"/>
    <cellStyle name="40% - Énfasis3 10 11" xfId="6013" xr:uid="{00000000-0005-0000-0000-000040170000}"/>
    <cellStyle name="40% - Énfasis3 10 12" xfId="6014" xr:uid="{00000000-0005-0000-0000-000041170000}"/>
    <cellStyle name="40% - Énfasis3 10 13" xfId="6015" xr:uid="{00000000-0005-0000-0000-000042170000}"/>
    <cellStyle name="40% - Énfasis3 10 14" xfId="6016" xr:uid="{00000000-0005-0000-0000-000043170000}"/>
    <cellStyle name="40% - Énfasis3 10 15" xfId="6017" xr:uid="{00000000-0005-0000-0000-000044170000}"/>
    <cellStyle name="40% - Énfasis3 10 16" xfId="6018" xr:uid="{00000000-0005-0000-0000-000045170000}"/>
    <cellStyle name="40% - Énfasis3 10 17" xfId="6019" xr:uid="{00000000-0005-0000-0000-000046170000}"/>
    <cellStyle name="40% - Énfasis3 10 18" xfId="6020" xr:uid="{00000000-0005-0000-0000-000047170000}"/>
    <cellStyle name="40% - Énfasis3 10 19" xfId="6021" xr:uid="{00000000-0005-0000-0000-000048170000}"/>
    <cellStyle name="40% - Énfasis3 10 2" xfId="6022" xr:uid="{00000000-0005-0000-0000-000049170000}"/>
    <cellStyle name="40% - Énfasis3 10 2 2" xfId="6023" xr:uid="{00000000-0005-0000-0000-00004A170000}"/>
    <cellStyle name="40% - Énfasis3 10 3" xfId="6024" xr:uid="{00000000-0005-0000-0000-00004B170000}"/>
    <cellStyle name="40% - Énfasis3 10 3 2" xfId="6025" xr:uid="{00000000-0005-0000-0000-00004C170000}"/>
    <cellStyle name="40% - Énfasis3 10 4" xfId="6026" xr:uid="{00000000-0005-0000-0000-00004D170000}"/>
    <cellStyle name="40% - Énfasis3 10 4 2" xfId="6027" xr:uid="{00000000-0005-0000-0000-00004E170000}"/>
    <cellStyle name="40% - Énfasis3 10 5" xfId="6028" xr:uid="{00000000-0005-0000-0000-00004F170000}"/>
    <cellStyle name="40% - Énfasis3 10 6" xfId="6029" xr:uid="{00000000-0005-0000-0000-000050170000}"/>
    <cellStyle name="40% - Énfasis3 10 7" xfId="6030" xr:uid="{00000000-0005-0000-0000-000051170000}"/>
    <cellStyle name="40% - Énfasis3 10 8" xfId="6031" xr:uid="{00000000-0005-0000-0000-000052170000}"/>
    <cellStyle name="40% - Énfasis3 10 9" xfId="6032" xr:uid="{00000000-0005-0000-0000-000053170000}"/>
    <cellStyle name="40% - Énfasis3 11 10" xfId="6033" xr:uid="{00000000-0005-0000-0000-000054170000}"/>
    <cellStyle name="40% - Énfasis3 11 11" xfId="6034" xr:uid="{00000000-0005-0000-0000-000055170000}"/>
    <cellStyle name="40% - Énfasis3 11 12" xfId="6035" xr:uid="{00000000-0005-0000-0000-000056170000}"/>
    <cellStyle name="40% - Énfasis3 11 13" xfId="6036" xr:uid="{00000000-0005-0000-0000-000057170000}"/>
    <cellStyle name="40% - Énfasis3 11 14" xfId="6037" xr:uid="{00000000-0005-0000-0000-000058170000}"/>
    <cellStyle name="40% - Énfasis3 11 15" xfId="6038" xr:uid="{00000000-0005-0000-0000-000059170000}"/>
    <cellStyle name="40% - Énfasis3 11 16" xfId="6039" xr:uid="{00000000-0005-0000-0000-00005A170000}"/>
    <cellStyle name="40% - Énfasis3 11 17" xfId="6040" xr:uid="{00000000-0005-0000-0000-00005B170000}"/>
    <cellStyle name="40% - Énfasis3 11 18" xfId="6041" xr:uid="{00000000-0005-0000-0000-00005C170000}"/>
    <cellStyle name="40% - Énfasis3 11 19" xfId="6042" xr:uid="{00000000-0005-0000-0000-00005D170000}"/>
    <cellStyle name="40% - Énfasis3 11 2" xfId="6043" xr:uid="{00000000-0005-0000-0000-00005E170000}"/>
    <cellStyle name="40% - Énfasis3 11 2 2" xfId="6044" xr:uid="{00000000-0005-0000-0000-00005F170000}"/>
    <cellStyle name="40% - Énfasis3 11 3" xfId="6045" xr:uid="{00000000-0005-0000-0000-000060170000}"/>
    <cellStyle name="40% - Énfasis3 11 3 2" xfId="6046" xr:uid="{00000000-0005-0000-0000-000061170000}"/>
    <cellStyle name="40% - Énfasis3 11 4" xfId="6047" xr:uid="{00000000-0005-0000-0000-000062170000}"/>
    <cellStyle name="40% - Énfasis3 11 4 2" xfId="6048" xr:uid="{00000000-0005-0000-0000-000063170000}"/>
    <cellStyle name="40% - Énfasis3 11 5" xfId="6049" xr:uid="{00000000-0005-0000-0000-000064170000}"/>
    <cellStyle name="40% - Énfasis3 11 6" xfId="6050" xr:uid="{00000000-0005-0000-0000-000065170000}"/>
    <cellStyle name="40% - Énfasis3 11 7" xfId="6051" xr:uid="{00000000-0005-0000-0000-000066170000}"/>
    <cellStyle name="40% - Énfasis3 11 8" xfId="6052" xr:uid="{00000000-0005-0000-0000-000067170000}"/>
    <cellStyle name="40% - Énfasis3 11 9" xfId="6053" xr:uid="{00000000-0005-0000-0000-000068170000}"/>
    <cellStyle name="40% - Énfasis3 12 10" xfId="6054" xr:uid="{00000000-0005-0000-0000-000069170000}"/>
    <cellStyle name="40% - Énfasis3 12 11" xfId="6055" xr:uid="{00000000-0005-0000-0000-00006A170000}"/>
    <cellStyle name="40% - Énfasis3 12 12" xfId="6056" xr:uid="{00000000-0005-0000-0000-00006B170000}"/>
    <cellStyle name="40% - Énfasis3 12 13" xfId="6057" xr:uid="{00000000-0005-0000-0000-00006C170000}"/>
    <cellStyle name="40% - Énfasis3 12 14" xfId="6058" xr:uid="{00000000-0005-0000-0000-00006D170000}"/>
    <cellStyle name="40% - Énfasis3 12 15" xfId="6059" xr:uid="{00000000-0005-0000-0000-00006E170000}"/>
    <cellStyle name="40% - Énfasis3 12 16" xfId="6060" xr:uid="{00000000-0005-0000-0000-00006F170000}"/>
    <cellStyle name="40% - Énfasis3 12 17" xfId="6061" xr:uid="{00000000-0005-0000-0000-000070170000}"/>
    <cellStyle name="40% - Énfasis3 12 18" xfId="6062" xr:uid="{00000000-0005-0000-0000-000071170000}"/>
    <cellStyle name="40% - Énfasis3 12 19" xfId="6063" xr:uid="{00000000-0005-0000-0000-000072170000}"/>
    <cellStyle name="40% - Énfasis3 12 2" xfId="6064" xr:uid="{00000000-0005-0000-0000-000073170000}"/>
    <cellStyle name="40% - Énfasis3 12 2 2" xfId="6065" xr:uid="{00000000-0005-0000-0000-000074170000}"/>
    <cellStyle name="40% - Énfasis3 12 3" xfId="6066" xr:uid="{00000000-0005-0000-0000-000075170000}"/>
    <cellStyle name="40% - Énfasis3 12 3 2" xfId="6067" xr:uid="{00000000-0005-0000-0000-000076170000}"/>
    <cellStyle name="40% - Énfasis3 12 4" xfId="6068" xr:uid="{00000000-0005-0000-0000-000077170000}"/>
    <cellStyle name="40% - Énfasis3 12 4 2" xfId="6069" xr:uid="{00000000-0005-0000-0000-000078170000}"/>
    <cellStyle name="40% - Énfasis3 12 5" xfId="6070" xr:uid="{00000000-0005-0000-0000-000079170000}"/>
    <cellStyle name="40% - Énfasis3 12 6" xfId="6071" xr:uid="{00000000-0005-0000-0000-00007A170000}"/>
    <cellStyle name="40% - Énfasis3 12 7" xfId="6072" xr:uid="{00000000-0005-0000-0000-00007B170000}"/>
    <cellStyle name="40% - Énfasis3 12 8" xfId="6073" xr:uid="{00000000-0005-0000-0000-00007C170000}"/>
    <cellStyle name="40% - Énfasis3 12 9" xfId="6074" xr:uid="{00000000-0005-0000-0000-00007D170000}"/>
    <cellStyle name="40% - Énfasis3 13 10" xfId="6075" xr:uid="{00000000-0005-0000-0000-00007E170000}"/>
    <cellStyle name="40% - Énfasis3 13 11" xfId="6076" xr:uid="{00000000-0005-0000-0000-00007F170000}"/>
    <cellStyle name="40% - Énfasis3 13 12" xfId="6077" xr:uid="{00000000-0005-0000-0000-000080170000}"/>
    <cellStyle name="40% - Énfasis3 13 13" xfId="6078" xr:uid="{00000000-0005-0000-0000-000081170000}"/>
    <cellStyle name="40% - Énfasis3 13 14" xfId="6079" xr:uid="{00000000-0005-0000-0000-000082170000}"/>
    <cellStyle name="40% - Énfasis3 13 15" xfId="6080" xr:uid="{00000000-0005-0000-0000-000083170000}"/>
    <cellStyle name="40% - Énfasis3 13 16" xfId="6081" xr:uid="{00000000-0005-0000-0000-000084170000}"/>
    <cellStyle name="40% - Énfasis3 13 17" xfId="6082" xr:uid="{00000000-0005-0000-0000-000085170000}"/>
    <cellStyle name="40% - Énfasis3 13 18" xfId="6083" xr:uid="{00000000-0005-0000-0000-000086170000}"/>
    <cellStyle name="40% - Énfasis3 13 19" xfId="6084" xr:uid="{00000000-0005-0000-0000-000087170000}"/>
    <cellStyle name="40% - Énfasis3 13 2" xfId="6085" xr:uid="{00000000-0005-0000-0000-000088170000}"/>
    <cellStyle name="40% - Énfasis3 13 2 2" xfId="6086" xr:uid="{00000000-0005-0000-0000-000089170000}"/>
    <cellStyle name="40% - Énfasis3 13 3" xfId="6087" xr:uid="{00000000-0005-0000-0000-00008A170000}"/>
    <cellStyle name="40% - Énfasis3 13 3 2" xfId="6088" xr:uid="{00000000-0005-0000-0000-00008B170000}"/>
    <cellStyle name="40% - Énfasis3 13 4" xfId="6089" xr:uid="{00000000-0005-0000-0000-00008C170000}"/>
    <cellStyle name="40% - Énfasis3 13 4 2" xfId="6090" xr:uid="{00000000-0005-0000-0000-00008D170000}"/>
    <cellStyle name="40% - Énfasis3 13 5" xfId="6091" xr:uid="{00000000-0005-0000-0000-00008E170000}"/>
    <cellStyle name="40% - Énfasis3 13 6" xfId="6092" xr:uid="{00000000-0005-0000-0000-00008F170000}"/>
    <cellStyle name="40% - Énfasis3 13 7" xfId="6093" xr:uid="{00000000-0005-0000-0000-000090170000}"/>
    <cellStyle name="40% - Énfasis3 13 8" xfId="6094" xr:uid="{00000000-0005-0000-0000-000091170000}"/>
    <cellStyle name="40% - Énfasis3 13 9" xfId="6095" xr:uid="{00000000-0005-0000-0000-000092170000}"/>
    <cellStyle name="40% - Énfasis3 14 10" xfId="6096" xr:uid="{00000000-0005-0000-0000-000093170000}"/>
    <cellStyle name="40% - Énfasis3 14 11" xfId="6097" xr:uid="{00000000-0005-0000-0000-000094170000}"/>
    <cellStyle name="40% - Énfasis3 14 12" xfId="6098" xr:uid="{00000000-0005-0000-0000-000095170000}"/>
    <cellStyle name="40% - Énfasis3 14 13" xfId="6099" xr:uid="{00000000-0005-0000-0000-000096170000}"/>
    <cellStyle name="40% - Énfasis3 14 14" xfId="6100" xr:uid="{00000000-0005-0000-0000-000097170000}"/>
    <cellStyle name="40% - Énfasis3 14 15" xfId="6101" xr:uid="{00000000-0005-0000-0000-000098170000}"/>
    <cellStyle name="40% - Énfasis3 14 16" xfId="6102" xr:uid="{00000000-0005-0000-0000-000099170000}"/>
    <cellStyle name="40% - Énfasis3 14 17" xfId="6103" xr:uid="{00000000-0005-0000-0000-00009A170000}"/>
    <cellStyle name="40% - Énfasis3 14 18" xfId="6104" xr:uid="{00000000-0005-0000-0000-00009B170000}"/>
    <cellStyle name="40% - Énfasis3 14 19" xfId="6105" xr:uid="{00000000-0005-0000-0000-00009C170000}"/>
    <cellStyle name="40% - Énfasis3 14 2" xfId="6106" xr:uid="{00000000-0005-0000-0000-00009D170000}"/>
    <cellStyle name="40% - Énfasis3 14 2 2" xfId="6107" xr:uid="{00000000-0005-0000-0000-00009E170000}"/>
    <cellStyle name="40% - Énfasis3 14 3" xfId="6108" xr:uid="{00000000-0005-0000-0000-00009F170000}"/>
    <cellStyle name="40% - Énfasis3 14 3 2" xfId="6109" xr:uid="{00000000-0005-0000-0000-0000A0170000}"/>
    <cellStyle name="40% - Énfasis3 14 4" xfId="6110" xr:uid="{00000000-0005-0000-0000-0000A1170000}"/>
    <cellStyle name="40% - Énfasis3 14 4 2" xfId="6111" xr:uid="{00000000-0005-0000-0000-0000A2170000}"/>
    <cellStyle name="40% - Énfasis3 14 5" xfId="6112" xr:uid="{00000000-0005-0000-0000-0000A3170000}"/>
    <cellStyle name="40% - Énfasis3 14 6" xfId="6113" xr:uid="{00000000-0005-0000-0000-0000A4170000}"/>
    <cellStyle name="40% - Énfasis3 14 7" xfId="6114" xr:uid="{00000000-0005-0000-0000-0000A5170000}"/>
    <cellStyle name="40% - Énfasis3 14 8" xfId="6115" xr:uid="{00000000-0005-0000-0000-0000A6170000}"/>
    <cellStyle name="40% - Énfasis3 14 9" xfId="6116" xr:uid="{00000000-0005-0000-0000-0000A7170000}"/>
    <cellStyle name="40% - Énfasis3 15 10" xfId="6117" xr:uid="{00000000-0005-0000-0000-0000A8170000}"/>
    <cellStyle name="40% - Énfasis3 15 11" xfId="6118" xr:uid="{00000000-0005-0000-0000-0000A9170000}"/>
    <cellStyle name="40% - Énfasis3 15 12" xfId="6119" xr:uid="{00000000-0005-0000-0000-0000AA170000}"/>
    <cellStyle name="40% - Énfasis3 15 13" xfId="6120" xr:uid="{00000000-0005-0000-0000-0000AB170000}"/>
    <cellStyle name="40% - Énfasis3 15 14" xfId="6121" xr:uid="{00000000-0005-0000-0000-0000AC170000}"/>
    <cellStyle name="40% - Énfasis3 15 15" xfId="6122" xr:uid="{00000000-0005-0000-0000-0000AD170000}"/>
    <cellStyle name="40% - Énfasis3 15 16" xfId="6123" xr:uid="{00000000-0005-0000-0000-0000AE170000}"/>
    <cellStyle name="40% - Énfasis3 15 17" xfId="6124" xr:uid="{00000000-0005-0000-0000-0000AF170000}"/>
    <cellStyle name="40% - Énfasis3 15 18" xfId="6125" xr:uid="{00000000-0005-0000-0000-0000B0170000}"/>
    <cellStyle name="40% - Énfasis3 15 19" xfId="6126" xr:uid="{00000000-0005-0000-0000-0000B1170000}"/>
    <cellStyle name="40% - Énfasis3 15 2" xfId="6127" xr:uid="{00000000-0005-0000-0000-0000B2170000}"/>
    <cellStyle name="40% - Énfasis3 15 2 2" xfId="6128" xr:uid="{00000000-0005-0000-0000-0000B3170000}"/>
    <cellStyle name="40% - Énfasis3 15 3" xfId="6129" xr:uid="{00000000-0005-0000-0000-0000B4170000}"/>
    <cellStyle name="40% - Énfasis3 15 3 2" xfId="6130" xr:uid="{00000000-0005-0000-0000-0000B5170000}"/>
    <cellStyle name="40% - Énfasis3 15 4" xfId="6131" xr:uid="{00000000-0005-0000-0000-0000B6170000}"/>
    <cellStyle name="40% - Énfasis3 15 4 2" xfId="6132" xr:uid="{00000000-0005-0000-0000-0000B7170000}"/>
    <cellStyle name="40% - Énfasis3 15 5" xfId="6133" xr:uid="{00000000-0005-0000-0000-0000B8170000}"/>
    <cellStyle name="40% - Énfasis3 15 6" xfId="6134" xr:uid="{00000000-0005-0000-0000-0000B9170000}"/>
    <cellStyle name="40% - Énfasis3 15 7" xfId="6135" xr:uid="{00000000-0005-0000-0000-0000BA170000}"/>
    <cellStyle name="40% - Énfasis3 15 8" xfId="6136" xr:uid="{00000000-0005-0000-0000-0000BB170000}"/>
    <cellStyle name="40% - Énfasis3 15 9" xfId="6137" xr:uid="{00000000-0005-0000-0000-0000BC170000}"/>
    <cellStyle name="40% - Énfasis3 16 10" xfId="6138" xr:uid="{00000000-0005-0000-0000-0000BD170000}"/>
    <cellStyle name="40% - Énfasis3 16 11" xfId="6139" xr:uid="{00000000-0005-0000-0000-0000BE170000}"/>
    <cellStyle name="40% - Énfasis3 16 12" xfId="6140" xr:uid="{00000000-0005-0000-0000-0000BF170000}"/>
    <cellStyle name="40% - Énfasis3 16 13" xfId="6141" xr:uid="{00000000-0005-0000-0000-0000C0170000}"/>
    <cellStyle name="40% - Énfasis3 16 14" xfId="6142" xr:uid="{00000000-0005-0000-0000-0000C1170000}"/>
    <cellStyle name="40% - Énfasis3 16 15" xfId="6143" xr:uid="{00000000-0005-0000-0000-0000C2170000}"/>
    <cellStyle name="40% - Énfasis3 16 16" xfId="6144" xr:uid="{00000000-0005-0000-0000-0000C3170000}"/>
    <cellStyle name="40% - Énfasis3 16 17" xfId="6145" xr:uid="{00000000-0005-0000-0000-0000C4170000}"/>
    <cellStyle name="40% - Énfasis3 16 18" xfId="6146" xr:uid="{00000000-0005-0000-0000-0000C5170000}"/>
    <cellStyle name="40% - Énfasis3 16 19" xfId="6147" xr:uid="{00000000-0005-0000-0000-0000C6170000}"/>
    <cellStyle name="40% - Énfasis3 16 2" xfId="6148" xr:uid="{00000000-0005-0000-0000-0000C7170000}"/>
    <cellStyle name="40% - Énfasis3 16 2 2" xfId="6149" xr:uid="{00000000-0005-0000-0000-0000C8170000}"/>
    <cellStyle name="40% - Énfasis3 16 3" xfId="6150" xr:uid="{00000000-0005-0000-0000-0000C9170000}"/>
    <cellStyle name="40% - Énfasis3 16 3 2" xfId="6151" xr:uid="{00000000-0005-0000-0000-0000CA170000}"/>
    <cellStyle name="40% - Énfasis3 16 4" xfId="6152" xr:uid="{00000000-0005-0000-0000-0000CB170000}"/>
    <cellStyle name="40% - Énfasis3 16 4 2" xfId="6153" xr:uid="{00000000-0005-0000-0000-0000CC170000}"/>
    <cellStyle name="40% - Énfasis3 16 5" xfId="6154" xr:uid="{00000000-0005-0000-0000-0000CD170000}"/>
    <cellStyle name="40% - Énfasis3 16 6" xfId="6155" xr:uid="{00000000-0005-0000-0000-0000CE170000}"/>
    <cellStyle name="40% - Énfasis3 16 7" xfId="6156" xr:uid="{00000000-0005-0000-0000-0000CF170000}"/>
    <cellStyle name="40% - Énfasis3 16 8" xfId="6157" xr:uid="{00000000-0005-0000-0000-0000D0170000}"/>
    <cellStyle name="40% - Énfasis3 16 9" xfId="6158" xr:uid="{00000000-0005-0000-0000-0000D1170000}"/>
    <cellStyle name="40% - Énfasis3 17 10" xfId="6159" xr:uid="{00000000-0005-0000-0000-0000D2170000}"/>
    <cellStyle name="40% - Énfasis3 17 11" xfId="6160" xr:uid="{00000000-0005-0000-0000-0000D3170000}"/>
    <cellStyle name="40% - Énfasis3 17 12" xfId="6161" xr:uid="{00000000-0005-0000-0000-0000D4170000}"/>
    <cellStyle name="40% - Énfasis3 17 13" xfId="6162" xr:uid="{00000000-0005-0000-0000-0000D5170000}"/>
    <cellStyle name="40% - Énfasis3 17 14" xfId="6163" xr:uid="{00000000-0005-0000-0000-0000D6170000}"/>
    <cellStyle name="40% - Énfasis3 17 15" xfId="6164" xr:uid="{00000000-0005-0000-0000-0000D7170000}"/>
    <cellStyle name="40% - Énfasis3 17 16" xfId="6165" xr:uid="{00000000-0005-0000-0000-0000D8170000}"/>
    <cellStyle name="40% - Énfasis3 17 17" xfId="6166" xr:uid="{00000000-0005-0000-0000-0000D9170000}"/>
    <cellStyle name="40% - Énfasis3 17 18" xfId="6167" xr:uid="{00000000-0005-0000-0000-0000DA170000}"/>
    <cellStyle name="40% - Énfasis3 17 19" xfId="6168" xr:uid="{00000000-0005-0000-0000-0000DB170000}"/>
    <cellStyle name="40% - Énfasis3 17 2" xfId="6169" xr:uid="{00000000-0005-0000-0000-0000DC170000}"/>
    <cellStyle name="40% - Énfasis3 17 2 2" xfId="6170" xr:uid="{00000000-0005-0000-0000-0000DD170000}"/>
    <cellStyle name="40% - Énfasis3 17 3" xfId="6171" xr:uid="{00000000-0005-0000-0000-0000DE170000}"/>
    <cellStyle name="40% - Énfasis3 17 3 2" xfId="6172" xr:uid="{00000000-0005-0000-0000-0000DF170000}"/>
    <cellStyle name="40% - Énfasis3 17 4" xfId="6173" xr:uid="{00000000-0005-0000-0000-0000E0170000}"/>
    <cellStyle name="40% - Énfasis3 17 4 2" xfId="6174" xr:uid="{00000000-0005-0000-0000-0000E1170000}"/>
    <cellStyle name="40% - Énfasis3 17 5" xfId="6175" xr:uid="{00000000-0005-0000-0000-0000E2170000}"/>
    <cellStyle name="40% - Énfasis3 17 6" xfId="6176" xr:uid="{00000000-0005-0000-0000-0000E3170000}"/>
    <cellStyle name="40% - Énfasis3 17 7" xfId="6177" xr:uid="{00000000-0005-0000-0000-0000E4170000}"/>
    <cellStyle name="40% - Énfasis3 17 8" xfId="6178" xr:uid="{00000000-0005-0000-0000-0000E5170000}"/>
    <cellStyle name="40% - Énfasis3 17 9" xfId="6179" xr:uid="{00000000-0005-0000-0000-0000E6170000}"/>
    <cellStyle name="40% - Énfasis3 18 10" xfId="6180" xr:uid="{00000000-0005-0000-0000-0000E7170000}"/>
    <cellStyle name="40% - Énfasis3 18 11" xfId="6181" xr:uid="{00000000-0005-0000-0000-0000E8170000}"/>
    <cellStyle name="40% - Énfasis3 18 12" xfId="6182" xr:uid="{00000000-0005-0000-0000-0000E9170000}"/>
    <cellStyle name="40% - Énfasis3 18 13" xfId="6183" xr:uid="{00000000-0005-0000-0000-0000EA170000}"/>
    <cellStyle name="40% - Énfasis3 18 14" xfId="6184" xr:uid="{00000000-0005-0000-0000-0000EB170000}"/>
    <cellStyle name="40% - Énfasis3 18 15" xfId="6185" xr:uid="{00000000-0005-0000-0000-0000EC170000}"/>
    <cellStyle name="40% - Énfasis3 18 16" xfId="6186" xr:uid="{00000000-0005-0000-0000-0000ED170000}"/>
    <cellStyle name="40% - Énfasis3 18 17" xfId="6187" xr:uid="{00000000-0005-0000-0000-0000EE170000}"/>
    <cellStyle name="40% - Énfasis3 18 18" xfId="6188" xr:uid="{00000000-0005-0000-0000-0000EF170000}"/>
    <cellStyle name="40% - Énfasis3 18 19" xfId="6189" xr:uid="{00000000-0005-0000-0000-0000F0170000}"/>
    <cellStyle name="40% - Énfasis3 18 2" xfId="6190" xr:uid="{00000000-0005-0000-0000-0000F1170000}"/>
    <cellStyle name="40% - Énfasis3 18 2 2" xfId="6191" xr:uid="{00000000-0005-0000-0000-0000F2170000}"/>
    <cellStyle name="40% - Énfasis3 18 3" xfId="6192" xr:uid="{00000000-0005-0000-0000-0000F3170000}"/>
    <cellStyle name="40% - Énfasis3 18 3 2" xfId="6193" xr:uid="{00000000-0005-0000-0000-0000F4170000}"/>
    <cellStyle name="40% - Énfasis3 18 4" xfId="6194" xr:uid="{00000000-0005-0000-0000-0000F5170000}"/>
    <cellStyle name="40% - Énfasis3 18 4 2" xfId="6195" xr:uid="{00000000-0005-0000-0000-0000F6170000}"/>
    <cellStyle name="40% - Énfasis3 18 5" xfId="6196" xr:uid="{00000000-0005-0000-0000-0000F7170000}"/>
    <cellStyle name="40% - Énfasis3 18 6" xfId="6197" xr:uid="{00000000-0005-0000-0000-0000F8170000}"/>
    <cellStyle name="40% - Énfasis3 18 7" xfId="6198" xr:uid="{00000000-0005-0000-0000-0000F9170000}"/>
    <cellStyle name="40% - Énfasis3 18 8" xfId="6199" xr:uid="{00000000-0005-0000-0000-0000FA170000}"/>
    <cellStyle name="40% - Énfasis3 18 9" xfId="6200" xr:uid="{00000000-0005-0000-0000-0000FB170000}"/>
    <cellStyle name="40% - Énfasis3 19 10" xfId="6201" xr:uid="{00000000-0005-0000-0000-0000FC170000}"/>
    <cellStyle name="40% - Énfasis3 19 11" xfId="6202" xr:uid="{00000000-0005-0000-0000-0000FD170000}"/>
    <cellStyle name="40% - Énfasis3 19 12" xfId="6203" xr:uid="{00000000-0005-0000-0000-0000FE170000}"/>
    <cellStyle name="40% - Énfasis3 19 13" xfId="6204" xr:uid="{00000000-0005-0000-0000-0000FF170000}"/>
    <cellStyle name="40% - Énfasis3 19 14" xfId="6205" xr:uid="{00000000-0005-0000-0000-000000180000}"/>
    <cellStyle name="40% - Énfasis3 19 15" xfId="6206" xr:uid="{00000000-0005-0000-0000-000001180000}"/>
    <cellStyle name="40% - Énfasis3 19 16" xfId="6207" xr:uid="{00000000-0005-0000-0000-000002180000}"/>
    <cellStyle name="40% - Énfasis3 19 17" xfId="6208" xr:uid="{00000000-0005-0000-0000-000003180000}"/>
    <cellStyle name="40% - Énfasis3 19 18" xfId="6209" xr:uid="{00000000-0005-0000-0000-000004180000}"/>
    <cellStyle name="40% - Énfasis3 19 19" xfId="6210" xr:uid="{00000000-0005-0000-0000-000005180000}"/>
    <cellStyle name="40% - Énfasis3 19 2" xfId="6211" xr:uid="{00000000-0005-0000-0000-000006180000}"/>
    <cellStyle name="40% - Énfasis3 19 2 2" xfId="6212" xr:uid="{00000000-0005-0000-0000-000007180000}"/>
    <cellStyle name="40% - Énfasis3 19 3" xfId="6213" xr:uid="{00000000-0005-0000-0000-000008180000}"/>
    <cellStyle name="40% - Énfasis3 19 3 2" xfId="6214" xr:uid="{00000000-0005-0000-0000-000009180000}"/>
    <cellStyle name="40% - Énfasis3 19 4" xfId="6215" xr:uid="{00000000-0005-0000-0000-00000A180000}"/>
    <cellStyle name="40% - Énfasis3 19 4 2" xfId="6216" xr:uid="{00000000-0005-0000-0000-00000B180000}"/>
    <cellStyle name="40% - Énfasis3 19 5" xfId="6217" xr:uid="{00000000-0005-0000-0000-00000C180000}"/>
    <cellStyle name="40% - Énfasis3 19 6" xfId="6218" xr:uid="{00000000-0005-0000-0000-00000D180000}"/>
    <cellStyle name="40% - Énfasis3 19 7" xfId="6219" xr:uid="{00000000-0005-0000-0000-00000E180000}"/>
    <cellStyle name="40% - Énfasis3 19 8" xfId="6220" xr:uid="{00000000-0005-0000-0000-00000F180000}"/>
    <cellStyle name="40% - Énfasis3 19 9" xfId="6221" xr:uid="{00000000-0005-0000-0000-000010180000}"/>
    <cellStyle name="40% - Énfasis3 2 10" xfId="6222" xr:uid="{00000000-0005-0000-0000-000011180000}"/>
    <cellStyle name="40% - Énfasis3 2 11" xfId="6223" xr:uid="{00000000-0005-0000-0000-000012180000}"/>
    <cellStyle name="40% - Énfasis3 2 12" xfId="6224" xr:uid="{00000000-0005-0000-0000-000013180000}"/>
    <cellStyle name="40% - Énfasis3 2 13" xfId="6225" xr:uid="{00000000-0005-0000-0000-000014180000}"/>
    <cellStyle name="40% - Énfasis3 2 14" xfId="6226" xr:uid="{00000000-0005-0000-0000-000015180000}"/>
    <cellStyle name="40% - Énfasis3 2 15" xfId="6227" xr:uid="{00000000-0005-0000-0000-000016180000}"/>
    <cellStyle name="40% - Énfasis3 2 16" xfId="6228" xr:uid="{00000000-0005-0000-0000-000017180000}"/>
    <cellStyle name="40% - Énfasis3 2 17" xfId="6229" xr:uid="{00000000-0005-0000-0000-000018180000}"/>
    <cellStyle name="40% - Énfasis3 2 18" xfId="6230" xr:uid="{00000000-0005-0000-0000-000019180000}"/>
    <cellStyle name="40% - Énfasis3 2 19" xfId="6231" xr:uid="{00000000-0005-0000-0000-00001A180000}"/>
    <cellStyle name="40% - Énfasis3 2 2" xfId="6232" xr:uid="{00000000-0005-0000-0000-00001B180000}"/>
    <cellStyle name="40% - Énfasis3 2 2 2" xfId="6233" xr:uid="{00000000-0005-0000-0000-00001C180000}"/>
    <cellStyle name="40% - Énfasis3 2 3" xfId="6234" xr:uid="{00000000-0005-0000-0000-00001D180000}"/>
    <cellStyle name="40% - Énfasis3 2 3 2" xfId="6235" xr:uid="{00000000-0005-0000-0000-00001E180000}"/>
    <cellStyle name="40% - Énfasis3 2 4" xfId="6236" xr:uid="{00000000-0005-0000-0000-00001F180000}"/>
    <cellStyle name="40% - Énfasis3 2 4 2" xfId="6237" xr:uid="{00000000-0005-0000-0000-000020180000}"/>
    <cellStyle name="40% - Énfasis3 2 5" xfId="6238" xr:uid="{00000000-0005-0000-0000-000021180000}"/>
    <cellStyle name="40% - Énfasis3 2 6" xfId="6239" xr:uid="{00000000-0005-0000-0000-000022180000}"/>
    <cellStyle name="40% - Énfasis3 2 7" xfId="6240" xr:uid="{00000000-0005-0000-0000-000023180000}"/>
    <cellStyle name="40% - Énfasis3 2 8" xfId="6241" xr:uid="{00000000-0005-0000-0000-000024180000}"/>
    <cellStyle name="40% - Énfasis3 2 9" xfId="6242" xr:uid="{00000000-0005-0000-0000-000025180000}"/>
    <cellStyle name="40% - Énfasis3 20 10" xfId="6243" xr:uid="{00000000-0005-0000-0000-000026180000}"/>
    <cellStyle name="40% - Énfasis3 20 11" xfId="6244" xr:uid="{00000000-0005-0000-0000-000027180000}"/>
    <cellStyle name="40% - Énfasis3 20 12" xfId="6245" xr:uid="{00000000-0005-0000-0000-000028180000}"/>
    <cellStyle name="40% - Énfasis3 20 13" xfId="6246" xr:uid="{00000000-0005-0000-0000-000029180000}"/>
    <cellStyle name="40% - Énfasis3 20 14" xfId="6247" xr:uid="{00000000-0005-0000-0000-00002A180000}"/>
    <cellStyle name="40% - Énfasis3 20 15" xfId="6248" xr:uid="{00000000-0005-0000-0000-00002B180000}"/>
    <cellStyle name="40% - Énfasis3 20 16" xfId="6249" xr:uid="{00000000-0005-0000-0000-00002C180000}"/>
    <cellStyle name="40% - Énfasis3 20 17" xfId="6250" xr:uid="{00000000-0005-0000-0000-00002D180000}"/>
    <cellStyle name="40% - Énfasis3 20 18" xfId="6251" xr:uid="{00000000-0005-0000-0000-00002E180000}"/>
    <cellStyle name="40% - Énfasis3 20 19" xfId="6252" xr:uid="{00000000-0005-0000-0000-00002F180000}"/>
    <cellStyle name="40% - Énfasis3 20 2" xfId="6253" xr:uid="{00000000-0005-0000-0000-000030180000}"/>
    <cellStyle name="40% - Énfasis3 20 2 2" xfId="6254" xr:uid="{00000000-0005-0000-0000-000031180000}"/>
    <cellStyle name="40% - Énfasis3 20 3" xfId="6255" xr:uid="{00000000-0005-0000-0000-000032180000}"/>
    <cellStyle name="40% - Énfasis3 20 3 2" xfId="6256" xr:uid="{00000000-0005-0000-0000-000033180000}"/>
    <cellStyle name="40% - Énfasis3 20 4" xfId="6257" xr:uid="{00000000-0005-0000-0000-000034180000}"/>
    <cellStyle name="40% - Énfasis3 20 4 2" xfId="6258" xr:uid="{00000000-0005-0000-0000-000035180000}"/>
    <cellStyle name="40% - Énfasis3 20 5" xfId="6259" xr:uid="{00000000-0005-0000-0000-000036180000}"/>
    <cellStyle name="40% - Énfasis3 20 6" xfId="6260" xr:uid="{00000000-0005-0000-0000-000037180000}"/>
    <cellStyle name="40% - Énfasis3 20 7" xfId="6261" xr:uid="{00000000-0005-0000-0000-000038180000}"/>
    <cellStyle name="40% - Énfasis3 20 8" xfId="6262" xr:uid="{00000000-0005-0000-0000-000039180000}"/>
    <cellStyle name="40% - Énfasis3 20 9" xfId="6263" xr:uid="{00000000-0005-0000-0000-00003A180000}"/>
    <cellStyle name="40% - Énfasis3 21 10" xfId="6264" xr:uid="{00000000-0005-0000-0000-00003B180000}"/>
    <cellStyle name="40% - Énfasis3 21 11" xfId="6265" xr:uid="{00000000-0005-0000-0000-00003C180000}"/>
    <cellStyle name="40% - Énfasis3 21 12" xfId="6266" xr:uid="{00000000-0005-0000-0000-00003D180000}"/>
    <cellStyle name="40% - Énfasis3 21 13" xfId="6267" xr:uid="{00000000-0005-0000-0000-00003E180000}"/>
    <cellStyle name="40% - Énfasis3 21 14" xfId="6268" xr:uid="{00000000-0005-0000-0000-00003F180000}"/>
    <cellStyle name="40% - Énfasis3 21 15" xfId="6269" xr:uid="{00000000-0005-0000-0000-000040180000}"/>
    <cellStyle name="40% - Énfasis3 21 16" xfId="6270" xr:uid="{00000000-0005-0000-0000-000041180000}"/>
    <cellStyle name="40% - Énfasis3 21 17" xfId="6271" xr:uid="{00000000-0005-0000-0000-000042180000}"/>
    <cellStyle name="40% - Énfasis3 21 18" xfId="6272" xr:uid="{00000000-0005-0000-0000-000043180000}"/>
    <cellStyle name="40% - Énfasis3 21 19" xfId="6273" xr:uid="{00000000-0005-0000-0000-000044180000}"/>
    <cellStyle name="40% - Énfasis3 21 2" xfId="6274" xr:uid="{00000000-0005-0000-0000-000045180000}"/>
    <cellStyle name="40% - Énfasis3 21 2 2" xfId="6275" xr:uid="{00000000-0005-0000-0000-000046180000}"/>
    <cellStyle name="40% - Énfasis3 21 3" xfId="6276" xr:uid="{00000000-0005-0000-0000-000047180000}"/>
    <cellStyle name="40% - Énfasis3 21 3 2" xfId="6277" xr:uid="{00000000-0005-0000-0000-000048180000}"/>
    <cellStyle name="40% - Énfasis3 21 4" xfId="6278" xr:uid="{00000000-0005-0000-0000-000049180000}"/>
    <cellStyle name="40% - Énfasis3 21 4 2" xfId="6279" xr:uid="{00000000-0005-0000-0000-00004A180000}"/>
    <cellStyle name="40% - Énfasis3 21 5" xfId="6280" xr:uid="{00000000-0005-0000-0000-00004B180000}"/>
    <cellStyle name="40% - Énfasis3 21 6" xfId="6281" xr:uid="{00000000-0005-0000-0000-00004C180000}"/>
    <cellStyle name="40% - Énfasis3 21 7" xfId="6282" xr:uid="{00000000-0005-0000-0000-00004D180000}"/>
    <cellStyle name="40% - Énfasis3 21 8" xfId="6283" xr:uid="{00000000-0005-0000-0000-00004E180000}"/>
    <cellStyle name="40% - Énfasis3 21 9" xfId="6284" xr:uid="{00000000-0005-0000-0000-00004F180000}"/>
    <cellStyle name="40% - Énfasis3 22 10" xfId="6285" xr:uid="{00000000-0005-0000-0000-000050180000}"/>
    <cellStyle name="40% - Énfasis3 22 11" xfId="6286" xr:uid="{00000000-0005-0000-0000-000051180000}"/>
    <cellStyle name="40% - Énfasis3 22 12" xfId="6287" xr:uid="{00000000-0005-0000-0000-000052180000}"/>
    <cellStyle name="40% - Énfasis3 22 13" xfId="6288" xr:uid="{00000000-0005-0000-0000-000053180000}"/>
    <cellStyle name="40% - Énfasis3 22 14" xfId="6289" xr:uid="{00000000-0005-0000-0000-000054180000}"/>
    <cellStyle name="40% - Énfasis3 22 15" xfId="6290" xr:uid="{00000000-0005-0000-0000-000055180000}"/>
    <cellStyle name="40% - Énfasis3 22 16" xfId="6291" xr:uid="{00000000-0005-0000-0000-000056180000}"/>
    <cellStyle name="40% - Énfasis3 22 17" xfId="6292" xr:uid="{00000000-0005-0000-0000-000057180000}"/>
    <cellStyle name="40% - Énfasis3 22 18" xfId="6293" xr:uid="{00000000-0005-0000-0000-000058180000}"/>
    <cellStyle name="40% - Énfasis3 22 19" xfId="6294" xr:uid="{00000000-0005-0000-0000-000059180000}"/>
    <cellStyle name="40% - Énfasis3 22 2" xfId="6295" xr:uid="{00000000-0005-0000-0000-00005A180000}"/>
    <cellStyle name="40% - Énfasis3 22 2 2" xfId="6296" xr:uid="{00000000-0005-0000-0000-00005B180000}"/>
    <cellStyle name="40% - Énfasis3 22 3" xfId="6297" xr:uid="{00000000-0005-0000-0000-00005C180000}"/>
    <cellStyle name="40% - Énfasis3 22 3 2" xfId="6298" xr:uid="{00000000-0005-0000-0000-00005D180000}"/>
    <cellStyle name="40% - Énfasis3 22 4" xfId="6299" xr:uid="{00000000-0005-0000-0000-00005E180000}"/>
    <cellStyle name="40% - Énfasis3 22 4 2" xfId="6300" xr:uid="{00000000-0005-0000-0000-00005F180000}"/>
    <cellStyle name="40% - Énfasis3 22 5" xfId="6301" xr:uid="{00000000-0005-0000-0000-000060180000}"/>
    <cellStyle name="40% - Énfasis3 22 6" xfId="6302" xr:uid="{00000000-0005-0000-0000-000061180000}"/>
    <cellStyle name="40% - Énfasis3 22 7" xfId="6303" xr:uid="{00000000-0005-0000-0000-000062180000}"/>
    <cellStyle name="40% - Énfasis3 22 8" xfId="6304" xr:uid="{00000000-0005-0000-0000-000063180000}"/>
    <cellStyle name="40% - Énfasis3 22 9" xfId="6305" xr:uid="{00000000-0005-0000-0000-000064180000}"/>
    <cellStyle name="40% - Énfasis3 23 10" xfId="6306" xr:uid="{00000000-0005-0000-0000-000065180000}"/>
    <cellStyle name="40% - Énfasis3 23 11" xfId="6307" xr:uid="{00000000-0005-0000-0000-000066180000}"/>
    <cellStyle name="40% - Énfasis3 23 12" xfId="6308" xr:uid="{00000000-0005-0000-0000-000067180000}"/>
    <cellStyle name="40% - Énfasis3 23 13" xfId="6309" xr:uid="{00000000-0005-0000-0000-000068180000}"/>
    <cellStyle name="40% - Énfasis3 23 14" xfId="6310" xr:uid="{00000000-0005-0000-0000-000069180000}"/>
    <cellStyle name="40% - Énfasis3 23 15" xfId="6311" xr:uid="{00000000-0005-0000-0000-00006A180000}"/>
    <cellStyle name="40% - Énfasis3 23 16" xfId="6312" xr:uid="{00000000-0005-0000-0000-00006B180000}"/>
    <cellStyle name="40% - Énfasis3 23 17" xfId="6313" xr:uid="{00000000-0005-0000-0000-00006C180000}"/>
    <cellStyle name="40% - Énfasis3 23 18" xfId="6314" xr:uid="{00000000-0005-0000-0000-00006D180000}"/>
    <cellStyle name="40% - Énfasis3 23 19" xfId="6315" xr:uid="{00000000-0005-0000-0000-00006E180000}"/>
    <cellStyle name="40% - Énfasis3 23 2" xfId="6316" xr:uid="{00000000-0005-0000-0000-00006F180000}"/>
    <cellStyle name="40% - Énfasis3 23 2 2" xfId="6317" xr:uid="{00000000-0005-0000-0000-000070180000}"/>
    <cellStyle name="40% - Énfasis3 23 3" xfId="6318" xr:uid="{00000000-0005-0000-0000-000071180000}"/>
    <cellStyle name="40% - Énfasis3 23 3 2" xfId="6319" xr:uid="{00000000-0005-0000-0000-000072180000}"/>
    <cellStyle name="40% - Énfasis3 23 4" xfId="6320" xr:uid="{00000000-0005-0000-0000-000073180000}"/>
    <cellStyle name="40% - Énfasis3 23 4 2" xfId="6321" xr:uid="{00000000-0005-0000-0000-000074180000}"/>
    <cellStyle name="40% - Énfasis3 23 5" xfId="6322" xr:uid="{00000000-0005-0000-0000-000075180000}"/>
    <cellStyle name="40% - Énfasis3 23 6" xfId="6323" xr:uid="{00000000-0005-0000-0000-000076180000}"/>
    <cellStyle name="40% - Énfasis3 23 7" xfId="6324" xr:uid="{00000000-0005-0000-0000-000077180000}"/>
    <cellStyle name="40% - Énfasis3 23 8" xfId="6325" xr:uid="{00000000-0005-0000-0000-000078180000}"/>
    <cellStyle name="40% - Énfasis3 23 9" xfId="6326" xr:uid="{00000000-0005-0000-0000-000079180000}"/>
    <cellStyle name="40% - Énfasis3 24 10" xfId="6327" xr:uid="{00000000-0005-0000-0000-00007A180000}"/>
    <cellStyle name="40% - Énfasis3 24 11" xfId="6328" xr:uid="{00000000-0005-0000-0000-00007B180000}"/>
    <cellStyle name="40% - Énfasis3 24 12" xfId="6329" xr:uid="{00000000-0005-0000-0000-00007C180000}"/>
    <cellStyle name="40% - Énfasis3 24 13" xfId="6330" xr:uid="{00000000-0005-0000-0000-00007D180000}"/>
    <cellStyle name="40% - Énfasis3 24 14" xfId="6331" xr:uid="{00000000-0005-0000-0000-00007E180000}"/>
    <cellStyle name="40% - Énfasis3 24 15" xfId="6332" xr:uid="{00000000-0005-0000-0000-00007F180000}"/>
    <cellStyle name="40% - Énfasis3 24 16" xfId="6333" xr:uid="{00000000-0005-0000-0000-000080180000}"/>
    <cellStyle name="40% - Énfasis3 24 17" xfId="6334" xr:uid="{00000000-0005-0000-0000-000081180000}"/>
    <cellStyle name="40% - Énfasis3 24 18" xfId="6335" xr:uid="{00000000-0005-0000-0000-000082180000}"/>
    <cellStyle name="40% - Énfasis3 24 19" xfId="6336" xr:uid="{00000000-0005-0000-0000-000083180000}"/>
    <cellStyle name="40% - Énfasis3 24 2" xfId="6337" xr:uid="{00000000-0005-0000-0000-000084180000}"/>
    <cellStyle name="40% - Énfasis3 24 2 2" xfId="6338" xr:uid="{00000000-0005-0000-0000-000085180000}"/>
    <cellStyle name="40% - Énfasis3 24 3" xfId="6339" xr:uid="{00000000-0005-0000-0000-000086180000}"/>
    <cellStyle name="40% - Énfasis3 24 3 2" xfId="6340" xr:uid="{00000000-0005-0000-0000-000087180000}"/>
    <cellStyle name="40% - Énfasis3 24 4" xfId="6341" xr:uid="{00000000-0005-0000-0000-000088180000}"/>
    <cellStyle name="40% - Énfasis3 24 4 2" xfId="6342" xr:uid="{00000000-0005-0000-0000-000089180000}"/>
    <cellStyle name="40% - Énfasis3 24 5" xfId="6343" xr:uid="{00000000-0005-0000-0000-00008A180000}"/>
    <cellStyle name="40% - Énfasis3 24 6" xfId="6344" xr:uid="{00000000-0005-0000-0000-00008B180000}"/>
    <cellStyle name="40% - Énfasis3 24 7" xfId="6345" xr:uid="{00000000-0005-0000-0000-00008C180000}"/>
    <cellStyle name="40% - Énfasis3 24 8" xfId="6346" xr:uid="{00000000-0005-0000-0000-00008D180000}"/>
    <cellStyle name="40% - Énfasis3 24 9" xfId="6347" xr:uid="{00000000-0005-0000-0000-00008E180000}"/>
    <cellStyle name="40% - Énfasis3 25 10" xfId="6348" xr:uid="{00000000-0005-0000-0000-00008F180000}"/>
    <cellStyle name="40% - Énfasis3 25 11" xfId="6349" xr:uid="{00000000-0005-0000-0000-000090180000}"/>
    <cellStyle name="40% - Énfasis3 25 12" xfId="6350" xr:uid="{00000000-0005-0000-0000-000091180000}"/>
    <cellStyle name="40% - Énfasis3 25 13" xfId="6351" xr:uid="{00000000-0005-0000-0000-000092180000}"/>
    <cellStyle name="40% - Énfasis3 25 14" xfId="6352" xr:uid="{00000000-0005-0000-0000-000093180000}"/>
    <cellStyle name="40% - Énfasis3 25 15" xfId="6353" xr:uid="{00000000-0005-0000-0000-000094180000}"/>
    <cellStyle name="40% - Énfasis3 25 16" xfId="6354" xr:uid="{00000000-0005-0000-0000-000095180000}"/>
    <cellStyle name="40% - Énfasis3 25 17" xfId="6355" xr:uid="{00000000-0005-0000-0000-000096180000}"/>
    <cellStyle name="40% - Énfasis3 25 18" xfId="6356" xr:uid="{00000000-0005-0000-0000-000097180000}"/>
    <cellStyle name="40% - Énfasis3 25 19" xfId="6357" xr:uid="{00000000-0005-0000-0000-000098180000}"/>
    <cellStyle name="40% - Énfasis3 25 2" xfId="6358" xr:uid="{00000000-0005-0000-0000-000099180000}"/>
    <cellStyle name="40% - Énfasis3 25 2 2" xfId="6359" xr:uid="{00000000-0005-0000-0000-00009A180000}"/>
    <cellStyle name="40% - Énfasis3 25 3" xfId="6360" xr:uid="{00000000-0005-0000-0000-00009B180000}"/>
    <cellStyle name="40% - Énfasis3 25 3 2" xfId="6361" xr:uid="{00000000-0005-0000-0000-00009C180000}"/>
    <cellStyle name="40% - Énfasis3 25 4" xfId="6362" xr:uid="{00000000-0005-0000-0000-00009D180000}"/>
    <cellStyle name="40% - Énfasis3 25 4 2" xfId="6363" xr:uid="{00000000-0005-0000-0000-00009E180000}"/>
    <cellStyle name="40% - Énfasis3 25 5" xfId="6364" xr:uid="{00000000-0005-0000-0000-00009F180000}"/>
    <cellStyle name="40% - Énfasis3 25 6" xfId="6365" xr:uid="{00000000-0005-0000-0000-0000A0180000}"/>
    <cellStyle name="40% - Énfasis3 25 7" xfId="6366" xr:uid="{00000000-0005-0000-0000-0000A1180000}"/>
    <cellStyle name="40% - Énfasis3 25 8" xfId="6367" xr:uid="{00000000-0005-0000-0000-0000A2180000}"/>
    <cellStyle name="40% - Énfasis3 25 9" xfId="6368" xr:uid="{00000000-0005-0000-0000-0000A3180000}"/>
    <cellStyle name="40% - Énfasis3 26 10" xfId="6369" xr:uid="{00000000-0005-0000-0000-0000A4180000}"/>
    <cellStyle name="40% - Énfasis3 26 11" xfId="6370" xr:uid="{00000000-0005-0000-0000-0000A5180000}"/>
    <cellStyle name="40% - Énfasis3 26 12" xfId="6371" xr:uid="{00000000-0005-0000-0000-0000A6180000}"/>
    <cellStyle name="40% - Énfasis3 26 13" xfId="6372" xr:uid="{00000000-0005-0000-0000-0000A7180000}"/>
    <cellStyle name="40% - Énfasis3 26 14" xfId="6373" xr:uid="{00000000-0005-0000-0000-0000A8180000}"/>
    <cellStyle name="40% - Énfasis3 26 15" xfId="6374" xr:uid="{00000000-0005-0000-0000-0000A9180000}"/>
    <cellStyle name="40% - Énfasis3 26 16" xfId="6375" xr:uid="{00000000-0005-0000-0000-0000AA180000}"/>
    <cellStyle name="40% - Énfasis3 26 17" xfId="6376" xr:uid="{00000000-0005-0000-0000-0000AB180000}"/>
    <cellStyle name="40% - Énfasis3 26 18" xfId="6377" xr:uid="{00000000-0005-0000-0000-0000AC180000}"/>
    <cellStyle name="40% - Énfasis3 26 19" xfId="6378" xr:uid="{00000000-0005-0000-0000-0000AD180000}"/>
    <cellStyle name="40% - Énfasis3 26 2" xfId="6379" xr:uid="{00000000-0005-0000-0000-0000AE180000}"/>
    <cellStyle name="40% - Énfasis3 26 2 2" xfId="6380" xr:uid="{00000000-0005-0000-0000-0000AF180000}"/>
    <cellStyle name="40% - Énfasis3 26 3" xfId="6381" xr:uid="{00000000-0005-0000-0000-0000B0180000}"/>
    <cellStyle name="40% - Énfasis3 26 3 2" xfId="6382" xr:uid="{00000000-0005-0000-0000-0000B1180000}"/>
    <cellStyle name="40% - Énfasis3 26 4" xfId="6383" xr:uid="{00000000-0005-0000-0000-0000B2180000}"/>
    <cellStyle name="40% - Énfasis3 26 4 2" xfId="6384" xr:uid="{00000000-0005-0000-0000-0000B3180000}"/>
    <cellStyle name="40% - Énfasis3 26 5" xfId="6385" xr:uid="{00000000-0005-0000-0000-0000B4180000}"/>
    <cellStyle name="40% - Énfasis3 26 6" xfId="6386" xr:uid="{00000000-0005-0000-0000-0000B5180000}"/>
    <cellStyle name="40% - Énfasis3 26 7" xfId="6387" xr:uid="{00000000-0005-0000-0000-0000B6180000}"/>
    <cellStyle name="40% - Énfasis3 26 8" xfId="6388" xr:uid="{00000000-0005-0000-0000-0000B7180000}"/>
    <cellStyle name="40% - Énfasis3 26 9" xfId="6389" xr:uid="{00000000-0005-0000-0000-0000B8180000}"/>
    <cellStyle name="40% - Énfasis3 27 10" xfId="6390" xr:uid="{00000000-0005-0000-0000-0000B9180000}"/>
    <cellStyle name="40% - Énfasis3 27 11" xfId="6391" xr:uid="{00000000-0005-0000-0000-0000BA180000}"/>
    <cellStyle name="40% - Énfasis3 27 12" xfId="6392" xr:uid="{00000000-0005-0000-0000-0000BB180000}"/>
    <cellStyle name="40% - Énfasis3 27 13" xfId="6393" xr:uid="{00000000-0005-0000-0000-0000BC180000}"/>
    <cellStyle name="40% - Énfasis3 27 14" xfId="6394" xr:uid="{00000000-0005-0000-0000-0000BD180000}"/>
    <cellStyle name="40% - Énfasis3 27 15" xfId="6395" xr:uid="{00000000-0005-0000-0000-0000BE180000}"/>
    <cellStyle name="40% - Énfasis3 27 16" xfId="6396" xr:uid="{00000000-0005-0000-0000-0000BF180000}"/>
    <cellStyle name="40% - Énfasis3 27 17" xfId="6397" xr:uid="{00000000-0005-0000-0000-0000C0180000}"/>
    <cellStyle name="40% - Énfasis3 27 18" xfId="6398" xr:uid="{00000000-0005-0000-0000-0000C1180000}"/>
    <cellStyle name="40% - Énfasis3 27 19" xfId="6399" xr:uid="{00000000-0005-0000-0000-0000C2180000}"/>
    <cellStyle name="40% - Énfasis3 27 2" xfId="6400" xr:uid="{00000000-0005-0000-0000-0000C3180000}"/>
    <cellStyle name="40% - Énfasis3 27 2 2" xfId="6401" xr:uid="{00000000-0005-0000-0000-0000C4180000}"/>
    <cellStyle name="40% - Énfasis3 27 3" xfId="6402" xr:uid="{00000000-0005-0000-0000-0000C5180000}"/>
    <cellStyle name="40% - Énfasis3 27 3 2" xfId="6403" xr:uid="{00000000-0005-0000-0000-0000C6180000}"/>
    <cellStyle name="40% - Énfasis3 27 4" xfId="6404" xr:uid="{00000000-0005-0000-0000-0000C7180000}"/>
    <cellStyle name="40% - Énfasis3 27 4 2" xfId="6405" xr:uid="{00000000-0005-0000-0000-0000C8180000}"/>
    <cellStyle name="40% - Énfasis3 27 5" xfId="6406" xr:uid="{00000000-0005-0000-0000-0000C9180000}"/>
    <cellStyle name="40% - Énfasis3 27 6" xfId="6407" xr:uid="{00000000-0005-0000-0000-0000CA180000}"/>
    <cellStyle name="40% - Énfasis3 27 7" xfId="6408" xr:uid="{00000000-0005-0000-0000-0000CB180000}"/>
    <cellStyle name="40% - Énfasis3 27 8" xfId="6409" xr:uid="{00000000-0005-0000-0000-0000CC180000}"/>
    <cellStyle name="40% - Énfasis3 27 9" xfId="6410" xr:uid="{00000000-0005-0000-0000-0000CD180000}"/>
    <cellStyle name="40% - Énfasis3 28 10" xfId="6411" xr:uid="{00000000-0005-0000-0000-0000CE180000}"/>
    <cellStyle name="40% - Énfasis3 28 11" xfId="6412" xr:uid="{00000000-0005-0000-0000-0000CF180000}"/>
    <cellStyle name="40% - Énfasis3 28 12" xfId="6413" xr:uid="{00000000-0005-0000-0000-0000D0180000}"/>
    <cellStyle name="40% - Énfasis3 28 13" xfId="6414" xr:uid="{00000000-0005-0000-0000-0000D1180000}"/>
    <cellStyle name="40% - Énfasis3 28 14" xfId="6415" xr:uid="{00000000-0005-0000-0000-0000D2180000}"/>
    <cellStyle name="40% - Énfasis3 28 15" xfId="6416" xr:uid="{00000000-0005-0000-0000-0000D3180000}"/>
    <cellStyle name="40% - Énfasis3 28 16" xfId="6417" xr:uid="{00000000-0005-0000-0000-0000D4180000}"/>
    <cellStyle name="40% - Énfasis3 28 17" xfId="6418" xr:uid="{00000000-0005-0000-0000-0000D5180000}"/>
    <cellStyle name="40% - Énfasis3 28 18" xfId="6419" xr:uid="{00000000-0005-0000-0000-0000D6180000}"/>
    <cellStyle name="40% - Énfasis3 28 19" xfId="6420" xr:uid="{00000000-0005-0000-0000-0000D7180000}"/>
    <cellStyle name="40% - Énfasis3 28 2" xfId="6421" xr:uid="{00000000-0005-0000-0000-0000D8180000}"/>
    <cellStyle name="40% - Énfasis3 28 2 2" xfId="6422" xr:uid="{00000000-0005-0000-0000-0000D9180000}"/>
    <cellStyle name="40% - Énfasis3 28 3" xfId="6423" xr:uid="{00000000-0005-0000-0000-0000DA180000}"/>
    <cellStyle name="40% - Énfasis3 28 3 2" xfId="6424" xr:uid="{00000000-0005-0000-0000-0000DB180000}"/>
    <cellStyle name="40% - Énfasis3 28 4" xfId="6425" xr:uid="{00000000-0005-0000-0000-0000DC180000}"/>
    <cellStyle name="40% - Énfasis3 28 4 2" xfId="6426" xr:uid="{00000000-0005-0000-0000-0000DD180000}"/>
    <cellStyle name="40% - Énfasis3 28 5" xfId="6427" xr:uid="{00000000-0005-0000-0000-0000DE180000}"/>
    <cellStyle name="40% - Énfasis3 28 6" xfId="6428" xr:uid="{00000000-0005-0000-0000-0000DF180000}"/>
    <cellStyle name="40% - Énfasis3 28 7" xfId="6429" xr:uid="{00000000-0005-0000-0000-0000E0180000}"/>
    <cellStyle name="40% - Énfasis3 28 8" xfId="6430" xr:uid="{00000000-0005-0000-0000-0000E1180000}"/>
    <cellStyle name="40% - Énfasis3 28 9" xfId="6431" xr:uid="{00000000-0005-0000-0000-0000E2180000}"/>
    <cellStyle name="40% - Énfasis3 29 10" xfId="6432" xr:uid="{00000000-0005-0000-0000-0000E3180000}"/>
    <cellStyle name="40% - Énfasis3 29 11" xfId="6433" xr:uid="{00000000-0005-0000-0000-0000E4180000}"/>
    <cellStyle name="40% - Énfasis3 29 12" xfId="6434" xr:uid="{00000000-0005-0000-0000-0000E5180000}"/>
    <cellStyle name="40% - Énfasis3 29 13" xfId="6435" xr:uid="{00000000-0005-0000-0000-0000E6180000}"/>
    <cellStyle name="40% - Énfasis3 29 14" xfId="6436" xr:uid="{00000000-0005-0000-0000-0000E7180000}"/>
    <cellStyle name="40% - Énfasis3 29 15" xfId="6437" xr:uid="{00000000-0005-0000-0000-0000E8180000}"/>
    <cellStyle name="40% - Énfasis3 29 16" xfId="6438" xr:uid="{00000000-0005-0000-0000-0000E9180000}"/>
    <cellStyle name="40% - Énfasis3 29 17" xfId="6439" xr:uid="{00000000-0005-0000-0000-0000EA180000}"/>
    <cellStyle name="40% - Énfasis3 29 18" xfId="6440" xr:uid="{00000000-0005-0000-0000-0000EB180000}"/>
    <cellStyle name="40% - Énfasis3 29 19" xfId="6441" xr:uid="{00000000-0005-0000-0000-0000EC180000}"/>
    <cellStyle name="40% - Énfasis3 29 2" xfId="6442" xr:uid="{00000000-0005-0000-0000-0000ED180000}"/>
    <cellStyle name="40% - Énfasis3 29 2 2" xfId="6443" xr:uid="{00000000-0005-0000-0000-0000EE180000}"/>
    <cellStyle name="40% - Énfasis3 29 3" xfId="6444" xr:uid="{00000000-0005-0000-0000-0000EF180000}"/>
    <cellStyle name="40% - Énfasis3 29 3 2" xfId="6445" xr:uid="{00000000-0005-0000-0000-0000F0180000}"/>
    <cellStyle name="40% - Énfasis3 29 4" xfId="6446" xr:uid="{00000000-0005-0000-0000-0000F1180000}"/>
    <cellStyle name="40% - Énfasis3 29 4 2" xfId="6447" xr:uid="{00000000-0005-0000-0000-0000F2180000}"/>
    <cellStyle name="40% - Énfasis3 29 5" xfId="6448" xr:uid="{00000000-0005-0000-0000-0000F3180000}"/>
    <cellStyle name="40% - Énfasis3 29 6" xfId="6449" xr:uid="{00000000-0005-0000-0000-0000F4180000}"/>
    <cellStyle name="40% - Énfasis3 29 7" xfId="6450" xr:uid="{00000000-0005-0000-0000-0000F5180000}"/>
    <cellStyle name="40% - Énfasis3 29 8" xfId="6451" xr:uid="{00000000-0005-0000-0000-0000F6180000}"/>
    <cellStyle name="40% - Énfasis3 29 9" xfId="6452" xr:uid="{00000000-0005-0000-0000-0000F7180000}"/>
    <cellStyle name="40% - Énfasis3 3 10" xfId="6453" xr:uid="{00000000-0005-0000-0000-0000F8180000}"/>
    <cellStyle name="40% - Énfasis3 3 11" xfId="6454" xr:uid="{00000000-0005-0000-0000-0000F9180000}"/>
    <cellStyle name="40% - Énfasis3 3 12" xfId="6455" xr:uid="{00000000-0005-0000-0000-0000FA180000}"/>
    <cellStyle name="40% - Énfasis3 3 13" xfId="6456" xr:uid="{00000000-0005-0000-0000-0000FB180000}"/>
    <cellStyle name="40% - Énfasis3 3 14" xfId="6457" xr:uid="{00000000-0005-0000-0000-0000FC180000}"/>
    <cellStyle name="40% - Énfasis3 3 15" xfId="6458" xr:uid="{00000000-0005-0000-0000-0000FD180000}"/>
    <cellStyle name="40% - Énfasis3 3 16" xfId="6459" xr:uid="{00000000-0005-0000-0000-0000FE180000}"/>
    <cellStyle name="40% - Énfasis3 3 17" xfId="6460" xr:uid="{00000000-0005-0000-0000-0000FF180000}"/>
    <cellStyle name="40% - Énfasis3 3 18" xfId="6461" xr:uid="{00000000-0005-0000-0000-000000190000}"/>
    <cellStyle name="40% - Énfasis3 3 19" xfId="6462" xr:uid="{00000000-0005-0000-0000-000001190000}"/>
    <cellStyle name="40% - Énfasis3 3 2" xfId="6463" xr:uid="{00000000-0005-0000-0000-000002190000}"/>
    <cellStyle name="40% - Énfasis3 3 2 2" xfId="6464" xr:uid="{00000000-0005-0000-0000-000003190000}"/>
    <cellStyle name="40% - Énfasis3 3 3" xfId="6465" xr:uid="{00000000-0005-0000-0000-000004190000}"/>
    <cellStyle name="40% - Énfasis3 3 3 2" xfId="6466" xr:uid="{00000000-0005-0000-0000-000005190000}"/>
    <cellStyle name="40% - Énfasis3 3 4" xfId="6467" xr:uid="{00000000-0005-0000-0000-000006190000}"/>
    <cellStyle name="40% - Énfasis3 3 4 2" xfId="6468" xr:uid="{00000000-0005-0000-0000-000007190000}"/>
    <cellStyle name="40% - Énfasis3 3 5" xfId="6469" xr:uid="{00000000-0005-0000-0000-000008190000}"/>
    <cellStyle name="40% - Énfasis3 3 6" xfId="6470" xr:uid="{00000000-0005-0000-0000-000009190000}"/>
    <cellStyle name="40% - Énfasis3 3 7" xfId="6471" xr:uid="{00000000-0005-0000-0000-00000A190000}"/>
    <cellStyle name="40% - Énfasis3 3 8" xfId="6472" xr:uid="{00000000-0005-0000-0000-00000B190000}"/>
    <cellStyle name="40% - Énfasis3 3 9" xfId="6473" xr:uid="{00000000-0005-0000-0000-00000C190000}"/>
    <cellStyle name="40% - Énfasis3 30 10" xfId="6474" xr:uid="{00000000-0005-0000-0000-00000D190000}"/>
    <cellStyle name="40% - Énfasis3 30 11" xfId="6475" xr:uid="{00000000-0005-0000-0000-00000E190000}"/>
    <cellStyle name="40% - Énfasis3 30 12" xfId="6476" xr:uid="{00000000-0005-0000-0000-00000F190000}"/>
    <cellStyle name="40% - Énfasis3 30 13" xfId="6477" xr:uid="{00000000-0005-0000-0000-000010190000}"/>
    <cellStyle name="40% - Énfasis3 30 14" xfId="6478" xr:uid="{00000000-0005-0000-0000-000011190000}"/>
    <cellStyle name="40% - Énfasis3 30 15" xfId="6479" xr:uid="{00000000-0005-0000-0000-000012190000}"/>
    <cellStyle name="40% - Énfasis3 30 16" xfId="6480" xr:uid="{00000000-0005-0000-0000-000013190000}"/>
    <cellStyle name="40% - Énfasis3 30 17" xfId="6481" xr:uid="{00000000-0005-0000-0000-000014190000}"/>
    <cellStyle name="40% - Énfasis3 30 18" xfId="6482" xr:uid="{00000000-0005-0000-0000-000015190000}"/>
    <cellStyle name="40% - Énfasis3 30 19" xfId="6483" xr:uid="{00000000-0005-0000-0000-000016190000}"/>
    <cellStyle name="40% - Énfasis3 30 2" xfId="6484" xr:uid="{00000000-0005-0000-0000-000017190000}"/>
    <cellStyle name="40% - Énfasis3 30 2 2" xfId="6485" xr:uid="{00000000-0005-0000-0000-000018190000}"/>
    <cellStyle name="40% - Énfasis3 30 3" xfId="6486" xr:uid="{00000000-0005-0000-0000-000019190000}"/>
    <cellStyle name="40% - Énfasis3 30 3 2" xfId="6487" xr:uid="{00000000-0005-0000-0000-00001A190000}"/>
    <cellStyle name="40% - Énfasis3 30 4" xfId="6488" xr:uid="{00000000-0005-0000-0000-00001B190000}"/>
    <cellStyle name="40% - Énfasis3 30 4 2" xfId="6489" xr:uid="{00000000-0005-0000-0000-00001C190000}"/>
    <cellStyle name="40% - Énfasis3 30 5" xfId="6490" xr:uid="{00000000-0005-0000-0000-00001D190000}"/>
    <cellStyle name="40% - Énfasis3 30 6" xfId="6491" xr:uid="{00000000-0005-0000-0000-00001E190000}"/>
    <cellStyle name="40% - Énfasis3 30 7" xfId="6492" xr:uid="{00000000-0005-0000-0000-00001F190000}"/>
    <cellStyle name="40% - Énfasis3 30 8" xfId="6493" xr:uid="{00000000-0005-0000-0000-000020190000}"/>
    <cellStyle name="40% - Énfasis3 30 9" xfId="6494" xr:uid="{00000000-0005-0000-0000-000021190000}"/>
    <cellStyle name="40% - Énfasis3 31 10" xfId="6495" xr:uid="{00000000-0005-0000-0000-000022190000}"/>
    <cellStyle name="40% - Énfasis3 31 11" xfId="6496" xr:uid="{00000000-0005-0000-0000-000023190000}"/>
    <cellStyle name="40% - Énfasis3 31 12" xfId="6497" xr:uid="{00000000-0005-0000-0000-000024190000}"/>
    <cellStyle name="40% - Énfasis3 31 13" xfId="6498" xr:uid="{00000000-0005-0000-0000-000025190000}"/>
    <cellStyle name="40% - Énfasis3 31 14" xfId="6499" xr:uid="{00000000-0005-0000-0000-000026190000}"/>
    <cellStyle name="40% - Énfasis3 31 15" xfId="6500" xr:uid="{00000000-0005-0000-0000-000027190000}"/>
    <cellStyle name="40% - Énfasis3 31 16" xfId="6501" xr:uid="{00000000-0005-0000-0000-000028190000}"/>
    <cellStyle name="40% - Énfasis3 31 17" xfId="6502" xr:uid="{00000000-0005-0000-0000-000029190000}"/>
    <cellStyle name="40% - Énfasis3 31 18" xfId="6503" xr:uid="{00000000-0005-0000-0000-00002A190000}"/>
    <cellStyle name="40% - Énfasis3 31 19" xfId="6504" xr:uid="{00000000-0005-0000-0000-00002B190000}"/>
    <cellStyle name="40% - Énfasis3 31 2" xfId="6505" xr:uid="{00000000-0005-0000-0000-00002C190000}"/>
    <cellStyle name="40% - Énfasis3 31 2 2" xfId="6506" xr:uid="{00000000-0005-0000-0000-00002D190000}"/>
    <cellStyle name="40% - Énfasis3 31 3" xfId="6507" xr:uid="{00000000-0005-0000-0000-00002E190000}"/>
    <cellStyle name="40% - Énfasis3 31 3 2" xfId="6508" xr:uid="{00000000-0005-0000-0000-00002F190000}"/>
    <cellStyle name="40% - Énfasis3 31 4" xfId="6509" xr:uid="{00000000-0005-0000-0000-000030190000}"/>
    <cellStyle name="40% - Énfasis3 31 4 2" xfId="6510" xr:uid="{00000000-0005-0000-0000-000031190000}"/>
    <cellStyle name="40% - Énfasis3 31 5" xfId="6511" xr:uid="{00000000-0005-0000-0000-000032190000}"/>
    <cellStyle name="40% - Énfasis3 31 6" xfId="6512" xr:uid="{00000000-0005-0000-0000-000033190000}"/>
    <cellStyle name="40% - Énfasis3 31 7" xfId="6513" xr:uid="{00000000-0005-0000-0000-000034190000}"/>
    <cellStyle name="40% - Énfasis3 31 8" xfId="6514" xr:uid="{00000000-0005-0000-0000-000035190000}"/>
    <cellStyle name="40% - Énfasis3 31 9" xfId="6515" xr:uid="{00000000-0005-0000-0000-000036190000}"/>
    <cellStyle name="40% - Énfasis3 32 10" xfId="6516" xr:uid="{00000000-0005-0000-0000-000037190000}"/>
    <cellStyle name="40% - Énfasis3 32 11" xfId="6517" xr:uid="{00000000-0005-0000-0000-000038190000}"/>
    <cellStyle name="40% - Énfasis3 32 12" xfId="6518" xr:uid="{00000000-0005-0000-0000-000039190000}"/>
    <cellStyle name="40% - Énfasis3 32 13" xfId="6519" xr:uid="{00000000-0005-0000-0000-00003A190000}"/>
    <cellStyle name="40% - Énfasis3 32 14" xfId="6520" xr:uid="{00000000-0005-0000-0000-00003B190000}"/>
    <cellStyle name="40% - Énfasis3 32 15" xfId="6521" xr:uid="{00000000-0005-0000-0000-00003C190000}"/>
    <cellStyle name="40% - Énfasis3 32 16" xfId="6522" xr:uid="{00000000-0005-0000-0000-00003D190000}"/>
    <cellStyle name="40% - Énfasis3 32 17" xfId="6523" xr:uid="{00000000-0005-0000-0000-00003E190000}"/>
    <cellStyle name="40% - Énfasis3 32 18" xfId="6524" xr:uid="{00000000-0005-0000-0000-00003F190000}"/>
    <cellStyle name="40% - Énfasis3 32 19" xfId="6525" xr:uid="{00000000-0005-0000-0000-000040190000}"/>
    <cellStyle name="40% - Énfasis3 32 2" xfId="6526" xr:uid="{00000000-0005-0000-0000-000041190000}"/>
    <cellStyle name="40% - Énfasis3 32 2 2" xfId="6527" xr:uid="{00000000-0005-0000-0000-000042190000}"/>
    <cellStyle name="40% - Énfasis3 32 3" xfId="6528" xr:uid="{00000000-0005-0000-0000-000043190000}"/>
    <cellStyle name="40% - Énfasis3 32 3 2" xfId="6529" xr:uid="{00000000-0005-0000-0000-000044190000}"/>
    <cellStyle name="40% - Énfasis3 32 4" xfId="6530" xr:uid="{00000000-0005-0000-0000-000045190000}"/>
    <cellStyle name="40% - Énfasis3 32 4 2" xfId="6531" xr:uid="{00000000-0005-0000-0000-000046190000}"/>
    <cellStyle name="40% - Énfasis3 32 5" xfId="6532" xr:uid="{00000000-0005-0000-0000-000047190000}"/>
    <cellStyle name="40% - Énfasis3 32 6" xfId="6533" xr:uid="{00000000-0005-0000-0000-000048190000}"/>
    <cellStyle name="40% - Énfasis3 32 7" xfId="6534" xr:uid="{00000000-0005-0000-0000-000049190000}"/>
    <cellStyle name="40% - Énfasis3 32 8" xfId="6535" xr:uid="{00000000-0005-0000-0000-00004A190000}"/>
    <cellStyle name="40% - Énfasis3 32 9" xfId="6536" xr:uid="{00000000-0005-0000-0000-00004B190000}"/>
    <cellStyle name="40% - Énfasis3 33 10" xfId="6537" xr:uid="{00000000-0005-0000-0000-00004C190000}"/>
    <cellStyle name="40% - Énfasis3 33 11" xfId="6538" xr:uid="{00000000-0005-0000-0000-00004D190000}"/>
    <cellStyle name="40% - Énfasis3 33 12" xfId="6539" xr:uid="{00000000-0005-0000-0000-00004E190000}"/>
    <cellStyle name="40% - Énfasis3 33 13" xfId="6540" xr:uid="{00000000-0005-0000-0000-00004F190000}"/>
    <cellStyle name="40% - Énfasis3 33 14" xfId="6541" xr:uid="{00000000-0005-0000-0000-000050190000}"/>
    <cellStyle name="40% - Énfasis3 33 15" xfId="6542" xr:uid="{00000000-0005-0000-0000-000051190000}"/>
    <cellStyle name="40% - Énfasis3 33 16" xfId="6543" xr:uid="{00000000-0005-0000-0000-000052190000}"/>
    <cellStyle name="40% - Énfasis3 33 17" xfId="6544" xr:uid="{00000000-0005-0000-0000-000053190000}"/>
    <cellStyle name="40% - Énfasis3 33 18" xfId="6545" xr:uid="{00000000-0005-0000-0000-000054190000}"/>
    <cellStyle name="40% - Énfasis3 33 19" xfId="6546" xr:uid="{00000000-0005-0000-0000-000055190000}"/>
    <cellStyle name="40% - Énfasis3 33 2" xfId="6547" xr:uid="{00000000-0005-0000-0000-000056190000}"/>
    <cellStyle name="40% - Énfasis3 33 2 2" xfId="6548" xr:uid="{00000000-0005-0000-0000-000057190000}"/>
    <cellStyle name="40% - Énfasis3 33 3" xfId="6549" xr:uid="{00000000-0005-0000-0000-000058190000}"/>
    <cellStyle name="40% - Énfasis3 33 3 2" xfId="6550" xr:uid="{00000000-0005-0000-0000-000059190000}"/>
    <cellStyle name="40% - Énfasis3 33 4" xfId="6551" xr:uid="{00000000-0005-0000-0000-00005A190000}"/>
    <cellStyle name="40% - Énfasis3 33 4 2" xfId="6552" xr:uid="{00000000-0005-0000-0000-00005B190000}"/>
    <cellStyle name="40% - Énfasis3 33 5" xfId="6553" xr:uid="{00000000-0005-0000-0000-00005C190000}"/>
    <cellStyle name="40% - Énfasis3 33 6" xfId="6554" xr:uid="{00000000-0005-0000-0000-00005D190000}"/>
    <cellStyle name="40% - Énfasis3 33 7" xfId="6555" xr:uid="{00000000-0005-0000-0000-00005E190000}"/>
    <cellStyle name="40% - Énfasis3 33 8" xfId="6556" xr:uid="{00000000-0005-0000-0000-00005F190000}"/>
    <cellStyle name="40% - Énfasis3 33 9" xfId="6557" xr:uid="{00000000-0005-0000-0000-000060190000}"/>
    <cellStyle name="40% - Énfasis3 34 10" xfId="6558" xr:uid="{00000000-0005-0000-0000-000061190000}"/>
    <cellStyle name="40% - Énfasis3 34 11" xfId="6559" xr:uid="{00000000-0005-0000-0000-000062190000}"/>
    <cellStyle name="40% - Énfasis3 34 12" xfId="6560" xr:uid="{00000000-0005-0000-0000-000063190000}"/>
    <cellStyle name="40% - Énfasis3 34 13" xfId="6561" xr:uid="{00000000-0005-0000-0000-000064190000}"/>
    <cellStyle name="40% - Énfasis3 34 14" xfId="6562" xr:uid="{00000000-0005-0000-0000-000065190000}"/>
    <cellStyle name="40% - Énfasis3 34 15" xfId="6563" xr:uid="{00000000-0005-0000-0000-000066190000}"/>
    <cellStyle name="40% - Énfasis3 34 16" xfId="6564" xr:uid="{00000000-0005-0000-0000-000067190000}"/>
    <cellStyle name="40% - Énfasis3 34 17" xfId="6565" xr:uid="{00000000-0005-0000-0000-000068190000}"/>
    <cellStyle name="40% - Énfasis3 34 18" xfId="6566" xr:uid="{00000000-0005-0000-0000-000069190000}"/>
    <cellStyle name="40% - Énfasis3 34 19" xfId="6567" xr:uid="{00000000-0005-0000-0000-00006A190000}"/>
    <cellStyle name="40% - Énfasis3 34 2" xfId="6568" xr:uid="{00000000-0005-0000-0000-00006B190000}"/>
    <cellStyle name="40% - Énfasis3 34 2 2" xfId="6569" xr:uid="{00000000-0005-0000-0000-00006C190000}"/>
    <cellStyle name="40% - Énfasis3 34 3" xfId="6570" xr:uid="{00000000-0005-0000-0000-00006D190000}"/>
    <cellStyle name="40% - Énfasis3 34 3 2" xfId="6571" xr:uid="{00000000-0005-0000-0000-00006E190000}"/>
    <cellStyle name="40% - Énfasis3 34 4" xfId="6572" xr:uid="{00000000-0005-0000-0000-00006F190000}"/>
    <cellStyle name="40% - Énfasis3 34 4 2" xfId="6573" xr:uid="{00000000-0005-0000-0000-000070190000}"/>
    <cellStyle name="40% - Énfasis3 34 5" xfId="6574" xr:uid="{00000000-0005-0000-0000-000071190000}"/>
    <cellStyle name="40% - Énfasis3 34 6" xfId="6575" xr:uid="{00000000-0005-0000-0000-000072190000}"/>
    <cellStyle name="40% - Énfasis3 34 7" xfId="6576" xr:uid="{00000000-0005-0000-0000-000073190000}"/>
    <cellStyle name="40% - Énfasis3 34 8" xfId="6577" xr:uid="{00000000-0005-0000-0000-000074190000}"/>
    <cellStyle name="40% - Énfasis3 34 9" xfId="6578" xr:uid="{00000000-0005-0000-0000-000075190000}"/>
    <cellStyle name="40% - Énfasis3 35 10" xfId="6579" xr:uid="{00000000-0005-0000-0000-000076190000}"/>
    <cellStyle name="40% - Énfasis3 35 11" xfId="6580" xr:uid="{00000000-0005-0000-0000-000077190000}"/>
    <cellStyle name="40% - Énfasis3 35 12" xfId="6581" xr:uid="{00000000-0005-0000-0000-000078190000}"/>
    <cellStyle name="40% - Énfasis3 35 13" xfId="6582" xr:uid="{00000000-0005-0000-0000-000079190000}"/>
    <cellStyle name="40% - Énfasis3 35 14" xfId="6583" xr:uid="{00000000-0005-0000-0000-00007A190000}"/>
    <cellStyle name="40% - Énfasis3 35 15" xfId="6584" xr:uid="{00000000-0005-0000-0000-00007B190000}"/>
    <cellStyle name="40% - Énfasis3 35 16" xfId="6585" xr:uid="{00000000-0005-0000-0000-00007C190000}"/>
    <cellStyle name="40% - Énfasis3 35 17" xfId="6586" xr:uid="{00000000-0005-0000-0000-00007D190000}"/>
    <cellStyle name="40% - Énfasis3 35 18" xfId="6587" xr:uid="{00000000-0005-0000-0000-00007E190000}"/>
    <cellStyle name="40% - Énfasis3 35 19" xfId="6588" xr:uid="{00000000-0005-0000-0000-00007F190000}"/>
    <cellStyle name="40% - Énfasis3 35 2" xfId="6589" xr:uid="{00000000-0005-0000-0000-000080190000}"/>
    <cellStyle name="40% - Énfasis3 35 2 2" xfId="6590" xr:uid="{00000000-0005-0000-0000-000081190000}"/>
    <cellStyle name="40% - Énfasis3 35 3" xfId="6591" xr:uid="{00000000-0005-0000-0000-000082190000}"/>
    <cellStyle name="40% - Énfasis3 35 3 2" xfId="6592" xr:uid="{00000000-0005-0000-0000-000083190000}"/>
    <cellStyle name="40% - Énfasis3 35 4" xfId="6593" xr:uid="{00000000-0005-0000-0000-000084190000}"/>
    <cellStyle name="40% - Énfasis3 35 4 2" xfId="6594" xr:uid="{00000000-0005-0000-0000-000085190000}"/>
    <cellStyle name="40% - Énfasis3 35 5" xfId="6595" xr:uid="{00000000-0005-0000-0000-000086190000}"/>
    <cellStyle name="40% - Énfasis3 35 6" xfId="6596" xr:uid="{00000000-0005-0000-0000-000087190000}"/>
    <cellStyle name="40% - Énfasis3 35 7" xfId="6597" xr:uid="{00000000-0005-0000-0000-000088190000}"/>
    <cellStyle name="40% - Énfasis3 35 8" xfId="6598" xr:uid="{00000000-0005-0000-0000-000089190000}"/>
    <cellStyle name="40% - Énfasis3 35 9" xfId="6599" xr:uid="{00000000-0005-0000-0000-00008A190000}"/>
    <cellStyle name="40% - Énfasis3 36 10" xfId="6600" xr:uid="{00000000-0005-0000-0000-00008B190000}"/>
    <cellStyle name="40% - Énfasis3 36 11" xfId="6601" xr:uid="{00000000-0005-0000-0000-00008C190000}"/>
    <cellStyle name="40% - Énfasis3 36 12" xfId="6602" xr:uid="{00000000-0005-0000-0000-00008D190000}"/>
    <cellStyle name="40% - Énfasis3 36 13" xfId="6603" xr:uid="{00000000-0005-0000-0000-00008E190000}"/>
    <cellStyle name="40% - Énfasis3 36 14" xfId="6604" xr:uid="{00000000-0005-0000-0000-00008F190000}"/>
    <cellStyle name="40% - Énfasis3 36 15" xfId="6605" xr:uid="{00000000-0005-0000-0000-000090190000}"/>
    <cellStyle name="40% - Énfasis3 36 16" xfId="6606" xr:uid="{00000000-0005-0000-0000-000091190000}"/>
    <cellStyle name="40% - Énfasis3 36 17" xfId="6607" xr:uid="{00000000-0005-0000-0000-000092190000}"/>
    <cellStyle name="40% - Énfasis3 36 18" xfId="6608" xr:uid="{00000000-0005-0000-0000-000093190000}"/>
    <cellStyle name="40% - Énfasis3 36 19" xfId="6609" xr:uid="{00000000-0005-0000-0000-000094190000}"/>
    <cellStyle name="40% - Énfasis3 36 2" xfId="6610" xr:uid="{00000000-0005-0000-0000-000095190000}"/>
    <cellStyle name="40% - Énfasis3 36 2 2" xfId="6611" xr:uid="{00000000-0005-0000-0000-000096190000}"/>
    <cellStyle name="40% - Énfasis3 36 3" xfId="6612" xr:uid="{00000000-0005-0000-0000-000097190000}"/>
    <cellStyle name="40% - Énfasis3 36 3 2" xfId="6613" xr:uid="{00000000-0005-0000-0000-000098190000}"/>
    <cellStyle name="40% - Énfasis3 36 4" xfId="6614" xr:uid="{00000000-0005-0000-0000-000099190000}"/>
    <cellStyle name="40% - Énfasis3 36 4 2" xfId="6615" xr:uid="{00000000-0005-0000-0000-00009A190000}"/>
    <cellStyle name="40% - Énfasis3 36 5" xfId="6616" xr:uid="{00000000-0005-0000-0000-00009B190000}"/>
    <cellStyle name="40% - Énfasis3 36 6" xfId="6617" xr:uid="{00000000-0005-0000-0000-00009C190000}"/>
    <cellStyle name="40% - Énfasis3 36 7" xfId="6618" xr:uid="{00000000-0005-0000-0000-00009D190000}"/>
    <cellStyle name="40% - Énfasis3 36 8" xfId="6619" xr:uid="{00000000-0005-0000-0000-00009E190000}"/>
    <cellStyle name="40% - Énfasis3 36 9" xfId="6620" xr:uid="{00000000-0005-0000-0000-00009F190000}"/>
    <cellStyle name="40% - Énfasis3 37 10" xfId="6621" xr:uid="{00000000-0005-0000-0000-0000A0190000}"/>
    <cellStyle name="40% - Énfasis3 37 11" xfId="6622" xr:uid="{00000000-0005-0000-0000-0000A1190000}"/>
    <cellStyle name="40% - Énfasis3 37 12" xfId="6623" xr:uid="{00000000-0005-0000-0000-0000A2190000}"/>
    <cellStyle name="40% - Énfasis3 37 13" xfId="6624" xr:uid="{00000000-0005-0000-0000-0000A3190000}"/>
    <cellStyle name="40% - Énfasis3 37 14" xfId="6625" xr:uid="{00000000-0005-0000-0000-0000A4190000}"/>
    <cellStyle name="40% - Énfasis3 37 15" xfId="6626" xr:uid="{00000000-0005-0000-0000-0000A5190000}"/>
    <cellStyle name="40% - Énfasis3 37 16" xfId="6627" xr:uid="{00000000-0005-0000-0000-0000A6190000}"/>
    <cellStyle name="40% - Énfasis3 37 17" xfId="6628" xr:uid="{00000000-0005-0000-0000-0000A7190000}"/>
    <cellStyle name="40% - Énfasis3 37 18" xfId="6629" xr:uid="{00000000-0005-0000-0000-0000A8190000}"/>
    <cellStyle name="40% - Énfasis3 37 19" xfId="6630" xr:uid="{00000000-0005-0000-0000-0000A9190000}"/>
    <cellStyle name="40% - Énfasis3 37 2" xfId="6631" xr:uid="{00000000-0005-0000-0000-0000AA190000}"/>
    <cellStyle name="40% - Énfasis3 37 2 2" xfId="6632" xr:uid="{00000000-0005-0000-0000-0000AB190000}"/>
    <cellStyle name="40% - Énfasis3 37 3" xfId="6633" xr:uid="{00000000-0005-0000-0000-0000AC190000}"/>
    <cellStyle name="40% - Énfasis3 37 3 2" xfId="6634" xr:uid="{00000000-0005-0000-0000-0000AD190000}"/>
    <cellStyle name="40% - Énfasis3 37 4" xfId="6635" xr:uid="{00000000-0005-0000-0000-0000AE190000}"/>
    <cellStyle name="40% - Énfasis3 37 4 2" xfId="6636" xr:uid="{00000000-0005-0000-0000-0000AF190000}"/>
    <cellStyle name="40% - Énfasis3 37 5" xfId="6637" xr:uid="{00000000-0005-0000-0000-0000B0190000}"/>
    <cellStyle name="40% - Énfasis3 37 6" xfId="6638" xr:uid="{00000000-0005-0000-0000-0000B1190000}"/>
    <cellStyle name="40% - Énfasis3 37 7" xfId="6639" xr:uid="{00000000-0005-0000-0000-0000B2190000}"/>
    <cellStyle name="40% - Énfasis3 37 8" xfId="6640" xr:uid="{00000000-0005-0000-0000-0000B3190000}"/>
    <cellStyle name="40% - Énfasis3 37 9" xfId="6641" xr:uid="{00000000-0005-0000-0000-0000B4190000}"/>
    <cellStyle name="40% - Énfasis3 38 10" xfId="6642" xr:uid="{00000000-0005-0000-0000-0000B5190000}"/>
    <cellStyle name="40% - Énfasis3 38 11" xfId="6643" xr:uid="{00000000-0005-0000-0000-0000B6190000}"/>
    <cellStyle name="40% - Énfasis3 38 12" xfId="6644" xr:uid="{00000000-0005-0000-0000-0000B7190000}"/>
    <cellStyle name="40% - Énfasis3 38 13" xfId="6645" xr:uid="{00000000-0005-0000-0000-0000B8190000}"/>
    <cellStyle name="40% - Énfasis3 38 14" xfId="6646" xr:uid="{00000000-0005-0000-0000-0000B9190000}"/>
    <cellStyle name="40% - Énfasis3 38 15" xfId="6647" xr:uid="{00000000-0005-0000-0000-0000BA190000}"/>
    <cellStyle name="40% - Énfasis3 38 16" xfId="6648" xr:uid="{00000000-0005-0000-0000-0000BB190000}"/>
    <cellStyle name="40% - Énfasis3 38 17" xfId="6649" xr:uid="{00000000-0005-0000-0000-0000BC190000}"/>
    <cellStyle name="40% - Énfasis3 38 18" xfId="6650" xr:uid="{00000000-0005-0000-0000-0000BD190000}"/>
    <cellStyle name="40% - Énfasis3 38 19" xfId="6651" xr:uid="{00000000-0005-0000-0000-0000BE190000}"/>
    <cellStyle name="40% - Énfasis3 38 2" xfId="6652" xr:uid="{00000000-0005-0000-0000-0000BF190000}"/>
    <cellStyle name="40% - Énfasis3 38 2 2" xfId="6653" xr:uid="{00000000-0005-0000-0000-0000C0190000}"/>
    <cellStyle name="40% - Énfasis3 38 3" xfId="6654" xr:uid="{00000000-0005-0000-0000-0000C1190000}"/>
    <cellStyle name="40% - Énfasis3 38 3 2" xfId="6655" xr:uid="{00000000-0005-0000-0000-0000C2190000}"/>
    <cellStyle name="40% - Énfasis3 38 4" xfId="6656" xr:uid="{00000000-0005-0000-0000-0000C3190000}"/>
    <cellStyle name="40% - Énfasis3 38 4 2" xfId="6657" xr:uid="{00000000-0005-0000-0000-0000C4190000}"/>
    <cellStyle name="40% - Énfasis3 38 5" xfId="6658" xr:uid="{00000000-0005-0000-0000-0000C5190000}"/>
    <cellStyle name="40% - Énfasis3 38 6" xfId="6659" xr:uid="{00000000-0005-0000-0000-0000C6190000}"/>
    <cellStyle name="40% - Énfasis3 38 7" xfId="6660" xr:uid="{00000000-0005-0000-0000-0000C7190000}"/>
    <cellStyle name="40% - Énfasis3 38 8" xfId="6661" xr:uid="{00000000-0005-0000-0000-0000C8190000}"/>
    <cellStyle name="40% - Énfasis3 38 9" xfId="6662" xr:uid="{00000000-0005-0000-0000-0000C9190000}"/>
    <cellStyle name="40% - Énfasis3 39" xfId="6663" xr:uid="{00000000-0005-0000-0000-0000CA190000}"/>
    <cellStyle name="40% - Énfasis3 39 10" xfId="6664" xr:uid="{00000000-0005-0000-0000-0000CB190000}"/>
    <cellStyle name="40% - Énfasis3 39 11" xfId="6665" xr:uid="{00000000-0005-0000-0000-0000CC190000}"/>
    <cellStyle name="40% - Énfasis3 39 12" xfId="6666" xr:uid="{00000000-0005-0000-0000-0000CD190000}"/>
    <cellStyle name="40% - Énfasis3 39 13" xfId="6667" xr:uid="{00000000-0005-0000-0000-0000CE190000}"/>
    <cellStyle name="40% - Énfasis3 39 14" xfId="6668" xr:uid="{00000000-0005-0000-0000-0000CF190000}"/>
    <cellStyle name="40% - Énfasis3 39 15" xfId="6669" xr:uid="{00000000-0005-0000-0000-0000D0190000}"/>
    <cellStyle name="40% - Énfasis3 39 16" xfId="6670" xr:uid="{00000000-0005-0000-0000-0000D1190000}"/>
    <cellStyle name="40% - Énfasis3 39 2" xfId="6671" xr:uid="{00000000-0005-0000-0000-0000D2190000}"/>
    <cellStyle name="40% - Énfasis3 39 3" xfId="6672" xr:uid="{00000000-0005-0000-0000-0000D3190000}"/>
    <cellStyle name="40% - Énfasis3 39 4" xfId="6673" xr:uid="{00000000-0005-0000-0000-0000D4190000}"/>
    <cellStyle name="40% - Énfasis3 39 5" xfId="6674" xr:uid="{00000000-0005-0000-0000-0000D5190000}"/>
    <cellStyle name="40% - Énfasis3 39 6" xfId="6675" xr:uid="{00000000-0005-0000-0000-0000D6190000}"/>
    <cellStyle name="40% - Énfasis3 39 7" xfId="6676" xr:uid="{00000000-0005-0000-0000-0000D7190000}"/>
    <cellStyle name="40% - Énfasis3 39 8" xfId="6677" xr:uid="{00000000-0005-0000-0000-0000D8190000}"/>
    <cellStyle name="40% - Énfasis3 39 9" xfId="6678" xr:uid="{00000000-0005-0000-0000-0000D9190000}"/>
    <cellStyle name="40% - Énfasis3 4 10" xfId="6679" xr:uid="{00000000-0005-0000-0000-0000DA190000}"/>
    <cellStyle name="40% - Énfasis3 4 11" xfId="6680" xr:uid="{00000000-0005-0000-0000-0000DB190000}"/>
    <cellStyle name="40% - Énfasis3 4 12" xfId="6681" xr:uid="{00000000-0005-0000-0000-0000DC190000}"/>
    <cellStyle name="40% - Énfasis3 4 13" xfId="6682" xr:uid="{00000000-0005-0000-0000-0000DD190000}"/>
    <cellStyle name="40% - Énfasis3 4 14" xfId="6683" xr:uid="{00000000-0005-0000-0000-0000DE190000}"/>
    <cellStyle name="40% - Énfasis3 4 15" xfId="6684" xr:uid="{00000000-0005-0000-0000-0000DF190000}"/>
    <cellStyle name="40% - Énfasis3 4 16" xfId="6685" xr:uid="{00000000-0005-0000-0000-0000E0190000}"/>
    <cellStyle name="40% - Énfasis3 4 17" xfId="6686" xr:uid="{00000000-0005-0000-0000-0000E1190000}"/>
    <cellStyle name="40% - Énfasis3 4 18" xfId="6687" xr:uid="{00000000-0005-0000-0000-0000E2190000}"/>
    <cellStyle name="40% - Énfasis3 4 19" xfId="6688" xr:uid="{00000000-0005-0000-0000-0000E3190000}"/>
    <cellStyle name="40% - Énfasis3 4 2" xfId="6689" xr:uid="{00000000-0005-0000-0000-0000E4190000}"/>
    <cellStyle name="40% - Énfasis3 4 2 2" xfId="6690" xr:uid="{00000000-0005-0000-0000-0000E5190000}"/>
    <cellStyle name="40% - Énfasis3 4 3" xfId="6691" xr:uid="{00000000-0005-0000-0000-0000E6190000}"/>
    <cellStyle name="40% - Énfasis3 4 3 2" xfId="6692" xr:uid="{00000000-0005-0000-0000-0000E7190000}"/>
    <cellStyle name="40% - Énfasis3 4 4" xfId="6693" xr:uid="{00000000-0005-0000-0000-0000E8190000}"/>
    <cellStyle name="40% - Énfasis3 4 4 2" xfId="6694" xr:uid="{00000000-0005-0000-0000-0000E9190000}"/>
    <cellStyle name="40% - Énfasis3 4 5" xfId="6695" xr:uid="{00000000-0005-0000-0000-0000EA190000}"/>
    <cellStyle name="40% - Énfasis3 4 6" xfId="6696" xr:uid="{00000000-0005-0000-0000-0000EB190000}"/>
    <cellStyle name="40% - Énfasis3 4 7" xfId="6697" xr:uid="{00000000-0005-0000-0000-0000EC190000}"/>
    <cellStyle name="40% - Énfasis3 4 8" xfId="6698" xr:uid="{00000000-0005-0000-0000-0000ED190000}"/>
    <cellStyle name="40% - Énfasis3 4 9" xfId="6699" xr:uid="{00000000-0005-0000-0000-0000EE190000}"/>
    <cellStyle name="40% - Énfasis3 40" xfId="6700" xr:uid="{00000000-0005-0000-0000-0000EF190000}"/>
    <cellStyle name="40% - Énfasis3 40 10" xfId="6701" xr:uid="{00000000-0005-0000-0000-0000F0190000}"/>
    <cellStyle name="40% - Énfasis3 40 11" xfId="6702" xr:uid="{00000000-0005-0000-0000-0000F1190000}"/>
    <cellStyle name="40% - Énfasis3 40 12" xfId="6703" xr:uid="{00000000-0005-0000-0000-0000F2190000}"/>
    <cellStyle name="40% - Énfasis3 40 13" xfId="6704" xr:uid="{00000000-0005-0000-0000-0000F3190000}"/>
    <cellStyle name="40% - Énfasis3 40 14" xfId="6705" xr:uid="{00000000-0005-0000-0000-0000F4190000}"/>
    <cellStyle name="40% - Énfasis3 40 15" xfId="6706" xr:uid="{00000000-0005-0000-0000-0000F5190000}"/>
    <cellStyle name="40% - Énfasis3 40 16" xfId="6707" xr:uid="{00000000-0005-0000-0000-0000F6190000}"/>
    <cellStyle name="40% - Énfasis3 40 2" xfId="6708" xr:uid="{00000000-0005-0000-0000-0000F7190000}"/>
    <cellStyle name="40% - Énfasis3 40 3" xfId="6709" xr:uid="{00000000-0005-0000-0000-0000F8190000}"/>
    <cellStyle name="40% - Énfasis3 40 4" xfId="6710" xr:uid="{00000000-0005-0000-0000-0000F9190000}"/>
    <cellStyle name="40% - Énfasis3 40 5" xfId="6711" xr:uid="{00000000-0005-0000-0000-0000FA190000}"/>
    <cellStyle name="40% - Énfasis3 40 6" xfId="6712" xr:uid="{00000000-0005-0000-0000-0000FB190000}"/>
    <cellStyle name="40% - Énfasis3 40 7" xfId="6713" xr:uid="{00000000-0005-0000-0000-0000FC190000}"/>
    <cellStyle name="40% - Énfasis3 40 8" xfId="6714" xr:uid="{00000000-0005-0000-0000-0000FD190000}"/>
    <cellStyle name="40% - Énfasis3 40 9" xfId="6715" xr:uid="{00000000-0005-0000-0000-0000FE190000}"/>
    <cellStyle name="40% - Énfasis3 41" xfId="6716" xr:uid="{00000000-0005-0000-0000-0000FF190000}"/>
    <cellStyle name="40% - Énfasis3 41 10" xfId="6717" xr:uid="{00000000-0005-0000-0000-0000001A0000}"/>
    <cellStyle name="40% - Énfasis3 41 11" xfId="6718" xr:uid="{00000000-0005-0000-0000-0000011A0000}"/>
    <cellStyle name="40% - Énfasis3 41 12" xfId="6719" xr:uid="{00000000-0005-0000-0000-0000021A0000}"/>
    <cellStyle name="40% - Énfasis3 41 13" xfId="6720" xr:uid="{00000000-0005-0000-0000-0000031A0000}"/>
    <cellStyle name="40% - Énfasis3 41 14" xfId="6721" xr:uid="{00000000-0005-0000-0000-0000041A0000}"/>
    <cellStyle name="40% - Énfasis3 41 15" xfId="6722" xr:uid="{00000000-0005-0000-0000-0000051A0000}"/>
    <cellStyle name="40% - Énfasis3 41 16" xfId="6723" xr:uid="{00000000-0005-0000-0000-0000061A0000}"/>
    <cellStyle name="40% - Énfasis3 41 2" xfId="6724" xr:uid="{00000000-0005-0000-0000-0000071A0000}"/>
    <cellStyle name="40% - Énfasis3 41 3" xfId="6725" xr:uid="{00000000-0005-0000-0000-0000081A0000}"/>
    <cellStyle name="40% - Énfasis3 41 4" xfId="6726" xr:uid="{00000000-0005-0000-0000-0000091A0000}"/>
    <cellStyle name="40% - Énfasis3 41 5" xfId="6727" xr:uid="{00000000-0005-0000-0000-00000A1A0000}"/>
    <cellStyle name="40% - Énfasis3 41 6" xfId="6728" xr:uid="{00000000-0005-0000-0000-00000B1A0000}"/>
    <cellStyle name="40% - Énfasis3 41 7" xfId="6729" xr:uid="{00000000-0005-0000-0000-00000C1A0000}"/>
    <cellStyle name="40% - Énfasis3 41 8" xfId="6730" xr:uid="{00000000-0005-0000-0000-00000D1A0000}"/>
    <cellStyle name="40% - Énfasis3 41 9" xfId="6731" xr:uid="{00000000-0005-0000-0000-00000E1A0000}"/>
    <cellStyle name="40% - Énfasis3 42" xfId="6732" xr:uid="{00000000-0005-0000-0000-00000F1A0000}"/>
    <cellStyle name="40% - Énfasis3 43" xfId="6733" xr:uid="{00000000-0005-0000-0000-0000101A0000}"/>
    <cellStyle name="40% - Énfasis3 44" xfId="6734" xr:uid="{00000000-0005-0000-0000-0000111A0000}"/>
    <cellStyle name="40% - Énfasis3 45" xfId="6735" xr:uid="{00000000-0005-0000-0000-0000121A0000}"/>
    <cellStyle name="40% - Énfasis3 46" xfId="6736" xr:uid="{00000000-0005-0000-0000-0000131A0000}"/>
    <cellStyle name="40% - Énfasis3 47" xfId="6737" xr:uid="{00000000-0005-0000-0000-0000141A0000}"/>
    <cellStyle name="40% - Énfasis3 48" xfId="6738" xr:uid="{00000000-0005-0000-0000-0000151A0000}"/>
    <cellStyle name="40% - Énfasis3 49" xfId="6739" xr:uid="{00000000-0005-0000-0000-0000161A0000}"/>
    <cellStyle name="40% - Énfasis3 5 10" xfId="6740" xr:uid="{00000000-0005-0000-0000-0000171A0000}"/>
    <cellStyle name="40% - Énfasis3 5 11" xfId="6741" xr:uid="{00000000-0005-0000-0000-0000181A0000}"/>
    <cellStyle name="40% - Énfasis3 5 12" xfId="6742" xr:uid="{00000000-0005-0000-0000-0000191A0000}"/>
    <cellStyle name="40% - Énfasis3 5 13" xfId="6743" xr:uid="{00000000-0005-0000-0000-00001A1A0000}"/>
    <cellStyle name="40% - Énfasis3 5 14" xfId="6744" xr:uid="{00000000-0005-0000-0000-00001B1A0000}"/>
    <cellStyle name="40% - Énfasis3 5 15" xfId="6745" xr:uid="{00000000-0005-0000-0000-00001C1A0000}"/>
    <cellStyle name="40% - Énfasis3 5 16" xfId="6746" xr:uid="{00000000-0005-0000-0000-00001D1A0000}"/>
    <cellStyle name="40% - Énfasis3 5 17" xfId="6747" xr:uid="{00000000-0005-0000-0000-00001E1A0000}"/>
    <cellStyle name="40% - Énfasis3 5 18" xfId="6748" xr:uid="{00000000-0005-0000-0000-00001F1A0000}"/>
    <cellStyle name="40% - Énfasis3 5 19" xfId="6749" xr:uid="{00000000-0005-0000-0000-0000201A0000}"/>
    <cellStyle name="40% - Énfasis3 5 2" xfId="6750" xr:uid="{00000000-0005-0000-0000-0000211A0000}"/>
    <cellStyle name="40% - Énfasis3 5 2 2" xfId="6751" xr:uid="{00000000-0005-0000-0000-0000221A0000}"/>
    <cellStyle name="40% - Énfasis3 5 3" xfId="6752" xr:uid="{00000000-0005-0000-0000-0000231A0000}"/>
    <cellStyle name="40% - Énfasis3 5 3 2" xfId="6753" xr:uid="{00000000-0005-0000-0000-0000241A0000}"/>
    <cellStyle name="40% - Énfasis3 5 4" xfId="6754" xr:uid="{00000000-0005-0000-0000-0000251A0000}"/>
    <cellStyle name="40% - Énfasis3 5 4 2" xfId="6755" xr:uid="{00000000-0005-0000-0000-0000261A0000}"/>
    <cellStyle name="40% - Énfasis3 5 5" xfId="6756" xr:uid="{00000000-0005-0000-0000-0000271A0000}"/>
    <cellStyle name="40% - Énfasis3 5 6" xfId="6757" xr:uid="{00000000-0005-0000-0000-0000281A0000}"/>
    <cellStyle name="40% - Énfasis3 5 7" xfId="6758" xr:uid="{00000000-0005-0000-0000-0000291A0000}"/>
    <cellStyle name="40% - Énfasis3 5 8" xfId="6759" xr:uid="{00000000-0005-0000-0000-00002A1A0000}"/>
    <cellStyle name="40% - Énfasis3 5 9" xfId="6760" xr:uid="{00000000-0005-0000-0000-00002B1A0000}"/>
    <cellStyle name="40% - Énfasis3 50" xfId="6761" xr:uid="{00000000-0005-0000-0000-00002C1A0000}"/>
    <cellStyle name="40% - Énfasis3 51" xfId="6762" xr:uid="{00000000-0005-0000-0000-00002D1A0000}"/>
    <cellStyle name="40% - Énfasis3 52" xfId="6763" xr:uid="{00000000-0005-0000-0000-00002E1A0000}"/>
    <cellStyle name="40% - Énfasis3 53" xfId="6764" xr:uid="{00000000-0005-0000-0000-00002F1A0000}"/>
    <cellStyle name="40% - Énfasis3 54" xfId="6765" xr:uid="{00000000-0005-0000-0000-0000301A0000}"/>
    <cellStyle name="40% - Énfasis3 55" xfId="6766" xr:uid="{00000000-0005-0000-0000-0000311A0000}"/>
    <cellStyle name="40% - Énfasis3 56" xfId="6767" xr:uid="{00000000-0005-0000-0000-0000321A0000}"/>
    <cellStyle name="40% - Énfasis3 57" xfId="6768" xr:uid="{00000000-0005-0000-0000-0000331A0000}"/>
    <cellStyle name="40% - Énfasis3 58" xfId="6769" xr:uid="{00000000-0005-0000-0000-0000341A0000}"/>
    <cellStyle name="40% - Énfasis3 59" xfId="6770" xr:uid="{00000000-0005-0000-0000-0000351A0000}"/>
    <cellStyle name="40% - Énfasis3 6 10" xfId="6771" xr:uid="{00000000-0005-0000-0000-0000361A0000}"/>
    <cellStyle name="40% - Énfasis3 6 11" xfId="6772" xr:uid="{00000000-0005-0000-0000-0000371A0000}"/>
    <cellStyle name="40% - Énfasis3 6 12" xfId="6773" xr:uid="{00000000-0005-0000-0000-0000381A0000}"/>
    <cellStyle name="40% - Énfasis3 6 13" xfId="6774" xr:uid="{00000000-0005-0000-0000-0000391A0000}"/>
    <cellStyle name="40% - Énfasis3 6 14" xfId="6775" xr:uid="{00000000-0005-0000-0000-00003A1A0000}"/>
    <cellStyle name="40% - Énfasis3 6 15" xfId="6776" xr:uid="{00000000-0005-0000-0000-00003B1A0000}"/>
    <cellStyle name="40% - Énfasis3 6 16" xfId="6777" xr:uid="{00000000-0005-0000-0000-00003C1A0000}"/>
    <cellStyle name="40% - Énfasis3 6 17" xfId="6778" xr:uid="{00000000-0005-0000-0000-00003D1A0000}"/>
    <cellStyle name="40% - Énfasis3 6 18" xfId="6779" xr:uid="{00000000-0005-0000-0000-00003E1A0000}"/>
    <cellStyle name="40% - Énfasis3 6 19" xfId="6780" xr:uid="{00000000-0005-0000-0000-00003F1A0000}"/>
    <cellStyle name="40% - Énfasis3 6 2" xfId="6781" xr:uid="{00000000-0005-0000-0000-0000401A0000}"/>
    <cellStyle name="40% - Énfasis3 6 2 2" xfId="6782" xr:uid="{00000000-0005-0000-0000-0000411A0000}"/>
    <cellStyle name="40% - Énfasis3 6 3" xfId="6783" xr:uid="{00000000-0005-0000-0000-0000421A0000}"/>
    <cellStyle name="40% - Énfasis3 6 3 2" xfId="6784" xr:uid="{00000000-0005-0000-0000-0000431A0000}"/>
    <cellStyle name="40% - Énfasis3 6 4" xfId="6785" xr:uid="{00000000-0005-0000-0000-0000441A0000}"/>
    <cellStyle name="40% - Énfasis3 6 4 2" xfId="6786" xr:uid="{00000000-0005-0000-0000-0000451A0000}"/>
    <cellStyle name="40% - Énfasis3 6 5" xfId="6787" xr:uid="{00000000-0005-0000-0000-0000461A0000}"/>
    <cellStyle name="40% - Énfasis3 6 6" xfId="6788" xr:uid="{00000000-0005-0000-0000-0000471A0000}"/>
    <cellStyle name="40% - Énfasis3 6 7" xfId="6789" xr:uid="{00000000-0005-0000-0000-0000481A0000}"/>
    <cellStyle name="40% - Énfasis3 6 8" xfId="6790" xr:uid="{00000000-0005-0000-0000-0000491A0000}"/>
    <cellStyle name="40% - Énfasis3 6 9" xfId="6791" xr:uid="{00000000-0005-0000-0000-00004A1A0000}"/>
    <cellStyle name="40% - Énfasis3 60" xfId="6792" xr:uid="{00000000-0005-0000-0000-00004B1A0000}"/>
    <cellStyle name="40% - Énfasis3 61" xfId="6793" xr:uid="{00000000-0005-0000-0000-00004C1A0000}"/>
    <cellStyle name="40% - Énfasis3 62" xfId="6794" xr:uid="{00000000-0005-0000-0000-00004D1A0000}"/>
    <cellStyle name="40% - Énfasis3 63" xfId="6795" xr:uid="{00000000-0005-0000-0000-00004E1A0000}"/>
    <cellStyle name="40% - Énfasis3 64" xfId="6796" xr:uid="{00000000-0005-0000-0000-00004F1A0000}"/>
    <cellStyle name="40% - Énfasis3 7 10" xfId="6797" xr:uid="{00000000-0005-0000-0000-0000501A0000}"/>
    <cellStyle name="40% - Énfasis3 7 11" xfId="6798" xr:uid="{00000000-0005-0000-0000-0000511A0000}"/>
    <cellStyle name="40% - Énfasis3 7 12" xfId="6799" xr:uid="{00000000-0005-0000-0000-0000521A0000}"/>
    <cellStyle name="40% - Énfasis3 7 13" xfId="6800" xr:uid="{00000000-0005-0000-0000-0000531A0000}"/>
    <cellStyle name="40% - Énfasis3 7 14" xfId="6801" xr:uid="{00000000-0005-0000-0000-0000541A0000}"/>
    <cellStyle name="40% - Énfasis3 7 15" xfId="6802" xr:uid="{00000000-0005-0000-0000-0000551A0000}"/>
    <cellStyle name="40% - Énfasis3 7 16" xfId="6803" xr:uid="{00000000-0005-0000-0000-0000561A0000}"/>
    <cellStyle name="40% - Énfasis3 7 17" xfId="6804" xr:uid="{00000000-0005-0000-0000-0000571A0000}"/>
    <cellStyle name="40% - Énfasis3 7 18" xfId="6805" xr:uid="{00000000-0005-0000-0000-0000581A0000}"/>
    <cellStyle name="40% - Énfasis3 7 19" xfId="6806" xr:uid="{00000000-0005-0000-0000-0000591A0000}"/>
    <cellStyle name="40% - Énfasis3 7 2" xfId="6807" xr:uid="{00000000-0005-0000-0000-00005A1A0000}"/>
    <cellStyle name="40% - Énfasis3 7 2 2" xfId="6808" xr:uid="{00000000-0005-0000-0000-00005B1A0000}"/>
    <cellStyle name="40% - Énfasis3 7 3" xfId="6809" xr:uid="{00000000-0005-0000-0000-00005C1A0000}"/>
    <cellStyle name="40% - Énfasis3 7 3 2" xfId="6810" xr:uid="{00000000-0005-0000-0000-00005D1A0000}"/>
    <cellStyle name="40% - Énfasis3 7 4" xfId="6811" xr:uid="{00000000-0005-0000-0000-00005E1A0000}"/>
    <cellStyle name="40% - Énfasis3 7 4 2" xfId="6812" xr:uid="{00000000-0005-0000-0000-00005F1A0000}"/>
    <cellStyle name="40% - Énfasis3 7 5" xfId="6813" xr:uid="{00000000-0005-0000-0000-0000601A0000}"/>
    <cellStyle name="40% - Énfasis3 7 6" xfId="6814" xr:uid="{00000000-0005-0000-0000-0000611A0000}"/>
    <cellStyle name="40% - Énfasis3 7 7" xfId="6815" xr:uid="{00000000-0005-0000-0000-0000621A0000}"/>
    <cellStyle name="40% - Énfasis3 7 8" xfId="6816" xr:uid="{00000000-0005-0000-0000-0000631A0000}"/>
    <cellStyle name="40% - Énfasis3 7 9" xfId="6817" xr:uid="{00000000-0005-0000-0000-0000641A0000}"/>
    <cellStyle name="40% - Énfasis3 8 10" xfId="6818" xr:uid="{00000000-0005-0000-0000-0000651A0000}"/>
    <cellStyle name="40% - Énfasis3 8 11" xfId="6819" xr:uid="{00000000-0005-0000-0000-0000661A0000}"/>
    <cellStyle name="40% - Énfasis3 8 12" xfId="6820" xr:uid="{00000000-0005-0000-0000-0000671A0000}"/>
    <cellStyle name="40% - Énfasis3 8 13" xfId="6821" xr:uid="{00000000-0005-0000-0000-0000681A0000}"/>
    <cellStyle name="40% - Énfasis3 8 14" xfId="6822" xr:uid="{00000000-0005-0000-0000-0000691A0000}"/>
    <cellStyle name="40% - Énfasis3 8 15" xfId="6823" xr:uid="{00000000-0005-0000-0000-00006A1A0000}"/>
    <cellStyle name="40% - Énfasis3 8 16" xfId="6824" xr:uid="{00000000-0005-0000-0000-00006B1A0000}"/>
    <cellStyle name="40% - Énfasis3 8 17" xfId="6825" xr:uid="{00000000-0005-0000-0000-00006C1A0000}"/>
    <cellStyle name="40% - Énfasis3 8 18" xfId="6826" xr:uid="{00000000-0005-0000-0000-00006D1A0000}"/>
    <cellStyle name="40% - Énfasis3 8 19" xfId="6827" xr:uid="{00000000-0005-0000-0000-00006E1A0000}"/>
    <cellStyle name="40% - Énfasis3 8 2" xfId="6828" xr:uid="{00000000-0005-0000-0000-00006F1A0000}"/>
    <cellStyle name="40% - Énfasis3 8 2 2" xfId="6829" xr:uid="{00000000-0005-0000-0000-0000701A0000}"/>
    <cellStyle name="40% - Énfasis3 8 3" xfId="6830" xr:uid="{00000000-0005-0000-0000-0000711A0000}"/>
    <cellStyle name="40% - Énfasis3 8 3 2" xfId="6831" xr:uid="{00000000-0005-0000-0000-0000721A0000}"/>
    <cellStyle name="40% - Énfasis3 8 4" xfId="6832" xr:uid="{00000000-0005-0000-0000-0000731A0000}"/>
    <cellStyle name="40% - Énfasis3 8 4 2" xfId="6833" xr:uid="{00000000-0005-0000-0000-0000741A0000}"/>
    <cellStyle name="40% - Énfasis3 8 5" xfId="6834" xr:uid="{00000000-0005-0000-0000-0000751A0000}"/>
    <cellStyle name="40% - Énfasis3 8 6" xfId="6835" xr:uid="{00000000-0005-0000-0000-0000761A0000}"/>
    <cellStyle name="40% - Énfasis3 8 7" xfId="6836" xr:uid="{00000000-0005-0000-0000-0000771A0000}"/>
    <cellStyle name="40% - Énfasis3 8 8" xfId="6837" xr:uid="{00000000-0005-0000-0000-0000781A0000}"/>
    <cellStyle name="40% - Énfasis3 8 9" xfId="6838" xr:uid="{00000000-0005-0000-0000-0000791A0000}"/>
    <cellStyle name="40% - Énfasis3 9 10" xfId="6839" xr:uid="{00000000-0005-0000-0000-00007A1A0000}"/>
    <cellStyle name="40% - Énfasis3 9 11" xfId="6840" xr:uid="{00000000-0005-0000-0000-00007B1A0000}"/>
    <cellStyle name="40% - Énfasis3 9 12" xfId="6841" xr:uid="{00000000-0005-0000-0000-00007C1A0000}"/>
    <cellStyle name="40% - Énfasis3 9 13" xfId="6842" xr:uid="{00000000-0005-0000-0000-00007D1A0000}"/>
    <cellStyle name="40% - Énfasis3 9 14" xfId="6843" xr:uid="{00000000-0005-0000-0000-00007E1A0000}"/>
    <cellStyle name="40% - Énfasis3 9 15" xfId="6844" xr:uid="{00000000-0005-0000-0000-00007F1A0000}"/>
    <cellStyle name="40% - Énfasis3 9 16" xfId="6845" xr:uid="{00000000-0005-0000-0000-0000801A0000}"/>
    <cellStyle name="40% - Énfasis3 9 17" xfId="6846" xr:uid="{00000000-0005-0000-0000-0000811A0000}"/>
    <cellStyle name="40% - Énfasis3 9 18" xfId="6847" xr:uid="{00000000-0005-0000-0000-0000821A0000}"/>
    <cellStyle name="40% - Énfasis3 9 19" xfId="6848" xr:uid="{00000000-0005-0000-0000-0000831A0000}"/>
    <cellStyle name="40% - Énfasis3 9 2" xfId="6849" xr:uid="{00000000-0005-0000-0000-0000841A0000}"/>
    <cellStyle name="40% - Énfasis3 9 2 2" xfId="6850" xr:uid="{00000000-0005-0000-0000-0000851A0000}"/>
    <cellStyle name="40% - Énfasis3 9 3" xfId="6851" xr:uid="{00000000-0005-0000-0000-0000861A0000}"/>
    <cellStyle name="40% - Énfasis3 9 3 2" xfId="6852" xr:uid="{00000000-0005-0000-0000-0000871A0000}"/>
    <cellStyle name="40% - Énfasis3 9 4" xfId="6853" xr:uid="{00000000-0005-0000-0000-0000881A0000}"/>
    <cellStyle name="40% - Énfasis3 9 4 2" xfId="6854" xr:uid="{00000000-0005-0000-0000-0000891A0000}"/>
    <cellStyle name="40% - Énfasis3 9 5" xfId="6855" xr:uid="{00000000-0005-0000-0000-00008A1A0000}"/>
    <cellStyle name="40% - Énfasis3 9 6" xfId="6856" xr:uid="{00000000-0005-0000-0000-00008B1A0000}"/>
    <cellStyle name="40% - Énfasis3 9 7" xfId="6857" xr:uid="{00000000-0005-0000-0000-00008C1A0000}"/>
    <cellStyle name="40% - Énfasis3 9 8" xfId="6858" xr:uid="{00000000-0005-0000-0000-00008D1A0000}"/>
    <cellStyle name="40% - Énfasis3 9 9" xfId="6859" xr:uid="{00000000-0005-0000-0000-00008E1A0000}"/>
    <cellStyle name="40% - Énfasis4" xfId="32542" builtinId="43" customBuiltin="1"/>
    <cellStyle name="40% - Énfasis4 10 10" xfId="6860" xr:uid="{00000000-0005-0000-0000-0000901A0000}"/>
    <cellStyle name="40% - Énfasis4 10 11" xfId="6861" xr:uid="{00000000-0005-0000-0000-0000911A0000}"/>
    <cellStyle name="40% - Énfasis4 10 12" xfId="6862" xr:uid="{00000000-0005-0000-0000-0000921A0000}"/>
    <cellStyle name="40% - Énfasis4 10 13" xfId="6863" xr:uid="{00000000-0005-0000-0000-0000931A0000}"/>
    <cellStyle name="40% - Énfasis4 10 14" xfId="6864" xr:uid="{00000000-0005-0000-0000-0000941A0000}"/>
    <cellStyle name="40% - Énfasis4 10 15" xfId="6865" xr:uid="{00000000-0005-0000-0000-0000951A0000}"/>
    <cellStyle name="40% - Énfasis4 10 16" xfId="6866" xr:uid="{00000000-0005-0000-0000-0000961A0000}"/>
    <cellStyle name="40% - Énfasis4 10 17" xfId="6867" xr:uid="{00000000-0005-0000-0000-0000971A0000}"/>
    <cellStyle name="40% - Énfasis4 10 18" xfId="6868" xr:uid="{00000000-0005-0000-0000-0000981A0000}"/>
    <cellStyle name="40% - Énfasis4 10 19" xfId="6869" xr:uid="{00000000-0005-0000-0000-0000991A0000}"/>
    <cellStyle name="40% - Énfasis4 10 2" xfId="6870" xr:uid="{00000000-0005-0000-0000-00009A1A0000}"/>
    <cellStyle name="40% - Énfasis4 10 2 2" xfId="6871" xr:uid="{00000000-0005-0000-0000-00009B1A0000}"/>
    <cellStyle name="40% - Énfasis4 10 3" xfId="6872" xr:uid="{00000000-0005-0000-0000-00009C1A0000}"/>
    <cellStyle name="40% - Énfasis4 10 3 2" xfId="6873" xr:uid="{00000000-0005-0000-0000-00009D1A0000}"/>
    <cellStyle name="40% - Énfasis4 10 4" xfId="6874" xr:uid="{00000000-0005-0000-0000-00009E1A0000}"/>
    <cellStyle name="40% - Énfasis4 10 4 2" xfId="6875" xr:uid="{00000000-0005-0000-0000-00009F1A0000}"/>
    <cellStyle name="40% - Énfasis4 10 5" xfId="6876" xr:uid="{00000000-0005-0000-0000-0000A01A0000}"/>
    <cellStyle name="40% - Énfasis4 10 6" xfId="6877" xr:uid="{00000000-0005-0000-0000-0000A11A0000}"/>
    <cellStyle name="40% - Énfasis4 10 7" xfId="6878" xr:uid="{00000000-0005-0000-0000-0000A21A0000}"/>
    <cellStyle name="40% - Énfasis4 10 8" xfId="6879" xr:uid="{00000000-0005-0000-0000-0000A31A0000}"/>
    <cellStyle name="40% - Énfasis4 10 9" xfId="6880" xr:uid="{00000000-0005-0000-0000-0000A41A0000}"/>
    <cellStyle name="40% - Énfasis4 11 10" xfId="6881" xr:uid="{00000000-0005-0000-0000-0000A51A0000}"/>
    <cellStyle name="40% - Énfasis4 11 11" xfId="6882" xr:uid="{00000000-0005-0000-0000-0000A61A0000}"/>
    <cellStyle name="40% - Énfasis4 11 12" xfId="6883" xr:uid="{00000000-0005-0000-0000-0000A71A0000}"/>
    <cellStyle name="40% - Énfasis4 11 13" xfId="6884" xr:uid="{00000000-0005-0000-0000-0000A81A0000}"/>
    <cellStyle name="40% - Énfasis4 11 14" xfId="6885" xr:uid="{00000000-0005-0000-0000-0000A91A0000}"/>
    <cellStyle name="40% - Énfasis4 11 15" xfId="6886" xr:uid="{00000000-0005-0000-0000-0000AA1A0000}"/>
    <cellStyle name="40% - Énfasis4 11 16" xfId="6887" xr:uid="{00000000-0005-0000-0000-0000AB1A0000}"/>
    <cellStyle name="40% - Énfasis4 11 17" xfId="6888" xr:uid="{00000000-0005-0000-0000-0000AC1A0000}"/>
    <cellStyle name="40% - Énfasis4 11 18" xfId="6889" xr:uid="{00000000-0005-0000-0000-0000AD1A0000}"/>
    <cellStyle name="40% - Énfasis4 11 19" xfId="6890" xr:uid="{00000000-0005-0000-0000-0000AE1A0000}"/>
    <cellStyle name="40% - Énfasis4 11 2" xfId="6891" xr:uid="{00000000-0005-0000-0000-0000AF1A0000}"/>
    <cellStyle name="40% - Énfasis4 11 2 2" xfId="6892" xr:uid="{00000000-0005-0000-0000-0000B01A0000}"/>
    <cellStyle name="40% - Énfasis4 11 3" xfId="6893" xr:uid="{00000000-0005-0000-0000-0000B11A0000}"/>
    <cellStyle name="40% - Énfasis4 11 3 2" xfId="6894" xr:uid="{00000000-0005-0000-0000-0000B21A0000}"/>
    <cellStyle name="40% - Énfasis4 11 4" xfId="6895" xr:uid="{00000000-0005-0000-0000-0000B31A0000}"/>
    <cellStyle name="40% - Énfasis4 11 4 2" xfId="6896" xr:uid="{00000000-0005-0000-0000-0000B41A0000}"/>
    <cellStyle name="40% - Énfasis4 11 5" xfId="6897" xr:uid="{00000000-0005-0000-0000-0000B51A0000}"/>
    <cellStyle name="40% - Énfasis4 11 6" xfId="6898" xr:uid="{00000000-0005-0000-0000-0000B61A0000}"/>
    <cellStyle name="40% - Énfasis4 11 7" xfId="6899" xr:uid="{00000000-0005-0000-0000-0000B71A0000}"/>
    <cellStyle name="40% - Énfasis4 11 8" xfId="6900" xr:uid="{00000000-0005-0000-0000-0000B81A0000}"/>
    <cellStyle name="40% - Énfasis4 11 9" xfId="6901" xr:uid="{00000000-0005-0000-0000-0000B91A0000}"/>
    <cellStyle name="40% - Énfasis4 12 10" xfId="6902" xr:uid="{00000000-0005-0000-0000-0000BA1A0000}"/>
    <cellStyle name="40% - Énfasis4 12 11" xfId="6903" xr:uid="{00000000-0005-0000-0000-0000BB1A0000}"/>
    <cellStyle name="40% - Énfasis4 12 12" xfId="6904" xr:uid="{00000000-0005-0000-0000-0000BC1A0000}"/>
    <cellStyle name="40% - Énfasis4 12 13" xfId="6905" xr:uid="{00000000-0005-0000-0000-0000BD1A0000}"/>
    <cellStyle name="40% - Énfasis4 12 14" xfId="6906" xr:uid="{00000000-0005-0000-0000-0000BE1A0000}"/>
    <cellStyle name="40% - Énfasis4 12 15" xfId="6907" xr:uid="{00000000-0005-0000-0000-0000BF1A0000}"/>
    <cellStyle name="40% - Énfasis4 12 16" xfId="6908" xr:uid="{00000000-0005-0000-0000-0000C01A0000}"/>
    <cellStyle name="40% - Énfasis4 12 17" xfId="6909" xr:uid="{00000000-0005-0000-0000-0000C11A0000}"/>
    <cellStyle name="40% - Énfasis4 12 18" xfId="6910" xr:uid="{00000000-0005-0000-0000-0000C21A0000}"/>
    <cellStyle name="40% - Énfasis4 12 19" xfId="6911" xr:uid="{00000000-0005-0000-0000-0000C31A0000}"/>
    <cellStyle name="40% - Énfasis4 12 2" xfId="6912" xr:uid="{00000000-0005-0000-0000-0000C41A0000}"/>
    <cellStyle name="40% - Énfasis4 12 2 2" xfId="6913" xr:uid="{00000000-0005-0000-0000-0000C51A0000}"/>
    <cellStyle name="40% - Énfasis4 12 3" xfId="6914" xr:uid="{00000000-0005-0000-0000-0000C61A0000}"/>
    <cellStyle name="40% - Énfasis4 12 3 2" xfId="6915" xr:uid="{00000000-0005-0000-0000-0000C71A0000}"/>
    <cellStyle name="40% - Énfasis4 12 4" xfId="6916" xr:uid="{00000000-0005-0000-0000-0000C81A0000}"/>
    <cellStyle name="40% - Énfasis4 12 4 2" xfId="6917" xr:uid="{00000000-0005-0000-0000-0000C91A0000}"/>
    <cellStyle name="40% - Énfasis4 12 5" xfId="6918" xr:uid="{00000000-0005-0000-0000-0000CA1A0000}"/>
    <cellStyle name="40% - Énfasis4 12 6" xfId="6919" xr:uid="{00000000-0005-0000-0000-0000CB1A0000}"/>
    <cellStyle name="40% - Énfasis4 12 7" xfId="6920" xr:uid="{00000000-0005-0000-0000-0000CC1A0000}"/>
    <cellStyle name="40% - Énfasis4 12 8" xfId="6921" xr:uid="{00000000-0005-0000-0000-0000CD1A0000}"/>
    <cellStyle name="40% - Énfasis4 12 9" xfId="6922" xr:uid="{00000000-0005-0000-0000-0000CE1A0000}"/>
    <cellStyle name="40% - Énfasis4 13 10" xfId="6923" xr:uid="{00000000-0005-0000-0000-0000CF1A0000}"/>
    <cellStyle name="40% - Énfasis4 13 11" xfId="6924" xr:uid="{00000000-0005-0000-0000-0000D01A0000}"/>
    <cellStyle name="40% - Énfasis4 13 12" xfId="6925" xr:uid="{00000000-0005-0000-0000-0000D11A0000}"/>
    <cellStyle name="40% - Énfasis4 13 13" xfId="6926" xr:uid="{00000000-0005-0000-0000-0000D21A0000}"/>
    <cellStyle name="40% - Énfasis4 13 14" xfId="6927" xr:uid="{00000000-0005-0000-0000-0000D31A0000}"/>
    <cellStyle name="40% - Énfasis4 13 15" xfId="6928" xr:uid="{00000000-0005-0000-0000-0000D41A0000}"/>
    <cellStyle name="40% - Énfasis4 13 16" xfId="6929" xr:uid="{00000000-0005-0000-0000-0000D51A0000}"/>
    <cellStyle name="40% - Énfasis4 13 17" xfId="6930" xr:uid="{00000000-0005-0000-0000-0000D61A0000}"/>
    <cellStyle name="40% - Énfasis4 13 18" xfId="6931" xr:uid="{00000000-0005-0000-0000-0000D71A0000}"/>
    <cellStyle name="40% - Énfasis4 13 19" xfId="6932" xr:uid="{00000000-0005-0000-0000-0000D81A0000}"/>
    <cellStyle name="40% - Énfasis4 13 2" xfId="6933" xr:uid="{00000000-0005-0000-0000-0000D91A0000}"/>
    <cellStyle name="40% - Énfasis4 13 2 2" xfId="6934" xr:uid="{00000000-0005-0000-0000-0000DA1A0000}"/>
    <cellStyle name="40% - Énfasis4 13 3" xfId="6935" xr:uid="{00000000-0005-0000-0000-0000DB1A0000}"/>
    <cellStyle name="40% - Énfasis4 13 3 2" xfId="6936" xr:uid="{00000000-0005-0000-0000-0000DC1A0000}"/>
    <cellStyle name="40% - Énfasis4 13 4" xfId="6937" xr:uid="{00000000-0005-0000-0000-0000DD1A0000}"/>
    <cellStyle name="40% - Énfasis4 13 4 2" xfId="6938" xr:uid="{00000000-0005-0000-0000-0000DE1A0000}"/>
    <cellStyle name="40% - Énfasis4 13 5" xfId="6939" xr:uid="{00000000-0005-0000-0000-0000DF1A0000}"/>
    <cellStyle name="40% - Énfasis4 13 6" xfId="6940" xr:uid="{00000000-0005-0000-0000-0000E01A0000}"/>
    <cellStyle name="40% - Énfasis4 13 7" xfId="6941" xr:uid="{00000000-0005-0000-0000-0000E11A0000}"/>
    <cellStyle name="40% - Énfasis4 13 8" xfId="6942" xr:uid="{00000000-0005-0000-0000-0000E21A0000}"/>
    <cellStyle name="40% - Énfasis4 13 9" xfId="6943" xr:uid="{00000000-0005-0000-0000-0000E31A0000}"/>
    <cellStyle name="40% - Énfasis4 14 10" xfId="6944" xr:uid="{00000000-0005-0000-0000-0000E41A0000}"/>
    <cellStyle name="40% - Énfasis4 14 11" xfId="6945" xr:uid="{00000000-0005-0000-0000-0000E51A0000}"/>
    <cellStyle name="40% - Énfasis4 14 12" xfId="6946" xr:uid="{00000000-0005-0000-0000-0000E61A0000}"/>
    <cellStyle name="40% - Énfasis4 14 13" xfId="6947" xr:uid="{00000000-0005-0000-0000-0000E71A0000}"/>
    <cellStyle name="40% - Énfasis4 14 14" xfId="6948" xr:uid="{00000000-0005-0000-0000-0000E81A0000}"/>
    <cellStyle name="40% - Énfasis4 14 15" xfId="6949" xr:uid="{00000000-0005-0000-0000-0000E91A0000}"/>
    <cellStyle name="40% - Énfasis4 14 16" xfId="6950" xr:uid="{00000000-0005-0000-0000-0000EA1A0000}"/>
    <cellStyle name="40% - Énfasis4 14 17" xfId="6951" xr:uid="{00000000-0005-0000-0000-0000EB1A0000}"/>
    <cellStyle name="40% - Énfasis4 14 18" xfId="6952" xr:uid="{00000000-0005-0000-0000-0000EC1A0000}"/>
    <cellStyle name="40% - Énfasis4 14 19" xfId="6953" xr:uid="{00000000-0005-0000-0000-0000ED1A0000}"/>
    <cellStyle name="40% - Énfasis4 14 2" xfId="6954" xr:uid="{00000000-0005-0000-0000-0000EE1A0000}"/>
    <cellStyle name="40% - Énfasis4 14 2 2" xfId="6955" xr:uid="{00000000-0005-0000-0000-0000EF1A0000}"/>
    <cellStyle name="40% - Énfasis4 14 3" xfId="6956" xr:uid="{00000000-0005-0000-0000-0000F01A0000}"/>
    <cellStyle name="40% - Énfasis4 14 3 2" xfId="6957" xr:uid="{00000000-0005-0000-0000-0000F11A0000}"/>
    <cellStyle name="40% - Énfasis4 14 4" xfId="6958" xr:uid="{00000000-0005-0000-0000-0000F21A0000}"/>
    <cellStyle name="40% - Énfasis4 14 4 2" xfId="6959" xr:uid="{00000000-0005-0000-0000-0000F31A0000}"/>
    <cellStyle name="40% - Énfasis4 14 5" xfId="6960" xr:uid="{00000000-0005-0000-0000-0000F41A0000}"/>
    <cellStyle name="40% - Énfasis4 14 6" xfId="6961" xr:uid="{00000000-0005-0000-0000-0000F51A0000}"/>
    <cellStyle name="40% - Énfasis4 14 7" xfId="6962" xr:uid="{00000000-0005-0000-0000-0000F61A0000}"/>
    <cellStyle name="40% - Énfasis4 14 8" xfId="6963" xr:uid="{00000000-0005-0000-0000-0000F71A0000}"/>
    <cellStyle name="40% - Énfasis4 14 9" xfId="6964" xr:uid="{00000000-0005-0000-0000-0000F81A0000}"/>
    <cellStyle name="40% - Énfasis4 15 10" xfId="6965" xr:uid="{00000000-0005-0000-0000-0000F91A0000}"/>
    <cellStyle name="40% - Énfasis4 15 11" xfId="6966" xr:uid="{00000000-0005-0000-0000-0000FA1A0000}"/>
    <cellStyle name="40% - Énfasis4 15 12" xfId="6967" xr:uid="{00000000-0005-0000-0000-0000FB1A0000}"/>
    <cellStyle name="40% - Énfasis4 15 13" xfId="6968" xr:uid="{00000000-0005-0000-0000-0000FC1A0000}"/>
    <cellStyle name="40% - Énfasis4 15 14" xfId="6969" xr:uid="{00000000-0005-0000-0000-0000FD1A0000}"/>
    <cellStyle name="40% - Énfasis4 15 15" xfId="6970" xr:uid="{00000000-0005-0000-0000-0000FE1A0000}"/>
    <cellStyle name="40% - Énfasis4 15 16" xfId="6971" xr:uid="{00000000-0005-0000-0000-0000FF1A0000}"/>
    <cellStyle name="40% - Énfasis4 15 17" xfId="6972" xr:uid="{00000000-0005-0000-0000-0000001B0000}"/>
    <cellStyle name="40% - Énfasis4 15 18" xfId="6973" xr:uid="{00000000-0005-0000-0000-0000011B0000}"/>
    <cellStyle name="40% - Énfasis4 15 19" xfId="6974" xr:uid="{00000000-0005-0000-0000-0000021B0000}"/>
    <cellStyle name="40% - Énfasis4 15 2" xfId="6975" xr:uid="{00000000-0005-0000-0000-0000031B0000}"/>
    <cellStyle name="40% - Énfasis4 15 2 2" xfId="6976" xr:uid="{00000000-0005-0000-0000-0000041B0000}"/>
    <cellStyle name="40% - Énfasis4 15 3" xfId="6977" xr:uid="{00000000-0005-0000-0000-0000051B0000}"/>
    <cellStyle name="40% - Énfasis4 15 3 2" xfId="6978" xr:uid="{00000000-0005-0000-0000-0000061B0000}"/>
    <cellStyle name="40% - Énfasis4 15 4" xfId="6979" xr:uid="{00000000-0005-0000-0000-0000071B0000}"/>
    <cellStyle name="40% - Énfasis4 15 4 2" xfId="6980" xr:uid="{00000000-0005-0000-0000-0000081B0000}"/>
    <cellStyle name="40% - Énfasis4 15 5" xfId="6981" xr:uid="{00000000-0005-0000-0000-0000091B0000}"/>
    <cellStyle name="40% - Énfasis4 15 6" xfId="6982" xr:uid="{00000000-0005-0000-0000-00000A1B0000}"/>
    <cellStyle name="40% - Énfasis4 15 7" xfId="6983" xr:uid="{00000000-0005-0000-0000-00000B1B0000}"/>
    <cellStyle name="40% - Énfasis4 15 8" xfId="6984" xr:uid="{00000000-0005-0000-0000-00000C1B0000}"/>
    <cellStyle name="40% - Énfasis4 15 9" xfId="6985" xr:uid="{00000000-0005-0000-0000-00000D1B0000}"/>
    <cellStyle name="40% - Énfasis4 16 10" xfId="6986" xr:uid="{00000000-0005-0000-0000-00000E1B0000}"/>
    <cellStyle name="40% - Énfasis4 16 11" xfId="6987" xr:uid="{00000000-0005-0000-0000-00000F1B0000}"/>
    <cellStyle name="40% - Énfasis4 16 12" xfId="6988" xr:uid="{00000000-0005-0000-0000-0000101B0000}"/>
    <cellStyle name="40% - Énfasis4 16 13" xfId="6989" xr:uid="{00000000-0005-0000-0000-0000111B0000}"/>
    <cellStyle name="40% - Énfasis4 16 14" xfId="6990" xr:uid="{00000000-0005-0000-0000-0000121B0000}"/>
    <cellStyle name="40% - Énfasis4 16 15" xfId="6991" xr:uid="{00000000-0005-0000-0000-0000131B0000}"/>
    <cellStyle name="40% - Énfasis4 16 16" xfId="6992" xr:uid="{00000000-0005-0000-0000-0000141B0000}"/>
    <cellStyle name="40% - Énfasis4 16 17" xfId="6993" xr:uid="{00000000-0005-0000-0000-0000151B0000}"/>
    <cellStyle name="40% - Énfasis4 16 18" xfId="6994" xr:uid="{00000000-0005-0000-0000-0000161B0000}"/>
    <cellStyle name="40% - Énfasis4 16 19" xfId="6995" xr:uid="{00000000-0005-0000-0000-0000171B0000}"/>
    <cellStyle name="40% - Énfasis4 16 2" xfId="6996" xr:uid="{00000000-0005-0000-0000-0000181B0000}"/>
    <cellStyle name="40% - Énfasis4 16 2 2" xfId="6997" xr:uid="{00000000-0005-0000-0000-0000191B0000}"/>
    <cellStyle name="40% - Énfasis4 16 3" xfId="6998" xr:uid="{00000000-0005-0000-0000-00001A1B0000}"/>
    <cellStyle name="40% - Énfasis4 16 3 2" xfId="6999" xr:uid="{00000000-0005-0000-0000-00001B1B0000}"/>
    <cellStyle name="40% - Énfasis4 16 4" xfId="7000" xr:uid="{00000000-0005-0000-0000-00001C1B0000}"/>
    <cellStyle name="40% - Énfasis4 16 4 2" xfId="7001" xr:uid="{00000000-0005-0000-0000-00001D1B0000}"/>
    <cellStyle name="40% - Énfasis4 16 5" xfId="7002" xr:uid="{00000000-0005-0000-0000-00001E1B0000}"/>
    <cellStyle name="40% - Énfasis4 16 6" xfId="7003" xr:uid="{00000000-0005-0000-0000-00001F1B0000}"/>
    <cellStyle name="40% - Énfasis4 16 7" xfId="7004" xr:uid="{00000000-0005-0000-0000-0000201B0000}"/>
    <cellStyle name="40% - Énfasis4 16 8" xfId="7005" xr:uid="{00000000-0005-0000-0000-0000211B0000}"/>
    <cellStyle name="40% - Énfasis4 16 9" xfId="7006" xr:uid="{00000000-0005-0000-0000-0000221B0000}"/>
    <cellStyle name="40% - Énfasis4 17 10" xfId="7007" xr:uid="{00000000-0005-0000-0000-0000231B0000}"/>
    <cellStyle name="40% - Énfasis4 17 11" xfId="7008" xr:uid="{00000000-0005-0000-0000-0000241B0000}"/>
    <cellStyle name="40% - Énfasis4 17 12" xfId="7009" xr:uid="{00000000-0005-0000-0000-0000251B0000}"/>
    <cellStyle name="40% - Énfasis4 17 13" xfId="7010" xr:uid="{00000000-0005-0000-0000-0000261B0000}"/>
    <cellStyle name="40% - Énfasis4 17 14" xfId="7011" xr:uid="{00000000-0005-0000-0000-0000271B0000}"/>
    <cellStyle name="40% - Énfasis4 17 15" xfId="7012" xr:uid="{00000000-0005-0000-0000-0000281B0000}"/>
    <cellStyle name="40% - Énfasis4 17 16" xfId="7013" xr:uid="{00000000-0005-0000-0000-0000291B0000}"/>
    <cellStyle name="40% - Énfasis4 17 17" xfId="7014" xr:uid="{00000000-0005-0000-0000-00002A1B0000}"/>
    <cellStyle name="40% - Énfasis4 17 18" xfId="7015" xr:uid="{00000000-0005-0000-0000-00002B1B0000}"/>
    <cellStyle name="40% - Énfasis4 17 19" xfId="7016" xr:uid="{00000000-0005-0000-0000-00002C1B0000}"/>
    <cellStyle name="40% - Énfasis4 17 2" xfId="7017" xr:uid="{00000000-0005-0000-0000-00002D1B0000}"/>
    <cellStyle name="40% - Énfasis4 17 2 2" xfId="7018" xr:uid="{00000000-0005-0000-0000-00002E1B0000}"/>
    <cellStyle name="40% - Énfasis4 17 3" xfId="7019" xr:uid="{00000000-0005-0000-0000-00002F1B0000}"/>
    <cellStyle name="40% - Énfasis4 17 3 2" xfId="7020" xr:uid="{00000000-0005-0000-0000-0000301B0000}"/>
    <cellStyle name="40% - Énfasis4 17 4" xfId="7021" xr:uid="{00000000-0005-0000-0000-0000311B0000}"/>
    <cellStyle name="40% - Énfasis4 17 4 2" xfId="7022" xr:uid="{00000000-0005-0000-0000-0000321B0000}"/>
    <cellStyle name="40% - Énfasis4 17 5" xfId="7023" xr:uid="{00000000-0005-0000-0000-0000331B0000}"/>
    <cellStyle name="40% - Énfasis4 17 6" xfId="7024" xr:uid="{00000000-0005-0000-0000-0000341B0000}"/>
    <cellStyle name="40% - Énfasis4 17 7" xfId="7025" xr:uid="{00000000-0005-0000-0000-0000351B0000}"/>
    <cellStyle name="40% - Énfasis4 17 8" xfId="7026" xr:uid="{00000000-0005-0000-0000-0000361B0000}"/>
    <cellStyle name="40% - Énfasis4 17 9" xfId="7027" xr:uid="{00000000-0005-0000-0000-0000371B0000}"/>
    <cellStyle name="40% - Énfasis4 18 10" xfId="7028" xr:uid="{00000000-0005-0000-0000-0000381B0000}"/>
    <cellStyle name="40% - Énfasis4 18 11" xfId="7029" xr:uid="{00000000-0005-0000-0000-0000391B0000}"/>
    <cellStyle name="40% - Énfasis4 18 12" xfId="7030" xr:uid="{00000000-0005-0000-0000-00003A1B0000}"/>
    <cellStyle name="40% - Énfasis4 18 13" xfId="7031" xr:uid="{00000000-0005-0000-0000-00003B1B0000}"/>
    <cellStyle name="40% - Énfasis4 18 14" xfId="7032" xr:uid="{00000000-0005-0000-0000-00003C1B0000}"/>
    <cellStyle name="40% - Énfasis4 18 15" xfId="7033" xr:uid="{00000000-0005-0000-0000-00003D1B0000}"/>
    <cellStyle name="40% - Énfasis4 18 16" xfId="7034" xr:uid="{00000000-0005-0000-0000-00003E1B0000}"/>
    <cellStyle name="40% - Énfasis4 18 17" xfId="7035" xr:uid="{00000000-0005-0000-0000-00003F1B0000}"/>
    <cellStyle name="40% - Énfasis4 18 18" xfId="7036" xr:uid="{00000000-0005-0000-0000-0000401B0000}"/>
    <cellStyle name="40% - Énfasis4 18 19" xfId="7037" xr:uid="{00000000-0005-0000-0000-0000411B0000}"/>
    <cellStyle name="40% - Énfasis4 18 2" xfId="7038" xr:uid="{00000000-0005-0000-0000-0000421B0000}"/>
    <cellStyle name="40% - Énfasis4 18 2 2" xfId="7039" xr:uid="{00000000-0005-0000-0000-0000431B0000}"/>
    <cellStyle name="40% - Énfasis4 18 3" xfId="7040" xr:uid="{00000000-0005-0000-0000-0000441B0000}"/>
    <cellStyle name="40% - Énfasis4 18 3 2" xfId="7041" xr:uid="{00000000-0005-0000-0000-0000451B0000}"/>
    <cellStyle name="40% - Énfasis4 18 4" xfId="7042" xr:uid="{00000000-0005-0000-0000-0000461B0000}"/>
    <cellStyle name="40% - Énfasis4 18 4 2" xfId="7043" xr:uid="{00000000-0005-0000-0000-0000471B0000}"/>
    <cellStyle name="40% - Énfasis4 18 5" xfId="7044" xr:uid="{00000000-0005-0000-0000-0000481B0000}"/>
    <cellStyle name="40% - Énfasis4 18 6" xfId="7045" xr:uid="{00000000-0005-0000-0000-0000491B0000}"/>
    <cellStyle name="40% - Énfasis4 18 7" xfId="7046" xr:uid="{00000000-0005-0000-0000-00004A1B0000}"/>
    <cellStyle name="40% - Énfasis4 18 8" xfId="7047" xr:uid="{00000000-0005-0000-0000-00004B1B0000}"/>
    <cellStyle name="40% - Énfasis4 18 9" xfId="7048" xr:uid="{00000000-0005-0000-0000-00004C1B0000}"/>
    <cellStyle name="40% - Énfasis4 19 10" xfId="7049" xr:uid="{00000000-0005-0000-0000-00004D1B0000}"/>
    <cellStyle name="40% - Énfasis4 19 11" xfId="7050" xr:uid="{00000000-0005-0000-0000-00004E1B0000}"/>
    <cellStyle name="40% - Énfasis4 19 12" xfId="7051" xr:uid="{00000000-0005-0000-0000-00004F1B0000}"/>
    <cellStyle name="40% - Énfasis4 19 13" xfId="7052" xr:uid="{00000000-0005-0000-0000-0000501B0000}"/>
    <cellStyle name="40% - Énfasis4 19 14" xfId="7053" xr:uid="{00000000-0005-0000-0000-0000511B0000}"/>
    <cellStyle name="40% - Énfasis4 19 15" xfId="7054" xr:uid="{00000000-0005-0000-0000-0000521B0000}"/>
    <cellStyle name="40% - Énfasis4 19 16" xfId="7055" xr:uid="{00000000-0005-0000-0000-0000531B0000}"/>
    <cellStyle name="40% - Énfasis4 19 17" xfId="7056" xr:uid="{00000000-0005-0000-0000-0000541B0000}"/>
    <cellStyle name="40% - Énfasis4 19 18" xfId="7057" xr:uid="{00000000-0005-0000-0000-0000551B0000}"/>
    <cellStyle name="40% - Énfasis4 19 19" xfId="7058" xr:uid="{00000000-0005-0000-0000-0000561B0000}"/>
    <cellStyle name="40% - Énfasis4 19 2" xfId="7059" xr:uid="{00000000-0005-0000-0000-0000571B0000}"/>
    <cellStyle name="40% - Énfasis4 19 2 2" xfId="7060" xr:uid="{00000000-0005-0000-0000-0000581B0000}"/>
    <cellStyle name="40% - Énfasis4 19 3" xfId="7061" xr:uid="{00000000-0005-0000-0000-0000591B0000}"/>
    <cellStyle name="40% - Énfasis4 19 3 2" xfId="7062" xr:uid="{00000000-0005-0000-0000-00005A1B0000}"/>
    <cellStyle name="40% - Énfasis4 19 4" xfId="7063" xr:uid="{00000000-0005-0000-0000-00005B1B0000}"/>
    <cellStyle name="40% - Énfasis4 19 4 2" xfId="7064" xr:uid="{00000000-0005-0000-0000-00005C1B0000}"/>
    <cellStyle name="40% - Énfasis4 19 5" xfId="7065" xr:uid="{00000000-0005-0000-0000-00005D1B0000}"/>
    <cellStyle name="40% - Énfasis4 19 6" xfId="7066" xr:uid="{00000000-0005-0000-0000-00005E1B0000}"/>
    <cellStyle name="40% - Énfasis4 19 7" xfId="7067" xr:uid="{00000000-0005-0000-0000-00005F1B0000}"/>
    <cellStyle name="40% - Énfasis4 19 8" xfId="7068" xr:uid="{00000000-0005-0000-0000-0000601B0000}"/>
    <cellStyle name="40% - Énfasis4 19 9" xfId="7069" xr:uid="{00000000-0005-0000-0000-0000611B0000}"/>
    <cellStyle name="40% - Énfasis4 2 10" xfId="7070" xr:uid="{00000000-0005-0000-0000-0000621B0000}"/>
    <cellStyle name="40% - Énfasis4 2 11" xfId="7071" xr:uid="{00000000-0005-0000-0000-0000631B0000}"/>
    <cellStyle name="40% - Énfasis4 2 12" xfId="7072" xr:uid="{00000000-0005-0000-0000-0000641B0000}"/>
    <cellStyle name="40% - Énfasis4 2 13" xfId="7073" xr:uid="{00000000-0005-0000-0000-0000651B0000}"/>
    <cellStyle name="40% - Énfasis4 2 14" xfId="7074" xr:uid="{00000000-0005-0000-0000-0000661B0000}"/>
    <cellStyle name="40% - Énfasis4 2 15" xfId="7075" xr:uid="{00000000-0005-0000-0000-0000671B0000}"/>
    <cellStyle name="40% - Énfasis4 2 16" xfId="7076" xr:uid="{00000000-0005-0000-0000-0000681B0000}"/>
    <cellStyle name="40% - Énfasis4 2 17" xfId="7077" xr:uid="{00000000-0005-0000-0000-0000691B0000}"/>
    <cellStyle name="40% - Énfasis4 2 18" xfId="7078" xr:uid="{00000000-0005-0000-0000-00006A1B0000}"/>
    <cellStyle name="40% - Énfasis4 2 19" xfId="7079" xr:uid="{00000000-0005-0000-0000-00006B1B0000}"/>
    <cellStyle name="40% - Énfasis4 2 2" xfId="7080" xr:uid="{00000000-0005-0000-0000-00006C1B0000}"/>
    <cellStyle name="40% - Énfasis4 2 2 2" xfId="7081" xr:uid="{00000000-0005-0000-0000-00006D1B0000}"/>
    <cellStyle name="40% - Énfasis4 2 3" xfId="7082" xr:uid="{00000000-0005-0000-0000-00006E1B0000}"/>
    <cellStyle name="40% - Énfasis4 2 3 2" xfId="7083" xr:uid="{00000000-0005-0000-0000-00006F1B0000}"/>
    <cellStyle name="40% - Énfasis4 2 4" xfId="7084" xr:uid="{00000000-0005-0000-0000-0000701B0000}"/>
    <cellStyle name="40% - Énfasis4 2 4 2" xfId="7085" xr:uid="{00000000-0005-0000-0000-0000711B0000}"/>
    <cellStyle name="40% - Énfasis4 2 5" xfId="7086" xr:uid="{00000000-0005-0000-0000-0000721B0000}"/>
    <cellStyle name="40% - Énfasis4 2 6" xfId="7087" xr:uid="{00000000-0005-0000-0000-0000731B0000}"/>
    <cellStyle name="40% - Énfasis4 2 7" xfId="7088" xr:uid="{00000000-0005-0000-0000-0000741B0000}"/>
    <cellStyle name="40% - Énfasis4 2 8" xfId="7089" xr:uid="{00000000-0005-0000-0000-0000751B0000}"/>
    <cellStyle name="40% - Énfasis4 2 9" xfId="7090" xr:uid="{00000000-0005-0000-0000-0000761B0000}"/>
    <cellStyle name="40% - Énfasis4 20 10" xfId="7091" xr:uid="{00000000-0005-0000-0000-0000771B0000}"/>
    <cellStyle name="40% - Énfasis4 20 11" xfId="7092" xr:uid="{00000000-0005-0000-0000-0000781B0000}"/>
    <cellStyle name="40% - Énfasis4 20 12" xfId="7093" xr:uid="{00000000-0005-0000-0000-0000791B0000}"/>
    <cellStyle name="40% - Énfasis4 20 13" xfId="7094" xr:uid="{00000000-0005-0000-0000-00007A1B0000}"/>
    <cellStyle name="40% - Énfasis4 20 14" xfId="7095" xr:uid="{00000000-0005-0000-0000-00007B1B0000}"/>
    <cellStyle name="40% - Énfasis4 20 15" xfId="7096" xr:uid="{00000000-0005-0000-0000-00007C1B0000}"/>
    <cellStyle name="40% - Énfasis4 20 16" xfId="7097" xr:uid="{00000000-0005-0000-0000-00007D1B0000}"/>
    <cellStyle name="40% - Énfasis4 20 17" xfId="7098" xr:uid="{00000000-0005-0000-0000-00007E1B0000}"/>
    <cellStyle name="40% - Énfasis4 20 18" xfId="7099" xr:uid="{00000000-0005-0000-0000-00007F1B0000}"/>
    <cellStyle name="40% - Énfasis4 20 19" xfId="7100" xr:uid="{00000000-0005-0000-0000-0000801B0000}"/>
    <cellStyle name="40% - Énfasis4 20 2" xfId="7101" xr:uid="{00000000-0005-0000-0000-0000811B0000}"/>
    <cellStyle name="40% - Énfasis4 20 2 2" xfId="7102" xr:uid="{00000000-0005-0000-0000-0000821B0000}"/>
    <cellStyle name="40% - Énfasis4 20 3" xfId="7103" xr:uid="{00000000-0005-0000-0000-0000831B0000}"/>
    <cellStyle name="40% - Énfasis4 20 3 2" xfId="7104" xr:uid="{00000000-0005-0000-0000-0000841B0000}"/>
    <cellStyle name="40% - Énfasis4 20 4" xfId="7105" xr:uid="{00000000-0005-0000-0000-0000851B0000}"/>
    <cellStyle name="40% - Énfasis4 20 4 2" xfId="7106" xr:uid="{00000000-0005-0000-0000-0000861B0000}"/>
    <cellStyle name="40% - Énfasis4 20 5" xfId="7107" xr:uid="{00000000-0005-0000-0000-0000871B0000}"/>
    <cellStyle name="40% - Énfasis4 20 6" xfId="7108" xr:uid="{00000000-0005-0000-0000-0000881B0000}"/>
    <cellStyle name="40% - Énfasis4 20 7" xfId="7109" xr:uid="{00000000-0005-0000-0000-0000891B0000}"/>
    <cellStyle name="40% - Énfasis4 20 8" xfId="7110" xr:uid="{00000000-0005-0000-0000-00008A1B0000}"/>
    <cellStyle name="40% - Énfasis4 20 9" xfId="7111" xr:uid="{00000000-0005-0000-0000-00008B1B0000}"/>
    <cellStyle name="40% - Énfasis4 21 10" xfId="7112" xr:uid="{00000000-0005-0000-0000-00008C1B0000}"/>
    <cellStyle name="40% - Énfasis4 21 11" xfId="7113" xr:uid="{00000000-0005-0000-0000-00008D1B0000}"/>
    <cellStyle name="40% - Énfasis4 21 12" xfId="7114" xr:uid="{00000000-0005-0000-0000-00008E1B0000}"/>
    <cellStyle name="40% - Énfasis4 21 13" xfId="7115" xr:uid="{00000000-0005-0000-0000-00008F1B0000}"/>
    <cellStyle name="40% - Énfasis4 21 14" xfId="7116" xr:uid="{00000000-0005-0000-0000-0000901B0000}"/>
    <cellStyle name="40% - Énfasis4 21 15" xfId="7117" xr:uid="{00000000-0005-0000-0000-0000911B0000}"/>
    <cellStyle name="40% - Énfasis4 21 16" xfId="7118" xr:uid="{00000000-0005-0000-0000-0000921B0000}"/>
    <cellStyle name="40% - Énfasis4 21 17" xfId="7119" xr:uid="{00000000-0005-0000-0000-0000931B0000}"/>
    <cellStyle name="40% - Énfasis4 21 18" xfId="7120" xr:uid="{00000000-0005-0000-0000-0000941B0000}"/>
    <cellStyle name="40% - Énfasis4 21 19" xfId="7121" xr:uid="{00000000-0005-0000-0000-0000951B0000}"/>
    <cellStyle name="40% - Énfasis4 21 2" xfId="7122" xr:uid="{00000000-0005-0000-0000-0000961B0000}"/>
    <cellStyle name="40% - Énfasis4 21 2 2" xfId="7123" xr:uid="{00000000-0005-0000-0000-0000971B0000}"/>
    <cellStyle name="40% - Énfasis4 21 3" xfId="7124" xr:uid="{00000000-0005-0000-0000-0000981B0000}"/>
    <cellStyle name="40% - Énfasis4 21 3 2" xfId="7125" xr:uid="{00000000-0005-0000-0000-0000991B0000}"/>
    <cellStyle name="40% - Énfasis4 21 4" xfId="7126" xr:uid="{00000000-0005-0000-0000-00009A1B0000}"/>
    <cellStyle name="40% - Énfasis4 21 4 2" xfId="7127" xr:uid="{00000000-0005-0000-0000-00009B1B0000}"/>
    <cellStyle name="40% - Énfasis4 21 5" xfId="7128" xr:uid="{00000000-0005-0000-0000-00009C1B0000}"/>
    <cellStyle name="40% - Énfasis4 21 6" xfId="7129" xr:uid="{00000000-0005-0000-0000-00009D1B0000}"/>
    <cellStyle name="40% - Énfasis4 21 7" xfId="7130" xr:uid="{00000000-0005-0000-0000-00009E1B0000}"/>
    <cellStyle name="40% - Énfasis4 21 8" xfId="7131" xr:uid="{00000000-0005-0000-0000-00009F1B0000}"/>
    <cellStyle name="40% - Énfasis4 21 9" xfId="7132" xr:uid="{00000000-0005-0000-0000-0000A01B0000}"/>
    <cellStyle name="40% - Énfasis4 22 10" xfId="7133" xr:uid="{00000000-0005-0000-0000-0000A11B0000}"/>
    <cellStyle name="40% - Énfasis4 22 11" xfId="7134" xr:uid="{00000000-0005-0000-0000-0000A21B0000}"/>
    <cellStyle name="40% - Énfasis4 22 12" xfId="7135" xr:uid="{00000000-0005-0000-0000-0000A31B0000}"/>
    <cellStyle name="40% - Énfasis4 22 13" xfId="7136" xr:uid="{00000000-0005-0000-0000-0000A41B0000}"/>
    <cellStyle name="40% - Énfasis4 22 14" xfId="7137" xr:uid="{00000000-0005-0000-0000-0000A51B0000}"/>
    <cellStyle name="40% - Énfasis4 22 15" xfId="7138" xr:uid="{00000000-0005-0000-0000-0000A61B0000}"/>
    <cellStyle name="40% - Énfasis4 22 16" xfId="7139" xr:uid="{00000000-0005-0000-0000-0000A71B0000}"/>
    <cellStyle name="40% - Énfasis4 22 17" xfId="7140" xr:uid="{00000000-0005-0000-0000-0000A81B0000}"/>
    <cellStyle name="40% - Énfasis4 22 18" xfId="7141" xr:uid="{00000000-0005-0000-0000-0000A91B0000}"/>
    <cellStyle name="40% - Énfasis4 22 19" xfId="7142" xr:uid="{00000000-0005-0000-0000-0000AA1B0000}"/>
    <cellStyle name="40% - Énfasis4 22 2" xfId="7143" xr:uid="{00000000-0005-0000-0000-0000AB1B0000}"/>
    <cellStyle name="40% - Énfasis4 22 2 2" xfId="7144" xr:uid="{00000000-0005-0000-0000-0000AC1B0000}"/>
    <cellStyle name="40% - Énfasis4 22 3" xfId="7145" xr:uid="{00000000-0005-0000-0000-0000AD1B0000}"/>
    <cellStyle name="40% - Énfasis4 22 3 2" xfId="7146" xr:uid="{00000000-0005-0000-0000-0000AE1B0000}"/>
    <cellStyle name="40% - Énfasis4 22 4" xfId="7147" xr:uid="{00000000-0005-0000-0000-0000AF1B0000}"/>
    <cellStyle name="40% - Énfasis4 22 4 2" xfId="7148" xr:uid="{00000000-0005-0000-0000-0000B01B0000}"/>
    <cellStyle name="40% - Énfasis4 22 5" xfId="7149" xr:uid="{00000000-0005-0000-0000-0000B11B0000}"/>
    <cellStyle name="40% - Énfasis4 22 6" xfId="7150" xr:uid="{00000000-0005-0000-0000-0000B21B0000}"/>
    <cellStyle name="40% - Énfasis4 22 7" xfId="7151" xr:uid="{00000000-0005-0000-0000-0000B31B0000}"/>
    <cellStyle name="40% - Énfasis4 22 8" xfId="7152" xr:uid="{00000000-0005-0000-0000-0000B41B0000}"/>
    <cellStyle name="40% - Énfasis4 22 9" xfId="7153" xr:uid="{00000000-0005-0000-0000-0000B51B0000}"/>
    <cellStyle name="40% - Énfasis4 23 10" xfId="7154" xr:uid="{00000000-0005-0000-0000-0000B61B0000}"/>
    <cellStyle name="40% - Énfasis4 23 11" xfId="7155" xr:uid="{00000000-0005-0000-0000-0000B71B0000}"/>
    <cellStyle name="40% - Énfasis4 23 12" xfId="7156" xr:uid="{00000000-0005-0000-0000-0000B81B0000}"/>
    <cellStyle name="40% - Énfasis4 23 13" xfId="7157" xr:uid="{00000000-0005-0000-0000-0000B91B0000}"/>
    <cellStyle name="40% - Énfasis4 23 14" xfId="7158" xr:uid="{00000000-0005-0000-0000-0000BA1B0000}"/>
    <cellStyle name="40% - Énfasis4 23 15" xfId="7159" xr:uid="{00000000-0005-0000-0000-0000BB1B0000}"/>
    <cellStyle name="40% - Énfasis4 23 16" xfId="7160" xr:uid="{00000000-0005-0000-0000-0000BC1B0000}"/>
    <cellStyle name="40% - Énfasis4 23 17" xfId="7161" xr:uid="{00000000-0005-0000-0000-0000BD1B0000}"/>
    <cellStyle name="40% - Énfasis4 23 18" xfId="7162" xr:uid="{00000000-0005-0000-0000-0000BE1B0000}"/>
    <cellStyle name="40% - Énfasis4 23 19" xfId="7163" xr:uid="{00000000-0005-0000-0000-0000BF1B0000}"/>
    <cellStyle name="40% - Énfasis4 23 2" xfId="7164" xr:uid="{00000000-0005-0000-0000-0000C01B0000}"/>
    <cellStyle name="40% - Énfasis4 23 2 2" xfId="7165" xr:uid="{00000000-0005-0000-0000-0000C11B0000}"/>
    <cellStyle name="40% - Énfasis4 23 3" xfId="7166" xr:uid="{00000000-0005-0000-0000-0000C21B0000}"/>
    <cellStyle name="40% - Énfasis4 23 3 2" xfId="7167" xr:uid="{00000000-0005-0000-0000-0000C31B0000}"/>
    <cellStyle name="40% - Énfasis4 23 4" xfId="7168" xr:uid="{00000000-0005-0000-0000-0000C41B0000}"/>
    <cellStyle name="40% - Énfasis4 23 4 2" xfId="7169" xr:uid="{00000000-0005-0000-0000-0000C51B0000}"/>
    <cellStyle name="40% - Énfasis4 23 5" xfId="7170" xr:uid="{00000000-0005-0000-0000-0000C61B0000}"/>
    <cellStyle name="40% - Énfasis4 23 6" xfId="7171" xr:uid="{00000000-0005-0000-0000-0000C71B0000}"/>
    <cellStyle name="40% - Énfasis4 23 7" xfId="7172" xr:uid="{00000000-0005-0000-0000-0000C81B0000}"/>
    <cellStyle name="40% - Énfasis4 23 8" xfId="7173" xr:uid="{00000000-0005-0000-0000-0000C91B0000}"/>
    <cellStyle name="40% - Énfasis4 23 9" xfId="7174" xr:uid="{00000000-0005-0000-0000-0000CA1B0000}"/>
    <cellStyle name="40% - Énfasis4 24 10" xfId="7175" xr:uid="{00000000-0005-0000-0000-0000CB1B0000}"/>
    <cellStyle name="40% - Énfasis4 24 11" xfId="7176" xr:uid="{00000000-0005-0000-0000-0000CC1B0000}"/>
    <cellStyle name="40% - Énfasis4 24 12" xfId="7177" xr:uid="{00000000-0005-0000-0000-0000CD1B0000}"/>
    <cellStyle name="40% - Énfasis4 24 13" xfId="7178" xr:uid="{00000000-0005-0000-0000-0000CE1B0000}"/>
    <cellStyle name="40% - Énfasis4 24 14" xfId="7179" xr:uid="{00000000-0005-0000-0000-0000CF1B0000}"/>
    <cellStyle name="40% - Énfasis4 24 15" xfId="7180" xr:uid="{00000000-0005-0000-0000-0000D01B0000}"/>
    <cellStyle name="40% - Énfasis4 24 16" xfId="7181" xr:uid="{00000000-0005-0000-0000-0000D11B0000}"/>
    <cellStyle name="40% - Énfasis4 24 17" xfId="7182" xr:uid="{00000000-0005-0000-0000-0000D21B0000}"/>
    <cellStyle name="40% - Énfasis4 24 18" xfId="7183" xr:uid="{00000000-0005-0000-0000-0000D31B0000}"/>
    <cellStyle name="40% - Énfasis4 24 19" xfId="7184" xr:uid="{00000000-0005-0000-0000-0000D41B0000}"/>
    <cellStyle name="40% - Énfasis4 24 2" xfId="7185" xr:uid="{00000000-0005-0000-0000-0000D51B0000}"/>
    <cellStyle name="40% - Énfasis4 24 2 2" xfId="7186" xr:uid="{00000000-0005-0000-0000-0000D61B0000}"/>
    <cellStyle name="40% - Énfasis4 24 3" xfId="7187" xr:uid="{00000000-0005-0000-0000-0000D71B0000}"/>
    <cellStyle name="40% - Énfasis4 24 3 2" xfId="7188" xr:uid="{00000000-0005-0000-0000-0000D81B0000}"/>
    <cellStyle name="40% - Énfasis4 24 4" xfId="7189" xr:uid="{00000000-0005-0000-0000-0000D91B0000}"/>
    <cellStyle name="40% - Énfasis4 24 4 2" xfId="7190" xr:uid="{00000000-0005-0000-0000-0000DA1B0000}"/>
    <cellStyle name="40% - Énfasis4 24 5" xfId="7191" xr:uid="{00000000-0005-0000-0000-0000DB1B0000}"/>
    <cellStyle name="40% - Énfasis4 24 6" xfId="7192" xr:uid="{00000000-0005-0000-0000-0000DC1B0000}"/>
    <cellStyle name="40% - Énfasis4 24 7" xfId="7193" xr:uid="{00000000-0005-0000-0000-0000DD1B0000}"/>
    <cellStyle name="40% - Énfasis4 24 8" xfId="7194" xr:uid="{00000000-0005-0000-0000-0000DE1B0000}"/>
    <cellStyle name="40% - Énfasis4 24 9" xfId="7195" xr:uid="{00000000-0005-0000-0000-0000DF1B0000}"/>
    <cellStyle name="40% - Énfasis4 25 10" xfId="7196" xr:uid="{00000000-0005-0000-0000-0000E01B0000}"/>
    <cellStyle name="40% - Énfasis4 25 11" xfId="7197" xr:uid="{00000000-0005-0000-0000-0000E11B0000}"/>
    <cellStyle name="40% - Énfasis4 25 12" xfId="7198" xr:uid="{00000000-0005-0000-0000-0000E21B0000}"/>
    <cellStyle name="40% - Énfasis4 25 13" xfId="7199" xr:uid="{00000000-0005-0000-0000-0000E31B0000}"/>
    <cellStyle name="40% - Énfasis4 25 14" xfId="7200" xr:uid="{00000000-0005-0000-0000-0000E41B0000}"/>
    <cellStyle name="40% - Énfasis4 25 15" xfId="7201" xr:uid="{00000000-0005-0000-0000-0000E51B0000}"/>
    <cellStyle name="40% - Énfasis4 25 16" xfId="7202" xr:uid="{00000000-0005-0000-0000-0000E61B0000}"/>
    <cellStyle name="40% - Énfasis4 25 17" xfId="7203" xr:uid="{00000000-0005-0000-0000-0000E71B0000}"/>
    <cellStyle name="40% - Énfasis4 25 18" xfId="7204" xr:uid="{00000000-0005-0000-0000-0000E81B0000}"/>
    <cellStyle name="40% - Énfasis4 25 19" xfId="7205" xr:uid="{00000000-0005-0000-0000-0000E91B0000}"/>
    <cellStyle name="40% - Énfasis4 25 2" xfId="7206" xr:uid="{00000000-0005-0000-0000-0000EA1B0000}"/>
    <cellStyle name="40% - Énfasis4 25 2 2" xfId="7207" xr:uid="{00000000-0005-0000-0000-0000EB1B0000}"/>
    <cellStyle name="40% - Énfasis4 25 3" xfId="7208" xr:uid="{00000000-0005-0000-0000-0000EC1B0000}"/>
    <cellStyle name="40% - Énfasis4 25 3 2" xfId="7209" xr:uid="{00000000-0005-0000-0000-0000ED1B0000}"/>
    <cellStyle name="40% - Énfasis4 25 4" xfId="7210" xr:uid="{00000000-0005-0000-0000-0000EE1B0000}"/>
    <cellStyle name="40% - Énfasis4 25 4 2" xfId="7211" xr:uid="{00000000-0005-0000-0000-0000EF1B0000}"/>
    <cellStyle name="40% - Énfasis4 25 5" xfId="7212" xr:uid="{00000000-0005-0000-0000-0000F01B0000}"/>
    <cellStyle name="40% - Énfasis4 25 6" xfId="7213" xr:uid="{00000000-0005-0000-0000-0000F11B0000}"/>
    <cellStyle name="40% - Énfasis4 25 7" xfId="7214" xr:uid="{00000000-0005-0000-0000-0000F21B0000}"/>
    <cellStyle name="40% - Énfasis4 25 8" xfId="7215" xr:uid="{00000000-0005-0000-0000-0000F31B0000}"/>
    <cellStyle name="40% - Énfasis4 25 9" xfId="7216" xr:uid="{00000000-0005-0000-0000-0000F41B0000}"/>
    <cellStyle name="40% - Énfasis4 26 10" xfId="7217" xr:uid="{00000000-0005-0000-0000-0000F51B0000}"/>
    <cellStyle name="40% - Énfasis4 26 11" xfId="7218" xr:uid="{00000000-0005-0000-0000-0000F61B0000}"/>
    <cellStyle name="40% - Énfasis4 26 12" xfId="7219" xr:uid="{00000000-0005-0000-0000-0000F71B0000}"/>
    <cellStyle name="40% - Énfasis4 26 13" xfId="7220" xr:uid="{00000000-0005-0000-0000-0000F81B0000}"/>
    <cellStyle name="40% - Énfasis4 26 14" xfId="7221" xr:uid="{00000000-0005-0000-0000-0000F91B0000}"/>
    <cellStyle name="40% - Énfasis4 26 15" xfId="7222" xr:uid="{00000000-0005-0000-0000-0000FA1B0000}"/>
    <cellStyle name="40% - Énfasis4 26 16" xfId="7223" xr:uid="{00000000-0005-0000-0000-0000FB1B0000}"/>
    <cellStyle name="40% - Énfasis4 26 17" xfId="7224" xr:uid="{00000000-0005-0000-0000-0000FC1B0000}"/>
    <cellStyle name="40% - Énfasis4 26 18" xfId="7225" xr:uid="{00000000-0005-0000-0000-0000FD1B0000}"/>
    <cellStyle name="40% - Énfasis4 26 19" xfId="7226" xr:uid="{00000000-0005-0000-0000-0000FE1B0000}"/>
    <cellStyle name="40% - Énfasis4 26 2" xfId="7227" xr:uid="{00000000-0005-0000-0000-0000FF1B0000}"/>
    <cellStyle name="40% - Énfasis4 26 2 2" xfId="7228" xr:uid="{00000000-0005-0000-0000-0000001C0000}"/>
    <cellStyle name="40% - Énfasis4 26 3" xfId="7229" xr:uid="{00000000-0005-0000-0000-0000011C0000}"/>
    <cellStyle name="40% - Énfasis4 26 3 2" xfId="7230" xr:uid="{00000000-0005-0000-0000-0000021C0000}"/>
    <cellStyle name="40% - Énfasis4 26 4" xfId="7231" xr:uid="{00000000-0005-0000-0000-0000031C0000}"/>
    <cellStyle name="40% - Énfasis4 26 4 2" xfId="7232" xr:uid="{00000000-0005-0000-0000-0000041C0000}"/>
    <cellStyle name="40% - Énfasis4 26 5" xfId="7233" xr:uid="{00000000-0005-0000-0000-0000051C0000}"/>
    <cellStyle name="40% - Énfasis4 26 6" xfId="7234" xr:uid="{00000000-0005-0000-0000-0000061C0000}"/>
    <cellStyle name="40% - Énfasis4 26 7" xfId="7235" xr:uid="{00000000-0005-0000-0000-0000071C0000}"/>
    <cellStyle name="40% - Énfasis4 26 8" xfId="7236" xr:uid="{00000000-0005-0000-0000-0000081C0000}"/>
    <cellStyle name="40% - Énfasis4 26 9" xfId="7237" xr:uid="{00000000-0005-0000-0000-0000091C0000}"/>
    <cellStyle name="40% - Énfasis4 27 10" xfId="7238" xr:uid="{00000000-0005-0000-0000-00000A1C0000}"/>
    <cellStyle name="40% - Énfasis4 27 11" xfId="7239" xr:uid="{00000000-0005-0000-0000-00000B1C0000}"/>
    <cellStyle name="40% - Énfasis4 27 12" xfId="7240" xr:uid="{00000000-0005-0000-0000-00000C1C0000}"/>
    <cellStyle name="40% - Énfasis4 27 13" xfId="7241" xr:uid="{00000000-0005-0000-0000-00000D1C0000}"/>
    <cellStyle name="40% - Énfasis4 27 14" xfId="7242" xr:uid="{00000000-0005-0000-0000-00000E1C0000}"/>
    <cellStyle name="40% - Énfasis4 27 15" xfId="7243" xr:uid="{00000000-0005-0000-0000-00000F1C0000}"/>
    <cellStyle name="40% - Énfasis4 27 16" xfId="7244" xr:uid="{00000000-0005-0000-0000-0000101C0000}"/>
    <cellStyle name="40% - Énfasis4 27 17" xfId="7245" xr:uid="{00000000-0005-0000-0000-0000111C0000}"/>
    <cellStyle name="40% - Énfasis4 27 18" xfId="7246" xr:uid="{00000000-0005-0000-0000-0000121C0000}"/>
    <cellStyle name="40% - Énfasis4 27 19" xfId="7247" xr:uid="{00000000-0005-0000-0000-0000131C0000}"/>
    <cellStyle name="40% - Énfasis4 27 2" xfId="7248" xr:uid="{00000000-0005-0000-0000-0000141C0000}"/>
    <cellStyle name="40% - Énfasis4 27 2 2" xfId="7249" xr:uid="{00000000-0005-0000-0000-0000151C0000}"/>
    <cellStyle name="40% - Énfasis4 27 3" xfId="7250" xr:uid="{00000000-0005-0000-0000-0000161C0000}"/>
    <cellStyle name="40% - Énfasis4 27 3 2" xfId="7251" xr:uid="{00000000-0005-0000-0000-0000171C0000}"/>
    <cellStyle name="40% - Énfasis4 27 4" xfId="7252" xr:uid="{00000000-0005-0000-0000-0000181C0000}"/>
    <cellStyle name="40% - Énfasis4 27 4 2" xfId="7253" xr:uid="{00000000-0005-0000-0000-0000191C0000}"/>
    <cellStyle name="40% - Énfasis4 27 5" xfId="7254" xr:uid="{00000000-0005-0000-0000-00001A1C0000}"/>
    <cellStyle name="40% - Énfasis4 27 6" xfId="7255" xr:uid="{00000000-0005-0000-0000-00001B1C0000}"/>
    <cellStyle name="40% - Énfasis4 27 7" xfId="7256" xr:uid="{00000000-0005-0000-0000-00001C1C0000}"/>
    <cellStyle name="40% - Énfasis4 27 8" xfId="7257" xr:uid="{00000000-0005-0000-0000-00001D1C0000}"/>
    <cellStyle name="40% - Énfasis4 27 9" xfId="7258" xr:uid="{00000000-0005-0000-0000-00001E1C0000}"/>
    <cellStyle name="40% - Énfasis4 28 10" xfId="7259" xr:uid="{00000000-0005-0000-0000-00001F1C0000}"/>
    <cellStyle name="40% - Énfasis4 28 11" xfId="7260" xr:uid="{00000000-0005-0000-0000-0000201C0000}"/>
    <cellStyle name="40% - Énfasis4 28 12" xfId="7261" xr:uid="{00000000-0005-0000-0000-0000211C0000}"/>
    <cellStyle name="40% - Énfasis4 28 13" xfId="7262" xr:uid="{00000000-0005-0000-0000-0000221C0000}"/>
    <cellStyle name="40% - Énfasis4 28 14" xfId="7263" xr:uid="{00000000-0005-0000-0000-0000231C0000}"/>
    <cellStyle name="40% - Énfasis4 28 15" xfId="7264" xr:uid="{00000000-0005-0000-0000-0000241C0000}"/>
    <cellStyle name="40% - Énfasis4 28 16" xfId="7265" xr:uid="{00000000-0005-0000-0000-0000251C0000}"/>
    <cellStyle name="40% - Énfasis4 28 17" xfId="7266" xr:uid="{00000000-0005-0000-0000-0000261C0000}"/>
    <cellStyle name="40% - Énfasis4 28 18" xfId="7267" xr:uid="{00000000-0005-0000-0000-0000271C0000}"/>
    <cellStyle name="40% - Énfasis4 28 19" xfId="7268" xr:uid="{00000000-0005-0000-0000-0000281C0000}"/>
    <cellStyle name="40% - Énfasis4 28 2" xfId="7269" xr:uid="{00000000-0005-0000-0000-0000291C0000}"/>
    <cellStyle name="40% - Énfasis4 28 2 2" xfId="7270" xr:uid="{00000000-0005-0000-0000-00002A1C0000}"/>
    <cellStyle name="40% - Énfasis4 28 3" xfId="7271" xr:uid="{00000000-0005-0000-0000-00002B1C0000}"/>
    <cellStyle name="40% - Énfasis4 28 3 2" xfId="7272" xr:uid="{00000000-0005-0000-0000-00002C1C0000}"/>
    <cellStyle name="40% - Énfasis4 28 4" xfId="7273" xr:uid="{00000000-0005-0000-0000-00002D1C0000}"/>
    <cellStyle name="40% - Énfasis4 28 4 2" xfId="7274" xr:uid="{00000000-0005-0000-0000-00002E1C0000}"/>
    <cellStyle name="40% - Énfasis4 28 5" xfId="7275" xr:uid="{00000000-0005-0000-0000-00002F1C0000}"/>
    <cellStyle name="40% - Énfasis4 28 6" xfId="7276" xr:uid="{00000000-0005-0000-0000-0000301C0000}"/>
    <cellStyle name="40% - Énfasis4 28 7" xfId="7277" xr:uid="{00000000-0005-0000-0000-0000311C0000}"/>
    <cellStyle name="40% - Énfasis4 28 8" xfId="7278" xr:uid="{00000000-0005-0000-0000-0000321C0000}"/>
    <cellStyle name="40% - Énfasis4 28 9" xfId="7279" xr:uid="{00000000-0005-0000-0000-0000331C0000}"/>
    <cellStyle name="40% - Énfasis4 29 10" xfId="7280" xr:uid="{00000000-0005-0000-0000-0000341C0000}"/>
    <cellStyle name="40% - Énfasis4 29 11" xfId="7281" xr:uid="{00000000-0005-0000-0000-0000351C0000}"/>
    <cellStyle name="40% - Énfasis4 29 12" xfId="7282" xr:uid="{00000000-0005-0000-0000-0000361C0000}"/>
    <cellStyle name="40% - Énfasis4 29 13" xfId="7283" xr:uid="{00000000-0005-0000-0000-0000371C0000}"/>
    <cellStyle name="40% - Énfasis4 29 14" xfId="7284" xr:uid="{00000000-0005-0000-0000-0000381C0000}"/>
    <cellStyle name="40% - Énfasis4 29 15" xfId="7285" xr:uid="{00000000-0005-0000-0000-0000391C0000}"/>
    <cellStyle name="40% - Énfasis4 29 16" xfId="7286" xr:uid="{00000000-0005-0000-0000-00003A1C0000}"/>
    <cellStyle name="40% - Énfasis4 29 17" xfId="7287" xr:uid="{00000000-0005-0000-0000-00003B1C0000}"/>
    <cellStyle name="40% - Énfasis4 29 18" xfId="7288" xr:uid="{00000000-0005-0000-0000-00003C1C0000}"/>
    <cellStyle name="40% - Énfasis4 29 19" xfId="7289" xr:uid="{00000000-0005-0000-0000-00003D1C0000}"/>
    <cellStyle name="40% - Énfasis4 29 2" xfId="7290" xr:uid="{00000000-0005-0000-0000-00003E1C0000}"/>
    <cellStyle name="40% - Énfasis4 29 2 2" xfId="7291" xr:uid="{00000000-0005-0000-0000-00003F1C0000}"/>
    <cellStyle name="40% - Énfasis4 29 3" xfId="7292" xr:uid="{00000000-0005-0000-0000-0000401C0000}"/>
    <cellStyle name="40% - Énfasis4 29 3 2" xfId="7293" xr:uid="{00000000-0005-0000-0000-0000411C0000}"/>
    <cellStyle name="40% - Énfasis4 29 4" xfId="7294" xr:uid="{00000000-0005-0000-0000-0000421C0000}"/>
    <cellStyle name="40% - Énfasis4 29 4 2" xfId="7295" xr:uid="{00000000-0005-0000-0000-0000431C0000}"/>
    <cellStyle name="40% - Énfasis4 29 5" xfId="7296" xr:uid="{00000000-0005-0000-0000-0000441C0000}"/>
    <cellStyle name="40% - Énfasis4 29 6" xfId="7297" xr:uid="{00000000-0005-0000-0000-0000451C0000}"/>
    <cellStyle name="40% - Énfasis4 29 7" xfId="7298" xr:uid="{00000000-0005-0000-0000-0000461C0000}"/>
    <cellStyle name="40% - Énfasis4 29 8" xfId="7299" xr:uid="{00000000-0005-0000-0000-0000471C0000}"/>
    <cellStyle name="40% - Énfasis4 29 9" xfId="7300" xr:uid="{00000000-0005-0000-0000-0000481C0000}"/>
    <cellStyle name="40% - Énfasis4 3 10" xfId="7301" xr:uid="{00000000-0005-0000-0000-0000491C0000}"/>
    <cellStyle name="40% - Énfasis4 3 11" xfId="7302" xr:uid="{00000000-0005-0000-0000-00004A1C0000}"/>
    <cellStyle name="40% - Énfasis4 3 12" xfId="7303" xr:uid="{00000000-0005-0000-0000-00004B1C0000}"/>
    <cellStyle name="40% - Énfasis4 3 13" xfId="7304" xr:uid="{00000000-0005-0000-0000-00004C1C0000}"/>
    <cellStyle name="40% - Énfasis4 3 14" xfId="7305" xr:uid="{00000000-0005-0000-0000-00004D1C0000}"/>
    <cellStyle name="40% - Énfasis4 3 15" xfId="7306" xr:uid="{00000000-0005-0000-0000-00004E1C0000}"/>
    <cellStyle name="40% - Énfasis4 3 16" xfId="7307" xr:uid="{00000000-0005-0000-0000-00004F1C0000}"/>
    <cellStyle name="40% - Énfasis4 3 17" xfId="7308" xr:uid="{00000000-0005-0000-0000-0000501C0000}"/>
    <cellStyle name="40% - Énfasis4 3 18" xfId="7309" xr:uid="{00000000-0005-0000-0000-0000511C0000}"/>
    <cellStyle name="40% - Énfasis4 3 19" xfId="7310" xr:uid="{00000000-0005-0000-0000-0000521C0000}"/>
    <cellStyle name="40% - Énfasis4 3 2" xfId="7311" xr:uid="{00000000-0005-0000-0000-0000531C0000}"/>
    <cellStyle name="40% - Énfasis4 3 2 2" xfId="7312" xr:uid="{00000000-0005-0000-0000-0000541C0000}"/>
    <cellStyle name="40% - Énfasis4 3 3" xfId="7313" xr:uid="{00000000-0005-0000-0000-0000551C0000}"/>
    <cellStyle name="40% - Énfasis4 3 3 2" xfId="7314" xr:uid="{00000000-0005-0000-0000-0000561C0000}"/>
    <cellStyle name="40% - Énfasis4 3 4" xfId="7315" xr:uid="{00000000-0005-0000-0000-0000571C0000}"/>
    <cellStyle name="40% - Énfasis4 3 4 2" xfId="7316" xr:uid="{00000000-0005-0000-0000-0000581C0000}"/>
    <cellStyle name="40% - Énfasis4 3 5" xfId="7317" xr:uid="{00000000-0005-0000-0000-0000591C0000}"/>
    <cellStyle name="40% - Énfasis4 3 6" xfId="7318" xr:uid="{00000000-0005-0000-0000-00005A1C0000}"/>
    <cellStyle name="40% - Énfasis4 3 7" xfId="7319" xr:uid="{00000000-0005-0000-0000-00005B1C0000}"/>
    <cellStyle name="40% - Énfasis4 3 8" xfId="7320" xr:uid="{00000000-0005-0000-0000-00005C1C0000}"/>
    <cellStyle name="40% - Énfasis4 3 9" xfId="7321" xr:uid="{00000000-0005-0000-0000-00005D1C0000}"/>
    <cellStyle name="40% - Énfasis4 30 10" xfId="7322" xr:uid="{00000000-0005-0000-0000-00005E1C0000}"/>
    <cellStyle name="40% - Énfasis4 30 11" xfId="7323" xr:uid="{00000000-0005-0000-0000-00005F1C0000}"/>
    <cellStyle name="40% - Énfasis4 30 12" xfId="7324" xr:uid="{00000000-0005-0000-0000-0000601C0000}"/>
    <cellStyle name="40% - Énfasis4 30 13" xfId="7325" xr:uid="{00000000-0005-0000-0000-0000611C0000}"/>
    <cellStyle name="40% - Énfasis4 30 14" xfId="7326" xr:uid="{00000000-0005-0000-0000-0000621C0000}"/>
    <cellStyle name="40% - Énfasis4 30 15" xfId="7327" xr:uid="{00000000-0005-0000-0000-0000631C0000}"/>
    <cellStyle name="40% - Énfasis4 30 16" xfId="7328" xr:uid="{00000000-0005-0000-0000-0000641C0000}"/>
    <cellStyle name="40% - Énfasis4 30 17" xfId="7329" xr:uid="{00000000-0005-0000-0000-0000651C0000}"/>
    <cellStyle name="40% - Énfasis4 30 18" xfId="7330" xr:uid="{00000000-0005-0000-0000-0000661C0000}"/>
    <cellStyle name="40% - Énfasis4 30 19" xfId="7331" xr:uid="{00000000-0005-0000-0000-0000671C0000}"/>
    <cellStyle name="40% - Énfasis4 30 2" xfId="7332" xr:uid="{00000000-0005-0000-0000-0000681C0000}"/>
    <cellStyle name="40% - Énfasis4 30 2 2" xfId="7333" xr:uid="{00000000-0005-0000-0000-0000691C0000}"/>
    <cellStyle name="40% - Énfasis4 30 3" xfId="7334" xr:uid="{00000000-0005-0000-0000-00006A1C0000}"/>
    <cellStyle name="40% - Énfasis4 30 3 2" xfId="7335" xr:uid="{00000000-0005-0000-0000-00006B1C0000}"/>
    <cellStyle name="40% - Énfasis4 30 4" xfId="7336" xr:uid="{00000000-0005-0000-0000-00006C1C0000}"/>
    <cellStyle name="40% - Énfasis4 30 4 2" xfId="7337" xr:uid="{00000000-0005-0000-0000-00006D1C0000}"/>
    <cellStyle name="40% - Énfasis4 30 5" xfId="7338" xr:uid="{00000000-0005-0000-0000-00006E1C0000}"/>
    <cellStyle name="40% - Énfasis4 30 6" xfId="7339" xr:uid="{00000000-0005-0000-0000-00006F1C0000}"/>
    <cellStyle name="40% - Énfasis4 30 7" xfId="7340" xr:uid="{00000000-0005-0000-0000-0000701C0000}"/>
    <cellStyle name="40% - Énfasis4 30 8" xfId="7341" xr:uid="{00000000-0005-0000-0000-0000711C0000}"/>
    <cellStyle name="40% - Énfasis4 30 9" xfId="7342" xr:uid="{00000000-0005-0000-0000-0000721C0000}"/>
    <cellStyle name="40% - Énfasis4 31 10" xfId="7343" xr:uid="{00000000-0005-0000-0000-0000731C0000}"/>
    <cellStyle name="40% - Énfasis4 31 11" xfId="7344" xr:uid="{00000000-0005-0000-0000-0000741C0000}"/>
    <cellStyle name="40% - Énfasis4 31 12" xfId="7345" xr:uid="{00000000-0005-0000-0000-0000751C0000}"/>
    <cellStyle name="40% - Énfasis4 31 13" xfId="7346" xr:uid="{00000000-0005-0000-0000-0000761C0000}"/>
    <cellStyle name="40% - Énfasis4 31 14" xfId="7347" xr:uid="{00000000-0005-0000-0000-0000771C0000}"/>
    <cellStyle name="40% - Énfasis4 31 15" xfId="7348" xr:uid="{00000000-0005-0000-0000-0000781C0000}"/>
    <cellStyle name="40% - Énfasis4 31 16" xfId="7349" xr:uid="{00000000-0005-0000-0000-0000791C0000}"/>
    <cellStyle name="40% - Énfasis4 31 17" xfId="7350" xr:uid="{00000000-0005-0000-0000-00007A1C0000}"/>
    <cellStyle name="40% - Énfasis4 31 18" xfId="7351" xr:uid="{00000000-0005-0000-0000-00007B1C0000}"/>
    <cellStyle name="40% - Énfasis4 31 19" xfId="7352" xr:uid="{00000000-0005-0000-0000-00007C1C0000}"/>
    <cellStyle name="40% - Énfasis4 31 2" xfId="7353" xr:uid="{00000000-0005-0000-0000-00007D1C0000}"/>
    <cellStyle name="40% - Énfasis4 31 2 2" xfId="7354" xr:uid="{00000000-0005-0000-0000-00007E1C0000}"/>
    <cellStyle name="40% - Énfasis4 31 3" xfId="7355" xr:uid="{00000000-0005-0000-0000-00007F1C0000}"/>
    <cellStyle name="40% - Énfasis4 31 3 2" xfId="7356" xr:uid="{00000000-0005-0000-0000-0000801C0000}"/>
    <cellStyle name="40% - Énfasis4 31 4" xfId="7357" xr:uid="{00000000-0005-0000-0000-0000811C0000}"/>
    <cellStyle name="40% - Énfasis4 31 4 2" xfId="7358" xr:uid="{00000000-0005-0000-0000-0000821C0000}"/>
    <cellStyle name="40% - Énfasis4 31 5" xfId="7359" xr:uid="{00000000-0005-0000-0000-0000831C0000}"/>
    <cellStyle name="40% - Énfasis4 31 6" xfId="7360" xr:uid="{00000000-0005-0000-0000-0000841C0000}"/>
    <cellStyle name="40% - Énfasis4 31 7" xfId="7361" xr:uid="{00000000-0005-0000-0000-0000851C0000}"/>
    <cellStyle name="40% - Énfasis4 31 8" xfId="7362" xr:uid="{00000000-0005-0000-0000-0000861C0000}"/>
    <cellStyle name="40% - Énfasis4 31 9" xfId="7363" xr:uid="{00000000-0005-0000-0000-0000871C0000}"/>
    <cellStyle name="40% - Énfasis4 32 10" xfId="7364" xr:uid="{00000000-0005-0000-0000-0000881C0000}"/>
    <cellStyle name="40% - Énfasis4 32 11" xfId="7365" xr:uid="{00000000-0005-0000-0000-0000891C0000}"/>
    <cellStyle name="40% - Énfasis4 32 12" xfId="7366" xr:uid="{00000000-0005-0000-0000-00008A1C0000}"/>
    <cellStyle name="40% - Énfasis4 32 13" xfId="7367" xr:uid="{00000000-0005-0000-0000-00008B1C0000}"/>
    <cellStyle name="40% - Énfasis4 32 14" xfId="7368" xr:uid="{00000000-0005-0000-0000-00008C1C0000}"/>
    <cellStyle name="40% - Énfasis4 32 15" xfId="7369" xr:uid="{00000000-0005-0000-0000-00008D1C0000}"/>
    <cellStyle name="40% - Énfasis4 32 16" xfId="7370" xr:uid="{00000000-0005-0000-0000-00008E1C0000}"/>
    <cellStyle name="40% - Énfasis4 32 17" xfId="7371" xr:uid="{00000000-0005-0000-0000-00008F1C0000}"/>
    <cellStyle name="40% - Énfasis4 32 18" xfId="7372" xr:uid="{00000000-0005-0000-0000-0000901C0000}"/>
    <cellStyle name="40% - Énfasis4 32 19" xfId="7373" xr:uid="{00000000-0005-0000-0000-0000911C0000}"/>
    <cellStyle name="40% - Énfasis4 32 2" xfId="7374" xr:uid="{00000000-0005-0000-0000-0000921C0000}"/>
    <cellStyle name="40% - Énfasis4 32 2 2" xfId="7375" xr:uid="{00000000-0005-0000-0000-0000931C0000}"/>
    <cellStyle name="40% - Énfasis4 32 3" xfId="7376" xr:uid="{00000000-0005-0000-0000-0000941C0000}"/>
    <cellStyle name="40% - Énfasis4 32 3 2" xfId="7377" xr:uid="{00000000-0005-0000-0000-0000951C0000}"/>
    <cellStyle name="40% - Énfasis4 32 4" xfId="7378" xr:uid="{00000000-0005-0000-0000-0000961C0000}"/>
    <cellStyle name="40% - Énfasis4 32 4 2" xfId="7379" xr:uid="{00000000-0005-0000-0000-0000971C0000}"/>
    <cellStyle name="40% - Énfasis4 32 5" xfId="7380" xr:uid="{00000000-0005-0000-0000-0000981C0000}"/>
    <cellStyle name="40% - Énfasis4 32 6" xfId="7381" xr:uid="{00000000-0005-0000-0000-0000991C0000}"/>
    <cellStyle name="40% - Énfasis4 32 7" xfId="7382" xr:uid="{00000000-0005-0000-0000-00009A1C0000}"/>
    <cellStyle name="40% - Énfasis4 32 8" xfId="7383" xr:uid="{00000000-0005-0000-0000-00009B1C0000}"/>
    <cellStyle name="40% - Énfasis4 32 9" xfId="7384" xr:uid="{00000000-0005-0000-0000-00009C1C0000}"/>
    <cellStyle name="40% - Énfasis4 33 10" xfId="7385" xr:uid="{00000000-0005-0000-0000-00009D1C0000}"/>
    <cellStyle name="40% - Énfasis4 33 11" xfId="7386" xr:uid="{00000000-0005-0000-0000-00009E1C0000}"/>
    <cellStyle name="40% - Énfasis4 33 12" xfId="7387" xr:uid="{00000000-0005-0000-0000-00009F1C0000}"/>
    <cellStyle name="40% - Énfasis4 33 13" xfId="7388" xr:uid="{00000000-0005-0000-0000-0000A01C0000}"/>
    <cellStyle name="40% - Énfasis4 33 14" xfId="7389" xr:uid="{00000000-0005-0000-0000-0000A11C0000}"/>
    <cellStyle name="40% - Énfasis4 33 15" xfId="7390" xr:uid="{00000000-0005-0000-0000-0000A21C0000}"/>
    <cellStyle name="40% - Énfasis4 33 16" xfId="7391" xr:uid="{00000000-0005-0000-0000-0000A31C0000}"/>
    <cellStyle name="40% - Énfasis4 33 17" xfId="7392" xr:uid="{00000000-0005-0000-0000-0000A41C0000}"/>
    <cellStyle name="40% - Énfasis4 33 18" xfId="7393" xr:uid="{00000000-0005-0000-0000-0000A51C0000}"/>
    <cellStyle name="40% - Énfasis4 33 19" xfId="7394" xr:uid="{00000000-0005-0000-0000-0000A61C0000}"/>
    <cellStyle name="40% - Énfasis4 33 2" xfId="7395" xr:uid="{00000000-0005-0000-0000-0000A71C0000}"/>
    <cellStyle name="40% - Énfasis4 33 2 2" xfId="7396" xr:uid="{00000000-0005-0000-0000-0000A81C0000}"/>
    <cellStyle name="40% - Énfasis4 33 3" xfId="7397" xr:uid="{00000000-0005-0000-0000-0000A91C0000}"/>
    <cellStyle name="40% - Énfasis4 33 3 2" xfId="7398" xr:uid="{00000000-0005-0000-0000-0000AA1C0000}"/>
    <cellStyle name="40% - Énfasis4 33 4" xfId="7399" xr:uid="{00000000-0005-0000-0000-0000AB1C0000}"/>
    <cellStyle name="40% - Énfasis4 33 4 2" xfId="7400" xr:uid="{00000000-0005-0000-0000-0000AC1C0000}"/>
    <cellStyle name="40% - Énfasis4 33 5" xfId="7401" xr:uid="{00000000-0005-0000-0000-0000AD1C0000}"/>
    <cellStyle name="40% - Énfasis4 33 6" xfId="7402" xr:uid="{00000000-0005-0000-0000-0000AE1C0000}"/>
    <cellStyle name="40% - Énfasis4 33 7" xfId="7403" xr:uid="{00000000-0005-0000-0000-0000AF1C0000}"/>
    <cellStyle name="40% - Énfasis4 33 8" xfId="7404" xr:uid="{00000000-0005-0000-0000-0000B01C0000}"/>
    <cellStyle name="40% - Énfasis4 33 9" xfId="7405" xr:uid="{00000000-0005-0000-0000-0000B11C0000}"/>
    <cellStyle name="40% - Énfasis4 34 10" xfId="7406" xr:uid="{00000000-0005-0000-0000-0000B21C0000}"/>
    <cellStyle name="40% - Énfasis4 34 11" xfId="7407" xr:uid="{00000000-0005-0000-0000-0000B31C0000}"/>
    <cellStyle name="40% - Énfasis4 34 12" xfId="7408" xr:uid="{00000000-0005-0000-0000-0000B41C0000}"/>
    <cellStyle name="40% - Énfasis4 34 13" xfId="7409" xr:uid="{00000000-0005-0000-0000-0000B51C0000}"/>
    <cellStyle name="40% - Énfasis4 34 14" xfId="7410" xr:uid="{00000000-0005-0000-0000-0000B61C0000}"/>
    <cellStyle name="40% - Énfasis4 34 15" xfId="7411" xr:uid="{00000000-0005-0000-0000-0000B71C0000}"/>
    <cellStyle name="40% - Énfasis4 34 16" xfId="7412" xr:uid="{00000000-0005-0000-0000-0000B81C0000}"/>
    <cellStyle name="40% - Énfasis4 34 17" xfId="7413" xr:uid="{00000000-0005-0000-0000-0000B91C0000}"/>
    <cellStyle name="40% - Énfasis4 34 18" xfId="7414" xr:uid="{00000000-0005-0000-0000-0000BA1C0000}"/>
    <cellStyle name="40% - Énfasis4 34 19" xfId="7415" xr:uid="{00000000-0005-0000-0000-0000BB1C0000}"/>
    <cellStyle name="40% - Énfasis4 34 2" xfId="7416" xr:uid="{00000000-0005-0000-0000-0000BC1C0000}"/>
    <cellStyle name="40% - Énfasis4 34 2 2" xfId="7417" xr:uid="{00000000-0005-0000-0000-0000BD1C0000}"/>
    <cellStyle name="40% - Énfasis4 34 3" xfId="7418" xr:uid="{00000000-0005-0000-0000-0000BE1C0000}"/>
    <cellStyle name="40% - Énfasis4 34 3 2" xfId="7419" xr:uid="{00000000-0005-0000-0000-0000BF1C0000}"/>
    <cellStyle name="40% - Énfasis4 34 4" xfId="7420" xr:uid="{00000000-0005-0000-0000-0000C01C0000}"/>
    <cellStyle name="40% - Énfasis4 34 4 2" xfId="7421" xr:uid="{00000000-0005-0000-0000-0000C11C0000}"/>
    <cellStyle name="40% - Énfasis4 34 5" xfId="7422" xr:uid="{00000000-0005-0000-0000-0000C21C0000}"/>
    <cellStyle name="40% - Énfasis4 34 6" xfId="7423" xr:uid="{00000000-0005-0000-0000-0000C31C0000}"/>
    <cellStyle name="40% - Énfasis4 34 7" xfId="7424" xr:uid="{00000000-0005-0000-0000-0000C41C0000}"/>
    <cellStyle name="40% - Énfasis4 34 8" xfId="7425" xr:uid="{00000000-0005-0000-0000-0000C51C0000}"/>
    <cellStyle name="40% - Énfasis4 34 9" xfId="7426" xr:uid="{00000000-0005-0000-0000-0000C61C0000}"/>
    <cellStyle name="40% - Énfasis4 35 10" xfId="7427" xr:uid="{00000000-0005-0000-0000-0000C71C0000}"/>
    <cellStyle name="40% - Énfasis4 35 11" xfId="7428" xr:uid="{00000000-0005-0000-0000-0000C81C0000}"/>
    <cellStyle name="40% - Énfasis4 35 12" xfId="7429" xr:uid="{00000000-0005-0000-0000-0000C91C0000}"/>
    <cellStyle name="40% - Énfasis4 35 13" xfId="7430" xr:uid="{00000000-0005-0000-0000-0000CA1C0000}"/>
    <cellStyle name="40% - Énfasis4 35 14" xfId="7431" xr:uid="{00000000-0005-0000-0000-0000CB1C0000}"/>
    <cellStyle name="40% - Énfasis4 35 15" xfId="7432" xr:uid="{00000000-0005-0000-0000-0000CC1C0000}"/>
    <cellStyle name="40% - Énfasis4 35 16" xfId="7433" xr:uid="{00000000-0005-0000-0000-0000CD1C0000}"/>
    <cellStyle name="40% - Énfasis4 35 17" xfId="7434" xr:uid="{00000000-0005-0000-0000-0000CE1C0000}"/>
    <cellStyle name="40% - Énfasis4 35 18" xfId="7435" xr:uid="{00000000-0005-0000-0000-0000CF1C0000}"/>
    <cellStyle name="40% - Énfasis4 35 19" xfId="7436" xr:uid="{00000000-0005-0000-0000-0000D01C0000}"/>
    <cellStyle name="40% - Énfasis4 35 2" xfId="7437" xr:uid="{00000000-0005-0000-0000-0000D11C0000}"/>
    <cellStyle name="40% - Énfasis4 35 2 2" xfId="7438" xr:uid="{00000000-0005-0000-0000-0000D21C0000}"/>
    <cellStyle name="40% - Énfasis4 35 3" xfId="7439" xr:uid="{00000000-0005-0000-0000-0000D31C0000}"/>
    <cellStyle name="40% - Énfasis4 35 3 2" xfId="7440" xr:uid="{00000000-0005-0000-0000-0000D41C0000}"/>
    <cellStyle name="40% - Énfasis4 35 4" xfId="7441" xr:uid="{00000000-0005-0000-0000-0000D51C0000}"/>
    <cellStyle name="40% - Énfasis4 35 4 2" xfId="7442" xr:uid="{00000000-0005-0000-0000-0000D61C0000}"/>
    <cellStyle name="40% - Énfasis4 35 5" xfId="7443" xr:uid="{00000000-0005-0000-0000-0000D71C0000}"/>
    <cellStyle name="40% - Énfasis4 35 6" xfId="7444" xr:uid="{00000000-0005-0000-0000-0000D81C0000}"/>
    <cellStyle name="40% - Énfasis4 35 7" xfId="7445" xr:uid="{00000000-0005-0000-0000-0000D91C0000}"/>
    <cellStyle name="40% - Énfasis4 35 8" xfId="7446" xr:uid="{00000000-0005-0000-0000-0000DA1C0000}"/>
    <cellStyle name="40% - Énfasis4 35 9" xfId="7447" xr:uid="{00000000-0005-0000-0000-0000DB1C0000}"/>
    <cellStyle name="40% - Énfasis4 36 10" xfId="7448" xr:uid="{00000000-0005-0000-0000-0000DC1C0000}"/>
    <cellStyle name="40% - Énfasis4 36 11" xfId="7449" xr:uid="{00000000-0005-0000-0000-0000DD1C0000}"/>
    <cellStyle name="40% - Énfasis4 36 12" xfId="7450" xr:uid="{00000000-0005-0000-0000-0000DE1C0000}"/>
    <cellStyle name="40% - Énfasis4 36 13" xfId="7451" xr:uid="{00000000-0005-0000-0000-0000DF1C0000}"/>
    <cellStyle name="40% - Énfasis4 36 14" xfId="7452" xr:uid="{00000000-0005-0000-0000-0000E01C0000}"/>
    <cellStyle name="40% - Énfasis4 36 15" xfId="7453" xr:uid="{00000000-0005-0000-0000-0000E11C0000}"/>
    <cellStyle name="40% - Énfasis4 36 16" xfId="7454" xr:uid="{00000000-0005-0000-0000-0000E21C0000}"/>
    <cellStyle name="40% - Énfasis4 36 17" xfId="7455" xr:uid="{00000000-0005-0000-0000-0000E31C0000}"/>
    <cellStyle name="40% - Énfasis4 36 18" xfId="7456" xr:uid="{00000000-0005-0000-0000-0000E41C0000}"/>
    <cellStyle name="40% - Énfasis4 36 19" xfId="7457" xr:uid="{00000000-0005-0000-0000-0000E51C0000}"/>
    <cellStyle name="40% - Énfasis4 36 2" xfId="7458" xr:uid="{00000000-0005-0000-0000-0000E61C0000}"/>
    <cellStyle name="40% - Énfasis4 36 2 2" xfId="7459" xr:uid="{00000000-0005-0000-0000-0000E71C0000}"/>
    <cellStyle name="40% - Énfasis4 36 3" xfId="7460" xr:uid="{00000000-0005-0000-0000-0000E81C0000}"/>
    <cellStyle name="40% - Énfasis4 36 3 2" xfId="7461" xr:uid="{00000000-0005-0000-0000-0000E91C0000}"/>
    <cellStyle name="40% - Énfasis4 36 4" xfId="7462" xr:uid="{00000000-0005-0000-0000-0000EA1C0000}"/>
    <cellStyle name="40% - Énfasis4 36 4 2" xfId="7463" xr:uid="{00000000-0005-0000-0000-0000EB1C0000}"/>
    <cellStyle name="40% - Énfasis4 36 5" xfId="7464" xr:uid="{00000000-0005-0000-0000-0000EC1C0000}"/>
    <cellStyle name="40% - Énfasis4 36 6" xfId="7465" xr:uid="{00000000-0005-0000-0000-0000ED1C0000}"/>
    <cellStyle name="40% - Énfasis4 36 7" xfId="7466" xr:uid="{00000000-0005-0000-0000-0000EE1C0000}"/>
    <cellStyle name="40% - Énfasis4 36 8" xfId="7467" xr:uid="{00000000-0005-0000-0000-0000EF1C0000}"/>
    <cellStyle name="40% - Énfasis4 36 9" xfId="7468" xr:uid="{00000000-0005-0000-0000-0000F01C0000}"/>
    <cellStyle name="40% - Énfasis4 37 10" xfId="7469" xr:uid="{00000000-0005-0000-0000-0000F11C0000}"/>
    <cellStyle name="40% - Énfasis4 37 11" xfId="7470" xr:uid="{00000000-0005-0000-0000-0000F21C0000}"/>
    <cellStyle name="40% - Énfasis4 37 12" xfId="7471" xr:uid="{00000000-0005-0000-0000-0000F31C0000}"/>
    <cellStyle name="40% - Énfasis4 37 13" xfId="7472" xr:uid="{00000000-0005-0000-0000-0000F41C0000}"/>
    <cellStyle name="40% - Énfasis4 37 14" xfId="7473" xr:uid="{00000000-0005-0000-0000-0000F51C0000}"/>
    <cellStyle name="40% - Énfasis4 37 15" xfId="7474" xr:uid="{00000000-0005-0000-0000-0000F61C0000}"/>
    <cellStyle name="40% - Énfasis4 37 16" xfId="7475" xr:uid="{00000000-0005-0000-0000-0000F71C0000}"/>
    <cellStyle name="40% - Énfasis4 37 17" xfId="7476" xr:uid="{00000000-0005-0000-0000-0000F81C0000}"/>
    <cellStyle name="40% - Énfasis4 37 18" xfId="7477" xr:uid="{00000000-0005-0000-0000-0000F91C0000}"/>
    <cellStyle name="40% - Énfasis4 37 19" xfId="7478" xr:uid="{00000000-0005-0000-0000-0000FA1C0000}"/>
    <cellStyle name="40% - Énfasis4 37 2" xfId="7479" xr:uid="{00000000-0005-0000-0000-0000FB1C0000}"/>
    <cellStyle name="40% - Énfasis4 37 2 2" xfId="7480" xr:uid="{00000000-0005-0000-0000-0000FC1C0000}"/>
    <cellStyle name="40% - Énfasis4 37 3" xfId="7481" xr:uid="{00000000-0005-0000-0000-0000FD1C0000}"/>
    <cellStyle name="40% - Énfasis4 37 3 2" xfId="7482" xr:uid="{00000000-0005-0000-0000-0000FE1C0000}"/>
    <cellStyle name="40% - Énfasis4 37 4" xfId="7483" xr:uid="{00000000-0005-0000-0000-0000FF1C0000}"/>
    <cellStyle name="40% - Énfasis4 37 4 2" xfId="7484" xr:uid="{00000000-0005-0000-0000-0000001D0000}"/>
    <cellStyle name="40% - Énfasis4 37 5" xfId="7485" xr:uid="{00000000-0005-0000-0000-0000011D0000}"/>
    <cellStyle name="40% - Énfasis4 37 6" xfId="7486" xr:uid="{00000000-0005-0000-0000-0000021D0000}"/>
    <cellStyle name="40% - Énfasis4 37 7" xfId="7487" xr:uid="{00000000-0005-0000-0000-0000031D0000}"/>
    <cellStyle name="40% - Énfasis4 37 8" xfId="7488" xr:uid="{00000000-0005-0000-0000-0000041D0000}"/>
    <cellStyle name="40% - Énfasis4 37 9" xfId="7489" xr:uid="{00000000-0005-0000-0000-0000051D0000}"/>
    <cellStyle name="40% - Énfasis4 38 10" xfId="7490" xr:uid="{00000000-0005-0000-0000-0000061D0000}"/>
    <cellStyle name="40% - Énfasis4 38 11" xfId="7491" xr:uid="{00000000-0005-0000-0000-0000071D0000}"/>
    <cellStyle name="40% - Énfasis4 38 12" xfId="7492" xr:uid="{00000000-0005-0000-0000-0000081D0000}"/>
    <cellStyle name="40% - Énfasis4 38 13" xfId="7493" xr:uid="{00000000-0005-0000-0000-0000091D0000}"/>
    <cellStyle name="40% - Énfasis4 38 14" xfId="7494" xr:uid="{00000000-0005-0000-0000-00000A1D0000}"/>
    <cellStyle name="40% - Énfasis4 38 15" xfId="7495" xr:uid="{00000000-0005-0000-0000-00000B1D0000}"/>
    <cellStyle name="40% - Énfasis4 38 16" xfId="7496" xr:uid="{00000000-0005-0000-0000-00000C1D0000}"/>
    <cellStyle name="40% - Énfasis4 38 17" xfId="7497" xr:uid="{00000000-0005-0000-0000-00000D1D0000}"/>
    <cellStyle name="40% - Énfasis4 38 18" xfId="7498" xr:uid="{00000000-0005-0000-0000-00000E1D0000}"/>
    <cellStyle name="40% - Énfasis4 38 19" xfId="7499" xr:uid="{00000000-0005-0000-0000-00000F1D0000}"/>
    <cellStyle name="40% - Énfasis4 38 2" xfId="7500" xr:uid="{00000000-0005-0000-0000-0000101D0000}"/>
    <cellStyle name="40% - Énfasis4 38 2 2" xfId="7501" xr:uid="{00000000-0005-0000-0000-0000111D0000}"/>
    <cellStyle name="40% - Énfasis4 38 3" xfId="7502" xr:uid="{00000000-0005-0000-0000-0000121D0000}"/>
    <cellStyle name="40% - Énfasis4 38 3 2" xfId="7503" xr:uid="{00000000-0005-0000-0000-0000131D0000}"/>
    <cellStyle name="40% - Énfasis4 38 4" xfId="7504" xr:uid="{00000000-0005-0000-0000-0000141D0000}"/>
    <cellStyle name="40% - Énfasis4 38 4 2" xfId="7505" xr:uid="{00000000-0005-0000-0000-0000151D0000}"/>
    <cellStyle name="40% - Énfasis4 38 5" xfId="7506" xr:uid="{00000000-0005-0000-0000-0000161D0000}"/>
    <cellStyle name="40% - Énfasis4 38 6" xfId="7507" xr:uid="{00000000-0005-0000-0000-0000171D0000}"/>
    <cellStyle name="40% - Énfasis4 38 7" xfId="7508" xr:uid="{00000000-0005-0000-0000-0000181D0000}"/>
    <cellStyle name="40% - Énfasis4 38 8" xfId="7509" xr:uid="{00000000-0005-0000-0000-0000191D0000}"/>
    <cellStyle name="40% - Énfasis4 38 9" xfId="7510" xr:uid="{00000000-0005-0000-0000-00001A1D0000}"/>
    <cellStyle name="40% - Énfasis4 39" xfId="7511" xr:uid="{00000000-0005-0000-0000-00001B1D0000}"/>
    <cellStyle name="40% - Énfasis4 39 10" xfId="7512" xr:uid="{00000000-0005-0000-0000-00001C1D0000}"/>
    <cellStyle name="40% - Énfasis4 39 11" xfId="7513" xr:uid="{00000000-0005-0000-0000-00001D1D0000}"/>
    <cellStyle name="40% - Énfasis4 39 12" xfId="7514" xr:uid="{00000000-0005-0000-0000-00001E1D0000}"/>
    <cellStyle name="40% - Énfasis4 39 13" xfId="7515" xr:uid="{00000000-0005-0000-0000-00001F1D0000}"/>
    <cellStyle name="40% - Énfasis4 39 14" xfId="7516" xr:uid="{00000000-0005-0000-0000-0000201D0000}"/>
    <cellStyle name="40% - Énfasis4 39 15" xfId="7517" xr:uid="{00000000-0005-0000-0000-0000211D0000}"/>
    <cellStyle name="40% - Énfasis4 39 16" xfId="7518" xr:uid="{00000000-0005-0000-0000-0000221D0000}"/>
    <cellStyle name="40% - Énfasis4 39 2" xfId="7519" xr:uid="{00000000-0005-0000-0000-0000231D0000}"/>
    <cellStyle name="40% - Énfasis4 39 3" xfId="7520" xr:uid="{00000000-0005-0000-0000-0000241D0000}"/>
    <cellStyle name="40% - Énfasis4 39 4" xfId="7521" xr:uid="{00000000-0005-0000-0000-0000251D0000}"/>
    <cellStyle name="40% - Énfasis4 39 5" xfId="7522" xr:uid="{00000000-0005-0000-0000-0000261D0000}"/>
    <cellStyle name="40% - Énfasis4 39 6" xfId="7523" xr:uid="{00000000-0005-0000-0000-0000271D0000}"/>
    <cellStyle name="40% - Énfasis4 39 7" xfId="7524" xr:uid="{00000000-0005-0000-0000-0000281D0000}"/>
    <cellStyle name="40% - Énfasis4 39 8" xfId="7525" xr:uid="{00000000-0005-0000-0000-0000291D0000}"/>
    <cellStyle name="40% - Énfasis4 39 9" xfId="7526" xr:uid="{00000000-0005-0000-0000-00002A1D0000}"/>
    <cellStyle name="40% - Énfasis4 4 10" xfId="7527" xr:uid="{00000000-0005-0000-0000-00002B1D0000}"/>
    <cellStyle name="40% - Énfasis4 4 11" xfId="7528" xr:uid="{00000000-0005-0000-0000-00002C1D0000}"/>
    <cellStyle name="40% - Énfasis4 4 12" xfId="7529" xr:uid="{00000000-0005-0000-0000-00002D1D0000}"/>
    <cellStyle name="40% - Énfasis4 4 13" xfId="7530" xr:uid="{00000000-0005-0000-0000-00002E1D0000}"/>
    <cellStyle name="40% - Énfasis4 4 14" xfId="7531" xr:uid="{00000000-0005-0000-0000-00002F1D0000}"/>
    <cellStyle name="40% - Énfasis4 4 15" xfId="7532" xr:uid="{00000000-0005-0000-0000-0000301D0000}"/>
    <cellStyle name="40% - Énfasis4 4 16" xfId="7533" xr:uid="{00000000-0005-0000-0000-0000311D0000}"/>
    <cellStyle name="40% - Énfasis4 4 17" xfId="7534" xr:uid="{00000000-0005-0000-0000-0000321D0000}"/>
    <cellStyle name="40% - Énfasis4 4 18" xfId="7535" xr:uid="{00000000-0005-0000-0000-0000331D0000}"/>
    <cellStyle name="40% - Énfasis4 4 19" xfId="7536" xr:uid="{00000000-0005-0000-0000-0000341D0000}"/>
    <cellStyle name="40% - Énfasis4 4 2" xfId="7537" xr:uid="{00000000-0005-0000-0000-0000351D0000}"/>
    <cellStyle name="40% - Énfasis4 4 2 2" xfId="7538" xr:uid="{00000000-0005-0000-0000-0000361D0000}"/>
    <cellStyle name="40% - Énfasis4 4 3" xfId="7539" xr:uid="{00000000-0005-0000-0000-0000371D0000}"/>
    <cellStyle name="40% - Énfasis4 4 3 2" xfId="7540" xr:uid="{00000000-0005-0000-0000-0000381D0000}"/>
    <cellStyle name="40% - Énfasis4 4 4" xfId="7541" xr:uid="{00000000-0005-0000-0000-0000391D0000}"/>
    <cellStyle name="40% - Énfasis4 4 4 2" xfId="7542" xr:uid="{00000000-0005-0000-0000-00003A1D0000}"/>
    <cellStyle name="40% - Énfasis4 4 5" xfId="7543" xr:uid="{00000000-0005-0000-0000-00003B1D0000}"/>
    <cellStyle name="40% - Énfasis4 4 6" xfId="7544" xr:uid="{00000000-0005-0000-0000-00003C1D0000}"/>
    <cellStyle name="40% - Énfasis4 4 7" xfId="7545" xr:uid="{00000000-0005-0000-0000-00003D1D0000}"/>
    <cellStyle name="40% - Énfasis4 4 8" xfId="7546" xr:uid="{00000000-0005-0000-0000-00003E1D0000}"/>
    <cellStyle name="40% - Énfasis4 4 9" xfId="7547" xr:uid="{00000000-0005-0000-0000-00003F1D0000}"/>
    <cellStyle name="40% - Énfasis4 40" xfId="7548" xr:uid="{00000000-0005-0000-0000-0000401D0000}"/>
    <cellStyle name="40% - Énfasis4 40 10" xfId="7549" xr:uid="{00000000-0005-0000-0000-0000411D0000}"/>
    <cellStyle name="40% - Énfasis4 40 11" xfId="7550" xr:uid="{00000000-0005-0000-0000-0000421D0000}"/>
    <cellStyle name="40% - Énfasis4 40 12" xfId="7551" xr:uid="{00000000-0005-0000-0000-0000431D0000}"/>
    <cellStyle name="40% - Énfasis4 40 13" xfId="7552" xr:uid="{00000000-0005-0000-0000-0000441D0000}"/>
    <cellStyle name="40% - Énfasis4 40 14" xfId="7553" xr:uid="{00000000-0005-0000-0000-0000451D0000}"/>
    <cellStyle name="40% - Énfasis4 40 15" xfId="7554" xr:uid="{00000000-0005-0000-0000-0000461D0000}"/>
    <cellStyle name="40% - Énfasis4 40 16" xfId="7555" xr:uid="{00000000-0005-0000-0000-0000471D0000}"/>
    <cellStyle name="40% - Énfasis4 40 2" xfId="7556" xr:uid="{00000000-0005-0000-0000-0000481D0000}"/>
    <cellStyle name="40% - Énfasis4 40 3" xfId="7557" xr:uid="{00000000-0005-0000-0000-0000491D0000}"/>
    <cellStyle name="40% - Énfasis4 40 4" xfId="7558" xr:uid="{00000000-0005-0000-0000-00004A1D0000}"/>
    <cellStyle name="40% - Énfasis4 40 5" xfId="7559" xr:uid="{00000000-0005-0000-0000-00004B1D0000}"/>
    <cellStyle name="40% - Énfasis4 40 6" xfId="7560" xr:uid="{00000000-0005-0000-0000-00004C1D0000}"/>
    <cellStyle name="40% - Énfasis4 40 7" xfId="7561" xr:uid="{00000000-0005-0000-0000-00004D1D0000}"/>
    <cellStyle name="40% - Énfasis4 40 8" xfId="7562" xr:uid="{00000000-0005-0000-0000-00004E1D0000}"/>
    <cellStyle name="40% - Énfasis4 40 9" xfId="7563" xr:uid="{00000000-0005-0000-0000-00004F1D0000}"/>
    <cellStyle name="40% - Énfasis4 41" xfId="7564" xr:uid="{00000000-0005-0000-0000-0000501D0000}"/>
    <cellStyle name="40% - Énfasis4 41 10" xfId="7565" xr:uid="{00000000-0005-0000-0000-0000511D0000}"/>
    <cellStyle name="40% - Énfasis4 41 11" xfId="7566" xr:uid="{00000000-0005-0000-0000-0000521D0000}"/>
    <cellStyle name="40% - Énfasis4 41 12" xfId="7567" xr:uid="{00000000-0005-0000-0000-0000531D0000}"/>
    <cellStyle name="40% - Énfasis4 41 13" xfId="7568" xr:uid="{00000000-0005-0000-0000-0000541D0000}"/>
    <cellStyle name="40% - Énfasis4 41 14" xfId="7569" xr:uid="{00000000-0005-0000-0000-0000551D0000}"/>
    <cellStyle name="40% - Énfasis4 41 15" xfId="7570" xr:uid="{00000000-0005-0000-0000-0000561D0000}"/>
    <cellStyle name="40% - Énfasis4 41 16" xfId="7571" xr:uid="{00000000-0005-0000-0000-0000571D0000}"/>
    <cellStyle name="40% - Énfasis4 41 2" xfId="7572" xr:uid="{00000000-0005-0000-0000-0000581D0000}"/>
    <cellStyle name="40% - Énfasis4 41 3" xfId="7573" xr:uid="{00000000-0005-0000-0000-0000591D0000}"/>
    <cellStyle name="40% - Énfasis4 41 4" xfId="7574" xr:uid="{00000000-0005-0000-0000-00005A1D0000}"/>
    <cellStyle name="40% - Énfasis4 41 5" xfId="7575" xr:uid="{00000000-0005-0000-0000-00005B1D0000}"/>
    <cellStyle name="40% - Énfasis4 41 6" xfId="7576" xr:uid="{00000000-0005-0000-0000-00005C1D0000}"/>
    <cellStyle name="40% - Énfasis4 41 7" xfId="7577" xr:uid="{00000000-0005-0000-0000-00005D1D0000}"/>
    <cellStyle name="40% - Énfasis4 41 8" xfId="7578" xr:uid="{00000000-0005-0000-0000-00005E1D0000}"/>
    <cellStyle name="40% - Énfasis4 41 9" xfId="7579" xr:uid="{00000000-0005-0000-0000-00005F1D0000}"/>
    <cellStyle name="40% - Énfasis4 42" xfId="7580" xr:uid="{00000000-0005-0000-0000-0000601D0000}"/>
    <cellStyle name="40% - Énfasis4 43" xfId="7581" xr:uid="{00000000-0005-0000-0000-0000611D0000}"/>
    <cellStyle name="40% - Énfasis4 44" xfId="7582" xr:uid="{00000000-0005-0000-0000-0000621D0000}"/>
    <cellStyle name="40% - Énfasis4 45" xfId="7583" xr:uid="{00000000-0005-0000-0000-0000631D0000}"/>
    <cellStyle name="40% - Énfasis4 46" xfId="7584" xr:uid="{00000000-0005-0000-0000-0000641D0000}"/>
    <cellStyle name="40% - Énfasis4 47" xfId="7585" xr:uid="{00000000-0005-0000-0000-0000651D0000}"/>
    <cellStyle name="40% - Énfasis4 48" xfId="7586" xr:uid="{00000000-0005-0000-0000-0000661D0000}"/>
    <cellStyle name="40% - Énfasis4 49" xfId="7587" xr:uid="{00000000-0005-0000-0000-0000671D0000}"/>
    <cellStyle name="40% - Énfasis4 5 10" xfId="7588" xr:uid="{00000000-0005-0000-0000-0000681D0000}"/>
    <cellStyle name="40% - Énfasis4 5 11" xfId="7589" xr:uid="{00000000-0005-0000-0000-0000691D0000}"/>
    <cellStyle name="40% - Énfasis4 5 12" xfId="7590" xr:uid="{00000000-0005-0000-0000-00006A1D0000}"/>
    <cellStyle name="40% - Énfasis4 5 13" xfId="7591" xr:uid="{00000000-0005-0000-0000-00006B1D0000}"/>
    <cellStyle name="40% - Énfasis4 5 14" xfId="7592" xr:uid="{00000000-0005-0000-0000-00006C1D0000}"/>
    <cellStyle name="40% - Énfasis4 5 15" xfId="7593" xr:uid="{00000000-0005-0000-0000-00006D1D0000}"/>
    <cellStyle name="40% - Énfasis4 5 16" xfId="7594" xr:uid="{00000000-0005-0000-0000-00006E1D0000}"/>
    <cellStyle name="40% - Énfasis4 5 17" xfId="7595" xr:uid="{00000000-0005-0000-0000-00006F1D0000}"/>
    <cellStyle name="40% - Énfasis4 5 18" xfId="7596" xr:uid="{00000000-0005-0000-0000-0000701D0000}"/>
    <cellStyle name="40% - Énfasis4 5 19" xfId="7597" xr:uid="{00000000-0005-0000-0000-0000711D0000}"/>
    <cellStyle name="40% - Énfasis4 5 2" xfId="7598" xr:uid="{00000000-0005-0000-0000-0000721D0000}"/>
    <cellStyle name="40% - Énfasis4 5 2 2" xfId="7599" xr:uid="{00000000-0005-0000-0000-0000731D0000}"/>
    <cellStyle name="40% - Énfasis4 5 3" xfId="7600" xr:uid="{00000000-0005-0000-0000-0000741D0000}"/>
    <cellStyle name="40% - Énfasis4 5 3 2" xfId="7601" xr:uid="{00000000-0005-0000-0000-0000751D0000}"/>
    <cellStyle name="40% - Énfasis4 5 4" xfId="7602" xr:uid="{00000000-0005-0000-0000-0000761D0000}"/>
    <cellStyle name="40% - Énfasis4 5 4 2" xfId="7603" xr:uid="{00000000-0005-0000-0000-0000771D0000}"/>
    <cellStyle name="40% - Énfasis4 5 5" xfId="7604" xr:uid="{00000000-0005-0000-0000-0000781D0000}"/>
    <cellStyle name="40% - Énfasis4 5 6" xfId="7605" xr:uid="{00000000-0005-0000-0000-0000791D0000}"/>
    <cellStyle name="40% - Énfasis4 5 7" xfId="7606" xr:uid="{00000000-0005-0000-0000-00007A1D0000}"/>
    <cellStyle name="40% - Énfasis4 5 8" xfId="7607" xr:uid="{00000000-0005-0000-0000-00007B1D0000}"/>
    <cellStyle name="40% - Énfasis4 5 9" xfId="7608" xr:uid="{00000000-0005-0000-0000-00007C1D0000}"/>
    <cellStyle name="40% - Énfasis4 50" xfId="7609" xr:uid="{00000000-0005-0000-0000-00007D1D0000}"/>
    <cellStyle name="40% - Énfasis4 51" xfId="7610" xr:uid="{00000000-0005-0000-0000-00007E1D0000}"/>
    <cellStyle name="40% - Énfasis4 52" xfId="7611" xr:uid="{00000000-0005-0000-0000-00007F1D0000}"/>
    <cellStyle name="40% - Énfasis4 53" xfId="7612" xr:uid="{00000000-0005-0000-0000-0000801D0000}"/>
    <cellStyle name="40% - Énfasis4 54" xfId="7613" xr:uid="{00000000-0005-0000-0000-0000811D0000}"/>
    <cellStyle name="40% - Énfasis4 55" xfId="7614" xr:uid="{00000000-0005-0000-0000-0000821D0000}"/>
    <cellStyle name="40% - Énfasis4 56" xfId="7615" xr:uid="{00000000-0005-0000-0000-0000831D0000}"/>
    <cellStyle name="40% - Énfasis4 57" xfId="7616" xr:uid="{00000000-0005-0000-0000-0000841D0000}"/>
    <cellStyle name="40% - Énfasis4 58" xfId="7617" xr:uid="{00000000-0005-0000-0000-0000851D0000}"/>
    <cellStyle name="40% - Énfasis4 59" xfId="7618" xr:uid="{00000000-0005-0000-0000-0000861D0000}"/>
    <cellStyle name="40% - Énfasis4 6 10" xfId="7619" xr:uid="{00000000-0005-0000-0000-0000871D0000}"/>
    <cellStyle name="40% - Énfasis4 6 11" xfId="7620" xr:uid="{00000000-0005-0000-0000-0000881D0000}"/>
    <cellStyle name="40% - Énfasis4 6 12" xfId="7621" xr:uid="{00000000-0005-0000-0000-0000891D0000}"/>
    <cellStyle name="40% - Énfasis4 6 13" xfId="7622" xr:uid="{00000000-0005-0000-0000-00008A1D0000}"/>
    <cellStyle name="40% - Énfasis4 6 14" xfId="7623" xr:uid="{00000000-0005-0000-0000-00008B1D0000}"/>
    <cellStyle name="40% - Énfasis4 6 15" xfId="7624" xr:uid="{00000000-0005-0000-0000-00008C1D0000}"/>
    <cellStyle name="40% - Énfasis4 6 16" xfId="7625" xr:uid="{00000000-0005-0000-0000-00008D1D0000}"/>
    <cellStyle name="40% - Énfasis4 6 17" xfId="7626" xr:uid="{00000000-0005-0000-0000-00008E1D0000}"/>
    <cellStyle name="40% - Énfasis4 6 18" xfId="7627" xr:uid="{00000000-0005-0000-0000-00008F1D0000}"/>
    <cellStyle name="40% - Énfasis4 6 19" xfId="7628" xr:uid="{00000000-0005-0000-0000-0000901D0000}"/>
    <cellStyle name="40% - Énfasis4 6 2" xfId="7629" xr:uid="{00000000-0005-0000-0000-0000911D0000}"/>
    <cellStyle name="40% - Énfasis4 6 2 2" xfId="7630" xr:uid="{00000000-0005-0000-0000-0000921D0000}"/>
    <cellStyle name="40% - Énfasis4 6 3" xfId="7631" xr:uid="{00000000-0005-0000-0000-0000931D0000}"/>
    <cellStyle name="40% - Énfasis4 6 3 2" xfId="7632" xr:uid="{00000000-0005-0000-0000-0000941D0000}"/>
    <cellStyle name="40% - Énfasis4 6 4" xfId="7633" xr:uid="{00000000-0005-0000-0000-0000951D0000}"/>
    <cellStyle name="40% - Énfasis4 6 4 2" xfId="7634" xr:uid="{00000000-0005-0000-0000-0000961D0000}"/>
    <cellStyle name="40% - Énfasis4 6 5" xfId="7635" xr:uid="{00000000-0005-0000-0000-0000971D0000}"/>
    <cellStyle name="40% - Énfasis4 6 6" xfId="7636" xr:uid="{00000000-0005-0000-0000-0000981D0000}"/>
    <cellStyle name="40% - Énfasis4 6 7" xfId="7637" xr:uid="{00000000-0005-0000-0000-0000991D0000}"/>
    <cellStyle name="40% - Énfasis4 6 8" xfId="7638" xr:uid="{00000000-0005-0000-0000-00009A1D0000}"/>
    <cellStyle name="40% - Énfasis4 6 9" xfId="7639" xr:uid="{00000000-0005-0000-0000-00009B1D0000}"/>
    <cellStyle name="40% - Énfasis4 60" xfId="7640" xr:uid="{00000000-0005-0000-0000-00009C1D0000}"/>
    <cellStyle name="40% - Énfasis4 61" xfId="7641" xr:uid="{00000000-0005-0000-0000-00009D1D0000}"/>
    <cellStyle name="40% - Énfasis4 62" xfId="7642" xr:uid="{00000000-0005-0000-0000-00009E1D0000}"/>
    <cellStyle name="40% - Énfasis4 63" xfId="7643" xr:uid="{00000000-0005-0000-0000-00009F1D0000}"/>
    <cellStyle name="40% - Énfasis4 64" xfId="7644" xr:uid="{00000000-0005-0000-0000-0000A01D0000}"/>
    <cellStyle name="40% - Énfasis4 7 10" xfId="7645" xr:uid="{00000000-0005-0000-0000-0000A11D0000}"/>
    <cellStyle name="40% - Énfasis4 7 11" xfId="7646" xr:uid="{00000000-0005-0000-0000-0000A21D0000}"/>
    <cellStyle name="40% - Énfasis4 7 12" xfId="7647" xr:uid="{00000000-0005-0000-0000-0000A31D0000}"/>
    <cellStyle name="40% - Énfasis4 7 13" xfId="7648" xr:uid="{00000000-0005-0000-0000-0000A41D0000}"/>
    <cellStyle name="40% - Énfasis4 7 14" xfId="7649" xr:uid="{00000000-0005-0000-0000-0000A51D0000}"/>
    <cellStyle name="40% - Énfasis4 7 15" xfId="7650" xr:uid="{00000000-0005-0000-0000-0000A61D0000}"/>
    <cellStyle name="40% - Énfasis4 7 16" xfId="7651" xr:uid="{00000000-0005-0000-0000-0000A71D0000}"/>
    <cellStyle name="40% - Énfasis4 7 17" xfId="7652" xr:uid="{00000000-0005-0000-0000-0000A81D0000}"/>
    <cellStyle name="40% - Énfasis4 7 18" xfId="7653" xr:uid="{00000000-0005-0000-0000-0000A91D0000}"/>
    <cellStyle name="40% - Énfasis4 7 19" xfId="7654" xr:uid="{00000000-0005-0000-0000-0000AA1D0000}"/>
    <cellStyle name="40% - Énfasis4 7 2" xfId="7655" xr:uid="{00000000-0005-0000-0000-0000AB1D0000}"/>
    <cellStyle name="40% - Énfasis4 7 2 2" xfId="7656" xr:uid="{00000000-0005-0000-0000-0000AC1D0000}"/>
    <cellStyle name="40% - Énfasis4 7 3" xfId="7657" xr:uid="{00000000-0005-0000-0000-0000AD1D0000}"/>
    <cellStyle name="40% - Énfasis4 7 3 2" xfId="7658" xr:uid="{00000000-0005-0000-0000-0000AE1D0000}"/>
    <cellStyle name="40% - Énfasis4 7 4" xfId="7659" xr:uid="{00000000-0005-0000-0000-0000AF1D0000}"/>
    <cellStyle name="40% - Énfasis4 7 4 2" xfId="7660" xr:uid="{00000000-0005-0000-0000-0000B01D0000}"/>
    <cellStyle name="40% - Énfasis4 7 5" xfId="7661" xr:uid="{00000000-0005-0000-0000-0000B11D0000}"/>
    <cellStyle name="40% - Énfasis4 7 6" xfId="7662" xr:uid="{00000000-0005-0000-0000-0000B21D0000}"/>
    <cellStyle name="40% - Énfasis4 7 7" xfId="7663" xr:uid="{00000000-0005-0000-0000-0000B31D0000}"/>
    <cellStyle name="40% - Énfasis4 7 8" xfId="7664" xr:uid="{00000000-0005-0000-0000-0000B41D0000}"/>
    <cellStyle name="40% - Énfasis4 7 9" xfId="7665" xr:uid="{00000000-0005-0000-0000-0000B51D0000}"/>
    <cellStyle name="40% - Énfasis4 8 10" xfId="7666" xr:uid="{00000000-0005-0000-0000-0000B61D0000}"/>
    <cellStyle name="40% - Énfasis4 8 11" xfId="7667" xr:uid="{00000000-0005-0000-0000-0000B71D0000}"/>
    <cellStyle name="40% - Énfasis4 8 12" xfId="7668" xr:uid="{00000000-0005-0000-0000-0000B81D0000}"/>
    <cellStyle name="40% - Énfasis4 8 13" xfId="7669" xr:uid="{00000000-0005-0000-0000-0000B91D0000}"/>
    <cellStyle name="40% - Énfasis4 8 14" xfId="7670" xr:uid="{00000000-0005-0000-0000-0000BA1D0000}"/>
    <cellStyle name="40% - Énfasis4 8 15" xfId="7671" xr:uid="{00000000-0005-0000-0000-0000BB1D0000}"/>
    <cellStyle name="40% - Énfasis4 8 16" xfId="7672" xr:uid="{00000000-0005-0000-0000-0000BC1D0000}"/>
    <cellStyle name="40% - Énfasis4 8 17" xfId="7673" xr:uid="{00000000-0005-0000-0000-0000BD1D0000}"/>
    <cellStyle name="40% - Énfasis4 8 18" xfId="7674" xr:uid="{00000000-0005-0000-0000-0000BE1D0000}"/>
    <cellStyle name="40% - Énfasis4 8 19" xfId="7675" xr:uid="{00000000-0005-0000-0000-0000BF1D0000}"/>
    <cellStyle name="40% - Énfasis4 8 2" xfId="7676" xr:uid="{00000000-0005-0000-0000-0000C01D0000}"/>
    <cellStyle name="40% - Énfasis4 8 2 2" xfId="7677" xr:uid="{00000000-0005-0000-0000-0000C11D0000}"/>
    <cellStyle name="40% - Énfasis4 8 3" xfId="7678" xr:uid="{00000000-0005-0000-0000-0000C21D0000}"/>
    <cellStyle name="40% - Énfasis4 8 3 2" xfId="7679" xr:uid="{00000000-0005-0000-0000-0000C31D0000}"/>
    <cellStyle name="40% - Énfasis4 8 4" xfId="7680" xr:uid="{00000000-0005-0000-0000-0000C41D0000}"/>
    <cellStyle name="40% - Énfasis4 8 4 2" xfId="7681" xr:uid="{00000000-0005-0000-0000-0000C51D0000}"/>
    <cellStyle name="40% - Énfasis4 8 5" xfId="7682" xr:uid="{00000000-0005-0000-0000-0000C61D0000}"/>
    <cellStyle name="40% - Énfasis4 8 6" xfId="7683" xr:uid="{00000000-0005-0000-0000-0000C71D0000}"/>
    <cellStyle name="40% - Énfasis4 8 7" xfId="7684" xr:uid="{00000000-0005-0000-0000-0000C81D0000}"/>
    <cellStyle name="40% - Énfasis4 8 8" xfId="7685" xr:uid="{00000000-0005-0000-0000-0000C91D0000}"/>
    <cellStyle name="40% - Énfasis4 8 9" xfId="7686" xr:uid="{00000000-0005-0000-0000-0000CA1D0000}"/>
    <cellStyle name="40% - Énfasis4 9 10" xfId="7687" xr:uid="{00000000-0005-0000-0000-0000CB1D0000}"/>
    <cellStyle name="40% - Énfasis4 9 11" xfId="7688" xr:uid="{00000000-0005-0000-0000-0000CC1D0000}"/>
    <cellStyle name="40% - Énfasis4 9 12" xfId="7689" xr:uid="{00000000-0005-0000-0000-0000CD1D0000}"/>
    <cellStyle name="40% - Énfasis4 9 13" xfId="7690" xr:uid="{00000000-0005-0000-0000-0000CE1D0000}"/>
    <cellStyle name="40% - Énfasis4 9 14" xfId="7691" xr:uid="{00000000-0005-0000-0000-0000CF1D0000}"/>
    <cellStyle name="40% - Énfasis4 9 15" xfId="7692" xr:uid="{00000000-0005-0000-0000-0000D01D0000}"/>
    <cellStyle name="40% - Énfasis4 9 16" xfId="7693" xr:uid="{00000000-0005-0000-0000-0000D11D0000}"/>
    <cellStyle name="40% - Énfasis4 9 17" xfId="7694" xr:uid="{00000000-0005-0000-0000-0000D21D0000}"/>
    <cellStyle name="40% - Énfasis4 9 18" xfId="7695" xr:uid="{00000000-0005-0000-0000-0000D31D0000}"/>
    <cellStyle name="40% - Énfasis4 9 19" xfId="7696" xr:uid="{00000000-0005-0000-0000-0000D41D0000}"/>
    <cellStyle name="40% - Énfasis4 9 2" xfId="7697" xr:uid="{00000000-0005-0000-0000-0000D51D0000}"/>
    <cellStyle name="40% - Énfasis4 9 2 2" xfId="7698" xr:uid="{00000000-0005-0000-0000-0000D61D0000}"/>
    <cellStyle name="40% - Énfasis4 9 3" xfId="7699" xr:uid="{00000000-0005-0000-0000-0000D71D0000}"/>
    <cellStyle name="40% - Énfasis4 9 3 2" xfId="7700" xr:uid="{00000000-0005-0000-0000-0000D81D0000}"/>
    <cellStyle name="40% - Énfasis4 9 4" xfId="7701" xr:uid="{00000000-0005-0000-0000-0000D91D0000}"/>
    <cellStyle name="40% - Énfasis4 9 4 2" xfId="7702" xr:uid="{00000000-0005-0000-0000-0000DA1D0000}"/>
    <cellStyle name="40% - Énfasis4 9 5" xfId="7703" xr:uid="{00000000-0005-0000-0000-0000DB1D0000}"/>
    <cellStyle name="40% - Énfasis4 9 6" xfId="7704" xr:uid="{00000000-0005-0000-0000-0000DC1D0000}"/>
    <cellStyle name="40% - Énfasis4 9 7" xfId="7705" xr:uid="{00000000-0005-0000-0000-0000DD1D0000}"/>
    <cellStyle name="40% - Énfasis4 9 8" xfId="7706" xr:uid="{00000000-0005-0000-0000-0000DE1D0000}"/>
    <cellStyle name="40% - Énfasis4 9 9" xfId="7707" xr:uid="{00000000-0005-0000-0000-0000DF1D0000}"/>
    <cellStyle name="40% - Énfasis5" xfId="32546" builtinId="47" customBuiltin="1"/>
    <cellStyle name="40% - Énfasis5 10 10" xfId="7708" xr:uid="{00000000-0005-0000-0000-0000E11D0000}"/>
    <cellStyle name="40% - Énfasis5 10 11" xfId="7709" xr:uid="{00000000-0005-0000-0000-0000E21D0000}"/>
    <cellStyle name="40% - Énfasis5 10 12" xfId="7710" xr:uid="{00000000-0005-0000-0000-0000E31D0000}"/>
    <cellStyle name="40% - Énfasis5 10 13" xfId="7711" xr:uid="{00000000-0005-0000-0000-0000E41D0000}"/>
    <cellStyle name="40% - Énfasis5 10 14" xfId="7712" xr:uid="{00000000-0005-0000-0000-0000E51D0000}"/>
    <cellStyle name="40% - Énfasis5 10 15" xfId="7713" xr:uid="{00000000-0005-0000-0000-0000E61D0000}"/>
    <cellStyle name="40% - Énfasis5 10 16" xfId="7714" xr:uid="{00000000-0005-0000-0000-0000E71D0000}"/>
    <cellStyle name="40% - Énfasis5 10 17" xfId="7715" xr:uid="{00000000-0005-0000-0000-0000E81D0000}"/>
    <cellStyle name="40% - Énfasis5 10 18" xfId="7716" xr:uid="{00000000-0005-0000-0000-0000E91D0000}"/>
    <cellStyle name="40% - Énfasis5 10 19" xfId="7717" xr:uid="{00000000-0005-0000-0000-0000EA1D0000}"/>
    <cellStyle name="40% - Énfasis5 10 2" xfId="7718" xr:uid="{00000000-0005-0000-0000-0000EB1D0000}"/>
    <cellStyle name="40% - Énfasis5 10 2 2" xfId="7719" xr:uid="{00000000-0005-0000-0000-0000EC1D0000}"/>
    <cellStyle name="40% - Énfasis5 10 3" xfId="7720" xr:uid="{00000000-0005-0000-0000-0000ED1D0000}"/>
    <cellStyle name="40% - Énfasis5 10 3 2" xfId="7721" xr:uid="{00000000-0005-0000-0000-0000EE1D0000}"/>
    <cellStyle name="40% - Énfasis5 10 4" xfId="7722" xr:uid="{00000000-0005-0000-0000-0000EF1D0000}"/>
    <cellStyle name="40% - Énfasis5 10 4 2" xfId="7723" xr:uid="{00000000-0005-0000-0000-0000F01D0000}"/>
    <cellStyle name="40% - Énfasis5 10 5" xfId="7724" xr:uid="{00000000-0005-0000-0000-0000F11D0000}"/>
    <cellStyle name="40% - Énfasis5 10 6" xfId="7725" xr:uid="{00000000-0005-0000-0000-0000F21D0000}"/>
    <cellStyle name="40% - Énfasis5 10 7" xfId="7726" xr:uid="{00000000-0005-0000-0000-0000F31D0000}"/>
    <cellStyle name="40% - Énfasis5 10 8" xfId="7727" xr:uid="{00000000-0005-0000-0000-0000F41D0000}"/>
    <cellStyle name="40% - Énfasis5 10 9" xfId="7728" xr:uid="{00000000-0005-0000-0000-0000F51D0000}"/>
    <cellStyle name="40% - Énfasis5 11 10" xfId="7729" xr:uid="{00000000-0005-0000-0000-0000F61D0000}"/>
    <cellStyle name="40% - Énfasis5 11 11" xfId="7730" xr:uid="{00000000-0005-0000-0000-0000F71D0000}"/>
    <cellStyle name="40% - Énfasis5 11 12" xfId="7731" xr:uid="{00000000-0005-0000-0000-0000F81D0000}"/>
    <cellStyle name="40% - Énfasis5 11 13" xfId="7732" xr:uid="{00000000-0005-0000-0000-0000F91D0000}"/>
    <cellStyle name="40% - Énfasis5 11 14" xfId="7733" xr:uid="{00000000-0005-0000-0000-0000FA1D0000}"/>
    <cellStyle name="40% - Énfasis5 11 15" xfId="7734" xr:uid="{00000000-0005-0000-0000-0000FB1D0000}"/>
    <cellStyle name="40% - Énfasis5 11 16" xfId="7735" xr:uid="{00000000-0005-0000-0000-0000FC1D0000}"/>
    <cellStyle name="40% - Énfasis5 11 17" xfId="7736" xr:uid="{00000000-0005-0000-0000-0000FD1D0000}"/>
    <cellStyle name="40% - Énfasis5 11 18" xfId="7737" xr:uid="{00000000-0005-0000-0000-0000FE1D0000}"/>
    <cellStyle name="40% - Énfasis5 11 19" xfId="7738" xr:uid="{00000000-0005-0000-0000-0000FF1D0000}"/>
    <cellStyle name="40% - Énfasis5 11 2" xfId="7739" xr:uid="{00000000-0005-0000-0000-0000001E0000}"/>
    <cellStyle name="40% - Énfasis5 11 2 2" xfId="7740" xr:uid="{00000000-0005-0000-0000-0000011E0000}"/>
    <cellStyle name="40% - Énfasis5 11 3" xfId="7741" xr:uid="{00000000-0005-0000-0000-0000021E0000}"/>
    <cellStyle name="40% - Énfasis5 11 3 2" xfId="7742" xr:uid="{00000000-0005-0000-0000-0000031E0000}"/>
    <cellStyle name="40% - Énfasis5 11 4" xfId="7743" xr:uid="{00000000-0005-0000-0000-0000041E0000}"/>
    <cellStyle name="40% - Énfasis5 11 4 2" xfId="7744" xr:uid="{00000000-0005-0000-0000-0000051E0000}"/>
    <cellStyle name="40% - Énfasis5 11 5" xfId="7745" xr:uid="{00000000-0005-0000-0000-0000061E0000}"/>
    <cellStyle name="40% - Énfasis5 11 6" xfId="7746" xr:uid="{00000000-0005-0000-0000-0000071E0000}"/>
    <cellStyle name="40% - Énfasis5 11 7" xfId="7747" xr:uid="{00000000-0005-0000-0000-0000081E0000}"/>
    <cellStyle name="40% - Énfasis5 11 8" xfId="7748" xr:uid="{00000000-0005-0000-0000-0000091E0000}"/>
    <cellStyle name="40% - Énfasis5 11 9" xfId="7749" xr:uid="{00000000-0005-0000-0000-00000A1E0000}"/>
    <cellStyle name="40% - Énfasis5 12 10" xfId="7750" xr:uid="{00000000-0005-0000-0000-00000B1E0000}"/>
    <cellStyle name="40% - Énfasis5 12 11" xfId="7751" xr:uid="{00000000-0005-0000-0000-00000C1E0000}"/>
    <cellStyle name="40% - Énfasis5 12 12" xfId="7752" xr:uid="{00000000-0005-0000-0000-00000D1E0000}"/>
    <cellStyle name="40% - Énfasis5 12 13" xfId="7753" xr:uid="{00000000-0005-0000-0000-00000E1E0000}"/>
    <cellStyle name="40% - Énfasis5 12 14" xfId="7754" xr:uid="{00000000-0005-0000-0000-00000F1E0000}"/>
    <cellStyle name="40% - Énfasis5 12 15" xfId="7755" xr:uid="{00000000-0005-0000-0000-0000101E0000}"/>
    <cellStyle name="40% - Énfasis5 12 16" xfId="7756" xr:uid="{00000000-0005-0000-0000-0000111E0000}"/>
    <cellStyle name="40% - Énfasis5 12 17" xfId="7757" xr:uid="{00000000-0005-0000-0000-0000121E0000}"/>
    <cellStyle name="40% - Énfasis5 12 18" xfId="7758" xr:uid="{00000000-0005-0000-0000-0000131E0000}"/>
    <cellStyle name="40% - Énfasis5 12 19" xfId="7759" xr:uid="{00000000-0005-0000-0000-0000141E0000}"/>
    <cellStyle name="40% - Énfasis5 12 2" xfId="7760" xr:uid="{00000000-0005-0000-0000-0000151E0000}"/>
    <cellStyle name="40% - Énfasis5 12 2 2" xfId="7761" xr:uid="{00000000-0005-0000-0000-0000161E0000}"/>
    <cellStyle name="40% - Énfasis5 12 3" xfId="7762" xr:uid="{00000000-0005-0000-0000-0000171E0000}"/>
    <cellStyle name="40% - Énfasis5 12 3 2" xfId="7763" xr:uid="{00000000-0005-0000-0000-0000181E0000}"/>
    <cellStyle name="40% - Énfasis5 12 4" xfId="7764" xr:uid="{00000000-0005-0000-0000-0000191E0000}"/>
    <cellStyle name="40% - Énfasis5 12 4 2" xfId="7765" xr:uid="{00000000-0005-0000-0000-00001A1E0000}"/>
    <cellStyle name="40% - Énfasis5 12 5" xfId="7766" xr:uid="{00000000-0005-0000-0000-00001B1E0000}"/>
    <cellStyle name="40% - Énfasis5 12 6" xfId="7767" xr:uid="{00000000-0005-0000-0000-00001C1E0000}"/>
    <cellStyle name="40% - Énfasis5 12 7" xfId="7768" xr:uid="{00000000-0005-0000-0000-00001D1E0000}"/>
    <cellStyle name="40% - Énfasis5 12 8" xfId="7769" xr:uid="{00000000-0005-0000-0000-00001E1E0000}"/>
    <cellStyle name="40% - Énfasis5 12 9" xfId="7770" xr:uid="{00000000-0005-0000-0000-00001F1E0000}"/>
    <cellStyle name="40% - Énfasis5 13 10" xfId="7771" xr:uid="{00000000-0005-0000-0000-0000201E0000}"/>
    <cellStyle name="40% - Énfasis5 13 11" xfId="7772" xr:uid="{00000000-0005-0000-0000-0000211E0000}"/>
    <cellStyle name="40% - Énfasis5 13 12" xfId="7773" xr:uid="{00000000-0005-0000-0000-0000221E0000}"/>
    <cellStyle name="40% - Énfasis5 13 13" xfId="7774" xr:uid="{00000000-0005-0000-0000-0000231E0000}"/>
    <cellStyle name="40% - Énfasis5 13 14" xfId="7775" xr:uid="{00000000-0005-0000-0000-0000241E0000}"/>
    <cellStyle name="40% - Énfasis5 13 15" xfId="7776" xr:uid="{00000000-0005-0000-0000-0000251E0000}"/>
    <cellStyle name="40% - Énfasis5 13 16" xfId="7777" xr:uid="{00000000-0005-0000-0000-0000261E0000}"/>
    <cellStyle name="40% - Énfasis5 13 17" xfId="7778" xr:uid="{00000000-0005-0000-0000-0000271E0000}"/>
    <cellStyle name="40% - Énfasis5 13 18" xfId="7779" xr:uid="{00000000-0005-0000-0000-0000281E0000}"/>
    <cellStyle name="40% - Énfasis5 13 19" xfId="7780" xr:uid="{00000000-0005-0000-0000-0000291E0000}"/>
    <cellStyle name="40% - Énfasis5 13 2" xfId="7781" xr:uid="{00000000-0005-0000-0000-00002A1E0000}"/>
    <cellStyle name="40% - Énfasis5 13 2 2" xfId="7782" xr:uid="{00000000-0005-0000-0000-00002B1E0000}"/>
    <cellStyle name="40% - Énfasis5 13 3" xfId="7783" xr:uid="{00000000-0005-0000-0000-00002C1E0000}"/>
    <cellStyle name="40% - Énfasis5 13 3 2" xfId="7784" xr:uid="{00000000-0005-0000-0000-00002D1E0000}"/>
    <cellStyle name="40% - Énfasis5 13 4" xfId="7785" xr:uid="{00000000-0005-0000-0000-00002E1E0000}"/>
    <cellStyle name="40% - Énfasis5 13 4 2" xfId="7786" xr:uid="{00000000-0005-0000-0000-00002F1E0000}"/>
    <cellStyle name="40% - Énfasis5 13 5" xfId="7787" xr:uid="{00000000-0005-0000-0000-0000301E0000}"/>
    <cellStyle name="40% - Énfasis5 13 6" xfId="7788" xr:uid="{00000000-0005-0000-0000-0000311E0000}"/>
    <cellStyle name="40% - Énfasis5 13 7" xfId="7789" xr:uid="{00000000-0005-0000-0000-0000321E0000}"/>
    <cellStyle name="40% - Énfasis5 13 8" xfId="7790" xr:uid="{00000000-0005-0000-0000-0000331E0000}"/>
    <cellStyle name="40% - Énfasis5 13 9" xfId="7791" xr:uid="{00000000-0005-0000-0000-0000341E0000}"/>
    <cellStyle name="40% - Énfasis5 14 10" xfId="7792" xr:uid="{00000000-0005-0000-0000-0000351E0000}"/>
    <cellStyle name="40% - Énfasis5 14 11" xfId="7793" xr:uid="{00000000-0005-0000-0000-0000361E0000}"/>
    <cellStyle name="40% - Énfasis5 14 12" xfId="7794" xr:uid="{00000000-0005-0000-0000-0000371E0000}"/>
    <cellStyle name="40% - Énfasis5 14 13" xfId="7795" xr:uid="{00000000-0005-0000-0000-0000381E0000}"/>
    <cellStyle name="40% - Énfasis5 14 14" xfId="7796" xr:uid="{00000000-0005-0000-0000-0000391E0000}"/>
    <cellStyle name="40% - Énfasis5 14 15" xfId="7797" xr:uid="{00000000-0005-0000-0000-00003A1E0000}"/>
    <cellStyle name="40% - Énfasis5 14 16" xfId="7798" xr:uid="{00000000-0005-0000-0000-00003B1E0000}"/>
    <cellStyle name="40% - Énfasis5 14 17" xfId="7799" xr:uid="{00000000-0005-0000-0000-00003C1E0000}"/>
    <cellStyle name="40% - Énfasis5 14 18" xfId="7800" xr:uid="{00000000-0005-0000-0000-00003D1E0000}"/>
    <cellStyle name="40% - Énfasis5 14 19" xfId="7801" xr:uid="{00000000-0005-0000-0000-00003E1E0000}"/>
    <cellStyle name="40% - Énfasis5 14 2" xfId="7802" xr:uid="{00000000-0005-0000-0000-00003F1E0000}"/>
    <cellStyle name="40% - Énfasis5 14 2 2" xfId="7803" xr:uid="{00000000-0005-0000-0000-0000401E0000}"/>
    <cellStyle name="40% - Énfasis5 14 3" xfId="7804" xr:uid="{00000000-0005-0000-0000-0000411E0000}"/>
    <cellStyle name="40% - Énfasis5 14 3 2" xfId="7805" xr:uid="{00000000-0005-0000-0000-0000421E0000}"/>
    <cellStyle name="40% - Énfasis5 14 4" xfId="7806" xr:uid="{00000000-0005-0000-0000-0000431E0000}"/>
    <cellStyle name="40% - Énfasis5 14 4 2" xfId="7807" xr:uid="{00000000-0005-0000-0000-0000441E0000}"/>
    <cellStyle name="40% - Énfasis5 14 5" xfId="7808" xr:uid="{00000000-0005-0000-0000-0000451E0000}"/>
    <cellStyle name="40% - Énfasis5 14 6" xfId="7809" xr:uid="{00000000-0005-0000-0000-0000461E0000}"/>
    <cellStyle name="40% - Énfasis5 14 7" xfId="7810" xr:uid="{00000000-0005-0000-0000-0000471E0000}"/>
    <cellStyle name="40% - Énfasis5 14 8" xfId="7811" xr:uid="{00000000-0005-0000-0000-0000481E0000}"/>
    <cellStyle name="40% - Énfasis5 14 9" xfId="7812" xr:uid="{00000000-0005-0000-0000-0000491E0000}"/>
    <cellStyle name="40% - Énfasis5 15 10" xfId="7813" xr:uid="{00000000-0005-0000-0000-00004A1E0000}"/>
    <cellStyle name="40% - Énfasis5 15 11" xfId="7814" xr:uid="{00000000-0005-0000-0000-00004B1E0000}"/>
    <cellStyle name="40% - Énfasis5 15 12" xfId="7815" xr:uid="{00000000-0005-0000-0000-00004C1E0000}"/>
    <cellStyle name="40% - Énfasis5 15 13" xfId="7816" xr:uid="{00000000-0005-0000-0000-00004D1E0000}"/>
    <cellStyle name="40% - Énfasis5 15 14" xfId="7817" xr:uid="{00000000-0005-0000-0000-00004E1E0000}"/>
    <cellStyle name="40% - Énfasis5 15 15" xfId="7818" xr:uid="{00000000-0005-0000-0000-00004F1E0000}"/>
    <cellStyle name="40% - Énfasis5 15 16" xfId="7819" xr:uid="{00000000-0005-0000-0000-0000501E0000}"/>
    <cellStyle name="40% - Énfasis5 15 17" xfId="7820" xr:uid="{00000000-0005-0000-0000-0000511E0000}"/>
    <cellStyle name="40% - Énfasis5 15 18" xfId="7821" xr:uid="{00000000-0005-0000-0000-0000521E0000}"/>
    <cellStyle name="40% - Énfasis5 15 19" xfId="7822" xr:uid="{00000000-0005-0000-0000-0000531E0000}"/>
    <cellStyle name="40% - Énfasis5 15 2" xfId="7823" xr:uid="{00000000-0005-0000-0000-0000541E0000}"/>
    <cellStyle name="40% - Énfasis5 15 2 2" xfId="7824" xr:uid="{00000000-0005-0000-0000-0000551E0000}"/>
    <cellStyle name="40% - Énfasis5 15 3" xfId="7825" xr:uid="{00000000-0005-0000-0000-0000561E0000}"/>
    <cellStyle name="40% - Énfasis5 15 3 2" xfId="7826" xr:uid="{00000000-0005-0000-0000-0000571E0000}"/>
    <cellStyle name="40% - Énfasis5 15 4" xfId="7827" xr:uid="{00000000-0005-0000-0000-0000581E0000}"/>
    <cellStyle name="40% - Énfasis5 15 4 2" xfId="7828" xr:uid="{00000000-0005-0000-0000-0000591E0000}"/>
    <cellStyle name="40% - Énfasis5 15 5" xfId="7829" xr:uid="{00000000-0005-0000-0000-00005A1E0000}"/>
    <cellStyle name="40% - Énfasis5 15 6" xfId="7830" xr:uid="{00000000-0005-0000-0000-00005B1E0000}"/>
    <cellStyle name="40% - Énfasis5 15 7" xfId="7831" xr:uid="{00000000-0005-0000-0000-00005C1E0000}"/>
    <cellStyle name="40% - Énfasis5 15 8" xfId="7832" xr:uid="{00000000-0005-0000-0000-00005D1E0000}"/>
    <cellStyle name="40% - Énfasis5 15 9" xfId="7833" xr:uid="{00000000-0005-0000-0000-00005E1E0000}"/>
    <cellStyle name="40% - Énfasis5 16 10" xfId="7834" xr:uid="{00000000-0005-0000-0000-00005F1E0000}"/>
    <cellStyle name="40% - Énfasis5 16 11" xfId="7835" xr:uid="{00000000-0005-0000-0000-0000601E0000}"/>
    <cellStyle name="40% - Énfasis5 16 12" xfId="7836" xr:uid="{00000000-0005-0000-0000-0000611E0000}"/>
    <cellStyle name="40% - Énfasis5 16 13" xfId="7837" xr:uid="{00000000-0005-0000-0000-0000621E0000}"/>
    <cellStyle name="40% - Énfasis5 16 14" xfId="7838" xr:uid="{00000000-0005-0000-0000-0000631E0000}"/>
    <cellStyle name="40% - Énfasis5 16 15" xfId="7839" xr:uid="{00000000-0005-0000-0000-0000641E0000}"/>
    <cellStyle name="40% - Énfasis5 16 16" xfId="7840" xr:uid="{00000000-0005-0000-0000-0000651E0000}"/>
    <cellStyle name="40% - Énfasis5 16 17" xfId="7841" xr:uid="{00000000-0005-0000-0000-0000661E0000}"/>
    <cellStyle name="40% - Énfasis5 16 18" xfId="7842" xr:uid="{00000000-0005-0000-0000-0000671E0000}"/>
    <cellStyle name="40% - Énfasis5 16 19" xfId="7843" xr:uid="{00000000-0005-0000-0000-0000681E0000}"/>
    <cellStyle name="40% - Énfasis5 16 2" xfId="7844" xr:uid="{00000000-0005-0000-0000-0000691E0000}"/>
    <cellStyle name="40% - Énfasis5 16 2 2" xfId="7845" xr:uid="{00000000-0005-0000-0000-00006A1E0000}"/>
    <cellStyle name="40% - Énfasis5 16 3" xfId="7846" xr:uid="{00000000-0005-0000-0000-00006B1E0000}"/>
    <cellStyle name="40% - Énfasis5 16 3 2" xfId="7847" xr:uid="{00000000-0005-0000-0000-00006C1E0000}"/>
    <cellStyle name="40% - Énfasis5 16 4" xfId="7848" xr:uid="{00000000-0005-0000-0000-00006D1E0000}"/>
    <cellStyle name="40% - Énfasis5 16 4 2" xfId="7849" xr:uid="{00000000-0005-0000-0000-00006E1E0000}"/>
    <cellStyle name="40% - Énfasis5 16 5" xfId="7850" xr:uid="{00000000-0005-0000-0000-00006F1E0000}"/>
    <cellStyle name="40% - Énfasis5 16 6" xfId="7851" xr:uid="{00000000-0005-0000-0000-0000701E0000}"/>
    <cellStyle name="40% - Énfasis5 16 7" xfId="7852" xr:uid="{00000000-0005-0000-0000-0000711E0000}"/>
    <cellStyle name="40% - Énfasis5 16 8" xfId="7853" xr:uid="{00000000-0005-0000-0000-0000721E0000}"/>
    <cellStyle name="40% - Énfasis5 16 9" xfId="7854" xr:uid="{00000000-0005-0000-0000-0000731E0000}"/>
    <cellStyle name="40% - Énfasis5 17 10" xfId="7855" xr:uid="{00000000-0005-0000-0000-0000741E0000}"/>
    <cellStyle name="40% - Énfasis5 17 11" xfId="7856" xr:uid="{00000000-0005-0000-0000-0000751E0000}"/>
    <cellStyle name="40% - Énfasis5 17 12" xfId="7857" xr:uid="{00000000-0005-0000-0000-0000761E0000}"/>
    <cellStyle name="40% - Énfasis5 17 13" xfId="7858" xr:uid="{00000000-0005-0000-0000-0000771E0000}"/>
    <cellStyle name="40% - Énfasis5 17 14" xfId="7859" xr:uid="{00000000-0005-0000-0000-0000781E0000}"/>
    <cellStyle name="40% - Énfasis5 17 15" xfId="7860" xr:uid="{00000000-0005-0000-0000-0000791E0000}"/>
    <cellStyle name="40% - Énfasis5 17 16" xfId="7861" xr:uid="{00000000-0005-0000-0000-00007A1E0000}"/>
    <cellStyle name="40% - Énfasis5 17 17" xfId="7862" xr:uid="{00000000-0005-0000-0000-00007B1E0000}"/>
    <cellStyle name="40% - Énfasis5 17 18" xfId="7863" xr:uid="{00000000-0005-0000-0000-00007C1E0000}"/>
    <cellStyle name="40% - Énfasis5 17 19" xfId="7864" xr:uid="{00000000-0005-0000-0000-00007D1E0000}"/>
    <cellStyle name="40% - Énfasis5 17 2" xfId="7865" xr:uid="{00000000-0005-0000-0000-00007E1E0000}"/>
    <cellStyle name="40% - Énfasis5 17 2 2" xfId="7866" xr:uid="{00000000-0005-0000-0000-00007F1E0000}"/>
    <cellStyle name="40% - Énfasis5 17 3" xfId="7867" xr:uid="{00000000-0005-0000-0000-0000801E0000}"/>
    <cellStyle name="40% - Énfasis5 17 3 2" xfId="7868" xr:uid="{00000000-0005-0000-0000-0000811E0000}"/>
    <cellStyle name="40% - Énfasis5 17 4" xfId="7869" xr:uid="{00000000-0005-0000-0000-0000821E0000}"/>
    <cellStyle name="40% - Énfasis5 17 4 2" xfId="7870" xr:uid="{00000000-0005-0000-0000-0000831E0000}"/>
    <cellStyle name="40% - Énfasis5 17 5" xfId="7871" xr:uid="{00000000-0005-0000-0000-0000841E0000}"/>
    <cellStyle name="40% - Énfasis5 17 6" xfId="7872" xr:uid="{00000000-0005-0000-0000-0000851E0000}"/>
    <cellStyle name="40% - Énfasis5 17 7" xfId="7873" xr:uid="{00000000-0005-0000-0000-0000861E0000}"/>
    <cellStyle name="40% - Énfasis5 17 8" xfId="7874" xr:uid="{00000000-0005-0000-0000-0000871E0000}"/>
    <cellStyle name="40% - Énfasis5 17 9" xfId="7875" xr:uid="{00000000-0005-0000-0000-0000881E0000}"/>
    <cellStyle name="40% - Énfasis5 18 10" xfId="7876" xr:uid="{00000000-0005-0000-0000-0000891E0000}"/>
    <cellStyle name="40% - Énfasis5 18 11" xfId="7877" xr:uid="{00000000-0005-0000-0000-00008A1E0000}"/>
    <cellStyle name="40% - Énfasis5 18 12" xfId="7878" xr:uid="{00000000-0005-0000-0000-00008B1E0000}"/>
    <cellStyle name="40% - Énfasis5 18 13" xfId="7879" xr:uid="{00000000-0005-0000-0000-00008C1E0000}"/>
    <cellStyle name="40% - Énfasis5 18 14" xfId="7880" xr:uid="{00000000-0005-0000-0000-00008D1E0000}"/>
    <cellStyle name="40% - Énfasis5 18 15" xfId="7881" xr:uid="{00000000-0005-0000-0000-00008E1E0000}"/>
    <cellStyle name="40% - Énfasis5 18 16" xfId="7882" xr:uid="{00000000-0005-0000-0000-00008F1E0000}"/>
    <cellStyle name="40% - Énfasis5 18 17" xfId="7883" xr:uid="{00000000-0005-0000-0000-0000901E0000}"/>
    <cellStyle name="40% - Énfasis5 18 18" xfId="7884" xr:uid="{00000000-0005-0000-0000-0000911E0000}"/>
    <cellStyle name="40% - Énfasis5 18 19" xfId="7885" xr:uid="{00000000-0005-0000-0000-0000921E0000}"/>
    <cellStyle name="40% - Énfasis5 18 2" xfId="7886" xr:uid="{00000000-0005-0000-0000-0000931E0000}"/>
    <cellStyle name="40% - Énfasis5 18 2 2" xfId="7887" xr:uid="{00000000-0005-0000-0000-0000941E0000}"/>
    <cellStyle name="40% - Énfasis5 18 3" xfId="7888" xr:uid="{00000000-0005-0000-0000-0000951E0000}"/>
    <cellStyle name="40% - Énfasis5 18 3 2" xfId="7889" xr:uid="{00000000-0005-0000-0000-0000961E0000}"/>
    <cellStyle name="40% - Énfasis5 18 4" xfId="7890" xr:uid="{00000000-0005-0000-0000-0000971E0000}"/>
    <cellStyle name="40% - Énfasis5 18 4 2" xfId="7891" xr:uid="{00000000-0005-0000-0000-0000981E0000}"/>
    <cellStyle name="40% - Énfasis5 18 5" xfId="7892" xr:uid="{00000000-0005-0000-0000-0000991E0000}"/>
    <cellStyle name="40% - Énfasis5 18 6" xfId="7893" xr:uid="{00000000-0005-0000-0000-00009A1E0000}"/>
    <cellStyle name="40% - Énfasis5 18 7" xfId="7894" xr:uid="{00000000-0005-0000-0000-00009B1E0000}"/>
    <cellStyle name="40% - Énfasis5 18 8" xfId="7895" xr:uid="{00000000-0005-0000-0000-00009C1E0000}"/>
    <cellStyle name="40% - Énfasis5 18 9" xfId="7896" xr:uid="{00000000-0005-0000-0000-00009D1E0000}"/>
    <cellStyle name="40% - Énfasis5 19 10" xfId="7897" xr:uid="{00000000-0005-0000-0000-00009E1E0000}"/>
    <cellStyle name="40% - Énfasis5 19 11" xfId="7898" xr:uid="{00000000-0005-0000-0000-00009F1E0000}"/>
    <cellStyle name="40% - Énfasis5 19 12" xfId="7899" xr:uid="{00000000-0005-0000-0000-0000A01E0000}"/>
    <cellStyle name="40% - Énfasis5 19 13" xfId="7900" xr:uid="{00000000-0005-0000-0000-0000A11E0000}"/>
    <cellStyle name="40% - Énfasis5 19 14" xfId="7901" xr:uid="{00000000-0005-0000-0000-0000A21E0000}"/>
    <cellStyle name="40% - Énfasis5 19 15" xfId="7902" xr:uid="{00000000-0005-0000-0000-0000A31E0000}"/>
    <cellStyle name="40% - Énfasis5 19 16" xfId="7903" xr:uid="{00000000-0005-0000-0000-0000A41E0000}"/>
    <cellStyle name="40% - Énfasis5 19 17" xfId="7904" xr:uid="{00000000-0005-0000-0000-0000A51E0000}"/>
    <cellStyle name="40% - Énfasis5 19 18" xfId="7905" xr:uid="{00000000-0005-0000-0000-0000A61E0000}"/>
    <cellStyle name="40% - Énfasis5 19 19" xfId="7906" xr:uid="{00000000-0005-0000-0000-0000A71E0000}"/>
    <cellStyle name="40% - Énfasis5 19 2" xfId="7907" xr:uid="{00000000-0005-0000-0000-0000A81E0000}"/>
    <cellStyle name="40% - Énfasis5 19 2 2" xfId="7908" xr:uid="{00000000-0005-0000-0000-0000A91E0000}"/>
    <cellStyle name="40% - Énfasis5 19 3" xfId="7909" xr:uid="{00000000-0005-0000-0000-0000AA1E0000}"/>
    <cellStyle name="40% - Énfasis5 19 3 2" xfId="7910" xr:uid="{00000000-0005-0000-0000-0000AB1E0000}"/>
    <cellStyle name="40% - Énfasis5 19 4" xfId="7911" xr:uid="{00000000-0005-0000-0000-0000AC1E0000}"/>
    <cellStyle name="40% - Énfasis5 19 4 2" xfId="7912" xr:uid="{00000000-0005-0000-0000-0000AD1E0000}"/>
    <cellStyle name="40% - Énfasis5 19 5" xfId="7913" xr:uid="{00000000-0005-0000-0000-0000AE1E0000}"/>
    <cellStyle name="40% - Énfasis5 19 6" xfId="7914" xr:uid="{00000000-0005-0000-0000-0000AF1E0000}"/>
    <cellStyle name="40% - Énfasis5 19 7" xfId="7915" xr:uid="{00000000-0005-0000-0000-0000B01E0000}"/>
    <cellStyle name="40% - Énfasis5 19 8" xfId="7916" xr:uid="{00000000-0005-0000-0000-0000B11E0000}"/>
    <cellStyle name="40% - Énfasis5 19 9" xfId="7917" xr:uid="{00000000-0005-0000-0000-0000B21E0000}"/>
    <cellStyle name="40% - Énfasis5 2 10" xfId="7918" xr:uid="{00000000-0005-0000-0000-0000B31E0000}"/>
    <cellStyle name="40% - Énfasis5 2 11" xfId="7919" xr:uid="{00000000-0005-0000-0000-0000B41E0000}"/>
    <cellStyle name="40% - Énfasis5 2 12" xfId="7920" xr:uid="{00000000-0005-0000-0000-0000B51E0000}"/>
    <cellStyle name="40% - Énfasis5 2 13" xfId="7921" xr:uid="{00000000-0005-0000-0000-0000B61E0000}"/>
    <cellStyle name="40% - Énfasis5 2 14" xfId="7922" xr:uid="{00000000-0005-0000-0000-0000B71E0000}"/>
    <cellStyle name="40% - Énfasis5 2 15" xfId="7923" xr:uid="{00000000-0005-0000-0000-0000B81E0000}"/>
    <cellStyle name="40% - Énfasis5 2 16" xfId="7924" xr:uid="{00000000-0005-0000-0000-0000B91E0000}"/>
    <cellStyle name="40% - Énfasis5 2 17" xfId="7925" xr:uid="{00000000-0005-0000-0000-0000BA1E0000}"/>
    <cellStyle name="40% - Énfasis5 2 18" xfId="7926" xr:uid="{00000000-0005-0000-0000-0000BB1E0000}"/>
    <cellStyle name="40% - Énfasis5 2 19" xfId="7927" xr:uid="{00000000-0005-0000-0000-0000BC1E0000}"/>
    <cellStyle name="40% - Énfasis5 2 2" xfId="7928" xr:uid="{00000000-0005-0000-0000-0000BD1E0000}"/>
    <cellStyle name="40% - Énfasis5 2 2 2" xfId="7929" xr:uid="{00000000-0005-0000-0000-0000BE1E0000}"/>
    <cellStyle name="40% - Énfasis5 2 3" xfId="7930" xr:uid="{00000000-0005-0000-0000-0000BF1E0000}"/>
    <cellStyle name="40% - Énfasis5 2 3 2" xfId="7931" xr:uid="{00000000-0005-0000-0000-0000C01E0000}"/>
    <cellStyle name="40% - Énfasis5 2 4" xfId="7932" xr:uid="{00000000-0005-0000-0000-0000C11E0000}"/>
    <cellStyle name="40% - Énfasis5 2 4 2" xfId="7933" xr:uid="{00000000-0005-0000-0000-0000C21E0000}"/>
    <cellStyle name="40% - Énfasis5 2 5" xfId="7934" xr:uid="{00000000-0005-0000-0000-0000C31E0000}"/>
    <cellStyle name="40% - Énfasis5 2 6" xfId="7935" xr:uid="{00000000-0005-0000-0000-0000C41E0000}"/>
    <cellStyle name="40% - Énfasis5 2 7" xfId="7936" xr:uid="{00000000-0005-0000-0000-0000C51E0000}"/>
    <cellStyle name="40% - Énfasis5 2 8" xfId="7937" xr:uid="{00000000-0005-0000-0000-0000C61E0000}"/>
    <cellStyle name="40% - Énfasis5 2 9" xfId="7938" xr:uid="{00000000-0005-0000-0000-0000C71E0000}"/>
    <cellStyle name="40% - Énfasis5 20 10" xfId="7939" xr:uid="{00000000-0005-0000-0000-0000C81E0000}"/>
    <cellStyle name="40% - Énfasis5 20 11" xfId="7940" xr:uid="{00000000-0005-0000-0000-0000C91E0000}"/>
    <cellStyle name="40% - Énfasis5 20 12" xfId="7941" xr:uid="{00000000-0005-0000-0000-0000CA1E0000}"/>
    <cellStyle name="40% - Énfasis5 20 13" xfId="7942" xr:uid="{00000000-0005-0000-0000-0000CB1E0000}"/>
    <cellStyle name="40% - Énfasis5 20 14" xfId="7943" xr:uid="{00000000-0005-0000-0000-0000CC1E0000}"/>
    <cellStyle name="40% - Énfasis5 20 15" xfId="7944" xr:uid="{00000000-0005-0000-0000-0000CD1E0000}"/>
    <cellStyle name="40% - Énfasis5 20 16" xfId="7945" xr:uid="{00000000-0005-0000-0000-0000CE1E0000}"/>
    <cellStyle name="40% - Énfasis5 20 17" xfId="7946" xr:uid="{00000000-0005-0000-0000-0000CF1E0000}"/>
    <cellStyle name="40% - Énfasis5 20 18" xfId="7947" xr:uid="{00000000-0005-0000-0000-0000D01E0000}"/>
    <cellStyle name="40% - Énfasis5 20 19" xfId="7948" xr:uid="{00000000-0005-0000-0000-0000D11E0000}"/>
    <cellStyle name="40% - Énfasis5 20 2" xfId="7949" xr:uid="{00000000-0005-0000-0000-0000D21E0000}"/>
    <cellStyle name="40% - Énfasis5 20 2 2" xfId="7950" xr:uid="{00000000-0005-0000-0000-0000D31E0000}"/>
    <cellStyle name="40% - Énfasis5 20 3" xfId="7951" xr:uid="{00000000-0005-0000-0000-0000D41E0000}"/>
    <cellStyle name="40% - Énfasis5 20 3 2" xfId="7952" xr:uid="{00000000-0005-0000-0000-0000D51E0000}"/>
    <cellStyle name="40% - Énfasis5 20 4" xfId="7953" xr:uid="{00000000-0005-0000-0000-0000D61E0000}"/>
    <cellStyle name="40% - Énfasis5 20 4 2" xfId="7954" xr:uid="{00000000-0005-0000-0000-0000D71E0000}"/>
    <cellStyle name="40% - Énfasis5 20 5" xfId="7955" xr:uid="{00000000-0005-0000-0000-0000D81E0000}"/>
    <cellStyle name="40% - Énfasis5 20 6" xfId="7956" xr:uid="{00000000-0005-0000-0000-0000D91E0000}"/>
    <cellStyle name="40% - Énfasis5 20 7" xfId="7957" xr:uid="{00000000-0005-0000-0000-0000DA1E0000}"/>
    <cellStyle name="40% - Énfasis5 20 8" xfId="7958" xr:uid="{00000000-0005-0000-0000-0000DB1E0000}"/>
    <cellStyle name="40% - Énfasis5 20 9" xfId="7959" xr:uid="{00000000-0005-0000-0000-0000DC1E0000}"/>
    <cellStyle name="40% - Énfasis5 21 10" xfId="7960" xr:uid="{00000000-0005-0000-0000-0000DD1E0000}"/>
    <cellStyle name="40% - Énfasis5 21 11" xfId="7961" xr:uid="{00000000-0005-0000-0000-0000DE1E0000}"/>
    <cellStyle name="40% - Énfasis5 21 12" xfId="7962" xr:uid="{00000000-0005-0000-0000-0000DF1E0000}"/>
    <cellStyle name="40% - Énfasis5 21 13" xfId="7963" xr:uid="{00000000-0005-0000-0000-0000E01E0000}"/>
    <cellStyle name="40% - Énfasis5 21 14" xfId="7964" xr:uid="{00000000-0005-0000-0000-0000E11E0000}"/>
    <cellStyle name="40% - Énfasis5 21 15" xfId="7965" xr:uid="{00000000-0005-0000-0000-0000E21E0000}"/>
    <cellStyle name="40% - Énfasis5 21 16" xfId="7966" xr:uid="{00000000-0005-0000-0000-0000E31E0000}"/>
    <cellStyle name="40% - Énfasis5 21 17" xfId="7967" xr:uid="{00000000-0005-0000-0000-0000E41E0000}"/>
    <cellStyle name="40% - Énfasis5 21 18" xfId="7968" xr:uid="{00000000-0005-0000-0000-0000E51E0000}"/>
    <cellStyle name="40% - Énfasis5 21 19" xfId="7969" xr:uid="{00000000-0005-0000-0000-0000E61E0000}"/>
    <cellStyle name="40% - Énfasis5 21 2" xfId="7970" xr:uid="{00000000-0005-0000-0000-0000E71E0000}"/>
    <cellStyle name="40% - Énfasis5 21 2 2" xfId="7971" xr:uid="{00000000-0005-0000-0000-0000E81E0000}"/>
    <cellStyle name="40% - Énfasis5 21 3" xfId="7972" xr:uid="{00000000-0005-0000-0000-0000E91E0000}"/>
    <cellStyle name="40% - Énfasis5 21 3 2" xfId="7973" xr:uid="{00000000-0005-0000-0000-0000EA1E0000}"/>
    <cellStyle name="40% - Énfasis5 21 4" xfId="7974" xr:uid="{00000000-0005-0000-0000-0000EB1E0000}"/>
    <cellStyle name="40% - Énfasis5 21 4 2" xfId="7975" xr:uid="{00000000-0005-0000-0000-0000EC1E0000}"/>
    <cellStyle name="40% - Énfasis5 21 5" xfId="7976" xr:uid="{00000000-0005-0000-0000-0000ED1E0000}"/>
    <cellStyle name="40% - Énfasis5 21 6" xfId="7977" xr:uid="{00000000-0005-0000-0000-0000EE1E0000}"/>
    <cellStyle name="40% - Énfasis5 21 7" xfId="7978" xr:uid="{00000000-0005-0000-0000-0000EF1E0000}"/>
    <cellStyle name="40% - Énfasis5 21 8" xfId="7979" xr:uid="{00000000-0005-0000-0000-0000F01E0000}"/>
    <cellStyle name="40% - Énfasis5 21 9" xfId="7980" xr:uid="{00000000-0005-0000-0000-0000F11E0000}"/>
    <cellStyle name="40% - Énfasis5 22 10" xfId="7981" xr:uid="{00000000-0005-0000-0000-0000F21E0000}"/>
    <cellStyle name="40% - Énfasis5 22 11" xfId="7982" xr:uid="{00000000-0005-0000-0000-0000F31E0000}"/>
    <cellStyle name="40% - Énfasis5 22 12" xfId="7983" xr:uid="{00000000-0005-0000-0000-0000F41E0000}"/>
    <cellStyle name="40% - Énfasis5 22 13" xfId="7984" xr:uid="{00000000-0005-0000-0000-0000F51E0000}"/>
    <cellStyle name="40% - Énfasis5 22 14" xfId="7985" xr:uid="{00000000-0005-0000-0000-0000F61E0000}"/>
    <cellStyle name="40% - Énfasis5 22 15" xfId="7986" xr:uid="{00000000-0005-0000-0000-0000F71E0000}"/>
    <cellStyle name="40% - Énfasis5 22 16" xfId="7987" xr:uid="{00000000-0005-0000-0000-0000F81E0000}"/>
    <cellStyle name="40% - Énfasis5 22 17" xfId="7988" xr:uid="{00000000-0005-0000-0000-0000F91E0000}"/>
    <cellStyle name="40% - Énfasis5 22 18" xfId="7989" xr:uid="{00000000-0005-0000-0000-0000FA1E0000}"/>
    <cellStyle name="40% - Énfasis5 22 19" xfId="7990" xr:uid="{00000000-0005-0000-0000-0000FB1E0000}"/>
    <cellStyle name="40% - Énfasis5 22 2" xfId="7991" xr:uid="{00000000-0005-0000-0000-0000FC1E0000}"/>
    <cellStyle name="40% - Énfasis5 22 2 2" xfId="7992" xr:uid="{00000000-0005-0000-0000-0000FD1E0000}"/>
    <cellStyle name="40% - Énfasis5 22 3" xfId="7993" xr:uid="{00000000-0005-0000-0000-0000FE1E0000}"/>
    <cellStyle name="40% - Énfasis5 22 3 2" xfId="7994" xr:uid="{00000000-0005-0000-0000-0000FF1E0000}"/>
    <cellStyle name="40% - Énfasis5 22 4" xfId="7995" xr:uid="{00000000-0005-0000-0000-0000001F0000}"/>
    <cellStyle name="40% - Énfasis5 22 4 2" xfId="7996" xr:uid="{00000000-0005-0000-0000-0000011F0000}"/>
    <cellStyle name="40% - Énfasis5 22 5" xfId="7997" xr:uid="{00000000-0005-0000-0000-0000021F0000}"/>
    <cellStyle name="40% - Énfasis5 22 6" xfId="7998" xr:uid="{00000000-0005-0000-0000-0000031F0000}"/>
    <cellStyle name="40% - Énfasis5 22 7" xfId="7999" xr:uid="{00000000-0005-0000-0000-0000041F0000}"/>
    <cellStyle name="40% - Énfasis5 22 8" xfId="8000" xr:uid="{00000000-0005-0000-0000-0000051F0000}"/>
    <cellStyle name="40% - Énfasis5 22 9" xfId="8001" xr:uid="{00000000-0005-0000-0000-0000061F0000}"/>
    <cellStyle name="40% - Énfasis5 23 10" xfId="8002" xr:uid="{00000000-0005-0000-0000-0000071F0000}"/>
    <cellStyle name="40% - Énfasis5 23 11" xfId="8003" xr:uid="{00000000-0005-0000-0000-0000081F0000}"/>
    <cellStyle name="40% - Énfasis5 23 12" xfId="8004" xr:uid="{00000000-0005-0000-0000-0000091F0000}"/>
    <cellStyle name="40% - Énfasis5 23 13" xfId="8005" xr:uid="{00000000-0005-0000-0000-00000A1F0000}"/>
    <cellStyle name="40% - Énfasis5 23 14" xfId="8006" xr:uid="{00000000-0005-0000-0000-00000B1F0000}"/>
    <cellStyle name="40% - Énfasis5 23 15" xfId="8007" xr:uid="{00000000-0005-0000-0000-00000C1F0000}"/>
    <cellStyle name="40% - Énfasis5 23 16" xfId="8008" xr:uid="{00000000-0005-0000-0000-00000D1F0000}"/>
    <cellStyle name="40% - Énfasis5 23 17" xfId="8009" xr:uid="{00000000-0005-0000-0000-00000E1F0000}"/>
    <cellStyle name="40% - Énfasis5 23 18" xfId="8010" xr:uid="{00000000-0005-0000-0000-00000F1F0000}"/>
    <cellStyle name="40% - Énfasis5 23 19" xfId="8011" xr:uid="{00000000-0005-0000-0000-0000101F0000}"/>
    <cellStyle name="40% - Énfasis5 23 2" xfId="8012" xr:uid="{00000000-0005-0000-0000-0000111F0000}"/>
    <cellStyle name="40% - Énfasis5 23 2 2" xfId="8013" xr:uid="{00000000-0005-0000-0000-0000121F0000}"/>
    <cellStyle name="40% - Énfasis5 23 3" xfId="8014" xr:uid="{00000000-0005-0000-0000-0000131F0000}"/>
    <cellStyle name="40% - Énfasis5 23 3 2" xfId="8015" xr:uid="{00000000-0005-0000-0000-0000141F0000}"/>
    <cellStyle name="40% - Énfasis5 23 4" xfId="8016" xr:uid="{00000000-0005-0000-0000-0000151F0000}"/>
    <cellStyle name="40% - Énfasis5 23 4 2" xfId="8017" xr:uid="{00000000-0005-0000-0000-0000161F0000}"/>
    <cellStyle name="40% - Énfasis5 23 5" xfId="8018" xr:uid="{00000000-0005-0000-0000-0000171F0000}"/>
    <cellStyle name="40% - Énfasis5 23 6" xfId="8019" xr:uid="{00000000-0005-0000-0000-0000181F0000}"/>
    <cellStyle name="40% - Énfasis5 23 7" xfId="8020" xr:uid="{00000000-0005-0000-0000-0000191F0000}"/>
    <cellStyle name="40% - Énfasis5 23 8" xfId="8021" xr:uid="{00000000-0005-0000-0000-00001A1F0000}"/>
    <cellStyle name="40% - Énfasis5 23 9" xfId="8022" xr:uid="{00000000-0005-0000-0000-00001B1F0000}"/>
    <cellStyle name="40% - Énfasis5 24 10" xfId="8023" xr:uid="{00000000-0005-0000-0000-00001C1F0000}"/>
    <cellStyle name="40% - Énfasis5 24 11" xfId="8024" xr:uid="{00000000-0005-0000-0000-00001D1F0000}"/>
    <cellStyle name="40% - Énfasis5 24 12" xfId="8025" xr:uid="{00000000-0005-0000-0000-00001E1F0000}"/>
    <cellStyle name="40% - Énfasis5 24 13" xfId="8026" xr:uid="{00000000-0005-0000-0000-00001F1F0000}"/>
    <cellStyle name="40% - Énfasis5 24 14" xfId="8027" xr:uid="{00000000-0005-0000-0000-0000201F0000}"/>
    <cellStyle name="40% - Énfasis5 24 15" xfId="8028" xr:uid="{00000000-0005-0000-0000-0000211F0000}"/>
    <cellStyle name="40% - Énfasis5 24 16" xfId="8029" xr:uid="{00000000-0005-0000-0000-0000221F0000}"/>
    <cellStyle name="40% - Énfasis5 24 17" xfId="8030" xr:uid="{00000000-0005-0000-0000-0000231F0000}"/>
    <cellStyle name="40% - Énfasis5 24 18" xfId="8031" xr:uid="{00000000-0005-0000-0000-0000241F0000}"/>
    <cellStyle name="40% - Énfasis5 24 19" xfId="8032" xr:uid="{00000000-0005-0000-0000-0000251F0000}"/>
    <cellStyle name="40% - Énfasis5 24 2" xfId="8033" xr:uid="{00000000-0005-0000-0000-0000261F0000}"/>
    <cellStyle name="40% - Énfasis5 24 2 2" xfId="8034" xr:uid="{00000000-0005-0000-0000-0000271F0000}"/>
    <cellStyle name="40% - Énfasis5 24 3" xfId="8035" xr:uid="{00000000-0005-0000-0000-0000281F0000}"/>
    <cellStyle name="40% - Énfasis5 24 3 2" xfId="8036" xr:uid="{00000000-0005-0000-0000-0000291F0000}"/>
    <cellStyle name="40% - Énfasis5 24 4" xfId="8037" xr:uid="{00000000-0005-0000-0000-00002A1F0000}"/>
    <cellStyle name="40% - Énfasis5 24 4 2" xfId="8038" xr:uid="{00000000-0005-0000-0000-00002B1F0000}"/>
    <cellStyle name="40% - Énfasis5 24 5" xfId="8039" xr:uid="{00000000-0005-0000-0000-00002C1F0000}"/>
    <cellStyle name="40% - Énfasis5 24 6" xfId="8040" xr:uid="{00000000-0005-0000-0000-00002D1F0000}"/>
    <cellStyle name="40% - Énfasis5 24 7" xfId="8041" xr:uid="{00000000-0005-0000-0000-00002E1F0000}"/>
    <cellStyle name="40% - Énfasis5 24 8" xfId="8042" xr:uid="{00000000-0005-0000-0000-00002F1F0000}"/>
    <cellStyle name="40% - Énfasis5 24 9" xfId="8043" xr:uid="{00000000-0005-0000-0000-0000301F0000}"/>
    <cellStyle name="40% - Énfasis5 25 10" xfId="8044" xr:uid="{00000000-0005-0000-0000-0000311F0000}"/>
    <cellStyle name="40% - Énfasis5 25 11" xfId="8045" xr:uid="{00000000-0005-0000-0000-0000321F0000}"/>
    <cellStyle name="40% - Énfasis5 25 12" xfId="8046" xr:uid="{00000000-0005-0000-0000-0000331F0000}"/>
    <cellStyle name="40% - Énfasis5 25 13" xfId="8047" xr:uid="{00000000-0005-0000-0000-0000341F0000}"/>
    <cellStyle name="40% - Énfasis5 25 14" xfId="8048" xr:uid="{00000000-0005-0000-0000-0000351F0000}"/>
    <cellStyle name="40% - Énfasis5 25 15" xfId="8049" xr:uid="{00000000-0005-0000-0000-0000361F0000}"/>
    <cellStyle name="40% - Énfasis5 25 16" xfId="8050" xr:uid="{00000000-0005-0000-0000-0000371F0000}"/>
    <cellStyle name="40% - Énfasis5 25 17" xfId="8051" xr:uid="{00000000-0005-0000-0000-0000381F0000}"/>
    <cellStyle name="40% - Énfasis5 25 18" xfId="8052" xr:uid="{00000000-0005-0000-0000-0000391F0000}"/>
    <cellStyle name="40% - Énfasis5 25 19" xfId="8053" xr:uid="{00000000-0005-0000-0000-00003A1F0000}"/>
    <cellStyle name="40% - Énfasis5 25 2" xfId="8054" xr:uid="{00000000-0005-0000-0000-00003B1F0000}"/>
    <cellStyle name="40% - Énfasis5 25 2 2" xfId="8055" xr:uid="{00000000-0005-0000-0000-00003C1F0000}"/>
    <cellStyle name="40% - Énfasis5 25 3" xfId="8056" xr:uid="{00000000-0005-0000-0000-00003D1F0000}"/>
    <cellStyle name="40% - Énfasis5 25 3 2" xfId="8057" xr:uid="{00000000-0005-0000-0000-00003E1F0000}"/>
    <cellStyle name="40% - Énfasis5 25 4" xfId="8058" xr:uid="{00000000-0005-0000-0000-00003F1F0000}"/>
    <cellStyle name="40% - Énfasis5 25 4 2" xfId="8059" xr:uid="{00000000-0005-0000-0000-0000401F0000}"/>
    <cellStyle name="40% - Énfasis5 25 5" xfId="8060" xr:uid="{00000000-0005-0000-0000-0000411F0000}"/>
    <cellStyle name="40% - Énfasis5 25 6" xfId="8061" xr:uid="{00000000-0005-0000-0000-0000421F0000}"/>
    <cellStyle name="40% - Énfasis5 25 7" xfId="8062" xr:uid="{00000000-0005-0000-0000-0000431F0000}"/>
    <cellStyle name="40% - Énfasis5 25 8" xfId="8063" xr:uid="{00000000-0005-0000-0000-0000441F0000}"/>
    <cellStyle name="40% - Énfasis5 25 9" xfId="8064" xr:uid="{00000000-0005-0000-0000-0000451F0000}"/>
    <cellStyle name="40% - Énfasis5 26 10" xfId="8065" xr:uid="{00000000-0005-0000-0000-0000461F0000}"/>
    <cellStyle name="40% - Énfasis5 26 11" xfId="8066" xr:uid="{00000000-0005-0000-0000-0000471F0000}"/>
    <cellStyle name="40% - Énfasis5 26 12" xfId="8067" xr:uid="{00000000-0005-0000-0000-0000481F0000}"/>
    <cellStyle name="40% - Énfasis5 26 13" xfId="8068" xr:uid="{00000000-0005-0000-0000-0000491F0000}"/>
    <cellStyle name="40% - Énfasis5 26 14" xfId="8069" xr:uid="{00000000-0005-0000-0000-00004A1F0000}"/>
    <cellStyle name="40% - Énfasis5 26 15" xfId="8070" xr:uid="{00000000-0005-0000-0000-00004B1F0000}"/>
    <cellStyle name="40% - Énfasis5 26 16" xfId="8071" xr:uid="{00000000-0005-0000-0000-00004C1F0000}"/>
    <cellStyle name="40% - Énfasis5 26 17" xfId="8072" xr:uid="{00000000-0005-0000-0000-00004D1F0000}"/>
    <cellStyle name="40% - Énfasis5 26 18" xfId="8073" xr:uid="{00000000-0005-0000-0000-00004E1F0000}"/>
    <cellStyle name="40% - Énfasis5 26 19" xfId="8074" xr:uid="{00000000-0005-0000-0000-00004F1F0000}"/>
    <cellStyle name="40% - Énfasis5 26 2" xfId="8075" xr:uid="{00000000-0005-0000-0000-0000501F0000}"/>
    <cellStyle name="40% - Énfasis5 26 2 2" xfId="8076" xr:uid="{00000000-0005-0000-0000-0000511F0000}"/>
    <cellStyle name="40% - Énfasis5 26 3" xfId="8077" xr:uid="{00000000-0005-0000-0000-0000521F0000}"/>
    <cellStyle name="40% - Énfasis5 26 3 2" xfId="8078" xr:uid="{00000000-0005-0000-0000-0000531F0000}"/>
    <cellStyle name="40% - Énfasis5 26 4" xfId="8079" xr:uid="{00000000-0005-0000-0000-0000541F0000}"/>
    <cellStyle name="40% - Énfasis5 26 4 2" xfId="8080" xr:uid="{00000000-0005-0000-0000-0000551F0000}"/>
    <cellStyle name="40% - Énfasis5 26 5" xfId="8081" xr:uid="{00000000-0005-0000-0000-0000561F0000}"/>
    <cellStyle name="40% - Énfasis5 26 6" xfId="8082" xr:uid="{00000000-0005-0000-0000-0000571F0000}"/>
    <cellStyle name="40% - Énfasis5 26 7" xfId="8083" xr:uid="{00000000-0005-0000-0000-0000581F0000}"/>
    <cellStyle name="40% - Énfasis5 26 8" xfId="8084" xr:uid="{00000000-0005-0000-0000-0000591F0000}"/>
    <cellStyle name="40% - Énfasis5 26 9" xfId="8085" xr:uid="{00000000-0005-0000-0000-00005A1F0000}"/>
    <cellStyle name="40% - Énfasis5 27 10" xfId="8086" xr:uid="{00000000-0005-0000-0000-00005B1F0000}"/>
    <cellStyle name="40% - Énfasis5 27 11" xfId="8087" xr:uid="{00000000-0005-0000-0000-00005C1F0000}"/>
    <cellStyle name="40% - Énfasis5 27 12" xfId="8088" xr:uid="{00000000-0005-0000-0000-00005D1F0000}"/>
    <cellStyle name="40% - Énfasis5 27 13" xfId="8089" xr:uid="{00000000-0005-0000-0000-00005E1F0000}"/>
    <cellStyle name="40% - Énfasis5 27 14" xfId="8090" xr:uid="{00000000-0005-0000-0000-00005F1F0000}"/>
    <cellStyle name="40% - Énfasis5 27 15" xfId="8091" xr:uid="{00000000-0005-0000-0000-0000601F0000}"/>
    <cellStyle name="40% - Énfasis5 27 16" xfId="8092" xr:uid="{00000000-0005-0000-0000-0000611F0000}"/>
    <cellStyle name="40% - Énfasis5 27 17" xfId="8093" xr:uid="{00000000-0005-0000-0000-0000621F0000}"/>
    <cellStyle name="40% - Énfasis5 27 18" xfId="8094" xr:uid="{00000000-0005-0000-0000-0000631F0000}"/>
    <cellStyle name="40% - Énfasis5 27 19" xfId="8095" xr:uid="{00000000-0005-0000-0000-0000641F0000}"/>
    <cellStyle name="40% - Énfasis5 27 2" xfId="8096" xr:uid="{00000000-0005-0000-0000-0000651F0000}"/>
    <cellStyle name="40% - Énfasis5 27 2 2" xfId="8097" xr:uid="{00000000-0005-0000-0000-0000661F0000}"/>
    <cellStyle name="40% - Énfasis5 27 3" xfId="8098" xr:uid="{00000000-0005-0000-0000-0000671F0000}"/>
    <cellStyle name="40% - Énfasis5 27 3 2" xfId="8099" xr:uid="{00000000-0005-0000-0000-0000681F0000}"/>
    <cellStyle name="40% - Énfasis5 27 4" xfId="8100" xr:uid="{00000000-0005-0000-0000-0000691F0000}"/>
    <cellStyle name="40% - Énfasis5 27 4 2" xfId="8101" xr:uid="{00000000-0005-0000-0000-00006A1F0000}"/>
    <cellStyle name="40% - Énfasis5 27 5" xfId="8102" xr:uid="{00000000-0005-0000-0000-00006B1F0000}"/>
    <cellStyle name="40% - Énfasis5 27 6" xfId="8103" xr:uid="{00000000-0005-0000-0000-00006C1F0000}"/>
    <cellStyle name="40% - Énfasis5 27 7" xfId="8104" xr:uid="{00000000-0005-0000-0000-00006D1F0000}"/>
    <cellStyle name="40% - Énfasis5 27 8" xfId="8105" xr:uid="{00000000-0005-0000-0000-00006E1F0000}"/>
    <cellStyle name="40% - Énfasis5 27 9" xfId="8106" xr:uid="{00000000-0005-0000-0000-00006F1F0000}"/>
    <cellStyle name="40% - Énfasis5 28 10" xfId="8107" xr:uid="{00000000-0005-0000-0000-0000701F0000}"/>
    <cellStyle name="40% - Énfasis5 28 11" xfId="8108" xr:uid="{00000000-0005-0000-0000-0000711F0000}"/>
    <cellStyle name="40% - Énfasis5 28 12" xfId="8109" xr:uid="{00000000-0005-0000-0000-0000721F0000}"/>
    <cellStyle name="40% - Énfasis5 28 13" xfId="8110" xr:uid="{00000000-0005-0000-0000-0000731F0000}"/>
    <cellStyle name="40% - Énfasis5 28 14" xfId="8111" xr:uid="{00000000-0005-0000-0000-0000741F0000}"/>
    <cellStyle name="40% - Énfasis5 28 15" xfId="8112" xr:uid="{00000000-0005-0000-0000-0000751F0000}"/>
    <cellStyle name="40% - Énfasis5 28 16" xfId="8113" xr:uid="{00000000-0005-0000-0000-0000761F0000}"/>
    <cellStyle name="40% - Énfasis5 28 17" xfId="8114" xr:uid="{00000000-0005-0000-0000-0000771F0000}"/>
    <cellStyle name="40% - Énfasis5 28 18" xfId="8115" xr:uid="{00000000-0005-0000-0000-0000781F0000}"/>
    <cellStyle name="40% - Énfasis5 28 19" xfId="8116" xr:uid="{00000000-0005-0000-0000-0000791F0000}"/>
    <cellStyle name="40% - Énfasis5 28 2" xfId="8117" xr:uid="{00000000-0005-0000-0000-00007A1F0000}"/>
    <cellStyle name="40% - Énfasis5 28 2 2" xfId="8118" xr:uid="{00000000-0005-0000-0000-00007B1F0000}"/>
    <cellStyle name="40% - Énfasis5 28 3" xfId="8119" xr:uid="{00000000-0005-0000-0000-00007C1F0000}"/>
    <cellStyle name="40% - Énfasis5 28 3 2" xfId="8120" xr:uid="{00000000-0005-0000-0000-00007D1F0000}"/>
    <cellStyle name="40% - Énfasis5 28 4" xfId="8121" xr:uid="{00000000-0005-0000-0000-00007E1F0000}"/>
    <cellStyle name="40% - Énfasis5 28 4 2" xfId="8122" xr:uid="{00000000-0005-0000-0000-00007F1F0000}"/>
    <cellStyle name="40% - Énfasis5 28 5" xfId="8123" xr:uid="{00000000-0005-0000-0000-0000801F0000}"/>
    <cellStyle name="40% - Énfasis5 28 6" xfId="8124" xr:uid="{00000000-0005-0000-0000-0000811F0000}"/>
    <cellStyle name="40% - Énfasis5 28 7" xfId="8125" xr:uid="{00000000-0005-0000-0000-0000821F0000}"/>
    <cellStyle name="40% - Énfasis5 28 8" xfId="8126" xr:uid="{00000000-0005-0000-0000-0000831F0000}"/>
    <cellStyle name="40% - Énfasis5 28 9" xfId="8127" xr:uid="{00000000-0005-0000-0000-0000841F0000}"/>
    <cellStyle name="40% - Énfasis5 29 10" xfId="8128" xr:uid="{00000000-0005-0000-0000-0000851F0000}"/>
    <cellStyle name="40% - Énfasis5 29 11" xfId="8129" xr:uid="{00000000-0005-0000-0000-0000861F0000}"/>
    <cellStyle name="40% - Énfasis5 29 12" xfId="8130" xr:uid="{00000000-0005-0000-0000-0000871F0000}"/>
    <cellStyle name="40% - Énfasis5 29 13" xfId="8131" xr:uid="{00000000-0005-0000-0000-0000881F0000}"/>
    <cellStyle name="40% - Énfasis5 29 14" xfId="8132" xr:uid="{00000000-0005-0000-0000-0000891F0000}"/>
    <cellStyle name="40% - Énfasis5 29 15" xfId="8133" xr:uid="{00000000-0005-0000-0000-00008A1F0000}"/>
    <cellStyle name="40% - Énfasis5 29 16" xfId="8134" xr:uid="{00000000-0005-0000-0000-00008B1F0000}"/>
    <cellStyle name="40% - Énfasis5 29 17" xfId="8135" xr:uid="{00000000-0005-0000-0000-00008C1F0000}"/>
    <cellStyle name="40% - Énfasis5 29 18" xfId="8136" xr:uid="{00000000-0005-0000-0000-00008D1F0000}"/>
    <cellStyle name="40% - Énfasis5 29 19" xfId="8137" xr:uid="{00000000-0005-0000-0000-00008E1F0000}"/>
    <cellStyle name="40% - Énfasis5 29 2" xfId="8138" xr:uid="{00000000-0005-0000-0000-00008F1F0000}"/>
    <cellStyle name="40% - Énfasis5 29 2 2" xfId="8139" xr:uid="{00000000-0005-0000-0000-0000901F0000}"/>
    <cellStyle name="40% - Énfasis5 29 3" xfId="8140" xr:uid="{00000000-0005-0000-0000-0000911F0000}"/>
    <cellStyle name="40% - Énfasis5 29 3 2" xfId="8141" xr:uid="{00000000-0005-0000-0000-0000921F0000}"/>
    <cellStyle name="40% - Énfasis5 29 4" xfId="8142" xr:uid="{00000000-0005-0000-0000-0000931F0000}"/>
    <cellStyle name="40% - Énfasis5 29 4 2" xfId="8143" xr:uid="{00000000-0005-0000-0000-0000941F0000}"/>
    <cellStyle name="40% - Énfasis5 29 5" xfId="8144" xr:uid="{00000000-0005-0000-0000-0000951F0000}"/>
    <cellStyle name="40% - Énfasis5 29 6" xfId="8145" xr:uid="{00000000-0005-0000-0000-0000961F0000}"/>
    <cellStyle name="40% - Énfasis5 29 7" xfId="8146" xr:uid="{00000000-0005-0000-0000-0000971F0000}"/>
    <cellStyle name="40% - Énfasis5 29 8" xfId="8147" xr:uid="{00000000-0005-0000-0000-0000981F0000}"/>
    <cellStyle name="40% - Énfasis5 29 9" xfId="8148" xr:uid="{00000000-0005-0000-0000-0000991F0000}"/>
    <cellStyle name="40% - Énfasis5 3 10" xfId="8149" xr:uid="{00000000-0005-0000-0000-00009A1F0000}"/>
    <cellStyle name="40% - Énfasis5 3 11" xfId="8150" xr:uid="{00000000-0005-0000-0000-00009B1F0000}"/>
    <cellStyle name="40% - Énfasis5 3 12" xfId="8151" xr:uid="{00000000-0005-0000-0000-00009C1F0000}"/>
    <cellStyle name="40% - Énfasis5 3 13" xfId="8152" xr:uid="{00000000-0005-0000-0000-00009D1F0000}"/>
    <cellStyle name="40% - Énfasis5 3 14" xfId="8153" xr:uid="{00000000-0005-0000-0000-00009E1F0000}"/>
    <cellStyle name="40% - Énfasis5 3 15" xfId="8154" xr:uid="{00000000-0005-0000-0000-00009F1F0000}"/>
    <cellStyle name="40% - Énfasis5 3 16" xfId="8155" xr:uid="{00000000-0005-0000-0000-0000A01F0000}"/>
    <cellStyle name="40% - Énfasis5 3 17" xfId="8156" xr:uid="{00000000-0005-0000-0000-0000A11F0000}"/>
    <cellStyle name="40% - Énfasis5 3 18" xfId="8157" xr:uid="{00000000-0005-0000-0000-0000A21F0000}"/>
    <cellStyle name="40% - Énfasis5 3 19" xfId="8158" xr:uid="{00000000-0005-0000-0000-0000A31F0000}"/>
    <cellStyle name="40% - Énfasis5 3 2" xfId="8159" xr:uid="{00000000-0005-0000-0000-0000A41F0000}"/>
    <cellStyle name="40% - Énfasis5 3 2 2" xfId="8160" xr:uid="{00000000-0005-0000-0000-0000A51F0000}"/>
    <cellStyle name="40% - Énfasis5 3 3" xfId="8161" xr:uid="{00000000-0005-0000-0000-0000A61F0000}"/>
    <cellStyle name="40% - Énfasis5 3 3 2" xfId="8162" xr:uid="{00000000-0005-0000-0000-0000A71F0000}"/>
    <cellStyle name="40% - Énfasis5 3 4" xfId="8163" xr:uid="{00000000-0005-0000-0000-0000A81F0000}"/>
    <cellStyle name="40% - Énfasis5 3 4 2" xfId="8164" xr:uid="{00000000-0005-0000-0000-0000A91F0000}"/>
    <cellStyle name="40% - Énfasis5 3 5" xfId="8165" xr:uid="{00000000-0005-0000-0000-0000AA1F0000}"/>
    <cellStyle name="40% - Énfasis5 3 6" xfId="8166" xr:uid="{00000000-0005-0000-0000-0000AB1F0000}"/>
    <cellStyle name="40% - Énfasis5 3 7" xfId="8167" xr:uid="{00000000-0005-0000-0000-0000AC1F0000}"/>
    <cellStyle name="40% - Énfasis5 3 8" xfId="8168" xr:uid="{00000000-0005-0000-0000-0000AD1F0000}"/>
    <cellStyle name="40% - Énfasis5 3 9" xfId="8169" xr:uid="{00000000-0005-0000-0000-0000AE1F0000}"/>
    <cellStyle name="40% - Énfasis5 30 10" xfId="8170" xr:uid="{00000000-0005-0000-0000-0000AF1F0000}"/>
    <cellStyle name="40% - Énfasis5 30 11" xfId="8171" xr:uid="{00000000-0005-0000-0000-0000B01F0000}"/>
    <cellStyle name="40% - Énfasis5 30 12" xfId="8172" xr:uid="{00000000-0005-0000-0000-0000B11F0000}"/>
    <cellStyle name="40% - Énfasis5 30 13" xfId="8173" xr:uid="{00000000-0005-0000-0000-0000B21F0000}"/>
    <cellStyle name="40% - Énfasis5 30 14" xfId="8174" xr:uid="{00000000-0005-0000-0000-0000B31F0000}"/>
    <cellStyle name="40% - Énfasis5 30 15" xfId="8175" xr:uid="{00000000-0005-0000-0000-0000B41F0000}"/>
    <cellStyle name="40% - Énfasis5 30 16" xfId="8176" xr:uid="{00000000-0005-0000-0000-0000B51F0000}"/>
    <cellStyle name="40% - Énfasis5 30 17" xfId="8177" xr:uid="{00000000-0005-0000-0000-0000B61F0000}"/>
    <cellStyle name="40% - Énfasis5 30 18" xfId="8178" xr:uid="{00000000-0005-0000-0000-0000B71F0000}"/>
    <cellStyle name="40% - Énfasis5 30 19" xfId="8179" xr:uid="{00000000-0005-0000-0000-0000B81F0000}"/>
    <cellStyle name="40% - Énfasis5 30 2" xfId="8180" xr:uid="{00000000-0005-0000-0000-0000B91F0000}"/>
    <cellStyle name="40% - Énfasis5 30 2 2" xfId="8181" xr:uid="{00000000-0005-0000-0000-0000BA1F0000}"/>
    <cellStyle name="40% - Énfasis5 30 3" xfId="8182" xr:uid="{00000000-0005-0000-0000-0000BB1F0000}"/>
    <cellStyle name="40% - Énfasis5 30 3 2" xfId="8183" xr:uid="{00000000-0005-0000-0000-0000BC1F0000}"/>
    <cellStyle name="40% - Énfasis5 30 4" xfId="8184" xr:uid="{00000000-0005-0000-0000-0000BD1F0000}"/>
    <cellStyle name="40% - Énfasis5 30 4 2" xfId="8185" xr:uid="{00000000-0005-0000-0000-0000BE1F0000}"/>
    <cellStyle name="40% - Énfasis5 30 5" xfId="8186" xr:uid="{00000000-0005-0000-0000-0000BF1F0000}"/>
    <cellStyle name="40% - Énfasis5 30 6" xfId="8187" xr:uid="{00000000-0005-0000-0000-0000C01F0000}"/>
    <cellStyle name="40% - Énfasis5 30 7" xfId="8188" xr:uid="{00000000-0005-0000-0000-0000C11F0000}"/>
    <cellStyle name="40% - Énfasis5 30 8" xfId="8189" xr:uid="{00000000-0005-0000-0000-0000C21F0000}"/>
    <cellStyle name="40% - Énfasis5 30 9" xfId="8190" xr:uid="{00000000-0005-0000-0000-0000C31F0000}"/>
    <cellStyle name="40% - Énfasis5 31 10" xfId="8191" xr:uid="{00000000-0005-0000-0000-0000C41F0000}"/>
    <cellStyle name="40% - Énfasis5 31 11" xfId="8192" xr:uid="{00000000-0005-0000-0000-0000C51F0000}"/>
    <cellStyle name="40% - Énfasis5 31 12" xfId="8193" xr:uid="{00000000-0005-0000-0000-0000C61F0000}"/>
    <cellStyle name="40% - Énfasis5 31 13" xfId="8194" xr:uid="{00000000-0005-0000-0000-0000C71F0000}"/>
    <cellStyle name="40% - Énfasis5 31 14" xfId="8195" xr:uid="{00000000-0005-0000-0000-0000C81F0000}"/>
    <cellStyle name="40% - Énfasis5 31 15" xfId="8196" xr:uid="{00000000-0005-0000-0000-0000C91F0000}"/>
    <cellStyle name="40% - Énfasis5 31 16" xfId="8197" xr:uid="{00000000-0005-0000-0000-0000CA1F0000}"/>
    <cellStyle name="40% - Énfasis5 31 17" xfId="8198" xr:uid="{00000000-0005-0000-0000-0000CB1F0000}"/>
    <cellStyle name="40% - Énfasis5 31 18" xfId="8199" xr:uid="{00000000-0005-0000-0000-0000CC1F0000}"/>
    <cellStyle name="40% - Énfasis5 31 19" xfId="8200" xr:uid="{00000000-0005-0000-0000-0000CD1F0000}"/>
    <cellStyle name="40% - Énfasis5 31 2" xfId="8201" xr:uid="{00000000-0005-0000-0000-0000CE1F0000}"/>
    <cellStyle name="40% - Énfasis5 31 2 2" xfId="8202" xr:uid="{00000000-0005-0000-0000-0000CF1F0000}"/>
    <cellStyle name="40% - Énfasis5 31 3" xfId="8203" xr:uid="{00000000-0005-0000-0000-0000D01F0000}"/>
    <cellStyle name="40% - Énfasis5 31 3 2" xfId="8204" xr:uid="{00000000-0005-0000-0000-0000D11F0000}"/>
    <cellStyle name="40% - Énfasis5 31 4" xfId="8205" xr:uid="{00000000-0005-0000-0000-0000D21F0000}"/>
    <cellStyle name="40% - Énfasis5 31 4 2" xfId="8206" xr:uid="{00000000-0005-0000-0000-0000D31F0000}"/>
    <cellStyle name="40% - Énfasis5 31 5" xfId="8207" xr:uid="{00000000-0005-0000-0000-0000D41F0000}"/>
    <cellStyle name="40% - Énfasis5 31 6" xfId="8208" xr:uid="{00000000-0005-0000-0000-0000D51F0000}"/>
    <cellStyle name="40% - Énfasis5 31 7" xfId="8209" xr:uid="{00000000-0005-0000-0000-0000D61F0000}"/>
    <cellStyle name="40% - Énfasis5 31 8" xfId="8210" xr:uid="{00000000-0005-0000-0000-0000D71F0000}"/>
    <cellStyle name="40% - Énfasis5 31 9" xfId="8211" xr:uid="{00000000-0005-0000-0000-0000D81F0000}"/>
    <cellStyle name="40% - Énfasis5 32 10" xfId="8212" xr:uid="{00000000-0005-0000-0000-0000D91F0000}"/>
    <cellStyle name="40% - Énfasis5 32 11" xfId="8213" xr:uid="{00000000-0005-0000-0000-0000DA1F0000}"/>
    <cellStyle name="40% - Énfasis5 32 12" xfId="8214" xr:uid="{00000000-0005-0000-0000-0000DB1F0000}"/>
    <cellStyle name="40% - Énfasis5 32 13" xfId="8215" xr:uid="{00000000-0005-0000-0000-0000DC1F0000}"/>
    <cellStyle name="40% - Énfasis5 32 14" xfId="8216" xr:uid="{00000000-0005-0000-0000-0000DD1F0000}"/>
    <cellStyle name="40% - Énfasis5 32 15" xfId="8217" xr:uid="{00000000-0005-0000-0000-0000DE1F0000}"/>
    <cellStyle name="40% - Énfasis5 32 16" xfId="8218" xr:uid="{00000000-0005-0000-0000-0000DF1F0000}"/>
    <cellStyle name="40% - Énfasis5 32 17" xfId="8219" xr:uid="{00000000-0005-0000-0000-0000E01F0000}"/>
    <cellStyle name="40% - Énfasis5 32 18" xfId="8220" xr:uid="{00000000-0005-0000-0000-0000E11F0000}"/>
    <cellStyle name="40% - Énfasis5 32 19" xfId="8221" xr:uid="{00000000-0005-0000-0000-0000E21F0000}"/>
    <cellStyle name="40% - Énfasis5 32 2" xfId="8222" xr:uid="{00000000-0005-0000-0000-0000E31F0000}"/>
    <cellStyle name="40% - Énfasis5 32 2 2" xfId="8223" xr:uid="{00000000-0005-0000-0000-0000E41F0000}"/>
    <cellStyle name="40% - Énfasis5 32 3" xfId="8224" xr:uid="{00000000-0005-0000-0000-0000E51F0000}"/>
    <cellStyle name="40% - Énfasis5 32 3 2" xfId="8225" xr:uid="{00000000-0005-0000-0000-0000E61F0000}"/>
    <cellStyle name="40% - Énfasis5 32 4" xfId="8226" xr:uid="{00000000-0005-0000-0000-0000E71F0000}"/>
    <cellStyle name="40% - Énfasis5 32 4 2" xfId="8227" xr:uid="{00000000-0005-0000-0000-0000E81F0000}"/>
    <cellStyle name="40% - Énfasis5 32 5" xfId="8228" xr:uid="{00000000-0005-0000-0000-0000E91F0000}"/>
    <cellStyle name="40% - Énfasis5 32 6" xfId="8229" xr:uid="{00000000-0005-0000-0000-0000EA1F0000}"/>
    <cellStyle name="40% - Énfasis5 32 7" xfId="8230" xr:uid="{00000000-0005-0000-0000-0000EB1F0000}"/>
    <cellStyle name="40% - Énfasis5 32 8" xfId="8231" xr:uid="{00000000-0005-0000-0000-0000EC1F0000}"/>
    <cellStyle name="40% - Énfasis5 32 9" xfId="8232" xr:uid="{00000000-0005-0000-0000-0000ED1F0000}"/>
    <cellStyle name="40% - Énfasis5 33 10" xfId="8233" xr:uid="{00000000-0005-0000-0000-0000EE1F0000}"/>
    <cellStyle name="40% - Énfasis5 33 11" xfId="8234" xr:uid="{00000000-0005-0000-0000-0000EF1F0000}"/>
    <cellStyle name="40% - Énfasis5 33 12" xfId="8235" xr:uid="{00000000-0005-0000-0000-0000F01F0000}"/>
    <cellStyle name="40% - Énfasis5 33 13" xfId="8236" xr:uid="{00000000-0005-0000-0000-0000F11F0000}"/>
    <cellStyle name="40% - Énfasis5 33 14" xfId="8237" xr:uid="{00000000-0005-0000-0000-0000F21F0000}"/>
    <cellStyle name="40% - Énfasis5 33 15" xfId="8238" xr:uid="{00000000-0005-0000-0000-0000F31F0000}"/>
    <cellStyle name="40% - Énfasis5 33 16" xfId="8239" xr:uid="{00000000-0005-0000-0000-0000F41F0000}"/>
    <cellStyle name="40% - Énfasis5 33 17" xfId="8240" xr:uid="{00000000-0005-0000-0000-0000F51F0000}"/>
    <cellStyle name="40% - Énfasis5 33 18" xfId="8241" xr:uid="{00000000-0005-0000-0000-0000F61F0000}"/>
    <cellStyle name="40% - Énfasis5 33 19" xfId="8242" xr:uid="{00000000-0005-0000-0000-0000F71F0000}"/>
    <cellStyle name="40% - Énfasis5 33 2" xfId="8243" xr:uid="{00000000-0005-0000-0000-0000F81F0000}"/>
    <cellStyle name="40% - Énfasis5 33 2 2" xfId="8244" xr:uid="{00000000-0005-0000-0000-0000F91F0000}"/>
    <cellStyle name="40% - Énfasis5 33 3" xfId="8245" xr:uid="{00000000-0005-0000-0000-0000FA1F0000}"/>
    <cellStyle name="40% - Énfasis5 33 3 2" xfId="8246" xr:uid="{00000000-0005-0000-0000-0000FB1F0000}"/>
    <cellStyle name="40% - Énfasis5 33 4" xfId="8247" xr:uid="{00000000-0005-0000-0000-0000FC1F0000}"/>
    <cellStyle name="40% - Énfasis5 33 4 2" xfId="8248" xr:uid="{00000000-0005-0000-0000-0000FD1F0000}"/>
    <cellStyle name="40% - Énfasis5 33 5" xfId="8249" xr:uid="{00000000-0005-0000-0000-0000FE1F0000}"/>
    <cellStyle name="40% - Énfasis5 33 6" xfId="8250" xr:uid="{00000000-0005-0000-0000-0000FF1F0000}"/>
    <cellStyle name="40% - Énfasis5 33 7" xfId="8251" xr:uid="{00000000-0005-0000-0000-000000200000}"/>
    <cellStyle name="40% - Énfasis5 33 8" xfId="8252" xr:uid="{00000000-0005-0000-0000-000001200000}"/>
    <cellStyle name="40% - Énfasis5 33 9" xfId="8253" xr:uid="{00000000-0005-0000-0000-000002200000}"/>
    <cellStyle name="40% - Énfasis5 34 10" xfId="8254" xr:uid="{00000000-0005-0000-0000-000003200000}"/>
    <cellStyle name="40% - Énfasis5 34 11" xfId="8255" xr:uid="{00000000-0005-0000-0000-000004200000}"/>
    <cellStyle name="40% - Énfasis5 34 12" xfId="8256" xr:uid="{00000000-0005-0000-0000-000005200000}"/>
    <cellStyle name="40% - Énfasis5 34 13" xfId="8257" xr:uid="{00000000-0005-0000-0000-000006200000}"/>
    <cellStyle name="40% - Énfasis5 34 14" xfId="8258" xr:uid="{00000000-0005-0000-0000-000007200000}"/>
    <cellStyle name="40% - Énfasis5 34 15" xfId="8259" xr:uid="{00000000-0005-0000-0000-000008200000}"/>
    <cellStyle name="40% - Énfasis5 34 16" xfId="8260" xr:uid="{00000000-0005-0000-0000-000009200000}"/>
    <cellStyle name="40% - Énfasis5 34 17" xfId="8261" xr:uid="{00000000-0005-0000-0000-00000A200000}"/>
    <cellStyle name="40% - Énfasis5 34 18" xfId="8262" xr:uid="{00000000-0005-0000-0000-00000B200000}"/>
    <cellStyle name="40% - Énfasis5 34 19" xfId="8263" xr:uid="{00000000-0005-0000-0000-00000C200000}"/>
    <cellStyle name="40% - Énfasis5 34 2" xfId="8264" xr:uid="{00000000-0005-0000-0000-00000D200000}"/>
    <cellStyle name="40% - Énfasis5 34 2 2" xfId="8265" xr:uid="{00000000-0005-0000-0000-00000E200000}"/>
    <cellStyle name="40% - Énfasis5 34 3" xfId="8266" xr:uid="{00000000-0005-0000-0000-00000F200000}"/>
    <cellStyle name="40% - Énfasis5 34 3 2" xfId="8267" xr:uid="{00000000-0005-0000-0000-000010200000}"/>
    <cellStyle name="40% - Énfasis5 34 4" xfId="8268" xr:uid="{00000000-0005-0000-0000-000011200000}"/>
    <cellStyle name="40% - Énfasis5 34 4 2" xfId="8269" xr:uid="{00000000-0005-0000-0000-000012200000}"/>
    <cellStyle name="40% - Énfasis5 34 5" xfId="8270" xr:uid="{00000000-0005-0000-0000-000013200000}"/>
    <cellStyle name="40% - Énfasis5 34 6" xfId="8271" xr:uid="{00000000-0005-0000-0000-000014200000}"/>
    <cellStyle name="40% - Énfasis5 34 7" xfId="8272" xr:uid="{00000000-0005-0000-0000-000015200000}"/>
    <cellStyle name="40% - Énfasis5 34 8" xfId="8273" xr:uid="{00000000-0005-0000-0000-000016200000}"/>
    <cellStyle name="40% - Énfasis5 34 9" xfId="8274" xr:uid="{00000000-0005-0000-0000-000017200000}"/>
    <cellStyle name="40% - Énfasis5 35 10" xfId="8275" xr:uid="{00000000-0005-0000-0000-000018200000}"/>
    <cellStyle name="40% - Énfasis5 35 11" xfId="8276" xr:uid="{00000000-0005-0000-0000-000019200000}"/>
    <cellStyle name="40% - Énfasis5 35 12" xfId="8277" xr:uid="{00000000-0005-0000-0000-00001A200000}"/>
    <cellStyle name="40% - Énfasis5 35 13" xfId="8278" xr:uid="{00000000-0005-0000-0000-00001B200000}"/>
    <cellStyle name="40% - Énfasis5 35 14" xfId="8279" xr:uid="{00000000-0005-0000-0000-00001C200000}"/>
    <cellStyle name="40% - Énfasis5 35 15" xfId="8280" xr:uid="{00000000-0005-0000-0000-00001D200000}"/>
    <cellStyle name="40% - Énfasis5 35 16" xfId="8281" xr:uid="{00000000-0005-0000-0000-00001E200000}"/>
    <cellStyle name="40% - Énfasis5 35 17" xfId="8282" xr:uid="{00000000-0005-0000-0000-00001F200000}"/>
    <cellStyle name="40% - Énfasis5 35 18" xfId="8283" xr:uid="{00000000-0005-0000-0000-000020200000}"/>
    <cellStyle name="40% - Énfasis5 35 19" xfId="8284" xr:uid="{00000000-0005-0000-0000-000021200000}"/>
    <cellStyle name="40% - Énfasis5 35 2" xfId="8285" xr:uid="{00000000-0005-0000-0000-000022200000}"/>
    <cellStyle name="40% - Énfasis5 35 2 2" xfId="8286" xr:uid="{00000000-0005-0000-0000-000023200000}"/>
    <cellStyle name="40% - Énfasis5 35 3" xfId="8287" xr:uid="{00000000-0005-0000-0000-000024200000}"/>
    <cellStyle name="40% - Énfasis5 35 3 2" xfId="8288" xr:uid="{00000000-0005-0000-0000-000025200000}"/>
    <cellStyle name="40% - Énfasis5 35 4" xfId="8289" xr:uid="{00000000-0005-0000-0000-000026200000}"/>
    <cellStyle name="40% - Énfasis5 35 4 2" xfId="8290" xr:uid="{00000000-0005-0000-0000-000027200000}"/>
    <cellStyle name="40% - Énfasis5 35 5" xfId="8291" xr:uid="{00000000-0005-0000-0000-000028200000}"/>
    <cellStyle name="40% - Énfasis5 35 6" xfId="8292" xr:uid="{00000000-0005-0000-0000-000029200000}"/>
    <cellStyle name="40% - Énfasis5 35 7" xfId="8293" xr:uid="{00000000-0005-0000-0000-00002A200000}"/>
    <cellStyle name="40% - Énfasis5 35 8" xfId="8294" xr:uid="{00000000-0005-0000-0000-00002B200000}"/>
    <cellStyle name="40% - Énfasis5 35 9" xfId="8295" xr:uid="{00000000-0005-0000-0000-00002C200000}"/>
    <cellStyle name="40% - Énfasis5 36 10" xfId="8296" xr:uid="{00000000-0005-0000-0000-00002D200000}"/>
    <cellStyle name="40% - Énfasis5 36 11" xfId="8297" xr:uid="{00000000-0005-0000-0000-00002E200000}"/>
    <cellStyle name="40% - Énfasis5 36 12" xfId="8298" xr:uid="{00000000-0005-0000-0000-00002F200000}"/>
    <cellStyle name="40% - Énfasis5 36 13" xfId="8299" xr:uid="{00000000-0005-0000-0000-000030200000}"/>
    <cellStyle name="40% - Énfasis5 36 14" xfId="8300" xr:uid="{00000000-0005-0000-0000-000031200000}"/>
    <cellStyle name="40% - Énfasis5 36 15" xfId="8301" xr:uid="{00000000-0005-0000-0000-000032200000}"/>
    <cellStyle name="40% - Énfasis5 36 16" xfId="8302" xr:uid="{00000000-0005-0000-0000-000033200000}"/>
    <cellStyle name="40% - Énfasis5 36 17" xfId="8303" xr:uid="{00000000-0005-0000-0000-000034200000}"/>
    <cellStyle name="40% - Énfasis5 36 18" xfId="8304" xr:uid="{00000000-0005-0000-0000-000035200000}"/>
    <cellStyle name="40% - Énfasis5 36 19" xfId="8305" xr:uid="{00000000-0005-0000-0000-000036200000}"/>
    <cellStyle name="40% - Énfasis5 36 2" xfId="8306" xr:uid="{00000000-0005-0000-0000-000037200000}"/>
    <cellStyle name="40% - Énfasis5 36 2 2" xfId="8307" xr:uid="{00000000-0005-0000-0000-000038200000}"/>
    <cellStyle name="40% - Énfasis5 36 3" xfId="8308" xr:uid="{00000000-0005-0000-0000-000039200000}"/>
    <cellStyle name="40% - Énfasis5 36 3 2" xfId="8309" xr:uid="{00000000-0005-0000-0000-00003A200000}"/>
    <cellStyle name="40% - Énfasis5 36 4" xfId="8310" xr:uid="{00000000-0005-0000-0000-00003B200000}"/>
    <cellStyle name="40% - Énfasis5 36 4 2" xfId="8311" xr:uid="{00000000-0005-0000-0000-00003C200000}"/>
    <cellStyle name="40% - Énfasis5 36 5" xfId="8312" xr:uid="{00000000-0005-0000-0000-00003D200000}"/>
    <cellStyle name="40% - Énfasis5 36 6" xfId="8313" xr:uid="{00000000-0005-0000-0000-00003E200000}"/>
    <cellStyle name="40% - Énfasis5 36 7" xfId="8314" xr:uid="{00000000-0005-0000-0000-00003F200000}"/>
    <cellStyle name="40% - Énfasis5 36 8" xfId="8315" xr:uid="{00000000-0005-0000-0000-000040200000}"/>
    <cellStyle name="40% - Énfasis5 36 9" xfId="8316" xr:uid="{00000000-0005-0000-0000-000041200000}"/>
    <cellStyle name="40% - Énfasis5 37 10" xfId="8317" xr:uid="{00000000-0005-0000-0000-000042200000}"/>
    <cellStyle name="40% - Énfasis5 37 11" xfId="8318" xr:uid="{00000000-0005-0000-0000-000043200000}"/>
    <cellStyle name="40% - Énfasis5 37 12" xfId="8319" xr:uid="{00000000-0005-0000-0000-000044200000}"/>
    <cellStyle name="40% - Énfasis5 37 13" xfId="8320" xr:uid="{00000000-0005-0000-0000-000045200000}"/>
    <cellStyle name="40% - Énfasis5 37 14" xfId="8321" xr:uid="{00000000-0005-0000-0000-000046200000}"/>
    <cellStyle name="40% - Énfasis5 37 15" xfId="8322" xr:uid="{00000000-0005-0000-0000-000047200000}"/>
    <cellStyle name="40% - Énfasis5 37 16" xfId="8323" xr:uid="{00000000-0005-0000-0000-000048200000}"/>
    <cellStyle name="40% - Énfasis5 37 17" xfId="8324" xr:uid="{00000000-0005-0000-0000-000049200000}"/>
    <cellStyle name="40% - Énfasis5 37 18" xfId="8325" xr:uid="{00000000-0005-0000-0000-00004A200000}"/>
    <cellStyle name="40% - Énfasis5 37 19" xfId="8326" xr:uid="{00000000-0005-0000-0000-00004B200000}"/>
    <cellStyle name="40% - Énfasis5 37 2" xfId="8327" xr:uid="{00000000-0005-0000-0000-00004C200000}"/>
    <cellStyle name="40% - Énfasis5 37 2 2" xfId="8328" xr:uid="{00000000-0005-0000-0000-00004D200000}"/>
    <cellStyle name="40% - Énfasis5 37 3" xfId="8329" xr:uid="{00000000-0005-0000-0000-00004E200000}"/>
    <cellStyle name="40% - Énfasis5 37 3 2" xfId="8330" xr:uid="{00000000-0005-0000-0000-00004F200000}"/>
    <cellStyle name="40% - Énfasis5 37 4" xfId="8331" xr:uid="{00000000-0005-0000-0000-000050200000}"/>
    <cellStyle name="40% - Énfasis5 37 4 2" xfId="8332" xr:uid="{00000000-0005-0000-0000-000051200000}"/>
    <cellStyle name="40% - Énfasis5 37 5" xfId="8333" xr:uid="{00000000-0005-0000-0000-000052200000}"/>
    <cellStyle name="40% - Énfasis5 37 6" xfId="8334" xr:uid="{00000000-0005-0000-0000-000053200000}"/>
    <cellStyle name="40% - Énfasis5 37 7" xfId="8335" xr:uid="{00000000-0005-0000-0000-000054200000}"/>
    <cellStyle name="40% - Énfasis5 37 8" xfId="8336" xr:uid="{00000000-0005-0000-0000-000055200000}"/>
    <cellStyle name="40% - Énfasis5 37 9" xfId="8337" xr:uid="{00000000-0005-0000-0000-000056200000}"/>
    <cellStyle name="40% - Énfasis5 38 10" xfId="8338" xr:uid="{00000000-0005-0000-0000-000057200000}"/>
    <cellStyle name="40% - Énfasis5 38 11" xfId="8339" xr:uid="{00000000-0005-0000-0000-000058200000}"/>
    <cellStyle name="40% - Énfasis5 38 12" xfId="8340" xr:uid="{00000000-0005-0000-0000-000059200000}"/>
    <cellStyle name="40% - Énfasis5 38 13" xfId="8341" xr:uid="{00000000-0005-0000-0000-00005A200000}"/>
    <cellStyle name="40% - Énfasis5 38 14" xfId="8342" xr:uid="{00000000-0005-0000-0000-00005B200000}"/>
    <cellStyle name="40% - Énfasis5 38 15" xfId="8343" xr:uid="{00000000-0005-0000-0000-00005C200000}"/>
    <cellStyle name="40% - Énfasis5 38 16" xfId="8344" xr:uid="{00000000-0005-0000-0000-00005D200000}"/>
    <cellStyle name="40% - Énfasis5 38 17" xfId="8345" xr:uid="{00000000-0005-0000-0000-00005E200000}"/>
    <cellStyle name="40% - Énfasis5 38 18" xfId="8346" xr:uid="{00000000-0005-0000-0000-00005F200000}"/>
    <cellStyle name="40% - Énfasis5 38 19" xfId="8347" xr:uid="{00000000-0005-0000-0000-000060200000}"/>
    <cellStyle name="40% - Énfasis5 38 2" xfId="8348" xr:uid="{00000000-0005-0000-0000-000061200000}"/>
    <cellStyle name="40% - Énfasis5 38 2 2" xfId="8349" xr:uid="{00000000-0005-0000-0000-000062200000}"/>
    <cellStyle name="40% - Énfasis5 38 3" xfId="8350" xr:uid="{00000000-0005-0000-0000-000063200000}"/>
    <cellStyle name="40% - Énfasis5 38 3 2" xfId="8351" xr:uid="{00000000-0005-0000-0000-000064200000}"/>
    <cellStyle name="40% - Énfasis5 38 4" xfId="8352" xr:uid="{00000000-0005-0000-0000-000065200000}"/>
    <cellStyle name="40% - Énfasis5 38 4 2" xfId="8353" xr:uid="{00000000-0005-0000-0000-000066200000}"/>
    <cellStyle name="40% - Énfasis5 38 5" xfId="8354" xr:uid="{00000000-0005-0000-0000-000067200000}"/>
    <cellStyle name="40% - Énfasis5 38 6" xfId="8355" xr:uid="{00000000-0005-0000-0000-000068200000}"/>
    <cellStyle name="40% - Énfasis5 38 7" xfId="8356" xr:uid="{00000000-0005-0000-0000-000069200000}"/>
    <cellStyle name="40% - Énfasis5 38 8" xfId="8357" xr:uid="{00000000-0005-0000-0000-00006A200000}"/>
    <cellStyle name="40% - Énfasis5 38 9" xfId="8358" xr:uid="{00000000-0005-0000-0000-00006B200000}"/>
    <cellStyle name="40% - Énfasis5 39" xfId="8359" xr:uid="{00000000-0005-0000-0000-00006C200000}"/>
    <cellStyle name="40% - Énfasis5 39 10" xfId="8360" xr:uid="{00000000-0005-0000-0000-00006D200000}"/>
    <cellStyle name="40% - Énfasis5 39 11" xfId="8361" xr:uid="{00000000-0005-0000-0000-00006E200000}"/>
    <cellStyle name="40% - Énfasis5 39 12" xfId="8362" xr:uid="{00000000-0005-0000-0000-00006F200000}"/>
    <cellStyle name="40% - Énfasis5 39 13" xfId="8363" xr:uid="{00000000-0005-0000-0000-000070200000}"/>
    <cellStyle name="40% - Énfasis5 39 14" xfId="8364" xr:uid="{00000000-0005-0000-0000-000071200000}"/>
    <cellStyle name="40% - Énfasis5 39 15" xfId="8365" xr:uid="{00000000-0005-0000-0000-000072200000}"/>
    <cellStyle name="40% - Énfasis5 39 16" xfId="8366" xr:uid="{00000000-0005-0000-0000-000073200000}"/>
    <cellStyle name="40% - Énfasis5 39 2" xfId="8367" xr:uid="{00000000-0005-0000-0000-000074200000}"/>
    <cellStyle name="40% - Énfasis5 39 3" xfId="8368" xr:uid="{00000000-0005-0000-0000-000075200000}"/>
    <cellStyle name="40% - Énfasis5 39 4" xfId="8369" xr:uid="{00000000-0005-0000-0000-000076200000}"/>
    <cellStyle name="40% - Énfasis5 39 5" xfId="8370" xr:uid="{00000000-0005-0000-0000-000077200000}"/>
    <cellStyle name="40% - Énfasis5 39 6" xfId="8371" xr:uid="{00000000-0005-0000-0000-000078200000}"/>
    <cellStyle name="40% - Énfasis5 39 7" xfId="8372" xr:uid="{00000000-0005-0000-0000-000079200000}"/>
    <cellStyle name="40% - Énfasis5 39 8" xfId="8373" xr:uid="{00000000-0005-0000-0000-00007A200000}"/>
    <cellStyle name="40% - Énfasis5 39 9" xfId="8374" xr:uid="{00000000-0005-0000-0000-00007B200000}"/>
    <cellStyle name="40% - Énfasis5 4 10" xfId="8375" xr:uid="{00000000-0005-0000-0000-00007C200000}"/>
    <cellStyle name="40% - Énfasis5 4 11" xfId="8376" xr:uid="{00000000-0005-0000-0000-00007D200000}"/>
    <cellStyle name="40% - Énfasis5 4 12" xfId="8377" xr:uid="{00000000-0005-0000-0000-00007E200000}"/>
    <cellStyle name="40% - Énfasis5 4 13" xfId="8378" xr:uid="{00000000-0005-0000-0000-00007F200000}"/>
    <cellStyle name="40% - Énfasis5 4 14" xfId="8379" xr:uid="{00000000-0005-0000-0000-000080200000}"/>
    <cellStyle name="40% - Énfasis5 4 15" xfId="8380" xr:uid="{00000000-0005-0000-0000-000081200000}"/>
    <cellStyle name="40% - Énfasis5 4 16" xfId="8381" xr:uid="{00000000-0005-0000-0000-000082200000}"/>
    <cellStyle name="40% - Énfasis5 4 17" xfId="8382" xr:uid="{00000000-0005-0000-0000-000083200000}"/>
    <cellStyle name="40% - Énfasis5 4 18" xfId="8383" xr:uid="{00000000-0005-0000-0000-000084200000}"/>
    <cellStyle name="40% - Énfasis5 4 19" xfId="8384" xr:uid="{00000000-0005-0000-0000-000085200000}"/>
    <cellStyle name="40% - Énfasis5 4 2" xfId="8385" xr:uid="{00000000-0005-0000-0000-000086200000}"/>
    <cellStyle name="40% - Énfasis5 4 2 2" xfId="8386" xr:uid="{00000000-0005-0000-0000-000087200000}"/>
    <cellStyle name="40% - Énfasis5 4 3" xfId="8387" xr:uid="{00000000-0005-0000-0000-000088200000}"/>
    <cellStyle name="40% - Énfasis5 4 3 2" xfId="8388" xr:uid="{00000000-0005-0000-0000-000089200000}"/>
    <cellStyle name="40% - Énfasis5 4 4" xfId="8389" xr:uid="{00000000-0005-0000-0000-00008A200000}"/>
    <cellStyle name="40% - Énfasis5 4 4 2" xfId="8390" xr:uid="{00000000-0005-0000-0000-00008B200000}"/>
    <cellStyle name="40% - Énfasis5 4 5" xfId="8391" xr:uid="{00000000-0005-0000-0000-00008C200000}"/>
    <cellStyle name="40% - Énfasis5 4 6" xfId="8392" xr:uid="{00000000-0005-0000-0000-00008D200000}"/>
    <cellStyle name="40% - Énfasis5 4 7" xfId="8393" xr:uid="{00000000-0005-0000-0000-00008E200000}"/>
    <cellStyle name="40% - Énfasis5 4 8" xfId="8394" xr:uid="{00000000-0005-0000-0000-00008F200000}"/>
    <cellStyle name="40% - Énfasis5 4 9" xfId="8395" xr:uid="{00000000-0005-0000-0000-000090200000}"/>
    <cellStyle name="40% - Énfasis5 40" xfId="8396" xr:uid="{00000000-0005-0000-0000-000091200000}"/>
    <cellStyle name="40% - Énfasis5 40 10" xfId="8397" xr:uid="{00000000-0005-0000-0000-000092200000}"/>
    <cellStyle name="40% - Énfasis5 40 11" xfId="8398" xr:uid="{00000000-0005-0000-0000-000093200000}"/>
    <cellStyle name="40% - Énfasis5 40 12" xfId="8399" xr:uid="{00000000-0005-0000-0000-000094200000}"/>
    <cellStyle name="40% - Énfasis5 40 13" xfId="8400" xr:uid="{00000000-0005-0000-0000-000095200000}"/>
    <cellStyle name="40% - Énfasis5 40 14" xfId="8401" xr:uid="{00000000-0005-0000-0000-000096200000}"/>
    <cellStyle name="40% - Énfasis5 40 15" xfId="8402" xr:uid="{00000000-0005-0000-0000-000097200000}"/>
    <cellStyle name="40% - Énfasis5 40 16" xfId="8403" xr:uid="{00000000-0005-0000-0000-000098200000}"/>
    <cellStyle name="40% - Énfasis5 40 2" xfId="8404" xr:uid="{00000000-0005-0000-0000-000099200000}"/>
    <cellStyle name="40% - Énfasis5 40 3" xfId="8405" xr:uid="{00000000-0005-0000-0000-00009A200000}"/>
    <cellStyle name="40% - Énfasis5 40 4" xfId="8406" xr:uid="{00000000-0005-0000-0000-00009B200000}"/>
    <cellStyle name="40% - Énfasis5 40 5" xfId="8407" xr:uid="{00000000-0005-0000-0000-00009C200000}"/>
    <cellStyle name="40% - Énfasis5 40 6" xfId="8408" xr:uid="{00000000-0005-0000-0000-00009D200000}"/>
    <cellStyle name="40% - Énfasis5 40 7" xfId="8409" xr:uid="{00000000-0005-0000-0000-00009E200000}"/>
    <cellStyle name="40% - Énfasis5 40 8" xfId="8410" xr:uid="{00000000-0005-0000-0000-00009F200000}"/>
    <cellStyle name="40% - Énfasis5 40 9" xfId="8411" xr:uid="{00000000-0005-0000-0000-0000A0200000}"/>
    <cellStyle name="40% - Énfasis5 41" xfId="8412" xr:uid="{00000000-0005-0000-0000-0000A1200000}"/>
    <cellStyle name="40% - Énfasis5 41 10" xfId="8413" xr:uid="{00000000-0005-0000-0000-0000A2200000}"/>
    <cellStyle name="40% - Énfasis5 41 11" xfId="8414" xr:uid="{00000000-0005-0000-0000-0000A3200000}"/>
    <cellStyle name="40% - Énfasis5 41 12" xfId="8415" xr:uid="{00000000-0005-0000-0000-0000A4200000}"/>
    <cellStyle name="40% - Énfasis5 41 13" xfId="8416" xr:uid="{00000000-0005-0000-0000-0000A5200000}"/>
    <cellStyle name="40% - Énfasis5 41 14" xfId="8417" xr:uid="{00000000-0005-0000-0000-0000A6200000}"/>
    <cellStyle name="40% - Énfasis5 41 15" xfId="8418" xr:uid="{00000000-0005-0000-0000-0000A7200000}"/>
    <cellStyle name="40% - Énfasis5 41 16" xfId="8419" xr:uid="{00000000-0005-0000-0000-0000A8200000}"/>
    <cellStyle name="40% - Énfasis5 41 2" xfId="8420" xr:uid="{00000000-0005-0000-0000-0000A9200000}"/>
    <cellStyle name="40% - Énfasis5 41 3" xfId="8421" xr:uid="{00000000-0005-0000-0000-0000AA200000}"/>
    <cellStyle name="40% - Énfasis5 41 4" xfId="8422" xr:uid="{00000000-0005-0000-0000-0000AB200000}"/>
    <cellStyle name="40% - Énfasis5 41 5" xfId="8423" xr:uid="{00000000-0005-0000-0000-0000AC200000}"/>
    <cellStyle name="40% - Énfasis5 41 6" xfId="8424" xr:uid="{00000000-0005-0000-0000-0000AD200000}"/>
    <cellStyle name="40% - Énfasis5 41 7" xfId="8425" xr:uid="{00000000-0005-0000-0000-0000AE200000}"/>
    <cellStyle name="40% - Énfasis5 41 8" xfId="8426" xr:uid="{00000000-0005-0000-0000-0000AF200000}"/>
    <cellStyle name="40% - Énfasis5 41 9" xfId="8427" xr:uid="{00000000-0005-0000-0000-0000B0200000}"/>
    <cellStyle name="40% - Énfasis5 42" xfId="8428" xr:uid="{00000000-0005-0000-0000-0000B1200000}"/>
    <cellStyle name="40% - Énfasis5 43" xfId="8429" xr:uid="{00000000-0005-0000-0000-0000B2200000}"/>
    <cellStyle name="40% - Énfasis5 44" xfId="8430" xr:uid="{00000000-0005-0000-0000-0000B3200000}"/>
    <cellStyle name="40% - Énfasis5 45" xfId="8431" xr:uid="{00000000-0005-0000-0000-0000B4200000}"/>
    <cellStyle name="40% - Énfasis5 46" xfId="8432" xr:uid="{00000000-0005-0000-0000-0000B5200000}"/>
    <cellStyle name="40% - Énfasis5 47" xfId="8433" xr:uid="{00000000-0005-0000-0000-0000B6200000}"/>
    <cellStyle name="40% - Énfasis5 48" xfId="8434" xr:uid="{00000000-0005-0000-0000-0000B7200000}"/>
    <cellStyle name="40% - Énfasis5 49" xfId="8435" xr:uid="{00000000-0005-0000-0000-0000B8200000}"/>
    <cellStyle name="40% - Énfasis5 5 10" xfId="8436" xr:uid="{00000000-0005-0000-0000-0000B9200000}"/>
    <cellStyle name="40% - Énfasis5 5 11" xfId="8437" xr:uid="{00000000-0005-0000-0000-0000BA200000}"/>
    <cellStyle name="40% - Énfasis5 5 12" xfId="8438" xr:uid="{00000000-0005-0000-0000-0000BB200000}"/>
    <cellStyle name="40% - Énfasis5 5 13" xfId="8439" xr:uid="{00000000-0005-0000-0000-0000BC200000}"/>
    <cellStyle name="40% - Énfasis5 5 14" xfId="8440" xr:uid="{00000000-0005-0000-0000-0000BD200000}"/>
    <cellStyle name="40% - Énfasis5 5 15" xfId="8441" xr:uid="{00000000-0005-0000-0000-0000BE200000}"/>
    <cellStyle name="40% - Énfasis5 5 16" xfId="8442" xr:uid="{00000000-0005-0000-0000-0000BF200000}"/>
    <cellStyle name="40% - Énfasis5 5 17" xfId="8443" xr:uid="{00000000-0005-0000-0000-0000C0200000}"/>
    <cellStyle name="40% - Énfasis5 5 18" xfId="8444" xr:uid="{00000000-0005-0000-0000-0000C1200000}"/>
    <cellStyle name="40% - Énfasis5 5 19" xfId="8445" xr:uid="{00000000-0005-0000-0000-0000C2200000}"/>
    <cellStyle name="40% - Énfasis5 5 2" xfId="8446" xr:uid="{00000000-0005-0000-0000-0000C3200000}"/>
    <cellStyle name="40% - Énfasis5 5 2 2" xfId="8447" xr:uid="{00000000-0005-0000-0000-0000C4200000}"/>
    <cellStyle name="40% - Énfasis5 5 3" xfId="8448" xr:uid="{00000000-0005-0000-0000-0000C5200000}"/>
    <cellStyle name="40% - Énfasis5 5 3 2" xfId="8449" xr:uid="{00000000-0005-0000-0000-0000C6200000}"/>
    <cellStyle name="40% - Énfasis5 5 4" xfId="8450" xr:uid="{00000000-0005-0000-0000-0000C7200000}"/>
    <cellStyle name="40% - Énfasis5 5 4 2" xfId="8451" xr:uid="{00000000-0005-0000-0000-0000C8200000}"/>
    <cellStyle name="40% - Énfasis5 5 5" xfId="8452" xr:uid="{00000000-0005-0000-0000-0000C9200000}"/>
    <cellStyle name="40% - Énfasis5 5 6" xfId="8453" xr:uid="{00000000-0005-0000-0000-0000CA200000}"/>
    <cellStyle name="40% - Énfasis5 5 7" xfId="8454" xr:uid="{00000000-0005-0000-0000-0000CB200000}"/>
    <cellStyle name="40% - Énfasis5 5 8" xfId="8455" xr:uid="{00000000-0005-0000-0000-0000CC200000}"/>
    <cellStyle name="40% - Énfasis5 5 9" xfId="8456" xr:uid="{00000000-0005-0000-0000-0000CD200000}"/>
    <cellStyle name="40% - Énfasis5 50" xfId="8457" xr:uid="{00000000-0005-0000-0000-0000CE200000}"/>
    <cellStyle name="40% - Énfasis5 51" xfId="8458" xr:uid="{00000000-0005-0000-0000-0000CF200000}"/>
    <cellStyle name="40% - Énfasis5 52" xfId="8459" xr:uid="{00000000-0005-0000-0000-0000D0200000}"/>
    <cellStyle name="40% - Énfasis5 53" xfId="8460" xr:uid="{00000000-0005-0000-0000-0000D1200000}"/>
    <cellStyle name="40% - Énfasis5 54" xfId="8461" xr:uid="{00000000-0005-0000-0000-0000D2200000}"/>
    <cellStyle name="40% - Énfasis5 55" xfId="8462" xr:uid="{00000000-0005-0000-0000-0000D3200000}"/>
    <cellStyle name="40% - Énfasis5 56" xfId="8463" xr:uid="{00000000-0005-0000-0000-0000D4200000}"/>
    <cellStyle name="40% - Énfasis5 57" xfId="8464" xr:uid="{00000000-0005-0000-0000-0000D5200000}"/>
    <cellStyle name="40% - Énfasis5 58" xfId="8465" xr:uid="{00000000-0005-0000-0000-0000D6200000}"/>
    <cellStyle name="40% - Énfasis5 59" xfId="8466" xr:uid="{00000000-0005-0000-0000-0000D7200000}"/>
    <cellStyle name="40% - Énfasis5 6 10" xfId="8467" xr:uid="{00000000-0005-0000-0000-0000D8200000}"/>
    <cellStyle name="40% - Énfasis5 6 11" xfId="8468" xr:uid="{00000000-0005-0000-0000-0000D9200000}"/>
    <cellStyle name="40% - Énfasis5 6 12" xfId="8469" xr:uid="{00000000-0005-0000-0000-0000DA200000}"/>
    <cellStyle name="40% - Énfasis5 6 13" xfId="8470" xr:uid="{00000000-0005-0000-0000-0000DB200000}"/>
    <cellStyle name="40% - Énfasis5 6 14" xfId="8471" xr:uid="{00000000-0005-0000-0000-0000DC200000}"/>
    <cellStyle name="40% - Énfasis5 6 15" xfId="8472" xr:uid="{00000000-0005-0000-0000-0000DD200000}"/>
    <cellStyle name="40% - Énfasis5 6 16" xfId="8473" xr:uid="{00000000-0005-0000-0000-0000DE200000}"/>
    <cellStyle name="40% - Énfasis5 6 17" xfId="8474" xr:uid="{00000000-0005-0000-0000-0000DF200000}"/>
    <cellStyle name="40% - Énfasis5 6 18" xfId="8475" xr:uid="{00000000-0005-0000-0000-0000E0200000}"/>
    <cellStyle name="40% - Énfasis5 6 19" xfId="8476" xr:uid="{00000000-0005-0000-0000-0000E1200000}"/>
    <cellStyle name="40% - Énfasis5 6 2" xfId="8477" xr:uid="{00000000-0005-0000-0000-0000E2200000}"/>
    <cellStyle name="40% - Énfasis5 6 2 2" xfId="8478" xr:uid="{00000000-0005-0000-0000-0000E3200000}"/>
    <cellStyle name="40% - Énfasis5 6 3" xfId="8479" xr:uid="{00000000-0005-0000-0000-0000E4200000}"/>
    <cellStyle name="40% - Énfasis5 6 3 2" xfId="8480" xr:uid="{00000000-0005-0000-0000-0000E5200000}"/>
    <cellStyle name="40% - Énfasis5 6 4" xfId="8481" xr:uid="{00000000-0005-0000-0000-0000E6200000}"/>
    <cellStyle name="40% - Énfasis5 6 4 2" xfId="8482" xr:uid="{00000000-0005-0000-0000-0000E7200000}"/>
    <cellStyle name="40% - Énfasis5 6 5" xfId="8483" xr:uid="{00000000-0005-0000-0000-0000E8200000}"/>
    <cellStyle name="40% - Énfasis5 6 6" xfId="8484" xr:uid="{00000000-0005-0000-0000-0000E9200000}"/>
    <cellStyle name="40% - Énfasis5 6 7" xfId="8485" xr:uid="{00000000-0005-0000-0000-0000EA200000}"/>
    <cellStyle name="40% - Énfasis5 6 8" xfId="8486" xr:uid="{00000000-0005-0000-0000-0000EB200000}"/>
    <cellStyle name="40% - Énfasis5 6 9" xfId="8487" xr:uid="{00000000-0005-0000-0000-0000EC200000}"/>
    <cellStyle name="40% - Énfasis5 60" xfId="8488" xr:uid="{00000000-0005-0000-0000-0000ED200000}"/>
    <cellStyle name="40% - Énfasis5 61" xfId="8489" xr:uid="{00000000-0005-0000-0000-0000EE200000}"/>
    <cellStyle name="40% - Énfasis5 62" xfId="8490" xr:uid="{00000000-0005-0000-0000-0000EF200000}"/>
    <cellStyle name="40% - Énfasis5 63" xfId="8491" xr:uid="{00000000-0005-0000-0000-0000F0200000}"/>
    <cellStyle name="40% - Énfasis5 64" xfId="8492" xr:uid="{00000000-0005-0000-0000-0000F1200000}"/>
    <cellStyle name="40% - Énfasis5 7 10" xfId="8493" xr:uid="{00000000-0005-0000-0000-0000F2200000}"/>
    <cellStyle name="40% - Énfasis5 7 11" xfId="8494" xr:uid="{00000000-0005-0000-0000-0000F3200000}"/>
    <cellStyle name="40% - Énfasis5 7 12" xfId="8495" xr:uid="{00000000-0005-0000-0000-0000F4200000}"/>
    <cellStyle name="40% - Énfasis5 7 13" xfId="8496" xr:uid="{00000000-0005-0000-0000-0000F5200000}"/>
    <cellStyle name="40% - Énfasis5 7 14" xfId="8497" xr:uid="{00000000-0005-0000-0000-0000F6200000}"/>
    <cellStyle name="40% - Énfasis5 7 15" xfId="8498" xr:uid="{00000000-0005-0000-0000-0000F7200000}"/>
    <cellStyle name="40% - Énfasis5 7 16" xfId="8499" xr:uid="{00000000-0005-0000-0000-0000F8200000}"/>
    <cellStyle name="40% - Énfasis5 7 17" xfId="8500" xr:uid="{00000000-0005-0000-0000-0000F9200000}"/>
    <cellStyle name="40% - Énfasis5 7 18" xfId="8501" xr:uid="{00000000-0005-0000-0000-0000FA200000}"/>
    <cellStyle name="40% - Énfasis5 7 19" xfId="8502" xr:uid="{00000000-0005-0000-0000-0000FB200000}"/>
    <cellStyle name="40% - Énfasis5 7 2" xfId="8503" xr:uid="{00000000-0005-0000-0000-0000FC200000}"/>
    <cellStyle name="40% - Énfasis5 7 2 2" xfId="8504" xr:uid="{00000000-0005-0000-0000-0000FD200000}"/>
    <cellStyle name="40% - Énfasis5 7 3" xfId="8505" xr:uid="{00000000-0005-0000-0000-0000FE200000}"/>
    <cellStyle name="40% - Énfasis5 7 3 2" xfId="8506" xr:uid="{00000000-0005-0000-0000-0000FF200000}"/>
    <cellStyle name="40% - Énfasis5 7 4" xfId="8507" xr:uid="{00000000-0005-0000-0000-000000210000}"/>
    <cellStyle name="40% - Énfasis5 7 4 2" xfId="8508" xr:uid="{00000000-0005-0000-0000-000001210000}"/>
    <cellStyle name="40% - Énfasis5 7 5" xfId="8509" xr:uid="{00000000-0005-0000-0000-000002210000}"/>
    <cellStyle name="40% - Énfasis5 7 6" xfId="8510" xr:uid="{00000000-0005-0000-0000-000003210000}"/>
    <cellStyle name="40% - Énfasis5 7 7" xfId="8511" xr:uid="{00000000-0005-0000-0000-000004210000}"/>
    <cellStyle name="40% - Énfasis5 7 8" xfId="8512" xr:uid="{00000000-0005-0000-0000-000005210000}"/>
    <cellStyle name="40% - Énfasis5 7 9" xfId="8513" xr:uid="{00000000-0005-0000-0000-000006210000}"/>
    <cellStyle name="40% - Énfasis5 8 10" xfId="8514" xr:uid="{00000000-0005-0000-0000-000007210000}"/>
    <cellStyle name="40% - Énfasis5 8 11" xfId="8515" xr:uid="{00000000-0005-0000-0000-000008210000}"/>
    <cellStyle name="40% - Énfasis5 8 12" xfId="8516" xr:uid="{00000000-0005-0000-0000-000009210000}"/>
    <cellStyle name="40% - Énfasis5 8 13" xfId="8517" xr:uid="{00000000-0005-0000-0000-00000A210000}"/>
    <cellStyle name="40% - Énfasis5 8 14" xfId="8518" xr:uid="{00000000-0005-0000-0000-00000B210000}"/>
    <cellStyle name="40% - Énfasis5 8 15" xfId="8519" xr:uid="{00000000-0005-0000-0000-00000C210000}"/>
    <cellStyle name="40% - Énfasis5 8 16" xfId="8520" xr:uid="{00000000-0005-0000-0000-00000D210000}"/>
    <cellStyle name="40% - Énfasis5 8 17" xfId="8521" xr:uid="{00000000-0005-0000-0000-00000E210000}"/>
    <cellStyle name="40% - Énfasis5 8 18" xfId="8522" xr:uid="{00000000-0005-0000-0000-00000F210000}"/>
    <cellStyle name="40% - Énfasis5 8 19" xfId="8523" xr:uid="{00000000-0005-0000-0000-000010210000}"/>
    <cellStyle name="40% - Énfasis5 8 2" xfId="8524" xr:uid="{00000000-0005-0000-0000-000011210000}"/>
    <cellStyle name="40% - Énfasis5 8 2 2" xfId="8525" xr:uid="{00000000-0005-0000-0000-000012210000}"/>
    <cellStyle name="40% - Énfasis5 8 3" xfId="8526" xr:uid="{00000000-0005-0000-0000-000013210000}"/>
    <cellStyle name="40% - Énfasis5 8 3 2" xfId="8527" xr:uid="{00000000-0005-0000-0000-000014210000}"/>
    <cellStyle name="40% - Énfasis5 8 4" xfId="8528" xr:uid="{00000000-0005-0000-0000-000015210000}"/>
    <cellStyle name="40% - Énfasis5 8 4 2" xfId="8529" xr:uid="{00000000-0005-0000-0000-000016210000}"/>
    <cellStyle name="40% - Énfasis5 8 5" xfId="8530" xr:uid="{00000000-0005-0000-0000-000017210000}"/>
    <cellStyle name="40% - Énfasis5 8 6" xfId="8531" xr:uid="{00000000-0005-0000-0000-000018210000}"/>
    <cellStyle name="40% - Énfasis5 8 7" xfId="8532" xr:uid="{00000000-0005-0000-0000-000019210000}"/>
    <cellStyle name="40% - Énfasis5 8 8" xfId="8533" xr:uid="{00000000-0005-0000-0000-00001A210000}"/>
    <cellStyle name="40% - Énfasis5 8 9" xfId="8534" xr:uid="{00000000-0005-0000-0000-00001B210000}"/>
    <cellStyle name="40% - Énfasis5 9 10" xfId="8535" xr:uid="{00000000-0005-0000-0000-00001C210000}"/>
    <cellStyle name="40% - Énfasis5 9 11" xfId="8536" xr:uid="{00000000-0005-0000-0000-00001D210000}"/>
    <cellStyle name="40% - Énfasis5 9 12" xfId="8537" xr:uid="{00000000-0005-0000-0000-00001E210000}"/>
    <cellStyle name="40% - Énfasis5 9 13" xfId="8538" xr:uid="{00000000-0005-0000-0000-00001F210000}"/>
    <cellStyle name="40% - Énfasis5 9 14" xfId="8539" xr:uid="{00000000-0005-0000-0000-000020210000}"/>
    <cellStyle name="40% - Énfasis5 9 15" xfId="8540" xr:uid="{00000000-0005-0000-0000-000021210000}"/>
    <cellStyle name="40% - Énfasis5 9 16" xfId="8541" xr:uid="{00000000-0005-0000-0000-000022210000}"/>
    <cellStyle name="40% - Énfasis5 9 17" xfId="8542" xr:uid="{00000000-0005-0000-0000-000023210000}"/>
    <cellStyle name="40% - Énfasis5 9 18" xfId="8543" xr:uid="{00000000-0005-0000-0000-000024210000}"/>
    <cellStyle name="40% - Énfasis5 9 19" xfId="8544" xr:uid="{00000000-0005-0000-0000-000025210000}"/>
    <cellStyle name="40% - Énfasis5 9 2" xfId="8545" xr:uid="{00000000-0005-0000-0000-000026210000}"/>
    <cellStyle name="40% - Énfasis5 9 2 2" xfId="8546" xr:uid="{00000000-0005-0000-0000-000027210000}"/>
    <cellStyle name="40% - Énfasis5 9 3" xfId="8547" xr:uid="{00000000-0005-0000-0000-000028210000}"/>
    <cellStyle name="40% - Énfasis5 9 3 2" xfId="8548" xr:uid="{00000000-0005-0000-0000-000029210000}"/>
    <cellStyle name="40% - Énfasis5 9 4" xfId="8549" xr:uid="{00000000-0005-0000-0000-00002A210000}"/>
    <cellStyle name="40% - Énfasis5 9 4 2" xfId="8550" xr:uid="{00000000-0005-0000-0000-00002B210000}"/>
    <cellStyle name="40% - Énfasis5 9 5" xfId="8551" xr:uid="{00000000-0005-0000-0000-00002C210000}"/>
    <cellStyle name="40% - Énfasis5 9 6" xfId="8552" xr:uid="{00000000-0005-0000-0000-00002D210000}"/>
    <cellStyle name="40% - Énfasis5 9 7" xfId="8553" xr:uid="{00000000-0005-0000-0000-00002E210000}"/>
    <cellStyle name="40% - Énfasis5 9 8" xfId="8554" xr:uid="{00000000-0005-0000-0000-00002F210000}"/>
    <cellStyle name="40% - Énfasis5 9 9" xfId="8555" xr:uid="{00000000-0005-0000-0000-000030210000}"/>
    <cellStyle name="40% - Énfasis6" xfId="32550" builtinId="51" customBuiltin="1"/>
    <cellStyle name="40% - Énfasis6 10 10" xfId="8556" xr:uid="{00000000-0005-0000-0000-000032210000}"/>
    <cellStyle name="40% - Énfasis6 10 11" xfId="8557" xr:uid="{00000000-0005-0000-0000-000033210000}"/>
    <cellStyle name="40% - Énfasis6 10 12" xfId="8558" xr:uid="{00000000-0005-0000-0000-000034210000}"/>
    <cellStyle name="40% - Énfasis6 10 13" xfId="8559" xr:uid="{00000000-0005-0000-0000-000035210000}"/>
    <cellStyle name="40% - Énfasis6 10 14" xfId="8560" xr:uid="{00000000-0005-0000-0000-000036210000}"/>
    <cellStyle name="40% - Énfasis6 10 15" xfId="8561" xr:uid="{00000000-0005-0000-0000-000037210000}"/>
    <cellStyle name="40% - Énfasis6 10 16" xfId="8562" xr:uid="{00000000-0005-0000-0000-000038210000}"/>
    <cellStyle name="40% - Énfasis6 10 17" xfId="8563" xr:uid="{00000000-0005-0000-0000-000039210000}"/>
    <cellStyle name="40% - Énfasis6 10 18" xfId="8564" xr:uid="{00000000-0005-0000-0000-00003A210000}"/>
    <cellStyle name="40% - Énfasis6 10 19" xfId="8565" xr:uid="{00000000-0005-0000-0000-00003B210000}"/>
    <cellStyle name="40% - Énfasis6 10 2" xfId="8566" xr:uid="{00000000-0005-0000-0000-00003C210000}"/>
    <cellStyle name="40% - Énfasis6 10 2 2" xfId="8567" xr:uid="{00000000-0005-0000-0000-00003D210000}"/>
    <cellStyle name="40% - Énfasis6 10 3" xfId="8568" xr:uid="{00000000-0005-0000-0000-00003E210000}"/>
    <cellStyle name="40% - Énfasis6 10 3 2" xfId="8569" xr:uid="{00000000-0005-0000-0000-00003F210000}"/>
    <cellStyle name="40% - Énfasis6 10 4" xfId="8570" xr:uid="{00000000-0005-0000-0000-000040210000}"/>
    <cellStyle name="40% - Énfasis6 10 4 2" xfId="8571" xr:uid="{00000000-0005-0000-0000-000041210000}"/>
    <cellStyle name="40% - Énfasis6 10 5" xfId="8572" xr:uid="{00000000-0005-0000-0000-000042210000}"/>
    <cellStyle name="40% - Énfasis6 10 6" xfId="8573" xr:uid="{00000000-0005-0000-0000-000043210000}"/>
    <cellStyle name="40% - Énfasis6 10 7" xfId="8574" xr:uid="{00000000-0005-0000-0000-000044210000}"/>
    <cellStyle name="40% - Énfasis6 10 8" xfId="8575" xr:uid="{00000000-0005-0000-0000-000045210000}"/>
    <cellStyle name="40% - Énfasis6 10 9" xfId="8576" xr:uid="{00000000-0005-0000-0000-000046210000}"/>
    <cellStyle name="40% - Énfasis6 11 10" xfId="8577" xr:uid="{00000000-0005-0000-0000-000047210000}"/>
    <cellStyle name="40% - Énfasis6 11 11" xfId="8578" xr:uid="{00000000-0005-0000-0000-000048210000}"/>
    <cellStyle name="40% - Énfasis6 11 12" xfId="8579" xr:uid="{00000000-0005-0000-0000-000049210000}"/>
    <cellStyle name="40% - Énfasis6 11 13" xfId="8580" xr:uid="{00000000-0005-0000-0000-00004A210000}"/>
    <cellStyle name="40% - Énfasis6 11 14" xfId="8581" xr:uid="{00000000-0005-0000-0000-00004B210000}"/>
    <cellStyle name="40% - Énfasis6 11 15" xfId="8582" xr:uid="{00000000-0005-0000-0000-00004C210000}"/>
    <cellStyle name="40% - Énfasis6 11 16" xfId="8583" xr:uid="{00000000-0005-0000-0000-00004D210000}"/>
    <cellStyle name="40% - Énfasis6 11 17" xfId="8584" xr:uid="{00000000-0005-0000-0000-00004E210000}"/>
    <cellStyle name="40% - Énfasis6 11 18" xfId="8585" xr:uid="{00000000-0005-0000-0000-00004F210000}"/>
    <cellStyle name="40% - Énfasis6 11 19" xfId="8586" xr:uid="{00000000-0005-0000-0000-000050210000}"/>
    <cellStyle name="40% - Énfasis6 11 2" xfId="8587" xr:uid="{00000000-0005-0000-0000-000051210000}"/>
    <cellStyle name="40% - Énfasis6 11 2 2" xfId="8588" xr:uid="{00000000-0005-0000-0000-000052210000}"/>
    <cellStyle name="40% - Énfasis6 11 3" xfId="8589" xr:uid="{00000000-0005-0000-0000-000053210000}"/>
    <cellStyle name="40% - Énfasis6 11 3 2" xfId="8590" xr:uid="{00000000-0005-0000-0000-000054210000}"/>
    <cellStyle name="40% - Énfasis6 11 4" xfId="8591" xr:uid="{00000000-0005-0000-0000-000055210000}"/>
    <cellStyle name="40% - Énfasis6 11 4 2" xfId="8592" xr:uid="{00000000-0005-0000-0000-000056210000}"/>
    <cellStyle name="40% - Énfasis6 11 5" xfId="8593" xr:uid="{00000000-0005-0000-0000-000057210000}"/>
    <cellStyle name="40% - Énfasis6 11 6" xfId="8594" xr:uid="{00000000-0005-0000-0000-000058210000}"/>
    <cellStyle name="40% - Énfasis6 11 7" xfId="8595" xr:uid="{00000000-0005-0000-0000-000059210000}"/>
    <cellStyle name="40% - Énfasis6 11 8" xfId="8596" xr:uid="{00000000-0005-0000-0000-00005A210000}"/>
    <cellStyle name="40% - Énfasis6 11 9" xfId="8597" xr:uid="{00000000-0005-0000-0000-00005B210000}"/>
    <cellStyle name="40% - Énfasis6 12 10" xfId="8598" xr:uid="{00000000-0005-0000-0000-00005C210000}"/>
    <cellStyle name="40% - Énfasis6 12 11" xfId="8599" xr:uid="{00000000-0005-0000-0000-00005D210000}"/>
    <cellStyle name="40% - Énfasis6 12 12" xfId="8600" xr:uid="{00000000-0005-0000-0000-00005E210000}"/>
    <cellStyle name="40% - Énfasis6 12 13" xfId="8601" xr:uid="{00000000-0005-0000-0000-00005F210000}"/>
    <cellStyle name="40% - Énfasis6 12 14" xfId="8602" xr:uid="{00000000-0005-0000-0000-000060210000}"/>
    <cellStyle name="40% - Énfasis6 12 15" xfId="8603" xr:uid="{00000000-0005-0000-0000-000061210000}"/>
    <cellStyle name="40% - Énfasis6 12 16" xfId="8604" xr:uid="{00000000-0005-0000-0000-000062210000}"/>
    <cellStyle name="40% - Énfasis6 12 17" xfId="8605" xr:uid="{00000000-0005-0000-0000-000063210000}"/>
    <cellStyle name="40% - Énfasis6 12 18" xfId="8606" xr:uid="{00000000-0005-0000-0000-000064210000}"/>
    <cellStyle name="40% - Énfasis6 12 19" xfId="8607" xr:uid="{00000000-0005-0000-0000-000065210000}"/>
    <cellStyle name="40% - Énfasis6 12 2" xfId="8608" xr:uid="{00000000-0005-0000-0000-000066210000}"/>
    <cellStyle name="40% - Énfasis6 12 2 2" xfId="8609" xr:uid="{00000000-0005-0000-0000-000067210000}"/>
    <cellStyle name="40% - Énfasis6 12 3" xfId="8610" xr:uid="{00000000-0005-0000-0000-000068210000}"/>
    <cellStyle name="40% - Énfasis6 12 3 2" xfId="8611" xr:uid="{00000000-0005-0000-0000-000069210000}"/>
    <cellStyle name="40% - Énfasis6 12 4" xfId="8612" xr:uid="{00000000-0005-0000-0000-00006A210000}"/>
    <cellStyle name="40% - Énfasis6 12 4 2" xfId="8613" xr:uid="{00000000-0005-0000-0000-00006B210000}"/>
    <cellStyle name="40% - Énfasis6 12 5" xfId="8614" xr:uid="{00000000-0005-0000-0000-00006C210000}"/>
    <cellStyle name="40% - Énfasis6 12 6" xfId="8615" xr:uid="{00000000-0005-0000-0000-00006D210000}"/>
    <cellStyle name="40% - Énfasis6 12 7" xfId="8616" xr:uid="{00000000-0005-0000-0000-00006E210000}"/>
    <cellStyle name="40% - Énfasis6 12 8" xfId="8617" xr:uid="{00000000-0005-0000-0000-00006F210000}"/>
    <cellStyle name="40% - Énfasis6 12 9" xfId="8618" xr:uid="{00000000-0005-0000-0000-000070210000}"/>
    <cellStyle name="40% - Énfasis6 13 10" xfId="8619" xr:uid="{00000000-0005-0000-0000-000071210000}"/>
    <cellStyle name="40% - Énfasis6 13 11" xfId="8620" xr:uid="{00000000-0005-0000-0000-000072210000}"/>
    <cellStyle name="40% - Énfasis6 13 12" xfId="8621" xr:uid="{00000000-0005-0000-0000-000073210000}"/>
    <cellStyle name="40% - Énfasis6 13 13" xfId="8622" xr:uid="{00000000-0005-0000-0000-000074210000}"/>
    <cellStyle name="40% - Énfasis6 13 14" xfId="8623" xr:uid="{00000000-0005-0000-0000-000075210000}"/>
    <cellStyle name="40% - Énfasis6 13 15" xfId="8624" xr:uid="{00000000-0005-0000-0000-000076210000}"/>
    <cellStyle name="40% - Énfasis6 13 16" xfId="8625" xr:uid="{00000000-0005-0000-0000-000077210000}"/>
    <cellStyle name="40% - Énfasis6 13 17" xfId="8626" xr:uid="{00000000-0005-0000-0000-000078210000}"/>
    <cellStyle name="40% - Énfasis6 13 18" xfId="8627" xr:uid="{00000000-0005-0000-0000-000079210000}"/>
    <cellStyle name="40% - Énfasis6 13 19" xfId="8628" xr:uid="{00000000-0005-0000-0000-00007A210000}"/>
    <cellStyle name="40% - Énfasis6 13 2" xfId="8629" xr:uid="{00000000-0005-0000-0000-00007B210000}"/>
    <cellStyle name="40% - Énfasis6 13 2 2" xfId="8630" xr:uid="{00000000-0005-0000-0000-00007C210000}"/>
    <cellStyle name="40% - Énfasis6 13 3" xfId="8631" xr:uid="{00000000-0005-0000-0000-00007D210000}"/>
    <cellStyle name="40% - Énfasis6 13 3 2" xfId="8632" xr:uid="{00000000-0005-0000-0000-00007E210000}"/>
    <cellStyle name="40% - Énfasis6 13 4" xfId="8633" xr:uid="{00000000-0005-0000-0000-00007F210000}"/>
    <cellStyle name="40% - Énfasis6 13 4 2" xfId="8634" xr:uid="{00000000-0005-0000-0000-000080210000}"/>
    <cellStyle name="40% - Énfasis6 13 5" xfId="8635" xr:uid="{00000000-0005-0000-0000-000081210000}"/>
    <cellStyle name="40% - Énfasis6 13 6" xfId="8636" xr:uid="{00000000-0005-0000-0000-000082210000}"/>
    <cellStyle name="40% - Énfasis6 13 7" xfId="8637" xr:uid="{00000000-0005-0000-0000-000083210000}"/>
    <cellStyle name="40% - Énfasis6 13 8" xfId="8638" xr:uid="{00000000-0005-0000-0000-000084210000}"/>
    <cellStyle name="40% - Énfasis6 13 9" xfId="8639" xr:uid="{00000000-0005-0000-0000-000085210000}"/>
    <cellStyle name="40% - Énfasis6 14 10" xfId="8640" xr:uid="{00000000-0005-0000-0000-000086210000}"/>
    <cellStyle name="40% - Énfasis6 14 11" xfId="8641" xr:uid="{00000000-0005-0000-0000-000087210000}"/>
    <cellStyle name="40% - Énfasis6 14 12" xfId="8642" xr:uid="{00000000-0005-0000-0000-000088210000}"/>
    <cellStyle name="40% - Énfasis6 14 13" xfId="8643" xr:uid="{00000000-0005-0000-0000-000089210000}"/>
    <cellStyle name="40% - Énfasis6 14 14" xfId="8644" xr:uid="{00000000-0005-0000-0000-00008A210000}"/>
    <cellStyle name="40% - Énfasis6 14 15" xfId="8645" xr:uid="{00000000-0005-0000-0000-00008B210000}"/>
    <cellStyle name="40% - Énfasis6 14 16" xfId="8646" xr:uid="{00000000-0005-0000-0000-00008C210000}"/>
    <cellStyle name="40% - Énfasis6 14 17" xfId="8647" xr:uid="{00000000-0005-0000-0000-00008D210000}"/>
    <cellStyle name="40% - Énfasis6 14 18" xfId="8648" xr:uid="{00000000-0005-0000-0000-00008E210000}"/>
    <cellStyle name="40% - Énfasis6 14 19" xfId="8649" xr:uid="{00000000-0005-0000-0000-00008F210000}"/>
    <cellStyle name="40% - Énfasis6 14 2" xfId="8650" xr:uid="{00000000-0005-0000-0000-000090210000}"/>
    <cellStyle name="40% - Énfasis6 14 2 2" xfId="8651" xr:uid="{00000000-0005-0000-0000-000091210000}"/>
    <cellStyle name="40% - Énfasis6 14 3" xfId="8652" xr:uid="{00000000-0005-0000-0000-000092210000}"/>
    <cellStyle name="40% - Énfasis6 14 3 2" xfId="8653" xr:uid="{00000000-0005-0000-0000-000093210000}"/>
    <cellStyle name="40% - Énfasis6 14 4" xfId="8654" xr:uid="{00000000-0005-0000-0000-000094210000}"/>
    <cellStyle name="40% - Énfasis6 14 4 2" xfId="8655" xr:uid="{00000000-0005-0000-0000-000095210000}"/>
    <cellStyle name="40% - Énfasis6 14 5" xfId="8656" xr:uid="{00000000-0005-0000-0000-000096210000}"/>
    <cellStyle name="40% - Énfasis6 14 6" xfId="8657" xr:uid="{00000000-0005-0000-0000-000097210000}"/>
    <cellStyle name="40% - Énfasis6 14 7" xfId="8658" xr:uid="{00000000-0005-0000-0000-000098210000}"/>
    <cellStyle name="40% - Énfasis6 14 8" xfId="8659" xr:uid="{00000000-0005-0000-0000-000099210000}"/>
    <cellStyle name="40% - Énfasis6 14 9" xfId="8660" xr:uid="{00000000-0005-0000-0000-00009A210000}"/>
    <cellStyle name="40% - Énfasis6 15 10" xfId="8661" xr:uid="{00000000-0005-0000-0000-00009B210000}"/>
    <cellStyle name="40% - Énfasis6 15 11" xfId="8662" xr:uid="{00000000-0005-0000-0000-00009C210000}"/>
    <cellStyle name="40% - Énfasis6 15 12" xfId="8663" xr:uid="{00000000-0005-0000-0000-00009D210000}"/>
    <cellStyle name="40% - Énfasis6 15 13" xfId="8664" xr:uid="{00000000-0005-0000-0000-00009E210000}"/>
    <cellStyle name="40% - Énfasis6 15 14" xfId="8665" xr:uid="{00000000-0005-0000-0000-00009F210000}"/>
    <cellStyle name="40% - Énfasis6 15 15" xfId="8666" xr:uid="{00000000-0005-0000-0000-0000A0210000}"/>
    <cellStyle name="40% - Énfasis6 15 16" xfId="8667" xr:uid="{00000000-0005-0000-0000-0000A1210000}"/>
    <cellStyle name="40% - Énfasis6 15 17" xfId="8668" xr:uid="{00000000-0005-0000-0000-0000A2210000}"/>
    <cellStyle name="40% - Énfasis6 15 18" xfId="8669" xr:uid="{00000000-0005-0000-0000-0000A3210000}"/>
    <cellStyle name="40% - Énfasis6 15 19" xfId="8670" xr:uid="{00000000-0005-0000-0000-0000A4210000}"/>
    <cellStyle name="40% - Énfasis6 15 2" xfId="8671" xr:uid="{00000000-0005-0000-0000-0000A5210000}"/>
    <cellStyle name="40% - Énfasis6 15 2 2" xfId="8672" xr:uid="{00000000-0005-0000-0000-0000A6210000}"/>
    <cellStyle name="40% - Énfasis6 15 3" xfId="8673" xr:uid="{00000000-0005-0000-0000-0000A7210000}"/>
    <cellStyle name="40% - Énfasis6 15 3 2" xfId="8674" xr:uid="{00000000-0005-0000-0000-0000A8210000}"/>
    <cellStyle name="40% - Énfasis6 15 4" xfId="8675" xr:uid="{00000000-0005-0000-0000-0000A9210000}"/>
    <cellStyle name="40% - Énfasis6 15 4 2" xfId="8676" xr:uid="{00000000-0005-0000-0000-0000AA210000}"/>
    <cellStyle name="40% - Énfasis6 15 5" xfId="8677" xr:uid="{00000000-0005-0000-0000-0000AB210000}"/>
    <cellStyle name="40% - Énfasis6 15 6" xfId="8678" xr:uid="{00000000-0005-0000-0000-0000AC210000}"/>
    <cellStyle name="40% - Énfasis6 15 7" xfId="8679" xr:uid="{00000000-0005-0000-0000-0000AD210000}"/>
    <cellStyle name="40% - Énfasis6 15 8" xfId="8680" xr:uid="{00000000-0005-0000-0000-0000AE210000}"/>
    <cellStyle name="40% - Énfasis6 15 9" xfId="8681" xr:uid="{00000000-0005-0000-0000-0000AF210000}"/>
    <cellStyle name="40% - Énfasis6 16 10" xfId="8682" xr:uid="{00000000-0005-0000-0000-0000B0210000}"/>
    <cellStyle name="40% - Énfasis6 16 11" xfId="8683" xr:uid="{00000000-0005-0000-0000-0000B1210000}"/>
    <cellStyle name="40% - Énfasis6 16 12" xfId="8684" xr:uid="{00000000-0005-0000-0000-0000B2210000}"/>
    <cellStyle name="40% - Énfasis6 16 13" xfId="8685" xr:uid="{00000000-0005-0000-0000-0000B3210000}"/>
    <cellStyle name="40% - Énfasis6 16 14" xfId="8686" xr:uid="{00000000-0005-0000-0000-0000B4210000}"/>
    <cellStyle name="40% - Énfasis6 16 15" xfId="8687" xr:uid="{00000000-0005-0000-0000-0000B5210000}"/>
    <cellStyle name="40% - Énfasis6 16 16" xfId="8688" xr:uid="{00000000-0005-0000-0000-0000B6210000}"/>
    <cellStyle name="40% - Énfasis6 16 17" xfId="8689" xr:uid="{00000000-0005-0000-0000-0000B7210000}"/>
    <cellStyle name="40% - Énfasis6 16 18" xfId="8690" xr:uid="{00000000-0005-0000-0000-0000B8210000}"/>
    <cellStyle name="40% - Énfasis6 16 19" xfId="8691" xr:uid="{00000000-0005-0000-0000-0000B9210000}"/>
    <cellStyle name="40% - Énfasis6 16 2" xfId="8692" xr:uid="{00000000-0005-0000-0000-0000BA210000}"/>
    <cellStyle name="40% - Énfasis6 16 2 2" xfId="8693" xr:uid="{00000000-0005-0000-0000-0000BB210000}"/>
    <cellStyle name="40% - Énfasis6 16 3" xfId="8694" xr:uid="{00000000-0005-0000-0000-0000BC210000}"/>
    <cellStyle name="40% - Énfasis6 16 3 2" xfId="8695" xr:uid="{00000000-0005-0000-0000-0000BD210000}"/>
    <cellStyle name="40% - Énfasis6 16 4" xfId="8696" xr:uid="{00000000-0005-0000-0000-0000BE210000}"/>
    <cellStyle name="40% - Énfasis6 16 4 2" xfId="8697" xr:uid="{00000000-0005-0000-0000-0000BF210000}"/>
    <cellStyle name="40% - Énfasis6 16 5" xfId="8698" xr:uid="{00000000-0005-0000-0000-0000C0210000}"/>
    <cellStyle name="40% - Énfasis6 16 6" xfId="8699" xr:uid="{00000000-0005-0000-0000-0000C1210000}"/>
    <cellStyle name="40% - Énfasis6 16 7" xfId="8700" xr:uid="{00000000-0005-0000-0000-0000C2210000}"/>
    <cellStyle name="40% - Énfasis6 16 8" xfId="8701" xr:uid="{00000000-0005-0000-0000-0000C3210000}"/>
    <cellStyle name="40% - Énfasis6 16 9" xfId="8702" xr:uid="{00000000-0005-0000-0000-0000C4210000}"/>
    <cellStyle name="40% - Énfasis6 17 10" xfId="8703" xr:uid="{00000000-0005-0000-0000-0000C5210000}"/>
    <cellStyle name="40% - Énfasis6 17 11" xfId="8704" xr:uid="{00000000-0005-0000-0000-0000C6210000}"/>
    <cellStyle name="40% - Énfasis6 17 12" xfId="8705" xr:uid="{00000000-0005-0000-0000-0000C7210000}"/>
    <cellStyle name="40% - Énfasis6 17 13" xfId="8706" xr:uid="{00000000-0005-0000-0000-0000C8210000}"/>
    <cellStyle name="40% - Énfasis6 17 14" xfId="8707" xr:uid="{00000000-0005-0000-0000-0000C9210000}"/>
    <cellStyle name="40% - Énfasis6 17 15" xfId="8708" xr:uid="{00000000-0005-0000-0000-0000CA210000}"/>
    <cellStyle name="40% - Énfasis6 17 16" xfId="8709" xr:uid="{00000000-0005-0000-0000-0000CB210000}"/>
    <cellStyle name="40% - Énfasis6 17 17" xfId="8710" xr:uid="{00000000-0005-0000-0000-0000CC210000}"/>
    <cellStyle name="40% - Énfasis6 17 18" xfId="8711" xr:uid="{00000000-0005-0000-0000-0000CD210000}"/>
    <cellStyle name="40% - Énfasis6 17 19" xfId="8712" xr:uid="{00000000-0005-0000-0000-0000CE210000}"/>
    <cellStyle name="40% - Énfasis6 17 2" xfId="8713" xr:uid="{00000000-0005-0000-0000-0000CF210000}"/>
    <cellStyle name="40% - Énfasis6 17 2 2" xfId="8714" xr:uid="{00000000-0005-0000-0000-0000D0210000}"/>
    <cellStyle name="40% - Énfasis6 17 3" xfId="8715" xr:uid="{00000000-0005-0000-0000-0000D1210000}"/>
    <cellStyle name="40% - Énfasis6 17 3 2" xfId="8716" xr:uid="{00000000-0005-0000-0000-0000D2210000}"/>
    <cellStyle name="40% - Énfasis6 17 4" xfId="8717" xr:uid="{00000000-0005-0000-0000-0000D3210000}"/>
    <cellStyle name="40% - Énfasis6 17 4 2" xfId="8718" xr:uid="{00000000-0005-0000-0000-0000D4210000}"/>
    <cellStyle name="40% - Énfasis6 17 5" xfId="8719" xr:uid="{00000000-0005-0000-0000-0000D5210000}"/>
    <cellStyle name="40% - Énfasis6 17 6" xfId="8720" xr:uid="{00000000-0005-0000-0000-0000D6210000}"/>
    <cellStyle name="40% - Énfasis6 17 7" xfId="8721" xr:uid="{00000000-0005-0000-0000-0000D7210000}"/>
    <cellStyle name="40% - Énfasis6 17 8" xfId="8722" xr:uid="{00000000-0005-0000-0000-0000D8210000}"/>
    <cellStyle name="40% - Énfasis6 17 9" xfId="8723" xr:uid="{00000000-0005-0000-0000-0000D9210000}"/>
    <cellStyle name="40% - Énfasis6 18 10" xfId="8724" xr:uid="{00000000-0005-0000-0000-0000DA210000}"/>
    <cellStyle name="40% - Énfasis6 18 11" xfId="8725" xr:uid="{00000000-0005-0000-0000-0000DB210000}"/>
    <cellStyle name="40% - Énfasis6 18 12" xfId="8726" xr:uid="{00000000-0005-0000-0000-0000DC210000}"/>
    <cellStyle name="40% - Énfasis6 18 13" xfId="8727" xr:uid="{00000000-0005-0000-0000-0000DD210000}"/>
    <cellStyle name="40% - Énfasis6 18 14" xfId="8728" xr:uid="{00000000-0005-0000-0000-0000DE210000}"/>
    <cellStyle name="40% - Énfasis6 18 15" xfId="8729" xr:uid="{00000000-0005-0000-0000-0000DF210000}"/>
    <cellStyle name="40% - Énfasis6 18 16" xfId="8730" xr:uid="{00000000-0005-0000-0000-0000E0210000}"/>
    <cellStyle name="40% - Énfasis6 18 17" xfId="8731" xr:uid="{00000000-0005-0000-0000-0000E1210000}"/>
    <cellStyle name="40% - Énfasis6 18 18" xfId="8732" xr:uid="{00000000-0005-0000-0000-0000E2210000}"/>
    <cellStyle name="40% - Énfasis6 18 19" xfId="8733" xr:uid="{00000000-0005-0000-0000-0000E3210000}"/>
    <cellStyle name="40% - Énfasis6 18 2" xfId="8734" xr:uid="{00000000-0005-0000-0000-0000E4210000}"/>
    <cellStyle name="40% - Énfasis6 18 2 2" xfId="8735" xr:uid="{00000000-0005-0000-0000-0000E5210000}"/>
    <cellStyle name="40% - Énfasis6 18 3" xfId="8736" xr:uid="{00000000-0005-0000-0000-0000E6210000}"/>
    <cellStyle name="40% - Énfasis6 18 3 2" xfId="8737" xr:uid="{00000000-0005-0000-0000-0000E7210000}"/>
    <cellStyle name="40% - Énfasis6 18 4" xfId="8738" xr:uid="{00000000-0005-0000-0000-0000E8210000}"/>
    <cellStyle name="40% - Énfasis6 18 4 2" xfId="8739" xr:uid="{00000000-0005-0000-0000-0000E9210000}"/>
    <cellStyle name="40% - Énfasis6 18 5" xfId="8740" xr:uid="{00000000-0005-0000-0000-0000EA210000}"/>
    <cellStyle name="40% - Énfasis6 18 6" xfId="8741" xr:uid="{00000000-0005-0000-0000-0000EB210000}"/>
    <cellStyle name="40% - Énfasis6 18 7" xfId="8742" xr:uid="{00000000-0005-0000-0000-0000EC210000}"/>
    <cellStyle name="40% - Énfasis6 18 8" xfId="8743" xr:uid="{00000000-0005-0000-0000-0000ED210000}"/>
    <cellStyle name="40% - Énfasis6 18 9" xfId="8744" xr:uid="{00000000-0005-0000-0000-0000EE210000}"/>
    <cellStyle name="40% - Énfasis6 19 10" xfId="8745" xr:uid="{00000000-0005-0000-0000-0000EF210000}"/>
    <cellStyle name="40% - Énfasis6 19 11" xfId="8746" xr:uid="{00000000-0005-0000-0000-0000F0210000}"/>
    <cellStyle name="40% - Énfasis6 19 12" xfId="8747" xr:uid="{00000000-0005-0000-0000-0000F1210000}"/>
    <cellStyle name="40% - Énfasis6 19 13" xfId="8748" xr:uid="{00000000-0005-0000-0000-0000F2210000}"/>
    <cellStyle name="40% - Énfasis6 19 14" xfId="8749" xr:uid="{00000000-0005-0000-0000-0000F3210000}"/>
    <cellStyle name="40% - Énfasis6 19 15" xfId="8750" xr:uid="{00000000-0005-0000-0000-0000F4210000}"/>
    <cellStyle name="40% - Énfasis6 19 16" xfId="8751" xr:uid="{00000000-0005-0000-0000-0000F5210000}"/>
    <cellStyle name="40% - Énfasis6 19 17" xfId="8752" xr:uid="{00000000-0005-0000-0000-0000F6210000}"/>
    <cellStyle name="40% - Énfasis6 19 18" xfId="8753" xr:uid="{00000000-0005-0000-0000-0000F7210000}"/>
    <cellStyle name="40% - Énfasis6 19 19" xfId="8754" xr:uid="{00000000-0005-0000-0000-0000F8210000}"/>
    <cellStyle name="40% - Énfasis6 19 2" xfId="8755" xr:uid="{00000000-0005-0000-0000-0000F9210000}"/>
    <cellStyle name="40% - Énfasis6 19 2 2" xfId="8756" xr:uid="{00000000-0005-0000-0000-0000FA210000}"/>
    <cellStyle name="40% - Énfasis6 19 3" xfId="8757" xr:uid="{00000000-0005-0000-0000-0000FB210000}"/>
    <cellStyle name="40% - Énfasis6 19 3 2" xfId="8758" xr:uid="{00000000-0005-0000-0000-0000FC210000}"/>
    <cellStyle name="40% - Énfasis6 19 4" xfId="8759" xr:uid="{00000000-0005-0000-0000-0000FD210000}"/>
    <cellStyle name="40% - Énfasis6 19 4 2" xfId="8760" xr:uid="{00000000-0005-0000-0000-0000FE210000}"/>
    <cellStyle name="40% - Énfasis6 19 5" xfId="8761" xr:uid="{00000000-0005-0000-0000-0000FF210000}"/>
    <cellStyle name="40% - Énfasis6 19 6" xfId="8762" xr:uid="{00000000-0005-0000-0000-000000220000}"/>
    <cellStyle name="40% - Énfasis6 19 7" xfId="8763" xr:uid="{00000000-0005-0000-0000-000001220000}"/>
    <cellStyle name="40% - Énfasis6 19 8" xfId="8764" xr:uid="{00000000-0005-0000-0000-000002220000}"/>
    <cellStyle name="40% - Énfasis6 19 9" xfId="8765" xr:uid="{00000000-0005-0000-0000-000003220000}"/>
    <cellStyle name="40% - Énfasis6 2 10" xfId="8766" xr:uid="{00000000-0005-0000-0000-000004220000}"/>
    <cellStyle name="40% - Énfasis6 2 11" xfId="8767" xr:uid="{00000000-0005-0000-0000-000005220000}"/>
    <cellStyle name="40% - Énfasis6 2 12" xfId="8768" xr:uid="{00000000-0005-0000-0000-000006220000}"/>
    <cellStyle name="40% - Énfasis6 2 13" xfId="8769" xr:uid="{00000000-0005-0000-0000-000007220000}"/>
    <cellStyle name="40% - Énfasis6 2 14" xfId="8770" xr:uid="{00000000-0005-0000-0000-000008220000}"/>
    <cellStyle name="40% - Énfasis6 2 15" xfId="8771" xr:uid="{00000000-0005-0000-0000-000009220000}"/>
    <cellStyle name="40% - Énfasis6 2 16" xfId="8772" xr:uid="{00000000-0005-0000-0000-00000A220000}"/>
    <cellStyle name="40% - Énfasis6 2 17" xfId="8773" xr:uid="{00000000-0005-0000-0000-00000B220000}"/>
    <cellStyle name="40% - Énfasis6 2 18" xfId="8774" xr:uid="{00000000-0005-0000-0000-00000C220000}"/>
    <cellStyle name="40% - Énfasis6 2 19" xfId="8775" xr:uid="{00000000-0005-0000-0000-00000D220000}"/>
    <cellStyle name="40% - Énfasis6 2 2" xfId="8776" xr:uid="{00000000-0005-0000-0000-00000E220000}"/>
    <cellStyle name="40% - Énfasis6 2 2 2" xfId="8777" xr:uid="{00000000-0005-0000-0000-00000F220000}"/>
    <cellStyle name="40% - Énfasis6 2 3" xfId="8778" xr:uid="{00000000-0005-0000-0000-000010220000}"/>
    <cellStyle name="40% - Énfasis6 2 3 2" xfId="8779" xr:uid="{00000000-0005-0000-0000-000011220000}"/>
    <cellStyle name="40% - Énfasis6 2 4" xfId="8780" xr:uid="{00000000-0005-0000-0000-000012220000}"/>
    <cellStyle name="40% - Énfasis6 2 4 2" xfId="8781" xr:uid="{00000000-0005-0000-0000-000013220000}"/>
    <cellStyle name="40% - Énfasis6 2 5" xfId="8782" xr:uid="{00000000-0005-0000-0000-000014220000}"/>
    <cellStyle name="40% - Énfasis6 2 6" xfId="8783" xr:uid="{00000000-0005-0000-0000-000015220000}"/>
    <cellStyle name="40% - Énfasis6 2 7" xfId="8784" xr:uid="{00000000-0005-0000-0000-000016220000}"/>
    <cellStyle name="40% - Énfasis6 2 8" xfId="8785" xr:uid="{00000000-0005-0000-0000-000017220000}"/>
    <cellStyle name="40% - Énfasis6 2 9" xfId="8786" xr:uid="{00000000-0005-0000-0000-000018220000}"/>
    <cellStyle name="40% - Énfasis6 20 10" xfId="8787" xr:uid="{00000000-0005-0000-0000-000019220000}"/>
    <cellStyle name="40% - Énfasis6 20 11" xfId="8788" xr:uid="{00000000-0005-0000-0000-00001A220000}"/>
    <cellStyle name="40% - Énfasis6 20 12" xfId="8789" xr:uid="{00000000-0005-0000-0000-00001B220000}"/>
    <cellStyle name="40% - Énfasis6 20 13" xfId="8790" xr:uid="{00000000-0005-0000-0000-00001C220000}"/>
    <cellStyle name="40% - Énfasis6 20 14" xfId="8791" xr:uid="{00000000-0005-0000-0000-00001D220000}"/>
    <cellStyle name="40% - Énfasis6 20 15" xfId="8792" xr:uid="{00000000-0005-0000-0000-00001E220000}"/>
    <cellStyle name="40% - Énfasis6 20 16" xfId="8793" xr:uid="{00000000-0005-0000-0000-00001F220000}"/>
    <cellStyle name="40% - Énfasis6 20 17" xfId="8794" xr:uid="{00000000-0005-0000-0000-000020220000}"/>
    <cellStyle name="40% - Énfasis6 20 18" xfId="8795" xr:uid="{00000000-0005-0000-0000-000021220000}"/>
    <cellStyle name="40% - Énfasis6 20 19" xfId="8796" xr:uid="{00000000-0005-0000-0000-000022220000}"/>
    <cellStyle name="40% - Énfasis6 20 2" xfId="8797" xr:uid="{00000000-0005-0000-0000-000023220000}"/>
    <cellStyle name="40% - Énfasis6 20 2 2" xfId="8798" xr:uid="{00000000-0005-0000-0000-000024220000}"/>
    <cellStyle name="40% - Énfasis6 20 3" xfId="8799" xr:uid="{00000000-0005-0000-0000-000025220000}"/>
    <cellStyle name="40% - Énfasis6 20 3 2" xfId="8800" xr:uid="{00000000-0005-0000-0000-000026220000}"/>
    <cellStyle name="40% - Énfasis6 20 4" xfId="8801" xr:uid="{00000000-0005-0000-0000-000027220000}"/>
    <cellStyle name="40% - Énfasis6 20 4 2" xfId="8802" xr:uid="{00000000-0005-0000-0000-000028220000}"/>
    <cellStyle name="40% - Énfasis6 20 5" xfId="8803" xr:uid="{00000000-0005-0000-0000-000029220000}"/>
    <cellStyle name="40% - Énfasis6 20 6" xfId="8804" xr:uid="{00000000-0005-0000-0000-00002A220000}"/>
    <cellStyle name="40% - Énfasis6 20 7" xfId="8805" xr:uid="{00000000-0005-0000-0000-00002B220000}"/>
    <cellStyle name="40% - Énfasis6 20 8" xfId="8806" xr:uid="{00000000-0005-0000-0000-00002C220000}"/>
    <cellStyle name="40% - Énfasis6 20 9" xfId="8807" xr:uid="{00000000-0005-0000-0000-00002D220000}"/>
    <cellStyle name="40% - Énfasis6 21 10" xfId="8808" xr:uid="{00000000-0005-0000-0000-00002E220000}"/>
    <cellStyle name="40% - Énfasis6 21 11" xfId="8809" xr:uid="{00000000-0005-0000-0000-00002F220000}"/>
    <cellStyle name="40% - Énfasis6 21 12" xfId="8810" xr:uid="{00000000-0005-0000-0000-000030220000}"/>
    <cellStyle name="40% - Énfasis6 21 13" xfId="8811" xr:uid="{00000000-0005-0000-0000-000031220000}"/>
    <cellStyle name="40% - Énfasis6 21 14" xfId="8812" xr:uid="{00000000-0005-0000-0000-000032220000}"/>
    <cellStyle name="40% - Énfasis6 21 15" xfId="8813" xr:uid="{00000000-0005-0000-0000-000033220000}"/>
    <cellStyle name="40% - Énfasis6 21 16" xfId="8814" xr:uid="{00000000-0005-0000-0000-000034220000}"/>
    <cellStyle name="40% - Énfasis6 21 17" xfId="8815" xr:uid="{00000000-0005-0000-0000-000035220000}"/>
    <cellStyle name="40% - Énfasis6 21 18" xfId="8816" xr:uid="{00000000-0005-0000-0000-000036220000}"/>
    <cellStyle name="40% - Énfasis6 21 19" xfId="8817" xr:uid="{00000000-0005-0000-0000-000037220000}"/>
    <cellStyle name="40% - Énfasis6 21 2" xfId="8818" xr:uid="{00000000-0005-0000-0000-000038220000}"/>
    <cellStyle name="40% - Énfasis6 21 2 2" xfId="8819" xr:uid="{00000000-0005-0000-0000-000039220000}"/>
    <cellStyle name="40% - Énfasis6 21 3" xfId="8820" xr:uid="{00000000-0005-0000-0000-00003A220000}"/>
    <cellStyle name="40% - Énfasis6 21 3 2" xfId="8821" xr:uid="{00000000-0005-0000-0000-00003B220000}"/>
    <cellStyle name="40% - Énfasis6 21 4" xfId="8822" xr:uid="{00000000-0005-0000-0000-00003C220000}"/>
    <cellStyle name="40% - Énfasis6 21 4 2" xfId="8823" xr:uid="{00000000-0005-0000-0000-00003D220000}"/>
    <cellStyle name="40% - Énfasis6 21 5" xfId="8824" xr:uid="{00000000-0005-0000-0000-00003E220000}"/>
    <cellStyle name="40% - Énfasis6 21 6" xfId="8825" xr:uid="{00000000-0005-0000-0000-00003F220000}"/>
    <cellStyle name="40% - Énfasis6 21 7" xfId="8826" xr:uid="{00000000-0005-0000-0000-000040220000}"/>
    <cellStyle name="40% - Énfasis6 21 8" xfId="8827" xr:uid="{00000000-0005-0000-0000-000041220000}"/>
    <cellStyle name="40% - Énfasis6 21 9" xfId="8828" xr:uid="{00000000-0005-0000-0000-000042220000}"/>
    <cellStyle name="40% - Énfasis6 22 10" xfId="8829" xr:uid="{00000000-0005-0000-0000-000043220000}"/>
    <cellStyle name="40% - Énfasis6 22 11" xfId="8830" xr:uid="{00000000-0005-0000-0000-000044220000}"/>
    <cellStyle name="40% - Énfasis6 22 12" xfId="8831" xr:uid="{00000000-0005-0000-0000-000045220000}"/>
    <cellStyle name="40% - Énfasis6 22 13" xfId="8832" xr:uid="{00000000-0005-0000-0000-000046220000}"/>
    <cellStyle name="40% - Énfasis6 22 14" xfId="8833" xr:uid="{00000000-0005-0000-0000-000047220000}"/>
    <cellStyle name="40% - Énfasis6 22 15" xfId="8834" xr:uid="{00000000-0005-0000-0000-000048220000}"/>
    <cellStyle name="40% - Énfasis6 22 16" xfId="8835" xr:uid="{00000000-0005-0000-0000-000049220000}"/>
    <cellStyle name="40% - Énfasis6 22 17" xfId="8836" xr:uid="{00000000-0005-0000-0000-00004A220000}"/>
    <cellStyle name="40% - Énfasis6 22 18" xfId="8837" xr:uid="{00000000-0005-0000-0000-00004B220000}"/>
    <cellStyle name="40% - Énfasis6 22 19" xfId="8838" xr:uid="{00000000-0005-0000-0000-00004C220000}"/>
    <cellStyle name="40% - Énfasis6 22 2" xfId="8839" xr:uid="{00000000-0005-0000-0000-00004D220000}"/>
    <cellStyle name="40% - Énfasis6 22 2 2" xfId="8840" xr:uid="{00000000-0005-0000-0000-00004E220000}"/>
    <cellStyle name="40% - Énfasis6 22 3" xfId="8841" xr:uid="{00000000-0005-0000-0000-00004F220000}"/>
    <cellStyle name="40% - Énfasis6 22 3 2" xfId="8842" xr:uid="{00000000-0005-0000-0000-000050220000}"/>
    <cellStyle name="40% - Énfasis6 22 4" xfId="8843" xr:uid="{00000000-0005-0000-0000-000051220000}"/>
    <cellStyle name="40% - Énfasis6 22 4 2" xfId="8844" xr:uid="{00000000-0005-0000-0000-000052220000}"/>
    <cellStyle name="40% - Énfasis6 22 5" xfId="8845" xr:uid="{00000000-0005-0000-0000-000053220000}"/>
    <cellStyle name="40% - Énfasis6 22 6" xfId="8846" xr:uid="{00000000-0005-0000-0000-000054220000}"/>
    <cellStyle name="40% - Énfasis6 22 7" xfId="8847" xr:uid="{00000000-0005-0000-0000-000055220000}"/>
    <cellStyle name="40% - Énfasis6 22 8" xfId="8848" xr:uid="{00000000-0005-0000-0000-000056220000}"/>
    <cellStyle name="40% - Énfasis6 22 9" xfId="8849" xr:uid="{00000000-0005-0000-0000-000057220000}"/>
    <cellStyle name="40% - Énfasis6 23 10" xfId="8850" xr:uid="{00000000-0005-0000-0000-000058220000}"/>
    <cellStyle name="40% - Énfasis6 23 11" xfId="8851" xr:uid="{00000000-0005-0000-0000-000059220000}"/>
    <cellStyle name="40% - Énfasis6 23 12" xfId="8852" xr:uid="{00000000-0005-0000-0000-00005A220000}"/>
    <cellStyle name="40% - Énfasis6 23 13" xfId="8853" xr:uid="{00000000-0005-0000-0000-00005B220000}"/>
    <cellStyle name="40% - Énfasis6 23 14" xfId="8854" xr:uid="{00000000-0005-0000-0000-00005C220000}"/>
    <cellStyle name="40% - Énfasis6 23 15" xfId="8855" xr:uid="{00000000-0005-0000-0000-00005D220000}"/>
    <cellStyle name="40% - Énfasis6 23 16" xfId="8856" xr:uid="{00000000-0005-0000-0000-00005E220000}"/>
    <cellStyle name="40% - Énfasis6 23 17" xfId="8857" xr:uid="{00000000-0005-0000-0000-00005F220000}"/>
    <cellStyle name="40% - Énfasis6 23 18" xfId="8858" xr:uid="{00000000-0005-0000-0000-000060220000}"/>
    <cellStyle name="40% - Énfasis6 23 19" xfId="8859" xr:uid="{00000000-0005-0000-0000-000061220000}"/>
    <cellStyle name="40% - Énfasis6 23 2" xfId="8860" xr:uid="{00000000-0005-0000-0000-000062220000}"/>
    <cellStyle name="40% - Énfasis6 23 2 2" xfId="8861" xr:uid="{00000000-0005-0000-0000-000063220000}"/>
    <cellStyle name="40% - Énfasis6 23 3" xfId="8862" xr:uid="{00000000-0005-0000-0000-000064220000}"/>
    <cellStyle name="40% - Énfasis6 23 3 2" xfId="8863" xr:uid="{00000000-0005-0000-0000-000065220000}"/>
    <cellStyle name="40% - Énfasis6 23 4" xfId="8864" xr:uid="{00000000-0005-0000-0000-000066220000}"/>
    <cellStyle name="40% - Énfasis6 23 4 2" xfId="8865" xr:uid="{00000000-0005-0000-0000-000067220000}"/>
    <cellStyle name="40% - Énfasis6 23 5" xfId="8866" xr:uid="{00000000-0005-0000-0000-000068220000}"/>
    <cellStyle name="40% - Énfasis6 23 6" xfId="8867" xr:uid="{00000000-0005-0000-0000-000069220000}"/>
    <cellStyle name="40% - Énfasis6 23 7" xfId="8868" xr:uid="{00000000-0005-0000-0000-00006A220000}"/>
    <cellStyle name="40% - Énfasis6 23 8" xfId="8869" xr:uid="{00000000-0005-0000-0000-00006B220000}"/>
    <cellStyle name="40% - Énfasis6 23 9" xfId="8870" xr:uid="{00000000-0005-0000-0000-00006C220000}"/>
    <cellStyle name="40% - Énfasis6 24 10" xfId="8871" xr:uid="{00000000-0005-0000-0000-00006D220000}"/>
    <cellStyle name="40% - Énfasis6 24 11" xfId="8872" xr:uid="{00000000-0005-0000-0000-00006E220000}"/>
    <cellStyle name="40% - Énfasis6 24 12" xfId="8873" xr:uid="{00000000-0005-0000-0000-00006F220000}"/>
    <cellStyle name="40% - Énfasis6 24 13" xfId="8874" xr:uid="{00000000-0005-0000-0000-000070220000}"/>
    <cellStyle name="40% - Énfasis6 24 14" xfId="8875" xr:uid="{00000000-0005-0000-0000-000071220000}"/>
    <cellStyle name="40% - Énfasis6 24 15" xfId="8876" xr:uid="{00000000-0005-0000-0000-000072220000}"/>
    <cellStyle name="40% - Énfasis6 24 16" xfId="8877" xr:uid="{00000000-0005-0000-0000-000073220000}"/>
    <cellStyle name="40% - Énfasis6 24 17" xfId="8878" xr:uid="{00000000-0005-0000-0000-000074220000}"/>
    <cellStyle name="40% - Énfasis6 24 18" xfId="8879" xr:uid="{00000000-0005-0000-0000-000075220000}"/>
    <cellStyle name="40% - Énfasis6 24 19" xfId="8880" xr:uid="{00000000-0005-0000-0000-000076220000}"/>
    <cellStyle name="40% - Énfasis6 24 2" xfId="8881" xr:uid="{00000000-0005-0000-0000-000077220000}"/>
    <cellStyle name="40% - Énfasis6 24 2 2" xfId="8882" xr:uid="{00000000-0005-0000-0000-000078220000}"/>
    <cellStyle name="40% - Énfasis6 24 3" xfId="8883" xr:uid="{00000000-0005-0000-0000-000079220000}"/>
    <cellStyle name="40% - Énfasis6 24 3 2" xfId="8884" xr:uid="{00000000-0005-0000-0000-00007A220000}"/>
    <cellStyle name="40% - Énfasis6 24 4" xfId="8885" xr:uid="{00000000-0005-0000-0000-00007B220000}"/>
    <cellStyle name="40% - Énfasis6 24 4 2" xfId="8886" xr:uid="{00000000-0005-0000-0000-00007C220000}"/>
    <cellStyle name="40% - Énfasis6 24 5" xfId="8887" xr:uid="{00000000-0005-0000-0000-00007D220000}"/>
    <cellStyle name="40% - Énfasis6 24 6" xfId="8888" xr:uid="{00000000-0005-0000-0000-00007E220000}"/>
    <cellStyle name="40% - Énfasis6 24 7" xfId="8889" xr:uid="{00000000-0005-0000-0000-00007F220000}"/>
    <cellStyle name="40% - Énfasis6 24 8" xfId="8890" xr:uid="{00000000-0005-0000-0000-000080220000}"/>
    <cellStyle name="40% - Énfasis6 24 9" xfId="8891" xr:uid="{00000000-0005-0000-0000-000081220000}"/>
    <cellStyle name="40% - Énfasis6 25 10" xfId="8892" xr:uid="{00000000-0005-0000-0000-000082220000}"/>
    <cellStyle name="40% - Énfasis6 25 11" xfId="8893" xr:uid="{00000000-0005-0000-0000-000083220000}"/>
    <cellStyle name="40% - Énfasis6 25 12" xfId="8894" xr:uid="{00000000-0005-0000-0000-000084220000}"/>
    <cellStyle name="40% - Énfasis6 25 13" xfId="8895" xr:uid="{00000000-0005-0000-0000-000085220000}"/>
    <cellStyle name="40% - Énfasis6 25 14" xfId="8896" xr:uid="{00000000-0005-0000-0000-000086220000}"/>
    <cellStyle name="40% - Énfasis6 25 15" xfId="8897" xr:uid="{00000000-0005-0000-0000-000087220000}"/>
    <cellStyle name="40% - Énfasis6 25 16" xfId="8898" xr:uid="{00000000-0005-0000-0000-000088220000}"/>
    <cellStyle name="40% - Énfasis6 25 17" xfId="8899" xr:uid="{00000000-0005-0000-0000-000089220000}"/>
    <cellStyle name="40% - Énfasis6 25 18" xfId="8900" xr:uid="{00000000-0005-0000-0000-00008A220000}"/>
    <cellStyle name="40% - Énfasis6 25 19" xfId="8901" xr:uid="{00000000-0005-0000-0000-00008B220000}"/>
    <cellStyle name="40% - Énfasis6 25 2" xfId="8902" xr:uid="{00000000-0005-0000-0000-00008C220000}"/>
    <cellStyle name="40% - Énfasis6 25 2 2" xfId="8903" xr:uid="{00000000-0005-0000-0000-00008D220000}"/>
    <cellStyle name="40% - Énfasis6 25 3" xfId="8904" xr:uid="{00000000-0005-0000-0000-00008E220000}"/>
    <cellStyle name="40% - Énfasis6 25 3 2" xfId="8905" xr:uid="{00000000-0005-0000-0000-00008F220000}"/>
    <cellStyle name="40% - Énfasis6 25 4" xfId="8906" xr:uid="{00000000-0005-0000-0000-000090220000}"/>
    <cellStyle name="40% - Énfasis6 25 4 2" xfId="8907" xr:uid="{00000000-0005-0000-0000-000091220000}"/>
    <cellStyle name="40% - Énfasis6 25 5" xfId="8908" xr:uid="{00000000-0005-0000-0000-000092220000}"/>
    <cellStyle name="40% - Énfasis6 25 6" xfId="8909" xr:uid="{00000000-0005-0000-0000-000093220000}"/>
    <cellStyle name="40% - Énfasis6 25 7" xfId="8910" xr:uid="{00000000-0005-0000-0000-000094220000}"/>
    <cellStyle name="40% - Énfasis6 25 8" xfId="8911" xr:uid="{00000000-0005-0000-0000-000095220000}"/>
    <cellStyle name="40% - Énfasis6 25 9" xfId="8912" xr:uid="{00000000-0005-0000-0000-000096220000}"/>
    <cellStyle name="40% - Énfasis6 26 10" xfId="8913" xr:uid="{00000000-0005-0000-0000-000097220000}"/>
    <cellStyle name="40% - Énfasis6 26 11" xfId="8914" xr:uid="{00000000-0005-0000-0000-000098220000}"/>
    <cellStyle name="40% - Énfasis6 26 12" xfId="8915" xr:uid="{00000000-0005-0000-0000-000099220000}"/>
    <cellStyle name="40% - Énfasis6 26 13" xfId="8916" xr:uid="{00000000-0005-0000-0000-00009A220000}"/>
    <cellStyle name="40% - Énfasis6 26 14" xfId="8917" xr:uid="{00000000-0005-0000-0000-00009B220000}"/>
    <cellStyle name="40% - Énfasis6 26 15" xfId="8918" xr:uid="{00000000-0005-0000-0000-00009C220000}"/>
    <cellStyle name="40% - Énfasis6 26 16" xfId="8919" xr:uid="{00000000-0005-0000-0000-00009D220000}"/>
    <cellStyle name="40% - Énfasis6 26 17" xfId="8920" xr:uid="{00000000-0005-0000-0000-00009E220000}"/>
    <cellStyle name="40% - Énfasis6 26 18" xfId="8921" xr:uid="{00000000-0005-0000-0000-00009F220000}"/>
    <cellStyle name="40% - Énfasis6 26 19" xfId="8922" xr:uid="{00000000-0005-0000-0000-0000A0220000}"/>
    <cellStyle name="40% - Énfasis6 26 2" xfId="8923" xr:uid="{00000000-0005-0000-0000-0000A1220000}"/>
    <cellStyle name="40% - Énfasis6 26 2 2" xfId="8924" xr:uid="{00000000-0005-0000-0000-0000A2220000}"/>
    <cellStyle name="40% - Énfasis6 26 3" xfId="8925" xr:uid="{00000000-0005-0000-0000-0000A3220000}"/>
    <cellStyle name="40% - Énfasis6 26 3 2" xfId="8926" xr:uid="{00000000-0005-0000-0000-0000A4220000}"/>
    <cellStyle name="40% - Énfasis6 26 4" xfId="8927" xr:uid="{00000000-0005-0000-0000-0000A5220000}"/>
    <cellStyle name="40% - Énfasis6 26 4 2" xfId="8928" xr:uid="{00000000-0005-0000-0000-0000A6220000}"/>
    <cellStyle name="40% - Énfasis6 26 5" xfId="8929" xr:uid="{00000000-0005-0000-0000-0000A7220000}"/>
    <cellStyle name="40% - Énfasis6 26 6" xfId="8930" xr:uid="{00000000-0005-0000-0000-0000A8220000}"/>
    <cellStyle name="40% - Énfasis6 26 7" xfId="8931" xr:uid="{00000000-0005-0000-0000-0000A9220000}"/>
    <cellStyle name="40% - Énfasis6 26 8" xfId="8932" xr:uid="{00000000-0005-0000-0000-0000AA220000}"/>
    <cellStyle name="40% - Énfasis6 26 9" xfId="8933" xr:uid="{00000000-0005-0000-0000-0000AB220000}"/>
    <cellStyle name="40% - Énfasis6 27 10" xfId="8934" xr:uid="{00000000-0005-0000-0000-0000AC220000}"/>
    <cellStyle name="40% - Énfasis6 27 11" xfId="8935" xr:uid="{00000000-0005-0000-0000-0000AD220000}"/>
    <cellStyle name="40% - Énfasis6 27 12" xfId="8936" xr:uid="{00000000-0005-0000-0000-0000AE220000}"/>
    <cellStyle name="40% - Énfasis6 27 13" xfId="8937" xr:uid="{00000000-0005-0000-0000-0000AF220000}"/>
    <cellStyle name="40% - Énfasis6 27 14" xfId="8938" xr:uid="{00000000-0005-0000-0000-0000B0220000}"/>
    <cellStyle name="40% - Énfasis6 27 15" xfId="8939" xr:uid="{00000000-0005-0000-0000-0000B1220000}"/>
    <cellStyle name="40% - Énfasis6 27 16" xfId="8940" xr:uid="{00000000-0005-0000-0000-0000B2220000}"/>
    <cellStyle name="40% - Énfasis6 27 17" xfId="8941" xr:uid="{00000000-0005-0000-0000-0000B3220000}"/>
    <cellStyle name="40% - Énfasis6 27 18" xfId="8942" xr:uid="{00000000-0005-0000-0000-0000B4220000}"/>
    <cellStyle name="40% - Énfasis6 27 19" xfId="8943" xr:uid="{00000000-0005-0000-0000-0000B5220000}"/>
    <cellStyle name="40% - Énfasis6 27 2" xfId="8944" xr:uid="{00000000-0005-0000-0000-0000B6220000}"/>
    <cellStyle name="40% - Énfasis6 27 2 2" xfId="8945" xr:uid="{00000000-0005-0000-0000-0000B7220000}"/>
    <cellStyle name="40% - Énfasis6 27 3" xfId="8946" xr:uid="{00000000-0005-0000-0000-0000B8220000}"/>
    <cellStyle name="40% - Énfasis6 27 3 2" xfId="8947" xr:uid="{00000000-0005-0000-0000-0000B9220000}"/>
    <cellStyle name="40% - Énfasis6 27 4" xfId="8948" xr:uid="{00000000-0005-0000-0000-0000BA220000}"/>
    <cellStyle name="40% - Énfasis6 27 4 2" xfId="8949" xr:uid="{00000000-0005-0000-0000-0000BB220000}"/>
    <cellStyle name="40% - Énfasis6 27 5" xfId="8950" xr:uid="{00000000-0005-0000-0000-0000BC220000}"/>
    <cellStyle name="40% - Énfasis6 27 6" xfId="8951" xr:uid="{00000000-0005-0000-0000-0000BD220000}"/>
    <cellStyle name="40% - Énfasis6 27 7" xfId="8952" xr:uid="{00000000-0005-0000-0000-0000BE220000}"/>
    <cellStyle name="40% - Énfasis6 27 8" xfId="8953" xr:uid="{00000000-0005-0000-0000-0000BF220000}"/>
    <cellStyle name="40% - Énfasis6 27 9" xfId="8954" xr:uid="{00000000-0005-0000-0000-0000C0220000}"/>
    <cellStyle name="40% - Énfasis6 28 10" xfId="8955" xr:uid="{00000000-0005-0000-0000-0000C1220000}"/>
    <cellStyle name="40% - Énfasis6 28 11" xfId="8956" xr:uid="{00000000-0005-0000-0000-0000C2220000}"/>
    <cellStyle name="40% - Énfasis6 28 12" xfId="8957" xr:uid="{00000000-0005-0000-0000-0000C3220000}"/>
    <cellStyle name="40% - Énfasis6 28 13" xfId="8958" xr:uid="{00000000-0005-0000-0000-0000C4220000}"/>
    <cellStyle name="40% - Énfasis6 28 14" xfId="8959" xr:uid="{00000000-0005-0000-0000-0000C5220000}"/>
    <cellStyle name="40% - Énfasis6 28 15" xfId="8960" xr:uid="{00000000-0005-0000-0000-0000C6220000}"/>
    <cellStyle name="40% - Énfasis6 28 16" xfId="8961" xr:uid="{00000000-0005-0000-0000-0000C7220000}"/>
    <cellStyle name="40% - Énfasis6 28 17" xfId="8962" xr:uid="{00000000-0005-0000-0000-0000C8220000}"/>
    <cellStyle name="40% - Énfasis6 28 18" xfId="8963" xr:uid="{00000000-0005-0000-0000-0000C9220000}"/>
    <cellStyle name="40% - Énfasis6 28 19" xfId="8964" xr:uid="{00000000-0005-0000-0000-0000CA220000}"/>
    <cellStyle name="40% - Énfasis6 28 2" xfId="8965" xr:uid="{00000000-0005-0000-0000-0000CB220000}"/>
    <cellStyle name="40% - Énfasis6 28 2 2" xfId="8966" xr:uid="{00000000-0005-0000-0000-0000CC220000}"/>
    <cellStyle name="40% - Énfasis6 28 3" xfId="8967" xr:uid="{00000000-0005-0000-0000-0000CD220000}"/>
    <cellStyle name="40% - Énfasis6 28 3 2" xfId="8968" xr:uid="{00000000-0005-0000-0000-0000CE220000}"/>
    <cellStyle name="40% - Énfasis6 28 4" xfId="8969" xr:uid="{00000000-0005-0000-0000-0000CF220000}"/>
    <cellStyle name="40% - Énfasis6 28 4 2" xfId="8970" xr:uid="{00000000-0005-0000-0000-0000D0220000}"/>
    <cellStyle name="40% - Énfasis6 28 5" xfId="8971" xr:uid="{00000000-0005-0000-0000-0000D1220000}"/>
    <cellStyle name="40% - Énfasis6 28 6" xfId="8972" xr:uid="{00000000-0005-0000-0000-0000D2220000}"/>
    <cellStyle name="40% - Énfasis6 28 7" xfId="8973" xr:uid="{00000000-0005-0000-0000-0000D3220000}"/>
    <cellStyle name="40% - Énfasis6 28 8" xfId="8974" xr:uid="{00000000-0005-0000-0000-0000D4220000}"/>
    <cellStyle name="40% - Énfasis6 28 9" xfId="8975" xr:uid="{00000000-0005-0000-0000-0000D5220000}"/>
    <cellStyle name="40% - Énfasis6 29 10" xfId="8976" xr:uid="{00000000-0005-0000-0000-0000D6220000}"/>
    <cellStyle name="40% - Énfasis6 29 11" xfId="8977" xr:uid="{00000000-0005-0000-0000-0000D7220000}"/>
    <cellStyle name="40% - Énfasis6 29 12" xfId="8978" xr:uid="{00000000-0005-0000-0000-0000D8220000}"/>
    <cellStyle name="40% - Énfasis6 29 13" xfId="8979" xr:uid="{00000000-0005-0000-0000-0000D9220000}"/>
    <cellStyle name="40% - Énfasis6 29 14" xfId="8980" xr:uid="{00000000-0005-0000-0000-0000DA220000}"/>
    <cellStyle name="40% - Énfasis6 29 15" xfId="8981" xr:uid="{00000000-0005-0000-0000-0000DB220000}"/>
    <cellStyle name="40% - Énfasis6 29 16" xfId="8982" xr:uid="{00000000-0005-0000-0000-0000DC220000}"/>
    <cellStyle name="40% - Énfasis6 29 17" xfId="8983" xr:uid="{00000000-0005-0000-0000-0000DD220000}"/>
    <cellStyle name="40% - Énfasis6 29 18" xfId="8984" xr:uid="{00000000-0005-0000-0000-0000DE220000}"/>
    <cellStyle name="40% - Énfasis6 29 19" xfId="8985" xr:uid="{00000000-0005-0000-0000-0000DF220000}"/>
    <cellStyle name="40% - Énfasis6 29 2" xfId="8986" xr:uid="{00000000-0005-0000-0000-0000E0220000}"/>
    <cellStyle name="40% - Énfasis6 29 2 2" xfId="8987" xr:uid="{00000000-0005-0000-0000-0000E1220000}"/>
    <cellStyle name="40% - Énfasis6 29 3" xfId="8988" xr:uid="{00000000-0005-0000-0000-0000E2220000}"/>
    <cellStyle name="40% - Énfasis6 29 3 2" xfId="8989" xr:uid="{00000000-0005-0000-0000-0000E3220000}"/>
    <cellStyle name="40% - Énfasis6 29 4" xfId="8990" xr:uid="{00000000-0005-0000-0000-0000E4220000}"/>
    <cellStyle name="40% - Énfasis6 29 4 2" xfId="8991" xr:uid="{00000000-0005-0000-0000-0000E5220000}"/>
    <cellStyle name="40% - Énfasis6 29 5" xfId="8992" xr:uid="{00000000-0005-0000-0000-0000E6220000}"/>
    <cellStyle name="40% - Énfasis6 29 6" xfId="8993" xr:uid="{00000000-0005-0000-0000-0000E7220000}"/>
    <cellStyle name="40% - Énfasis6 29 7" xfId="8994" xr:uid="{00000000-0005-0000-0000-0000E8220000}"/>
    <cellStyle name="40% - Énfasis6 29 8" xfId="8995" xr:uid="{00000000-0005-0000-0000-0000E9220000}"/>
    <cellStyle name="40% - Énfasis6 29 9" xfId="8996" xr:uid="{00000000-0005-0000-0000-0000EA220000}"/>
    <cellStyle name="40% - Énfasis6 3 10" xfId="8997" xr:uid="{00000000-0005-0000-0000-0000EB220000}"/>
    <cellStyle name="40% - Énfasis6 3 11" xfId="8998" xr:uid="{00000000-0005-0000-0000-0000EC220000}"/>
    <cellStyle name="40% - Énfasis6 3 12" xfId="8999" xr:uid="{00000000-0005-0000-0000-0000ED220000}"/>
    <cellStyle name="40% - Énfasis6 3 13" xfId="9000" xr:uid="{00000000-0005-0000-0000-0000EE220000}"/>
    <cellStyle name="40% - Énfasis6 3 14" xfId="9001" xr:uid="{00000000-0005-0000-0000-0000EF220000}"/>
    <cellStyle name="40% - Énfasis6 3 15" xfId="9002" xr:uid="{00000000-0005-0000-0000-0000F0220000}"/>
    <cellStyle name="40% - Énfasis6 3 16" xfId="9003" xr:uid="{00000000-0005-0000-0000-0000F1220000}"/>
    <cellStyle name="40% - Énfasis6 3 17" xfId="9004" xr:uid="{00000000-0005-0000-0000-0000F2220000}"/>
    <cellStyle name="40% - Énfasis6 3 18" xfId="9005" xr:uid="{00000000-0005-0000-0000-0000F3220000}"/>
    <cellStyle name="40% - Énfasis6 3 19" xfId="9006" xr:uid="{00000000-0005-0000-0000-0000F4220000}"/>
    <cellStyle name="40% - Énfasis6 3 2" xfId="9007" xr:uid="{00000000-0005-0000-0000-0000F5220000}"/>
    <cellStyle name="40% - Énfasis6 3 2 2" xfId="9008" xr:uid="{00000000-0005-0000-0000-0000F6220000}"/>
    <cellStyle name="40% - Énfasis6 3 3" xfId="9009" xr:uid="{00000000-0005-0000-0000-0000F7220000}"/>
    <cellStyle name="40% - Énfasis6 3 3 2" xfId="9010" xr:uid="{00000000-0005-0000-0000-0000F8220000}"/>
    <cellStyle name="40% - Énfasis6 3 4" xfId="9011" xr:uid="{00000000-0005-0000-0000-0000F9220000}"/>
    <cellStyle name="40% - Énfasis6 3 4 2" xfId="9012" xr:uid="{00000000-0005-0000-0000-0000FA220000}"/>
    <cellStyle name="40% - Énfasis6 3 5" xfId="9013" xr:uid="{00000000-0005-0000-0000-0000FB220000}"/>
    <cellStyle name="40% - Énfasis6 3 6" xfId="9014" xr:uid="{00000000-0005-0000-0000-0000FC220000}"/>
    <cellStyle name="40% - Énfasis6 3 7" xfId="9015" xr:uid="{00000000-0005-0000-0000-0000FD220000}"/>
    <cellStyle name="40% - Énfasis6 3 8" xfId="9016" xr:uid="{00000000-0005-0000-0000-0000FE220000}"/>
    <cellStyle name="40% - Énfasis6 3 9" xfId="9017" xr:uid="{00000000-0005-0000-0000-0000FF220000}"/>
    <cellStyle name="40% - Énfasis6 30 10" xfId="9018" xr:uid="{00000000-0005-0000-0000-000000230000}"/>
    <cellStyle name="40% - Énfasis6 30 11" xfId="9019" xr:uid="{00000000-0005-0000-0000-000001230000}"/>
    <cellStyle name="40% - Énfasis6 30 12" xfId="9020" xr:uid="{00000000-0005-0000-0000-000002230000}"/>
    <cellStyle name="40% - Énfasis6 30 13" xfId="9021" xr:uid="{00000000-0005-0000-0000-000003230000}"/>
    <cellStyle name="40% - Énfasis6 30 14" xfId="9022" xr:uid="{00000000-0005-0000-0000-000004230000}"/>
    <cellStyle name="40% - Énfasis6 30 15" xfId="9023" xr:uid="{00000000-0005-0000-0000-000005230000}"/>
    <cellStyle name="40% - Énfasis6 30 16" xfId="9024" xr:uid="{00000000-0005-0000-0000-000006230000}"/>
    <cellStyle name="40% - Énfasis6 30 17" xfId="9025" xr:uid="{00000000-0005-0000-0000-000007230000}"/>
    <cellStyle name="40% - Énfasis6 30 18" xfId="9026" xr:uid="{00000000-0005-0000-0000-000008230000}"/>
    <cellStyle name="40% - Énfasis6 30 19" xfId="9027" xr:uid="{00000000-0005-0000-0000-000009230000}"/>
    <cellStyle name="40% - Énfasis6 30 2" xfId="9028" xr:uid="{00000000-0005-0000-0000-00000A230000}"/>
    <cellStyle name="40% - Énfasis6 30 2 2" xfId="9029" xr:uid="{00000000-0005-0000-0000-00000B230000}"/>
    <cellStyle name="40% - Énfasis6 30 3" xfId="9030" xr:uid="{00000000-0005-0000-0000-00000C230000}"/>
    <cellStyle name="40% - Énfasis6 30 3 2" xfId="9031" xr:uid="{00000000-0005-0000-0000-00000D230000}"/>
    <cellStyle name="40% - Énfasis6 30 4" xfId="9032" xr:uid="{00000000-0005-0000-0000-00000E230000}"/>
    <cellStyle name="40% - Énfasis6 30 4 2" xfId="9033" xr:uid="{00000000-0005-0000-0000-00000F230000}"/>
    <cellStyle name="40% - Énfasis6 30 5" xfId="9034" xr:uid="{00000000-0005-0000-0000-000010230000}"/>
    <cellStyle name="40% - Énfasis6 30 6" xfId="9035" xr:uid="{00000000-0005-0000-0000-000011230000}"/>
    <cellStyle name="40% - Énfasis6 30 7" xfId="9036" xr:uid="{00000000-0005-0000-0000-000012230000}"/>
    <cellStyle name="40% - Énfasis6 30 8" xfId="9037" xr:uid="{00000000-0005-0000-0000-000013230000}"/>
    <cellStyle name="40% - Énfasis6 30 9" xfId="9038" xr:uid="{00000000-0005-0000-0000-000014230000}"/>
    <cellStyle name="40% - Énfasis6 31 10" xfId="9039" xr:uid="{00000000-0005-0000-0000-000015230000}"/>
    <cellStyle name="40% - Énfasis6 31 11" xfId="9040" xr:uid="{00000000-0005-0000-0000-000016230000}"/>
    <cellStyle name="40% - Énfasis6 31 12" xfId="9041" xr:uid="{00000000-0005-0000-0000-000017230000}"/>
    <cellStyle name="40% - Énfasis6 31 13" xfId="9042" xr:uid="{00000000-0005-0000-0000-000018230000}"/>
    <cellStyle name="40% - Énfasis6 31 14" xfId="9043" xr:uid="{00000000-0005-0000-0000-000019230000}"/>
    <cellStyle name="40% - Énfasis6 31 15" xfId="9044" xr:uid="{00000000-0005-0000-0000-00001A230000}"/>
    <cellStyle name="40% - Énfasis6 31 16" xfId="9045" xr:uid="{00000000-0005-0000-0000-00001B230000}"/>
    <cellStyle name="40% - Énfasis6 31 17" xfId="9046" xr:uid="{00000000-0005-0000-0000-00001C230000}"/>
    <cellStyle name="40% - Énfasis6 31 18" xfId="9047" xr:uid="{00000000-0005-0000-0000-00001D230000}"/>
    <cellStyle name="40% - Énfasis6 31 19" xfId="9048" xr:uid="{00000000-0005-0000-0000-00001E230000}"/>
    <cellStyle name="40% - Énfasis6 31 2" xfId="9049" xr:uid="{00000000-0005-0000-0000-00001F230000}"/>
    <cellStyle name="40% - Énfasis6 31 2 2" xfId="9050" xr:uid="{00000000-0005-0000-0000-000020230000}"/>
    <cellStyle name="40% - Énfasis6 31 3" xfId="9051" xr:uid="{00000000-0005-0000-0000-000021230000}"/>
    <cellStyle name="40% - Énfasis6 31 3 2" xfId="9052" xr:uid="{00000000-0005-0000-0000-000022230000}"/>
    <cellStyle name="40% - Énfasis6 31 4" xfId="9053" xr:uid="{00000000-0005-0000-0000-000023230000}"/>
    <cellStyle name="40% - Énfasis6 31 4 2" xfId="9054" xr:uid="{00000000-0005-0000-0000-000024230000}"/>
    <cellStyle name="40% - Énfasis6 31 5" xfId="9055" xr:uid="{00000000-0005-0000-0000-000025230000}"/>
    <cellStyle name="40% - Énfasis6 31 6" xfId="9056" xr:uid="{00000000-0005-0000-0000-000026230000}"/>
    <cellStyle name="40% - Énfasis6 31 7" xfId="9057" xr:uid="{00000000-0005-0000-0000-000027230000}"/>
    <cellStyle name="40% - Énfasis6 31 8" xfId="9058" xr:uid="{00000000-0005-0000-0000-000028230000}"/>
    <cellStyle name="40% - Énfasis6 31 9" xfId="9059" xr:uid="{00000000-0005-0000-0000-000029230000}"/>
    <cellStyle name="40% - Énfasis6 32 10" xfId="9060" xr:uid="{00000000-0005-0000-0000-00002A230000}"/>
    <cellStyle name="40% - Énfasis6 32 11" xfId="9061" xr:uid="{00000000-0005-0000-0000-00002B230000}"/>
    <cellStyle name="40% - Énfasis6 32 12" xfId="9062" xr:uid="{00000000-0005-0000-0000-00002C230000}"/>
    <cellStyle name="40% - Énfasis6 32 13" xfId="9063" xr:uid="{00000000-0005-0000-0000-00002D230000}"/>
    <cellStyle name="40% - Énfasis6 32 14" xfId="9064" xr:uid="{00000000-0005-0000-0000-00002E230000}"/>
    <cellStyle name="40% - Énfasis6 32 15" xfId="9065" xr:uid="{00000000-0005-0000-0000-00002F230000}"/>
    <cellStyle name="40% - Énfasis6 32 16" xfId="9066" xr:uid="{00000000-0005-0000-0000-000030230000}"/>
    <cellStyle name="40% - Énfasis6 32 17" xfId="9067" xr:uid="{00000000-0005-0000-0000-000031230000}"/>
    <cellStyle name="40% - Énfasis6 32 18" xfId="9068" xr:uid="{00000000-0005-0000-0000-000032230000}"/>
    <cellStyle name="40% - Énfasis6 32 19" xfId="9069" xr:uid="{00000000-0005-0000-0000-000033230000}"/>
    <cellStyle name="40% - Énfasis6 32 2" xfId="9070" xr:uid="{00000000-0005-0000-0000-000034230000}"/>
    <cellStyle name="40% - Énfasis6 32 2 2" xfId="9071" xr:uid="{00000000-0005-0000-0000-000035230000}"/>
    <cellStyle name="40% - Énfasis6 32 3" xfId="9072" xr:uid="{00000000-0005-0000-0000-000036230000}"/>
    <cellStyle name="40% - Énfasis6 32 3 2" xfId="9073" xr:uid="{00000000-0005-0000-0000-000037230000}"/>
    <cellStyle name="40% - Énfasis6 32 4" xfId="9074" xr:uid="{00000000-0005-0000-0000-000038230000}"/>
    <cellStyle name="40% - Énfasis6 32 4 2" xfId="9075" xr:uid="{00000000-0005-0000-0000-000039230000}"/>
    <cellStyle name="40% - Énfasis6 32 5" xfId="9076" xr:uid="{00000000-0005-0000-0000-00003A230000}"/>
    <cellStyle name="40% - Énfasis6 32 6" xfId="9077" xr:uid="{00000000-0005-0000-0000-00003B230000}"/>
    <cellStyle name="40% - Énfasis6 32 7" xfId="9078" xr:uid="{00000000-0005-0000-0000-00003C230000}"/>
    <cellStyle name="40% - Énfasis6 32 8" xfId="9079" xr:uid="{00000000-0005-0000-0000-00003D230000}"/>
    <cellStyle name="40% - Énfasis6 32 9" xfId="9080" xr:uid="{00000000-0005-0000-0000-00003E230000}"/>
    <cellStyle name="40% - Énfasis6 33 10" xfId="9081" xr:uid="{00000000-0005-0000-0000-00003F230000}"/>
    <cellStyle name="40% - Énfasis6 33 11" xfId="9082" xr:uid="{00000000-0005-0000-0000-000040230000}"/>
    <cellStyle name="40% - Énfasis6 33 12" xfId="9083" xr:uid="{00000000-0005-0000-0000-000041230000}"/>
    <cellStyle name="40% - Énfasis6 33 13" xfId="9084" xr:uid="{00000000-0005-0000-0000-000042230000}"/>
    <cellStyle name="40% - Énfasis6 33 14" xfId="9085" xr:uid="{00000000-0005-0000-0000-000043230000}"/>
    <cellStyle name="40% - Énfasis6 33 15" xfId="9086" xr:uid="{00000000-0005-0000-0000-000044230000}"/>
    <cellStyle name="40% - Énfasis6 33 16" xfId="9087" xr:uid="{00000000-0005-0000-0000-000045230000}"/>
    <cellStyle name="40% - Énfasis6 33 17" xfId="9088" xr:uid="{00000000-0005-0000-0000-000046230000}"/>
    <cellStyle name="40% - Énfasis6 33 18" xfId="9089" xr:uid="{00000000-0005-0000-0000-000047230000}"/>
    <cellStyle name="40% - Énfasis6 33 19" xfId="9090" xr:uid="{00000000-0005-0000-0000-000048230000}"/>
    <cellStyle name="40% - Énfasis6 33 2" xfId="9091" xr:uid="{00000000-0005-0000-0000-000049230000}"/>
    <cellStyle name="40% - Énfasis6 33 2 2" xfId="9092" xr:uid="{00000000-0005-0000-0000-00004A230000}"/>
    <cellStyle name="40% - Énfasis6 33 3" xfId="9093" xr:uid="{00000000-0005-0000-0000-00004B230000}"/>
    <cellStyle name="40% - Énfasis6 33 3 2" xfId="9094" xr:uid="{00000000-0005-0000-0000-00004C230000}"/>
    <cellStyle name="40% - Énfasis6 33 4" xfId="9095" xr:uid="{00000000-0005-0000-0000-00004D230000}"/>
    <cellStyle name="40% - Énfasis6 33 4 2" xfId="9096" xr:uid="{00000000-0005-0000-0000-00004E230000}"/>
    <cellStyle name="40% - Énfasis6 33 5" xfId="9097" xr:uid="{00000000-0005-0000-0000-00004F230000}"/>
    <cellStyle name="40% - Énfasis6 33 6" xfId="9098" xr:uid="{00000000-0005-0000-0000-000050230000}"/>
    <cellStyle name="40% - Énfasis6 33 7" xfId="9099" xr:uid="{00000000-0005-0000-0000-000051230000}"/>
    <cellStyle name="40% - Énfasis6 33 8" xfId="9100" xr:uid="{00000000-0005-0000-0000-000052230000}"/>
    <cellStyle name="40% - Énfasis6 33 9" xfId="9101" xr:uid="{00000000-0005-0000-0000-000053230000}"/>
    <cellStyle name="40% - Énfasis6 34 10" xfId="9102" xr:uid="{00000000-0005-0000-0000-000054230000}"/>
    <cellStyle name="40% - Énfasis6 34 11" xfId="9103" xr:uid="{00000000-0005-0000-0000-000055230000}"/>
    <cellStyle name="40% - Énfasis6 34 12" xfId="9104" xr:uid="{00000000-0005-0000-0000-000056230000}"/>
    <cellStyle name="40% - Énfasis6 34 13" xfId="9105" xr:uid="{00000000-0005-0000-0000-000057230000}"/>
    <cellStyle name="40% - Énfasis6 34 14" xfId="9106" xr:uid="{00000000-0005-0000-0000-000058230000}"/>
    <cellStyle name="40% - Énfasis6 34 15" xfId="9107" xr:uid="{00000000-0005-0000-0000-000059230000}"/>
    <cellStyle name="40% - Énfasis6 34 16" xfId="9108" xr:uid="{00000000-0005-0000-0000-00005A230000}"/>
    <cellStyle name="40% - Énfasis6 34 17" xfId="9109" xr:uid="{00000000-0005-0000-0000-00005B230000}"/>
    <cellStyle name="40% - Énfasis6 34 18" xfId="9110" xr:uid="{00000000-0005-0000-0000-00005C230000}"/>
    <cellStyle name="40% - Énfasis6 34 19" xfId="9111" xr:uid="{00000000-0005-0000-0000-00005D230000}"/>
    <cellStyle name="40% - Énfasis6 34 2" xfId="9112" xr:uid="{00000000-0005-0000-0000-00005E230000}"/>
    <cellStyle name="40% - Énfasis6 34 2 2" xfId="9113" xr:uid="{00000000-0005-0000-0000-00005F230000}"/>
    <cellStyle name="40% - Énfasis6 34 3" xfId="9114" xr:uid="{00000000-0005-0000-0000-000060230000}"/>
    <cellStyle name="40% - Énfasis6 34 3 2" xfId="9115" xr:uid="{00000000-0005-0000-0000-000061230000}"/>
    <cellStyle name="40% - Énfasis6 34 4" xfId="9116" xr:uid="{00000000-0005-0000-0000-000062230000}"/>
    <cellStyle name="40% - Énfasis6 34 4 2" xfId="9117" xr:uid="{00000000-0005-0000-0000-000063230000}"/>
    <cellStyle name="40% - Énfasis6 34 5" xfId="9118" xr:uid="{00000000-0005-0000-0000-000064230000}"/>
    <cellStyle name="40% - Énfasis6 34 6" xfId="9119" xr:uid="{00000000-0005-0000-0000-000065230000}"/>
    <cellStyle name="40% - Énfasis6 34 7" xfId="9120" xr:uid="{00000000-0005-0000-0000-000066230000}"/>
    <cellStyle name="40% - Énfasis6 34 8" xfId="9121" xr:uid="{00000000-0005-0000-0000-000067230000}"/>
    <cellStyle name="40% - Énfasis6 34 9" xfId="9122" xr:uid="{00000000-0005-0000-0000-000068230000}"/>
    <cellStyle name="40% - Énfasis6 35 10" xfId="9123" xr:uid="{00000000-0005-0000-0000-000069230000}"/>
    <cellStyle name="40% - Énfasis6 35 11" xfId="9124" xr:uid="{00000000-0005-0000-0000-00006A230000}"/>
    <cellStyle name="40% - Énfasis6 35 12" xfId="9125" xr:uid="{00000000-0005-0000-0000-00006B230000}"/>
    <cellStyle name="40% - Énfasis6 35 13" xfId="9126" xr:uid="{00000000-0005-0000-0000-00006C230000}"/>
    <cellStyle name="40% - Énfasis6 35 14" xfId="9127" xr:uid="{00000000-0005-0000-0000-00006D230000}"/>
    <cellStyle name="40% - Énfasis6 35 15" xfId="9128" xr:uid="{00000000-0005-0000-0000-00006E230000}"/>
    <cellStyle name="40% - Énfasis6 35 16" xfId="9129" xr:uid="{00000000-0005-0000-0000-00006F230000}"/>
    <cellStyle name="40% - Énfasis6 35 17" xfId="9130" xr:uid="{00000000-0005-0000-0000-000070230000}"/>
    <cellStyle name="40% - Énfasis6 35 18" xfId="9131" xr:uid="{00000000-0005-0000-0000-000071230000}"/>
    <cellStyle name="40% - Énfasis6 35 19" xfId="9132" xr:uid="{00000000-0005-0000-0000-000072230000}"/>
    <cellStyle name="40% - Énfasis6 35 2" xfId="9133" xr:uid="{00000000-0005-0000-0000-000073230000}"/>
    <cellStyle name="40% - Énfasis6 35 2 2" xfId="9134" xr:uid="{00000000-0005-0000-0000-000074230000}"/>
    <cellStyle name="40% - Énfasis6 35 3" xfId="9135" xr:uid="{00000000-0005-0000-0000-000075230000}"/>
    <cellStyle name="40% - Énfasis6 35 3 2" xfId="9136" xr:uid="{00000000-0005-0000-0000-000076230000}"/>
    <cellStyle name="40% - Énfasis6 35 4" xfId="9137" xr:uid="{00000000-0005-0000-0000-000077230000}"/>
    <cellStyle name="40% - Énfasis6 35 4 2" xfId="9138" xr:uid="{00000000-0005-0000-0000-000078230000}"/>
    <cellStyle name="40% - Énfasis6 35 5" xfId="9139" xr:uid="{00000000-0005-0000-0000-000079230000}"/>
    <cellStyle name="40% - Énfasis6 35 6" xfId="9140" xr:uid="{00000000-0005-0000-0000-00007A230000}"/>
    <cellStyle name="40% - Énfasis6 35 7" xfId="9141" xr:uid="{00000000-0005-0000-0000-00007B230000}"/>
    <cellStyle name="40% - Énfasis6 35 8" xfId="9142" xr:uid="{00000000-0005-0000-0000-00007C230000}"/>
    <cellStyle name="40% - Énfasis6 35 9" xfId="9143" xr:uid="{00000000-0005-0000-0000-00007D230000}"/>
    <cellStyle name="40% - Énfasis6 36 10" xfId="9144" xr:uid="{00000000-0005-0000-0000-00007E230000}"/>
    <cellStyle name="40% - Énfasis6 36 11" xfId="9145" xr:uid="{00000000-0005-0000-0000-00007F230000}"/>
    <cellStyle name="40% - Énfasis6 36 12" xfId="9146" xr:uid="{00000000-0005-0000-0000-000080230000}"/>
    <cellStyle name="40% - Énfasis6 36 13" xfId="9147" xr:uid="{00000000-0005-0000-0000-000081230000}"/>
    <cellStyle name="40% - Énfasis6 36 14" xfId="9148" xr:uid="{00000000-0005-0000-0000-000082230000}"/>
    <cellStyle name="40% - Énfasis6 36 15" xfId="9149" xr:uid="{00000000-0005-0000-0000-000083230000}"/>
    <cellStyle name="40% - Énfasis6 36 16" xfId="9150" xr:uid="{00000000-0005-0000-0000-000084230000}"/>
    <cellStyle name="40% - Énfasis6 36 17" xfId="9151" xr:uid="{00000000-0005-0000-0000-000085230000}"/>
    <cellStyle name="40% - Énfasis6 36 18" xfId="9152" xr:uid="{00000000-0005-0000-0000-000086230000}"/>
    <cellStyle name="40% - Énfasis6 36 19" xfId="9153" xr:uid="{00000000-0005-0000-0000-000087230000}"/>
    <cellStyle name="40% - Énfasis6 36 2" xfId="9154" xr:uid="{00000000-0005-0000-0000-000088230000}"/>
    <cellStyle name="40% - Énfasis6 36 2 2" xfId="9155" xr:uid="{00000000-0005-0000-0000-000089230000}"/>
    <cellStyle name="40% - Énfasis6 36 3" xfId="9156" xr:uid="{00000000-0005-0000-0000-00008A230000}"/>
    <cellStyle name="40% - Énfasis6 36 3 2" xfId="9157" xr:uid="{00000000-0005-0000-0000-00008B230000}"/>
    <cellStyle name="40% - Énfasis6 36 4" xfId="9158" xr:uid="{00000000-0005-0000-0000-00008C230000}"/>
    <cellStyle name="40% - Énfasis6 36 4 2" xfId="9159" xr:uid="{00000000-0005-0000-0000-00008D230000}"/>
    <cellStyle name="40% - Énfasis6 36 5" xfId="9160" xr:uid="{00000000-0005-0000-0000-00008E230000}"/>
    <cellStyle name="40% - Énfasis6 36 6" xfId="9161" xr:uid="{00000000-0005-0000-0000-00008F230000}"/>
    <cellStyle name="40% - Énfasis6 36 7" xfId="9162" xr:uid="{00000000-0005-0000-0000-000090230000}"/>
    <cellStyle name="40% - Énfasis6 36 8" xfId="9163" xr:uid="{00000000-0005-0000-0000-000091230000}"/>
    <cellStyle name="40% - Énfasis6 36 9" xfId="9164" xr:uid="{00000000-0005-0000-0000-000092230000}"/>
    <cellStyle name="40% - Énfasis6 37 10" xfId="9165" xr:uid="{00000000-0005-0000-0000-000093230000}"/>
    <cellStyle name="40% - Énfasis6 37 11" xfId="9166" xr:uid="{00000000-0005-0000-0000-000094230000}"/>
    <cellStyle name="40% - Énfasis6 37 12" xfId="9167" xr:uid="{00000000-0005-0000-0000-000095230000}"/>
    <cellStyle name="40% - Énfasis6 37 13" xfId="9168" xr:uid="{00000000-0005-0000-0000-000096230000}"/>
    <cellStyle name="40% - Énfasis6 37 14" xfId="9169" xr:uid="{00000000-0005-0000-0000-000097230000}"/>
    <cellStyle name="40% - Énfasis6 37 15" xfId="9170" xr:uid="{00000000-0005-0000-0000-000098230000}"/>
    <cellStyle name="40% - Énfasis6 37 16" xfId="9171" xr:uid="{00000000-0005-0000-0000-000099230000}"/>
    <cellStyle name="40% - Énfasis6 37 17" xfId="9172" xr:uid="{00000000-0005-0000-0000-00009A230000}"/>
    <cellStyle name="40% - Énfasis6 37 18" xfId="9173" xr:uid="{00000000-0005-0000-0000-00009B230000}"/>
    <cellStyle name="40% - Énfasis6 37 19" xfId="9174" xr:uid="{00000000-0005-0000-0000-00009C230000}"/>
    <cellStyle name="40% - Énfasis6 37 2" xfId="9175" xr:uid="{00000000-0005-0000-0000-00009D230000}"/>
    <cellStyle name="40% - Énfasis6 37 2 2" xfId="9176" xr:uid="{00000000-0005-0000-0000-00009E230000}"/>
    <cellStyle name="40% - Énfasis6 37 3" xfId="9177" xr:uid="{00000000-0005-0000-0000-00009F230000}"/>
    <cellStyle name="40% - Énfasis6 37 3 2" xfId="9178" xr:uid="{00000000-0005-0000-0000-0000A0230000}"/>
    <cellStyle name="40% - Énfasis6 37 4" xfId="9179" xr:uid="{00000000-0005-0000-0000-0000A1230000}"/>
    <cellStyle name="40% - Énfasis6 37 4 2" xfId="9180" xr:uid="{00000000-0005-0000-0000-0000A2230000}"/>
    <cellStyle name="40% - Énfasis6 37 5" xfId="9181" xr:uid="{00000000-0005-0000-0000-0000A3230000}"/>
    <cellStyle name="40% - Énfasis6 37 6" xfId="9182" xr:uid="{00000000-0005-0000-0000-0000A4230000}"/>
    <cellStyle name="40% - Énfasis6 37 7" xfId="9183" xr:uid="{00000000-0005-0000-0000-0000A5230000}"/>
    <cellStyle name="40% - Énfasis6 37 8" xfId="9184" xr:uid="{00000000-0005-0000-0000-0000A6230000}"/>
    <cellStyle name="40% - Énfasis6 37 9" xfId="9185" xr:uid="{00000000-0005-0000-0000-0000A7230000}"/>
    <cellStyle name="40% - Énfasis6 38 10" xfId="9186" xr:uid="{00000000-0005-0000-0000-0000A8230000}"/>
    <cellStyle name="40% - Énfasis6 38 11" xfId="9187" xr:uid="{00000000-0005-0000-0000-0000A9230000}"/>
    <cellStyle name="40% - Énfasis6 38 12" xfId="9188" xr:uid="{00000000-0005-0000-0000-0000AA230000}"/>
    <cellStyle name="40% - Énfasis6 38 13" xfId="9189" xr:uid="{00000000-0005-0000-0000-0000AB230000}"/>
    <cellStyle name="40% - Énfasis6 38 14" xfId="9190" xr:uid="{00000000-0005-0000-0000-0000AC230000}"/>
    <cellStyle name="40% - Énfasis6 38 15" xfId="9191" xr:uid="{00000000-0005-0000-0000-0000AD230000}"/>
    <cellStyle name="40% - Énfasis6 38 16" xfId="9192" xr:uid="{00000000-0005-0000-0000-0000AE230000}"/>
    <cellStyle name="40% - Énfasis6 38 17" xfId="9193" xr:uid="{00000000-0005-0000-0000-0000AF230000}"/>
    <cellStyle name="40% - Énfasis6 38 18" xfId="9194" xr:uid="{00000000-0005-0000-0000-0000B0230000}"/>
    <cellStyle name="40% - Énfasis6 38 19" xfId="9195" xr:uid="{00000000-0005-0000-0000-0000B1230000}"/>
    <cellStyle name="40% - Énfasis6 38 2" xfId="9196" xr:uid="{00000000-0005-0000-0000-0000B2230000}"/>
    <cellStyle name="40% - Énfasis6 38 2 2" xfId="9197" xr:uid="{00000000-0005-0000-0000-0000B3230000}"/>
    <cellStyle name="40% - Énfasis6 38 3" xfId="9198" xr:uid="{00000000-0005-0000-0000-0000B4230000}"/>
    <cellStyle name="40% - Énfasis6 38 3 2" xfId="9199" xr:uid="{00000000-0005-0000-0000-0000B5230000}"/>
    <cellStyle name="40% - Énfasis6 38 4" xfId="9200" xr:uid="{00000000-0005-0000-0000-0000B6230000}"/>
    <cellStyle name="40% - Énfasis6 38 4 2" xfId="9201" xr:uid="{00000000-0005-0000-0000-0000B7230000}"/>
    <cellStyle name="40% - Énfasis6 38 5" xfId="9202" xr:uid="{00000000-0005-0000-0000-0000B8230000}"/>
    <cellStyle name="40% - Énfasis6 38 6" xfId="9203" xr:uid="{00000000-0005-0000-0000-0000B9230000}"/>
    <cellStyle name="40% - Énfasis6 38 7" xfId="9204" xr:uid="{00000000-0005-0000-0000-0000BA230000}"/>
    <cellStyle name="40% - Énfasis6 38 8" xfId="9205" xr:uid="{00000000-0005-0000-0000-0000BB230000}"/>
    <cellStyle name="40% - Énfasis6 38 9" xfId="9206" xr:uid="{00000000-0005-0000-0000-0000BC230000}"/>
    <cellStyle name="40% - Énfasis6 39" xfId="9207" xr:uid="{00000000-0005-0000-0000-0000BD230000}"/>
    <cellStyle name="40% - Énfasis6 39 10" xfId="9208" xr:uid="{00000000-0005-0000-0000-0000BE230000}"/>
    <cellStyle name="40% - Énfasis6 39 11" xfId="9209" xr:uid="{00000000-0005-0000-0000-0000BF230000}"/>
    <cellStyle name="40% - Énfasis6 39 12" xfId="9210" xr:uid="{00000000-0005-0000-0000-0000C0230000}"/>
    <cellStyle name="40% - Énfasis6 39 13" xfId="9211" xr:uid="{00000000-0005-0000-0000-0000C1230000}"/>
    <cellStyle name="40% - Énfasis6 39 14" xfId="9212" xr:uid="{00000000-0005-0000-0000-0000C2230000}"/>
    <cellStyle name="40% - Énfasis6 39 15" xfId="9213" xr:uid="{00000000-0005-0000-0000-0000C3230000}"/>
    <cellStyle name="40% - Énfasis6 39 16" xfId="9214" xr:uid="{00000000-0005-0000-0000-0000C4230000}"/>
    <cellStyle name="40% - Énfasis6 39 2" xfId="9215" xr:uid="{00000000-0005-0000-0000-0000C5230000}"/>
    <cellStyle name="40% - Énfasis6 39 3" xfId="9216" xr:uid="{00000000-0005-0000-0000-0000C6230000}"/>
    <cellStyle name="40% - Énfasis6 39 4" xfId="9217" xr:uid="{00000000-0005-0000-0000-0000C7230000}"/>
    <cellStyle name="40% - Énfasis6 39 5" xfId="9218" xr:uid="{00000000-0005-0000-0000-0000C8230000}"/>
    <cellStyle name="40% - Énfasis6 39 6" xfId="9219" xr:uid="{00000000-0005-0000-0000-0000C9230000}"/>
    <cellStyle name="40% - Énfasis6 39 7" xfId="9220" xr:uid="{00000000-0005-0000-0000-0000CA230000}"/>
    <cellStyle name="40% - Énfasis6 39 8" xfId="9221" xr:uid="{00000000-0005-0000-0000-0000CB230000}"/>
    <cellStyle name="40% - Énfasis6 39 9" xfId="9222" xr:uid="{00000000-0005-0000-0000-0000CC230000}"/>
    <cellStyle name="40% - Énfasis6 4 10" xfId="9223" xr:uid="{00000000-0005-0000-0000-0000CD230000}"/>
    <cellStyle name="40% - Énfasis6 4 11" xfId="9224" xr:uid="{00000000-0005-0000-0000-0000CE230000}"/>
    <cellStyle name="40% - Énfasis6 4 12" xfId="9225" xr:uid="{00000000-0005-0000-0000-0000CF230000}"/>
    <cellStyle name="40% - Énfasis6 4 13" xfId="9226" xr:uid="{00000000-0005-0000-0000-0000D0230000}"/>
    <cellStyle name="40% - Énfasis6 4 14" xfId="9227" xr:uid="{00000000-0005-0000-0000-0000D1230000}"/>
    <cellStyle name="40% - Énfasis6 4 15" xfId="9228" xr:uid="{00000000-0005-0000-0000-0000D2230000}"/>
    <cellStyle name="40% - Énfasis6 4 16" xfId="9229" xr:uid="{00000000-0005-0000-0000-0000D3230000}"/>
    <cellStyle name="40% - Énfasis6 4 17" xfId="9230" xr:uid="{00000000-0005-0000-0000-0000D4230000}"/>
    <cellStyle name="40% - Énfasis6 4 18" xfId="9231" xr:uid="{00000000-0005-0000-0000-0000D5230000}"/>
    <cellStyle name="40% - Énfasis6 4 19" xfId="9232" xr:uid="{00000000-0005-0000-0000-0000D6230000}"/>
    <cellStyle name="40% - Énfasis6 4 2" xfId="9233" xr:uid="{00000000-0005-0000-0000-0000D7230000}"/>
    <cellStyle name="40% - Énfasis6 4 2 2" xfId="9234" xr:uid="{00000000-0005-0000-0000-0000D8230000}"/>
    <cellStyle name="40% - Énfasis6 4 3" xfId="9235" xr:uid="{00000000-0005-0000-0000-0000D9230000}"/>
    <cellStyle name="40% - Énfasis6 4 3 2" xfId="9236" xr:uid="{00000000-0005-0000-0000-0000DA230000}"/>
    <cellStyle name="40% - Énfasis6 4 4" xfId="9237" xr:uid="{00000000-0005-0000-0000-0000DB230000}"/>
    <cellStyle name="40% - Énfasis6 4 4 2" xfId="9238" xr:uid="{00000000-0005-0000-0000-0000DC230000}"/>
    <cellStyle name="40% - Énfasis6 4 5" xfId="9239" xr:uid="{00000000-0005-0000-0000-0000DD230000}"/>
    <cellStyle name="40% - Énfasis6 4 6" xfId="9240" xr:uid="{00000000-0005-0000-0000-0000DE230000}"/>
    <cellStyle name="40% - Énfasis6 4 7" xfId="9241" xr:uid="{00000000-0005-0000-0000-0000DF230000}"/>
    <cellStyle name="40% - Énfasis6 4 8" xfId="9242" xr:uid="{00000000-0005-0000-0000-0000E0230000}"/>
    <cellStyle name="40% - Énfasis6 4 9" xfId="9243" xr:uid="{00000000-0005-0000-0000-0000E1230000}"/>
    <cellStyle name="40% - Énfasis6 40" xfId="9244" xr:uid="{00000000-0005-0000-0000-0000E2230000}"/>
    <cellStyle name="40% - Énfasis6 40 10" xfId="9245" xr:uid="{00000000-0005-0000-0000-0000E3230000}"/>
    <cellStyle name="40% - Énfasis6 40 11" xfId="9246" xr:uid="{00000000-0005-0000-0000-0000E4230000}"/>
    <cellStyle name="40% - Énfasis6 40 12" xfId="9247" xr:uid="{00000000-0005-0000-0000-0000E5230000}"/>
    <cellStyle name="40% - Énfasis6 40 13" xfId="9248" xr:uid="{00000000-0005-0000-0000-0000E6230000}"/>
    <cellStyle name="40% - Énfasis6 40 14" xfId="9249" xr:uid="{00000000-0005-0000-0000-0000E7230000}"/>
    <cellStyle name="40% - Énfasis6 40 15" xfId="9250" xr:uid="{00000000-0005-0000-0000-0000E8230000}"/>
    <cellStyle name="40% - Énfasis6 40 16" xfId="9251" xr:uid="{00000000-0005-0000-0000-0000E9230000}"/>
    <cellStyle name="40% - Énfasis6 40 2" xfId="9252" xr:uid="{00000000-0005-0000-0000-0000EA230000}"/>
    <cellStyle name="40% - Énfasis6 40 3" xfId="9253" xr:uid="{00000000-0005-0000-0000-0000EB230000}"/>
    <cellStyle name="40% - Énfasis6 40 4" xfId="9254" xr:uid="{00000000-0005-0000-0000-0000EC230000}"/>
    <cellStyle name="40% - Énfasis6 40 5" xfId="9255" xr:uid="{00000000-0005-0000-0000-0000ED230000}"/>
    <cellStyle name="40% - Énfasis6 40 6" xfId="9256" xr:uid="{00000000-0005-0000-0000-0000EE230000}"/>
    <cellStyle name="40% - Énfasis6 40 7" xfId="9257" xr:uid="{00000000-0005-0000-0000-0000EF230000}"/>
    <cellStyle name="40% - Énfasis6 40 8" xfId="9258" xr:uid="{00000000-0005-0000-0000-0000F0230000}"/>
    <cellStyle name="40% - Énfasis6 40 9" xfId="9259" xr:uid="{00000000-0005-0000-0000-0000F1230000}"/>
    <cellStyle name="40% - Énfasis6 41" xfId="9260" xr:uid="{00000000-0005-0000-0000-0000F2230000}"/>
    <cellStyle name="40% - Énfasis6 41 10" xfId="9261" xr:uid="{00000000-0005-0000-0000-0000F3230000}"/>
    <cellStyle name="40% - Énfasis6 41 11" xfId="9262" xr:uid="{00000000-0005-0000-0000-0000F4230000}"/>
    <cellStyle name="40% - Énfasis6 41 12" xfId="9263" xr:uid="{00000000-0005-0000-0000-0000F5230000}"/>
    <cellStyle name="40% - Énfasis6 41 13" xfId="9264" xr:uid="{00000000-0005-0000-0000-0000F6230000}"/>
    <cellStyle name="40% - Énfasis6 41 14" xfId="9265" xr:uid="{00000000-0005-0000-0000-0000F7230000}"/>
    <cellStyle name="40% - Énfasis6 41 15" xfId="9266" xr:uid="{00000000-0005-0000-0000-0000F8230000}"/>
    <cellStyle name="40% - Énfasis6 41 16" xfId="9267" xr:uid="{00000000-0005-0000-0000-0000F9230000}"/>
    <cellStyle name="40% - Énfasis6 41 2" xfId="9268" xr:uid="{00000000-0005-0000-0000-0000FA230000}"/>
    <cellStyle name="40% - Énfasis6 41 3" xfId="9269" xr:uid="{00000000-0005-0000-0000-0000FB230000}"/>
    <cellStyle name="40% - Énfasis6 41 4" xfId="9270" xr:uid="{00000000-0005-0000-0000-0000FC230000}"/>
    <cellStyle name="40% - Énfasis6 41 5" xfId="9271" xr:uid="{00000000-0005-0000-0000-0000FD230000}"/>
    <cellStyle name="40% - Énfasis6 41 6" xfId="9272" xr:uid="{00000000-0005-0000-0000-0000FE230000}"/>
    <cellStyle name="40% - Énfasis6 41 7" xfId="9273" xr:uid="{00000000-0005-0000-0000-0000FF230000}"/>
    <cellStyle name="40% - Énfasis6 41 8" xfId="9274" xr:uid="{00000000-0005-0000-0000-000000240000}"/>
    <cellStyle name="40% - Énfasis6 41 9" xfId="9275" xr:uid="{00000000-0005-0000-0000-000001240000}"/>
    <cellStyle name="40% - Énfasis6 42" xfId="9276" xr:uid="{00000000-0005-0000-0000-000002240000}"/>
    <cellStyle name="40% - Énfasis6 43" xfId="9277" xr:uid="{00000000-0005-0000-0000-000003240000}"/>
    <cellStyle name="40% - Énfasis6 44" xfId="9278" xr:uid="{00000000-0005-0000-0000-000004240000}"/>
    <cellStyle name="40% - Énfasis6 45" xfId="9279" xr:uid="{00000000-0005-0000-0000-000005240000}"/>
    <cellStyle name="40% - Énfasis6 46" xfId="9280" xr:uid="{00000000-0005-0000-0000-000006240000}"/>
    <cellStyle name="40% - Énfasis6 47" xfId="9281" xr:uid="{00000000-0005-0000-0000-000007240000}"/>
    <cellStyle name="40% - Énfasis6 48" xfId="9282" xr:uid="{00000000-0005-0000-0000-000008240000}"/>
    <cellStyle name="40% - Énfasis6 49" xfId="9283" xr:uid="{00000000-0005-0000-0000-000009240000}"/>
    <cellStyle name="40% - Énfasis6 5 10" xfId="9284" xr:uid="{00000000-0005-0000-0000-00000A240000}"/>
    <cellStyle name="40% - Énfasis6 5 11" xfId="9285" xr:uid="{00000000-0005-0000-0000-00000B240000}"/>
    <cellStyle name="40% - Énfasis6 5 12" xfId="9286" xr:uid="{00000000-0005-0000-0000-00000C240000}"/>
    <cellStyle name="40% - Énfasis6 5 13" xfId="9287" xr:uid="{00000000-0005-0000-0000-00000D240000}"/>
    <cellStyle name="40% - Énfasis6 5 14" xfId="9288" xr:uid="{00000000-0005-0000-0000-00000E240000}"/>
    <cellStyle name="40% - Énfasis6 5 15" xfId="9289" xr:uid="{00000000-0005-0000-0000-00000F240000}"/>
    <cellStyle name="40% - Énfasis6 5 16" xfId="9290" xr:uid="{00000000-0005-0000-0000-000010240000}"/>
    <cellStyle name="40% - Énfasis6 5 17" xfId="9291" xr:uid="{00000000-0005-0000-0000-000011240000}"/>
    <cellStyle name="40% - Énfasis6 5 18" xfId="9292" xr:uid="{00000000-0005-0000-0000-000012240000}"/>
    <cellStyle name="40% - Énfasis6 5 19" xfId="9293" xr:uid="{00000000-0005-0000-0000-000013240000}"/>
    <cellStyle name="40% - Énfasis6 5 2" xfId="9294" xr:uid="{00000000-0005-0000-0000-000014240000}"/>
    <cellStyle name="40% - Énfasis6 5 2 2" xfId="9295" xr:uid="{00000000-0005-0000-0000-000015240000}"/>
    <cellStyle name="40% - Énfasis6 5 3" xfId="9296" xr:uid="{00000000-0005-0000-0000-000016240000}"/>
    <cellStyle name="40% - Énfasis6 5 3 2" xfId="9297" xr:uid="{00000000-0005-0000-0000-000017240000}"/>
    <cellStyle name="40% - Énfasis6 5 4" xfId="9298" xr:uid="{00000000-0005-0000-0000-000018240000}"/>
    <cellStyle name="40% - Énfasis6 5 4 2" xfId="9299" xr:uid="{00000000-0005-0000-0000-000019240000}"/>
    <cellStyle name="40% - Énfasis6 5 5" xfId="9300" xr:uid="{00000000-0005-0000-0000-00001A240000}"/>
    <cellStyle name="40% - Énfasis6 5 6" xfId="9301" xr:uid="{00000000-0005-0000-0000-00001B240000}"/>
    <cellStyle name="40% - Énfasis6 5 7" xfId="9302" xr:uid="{00000000-0005-0000-0000-00001C240000}"/>
    <cellStyle name="40% - Énfasis6 5 8" xfId="9303" xr:uid="{00000000-0005-0000-0000-00001D240000}"/>
    <cellStyle name="40% - Énfasis6 5 9" xfId="9304" xr:uid="{00000000-0005-0000-0000-00001E240000}"/>
    <cellStyle name="40% - Énfasis6 50" xfId="9305" xr:uid="{00000000-0005-0000-0000-00001F240000}"/>
    <cellStyle name="40% - Énfasis6 51" xfId="9306" xr:uid="{00000000-0005-0000-0000-000020240000}"/>
    <cellStyle name="40% - Énfasis6 52" xfId="9307" xr:uid="{00000000-0005-0000-0000-000021240000}"/>
    <cellStyle name="40% - Énfasis6 53" xfId="9308" xr:uid="{00000000-0005-0000-0000-000022240000}"/>
    <cellStyle name="40% - Énfasis6 54" xfId="9309" xr:uid="{00000000-0005-0000-0000-000023240000}"/>
    <cellStyle name="40% - Énfasis6 55" xfId="9310" xr:uid="{00000000-0005-0000-0000-000024240000}"/>
    <cellStyle name="40% - Énfasis6 56" xfId="9311" xr:uid="{00000000-0005-0000-0000-000025240000}"/>
    <cellStyle name="40% - Énfasis6 57" xfId="9312" xr:uid="{00000000-0005-0000-0000-000026240000}"/>
    <cellStyle name="40% - Énfasis6 58" xfId="9313" xr:uid="{00000000-0005-0000-0000-000027240000}"/>
    <cellStyle name="40% - Énfasis6 59" xfId="9314" xr:uid="{00000000-0005-0000-0000-000028240000}"/>
    <cellStyle name="40% - Énfasis6 6 10" xfId="9315" xr:uid="{00000000-0005-0000-0000-000029240000}"/>
    <cellStyle name="40% - Énfasis6 6 11" xfId="9316" xr:uid="{00000000-0005-0000-0000-00002A240000}"/>
    <cellStyle name="40% - Énfasis6 6 12" xfId="9317" xr:uid="{00000000-0005-0000-0000-00002B240000}"/>
    <cellStyle name="40% - Énfasis6 6 13" xfId="9318" xr:uid="{00000000-0005-0000-0000-00002C240000}"/>
    <cellStyle name="40% - Énfasis6 6 14" xfId="9319" xr:uid="{00000000-0005-0000-0000-00002D240000}"/>
    <cellStyle name="40% - Énfasis6 6 15" xfId="9320" xr:uid="{00000000-0005-0000-0000-00002E240000}"/>
    <cellStyle name="40% - Énfasis6 6 16" xfId="9321" xr:uid="{00000000-0005-0000-0000-00002F240000}"/>
    <cellStyle name="40% - Énfasis6 6 17" xfId="9322" xr:uid="{00000000-0005-0000-0000-000030240000}"/>
    <cellStyle name="40% - Énfasis6 6 18" xfId="9323" xr:uid="{00000000-0005-0000-0000-000031240000}"/>
    <cellStyle name="40% - Énfasis6 6 19" xfId="9324" xr:uid="{00000000-0005-0000-0000-000032240000}"/>
    <cellStyle name="40% - Énfasis6 6 2" xfId="9325" xr:uid="{00000000-0005-0000-0000-000033240000}"/>
    <cellStyle name="40% - Énfasis6 6 2 2" xfId="9326" xr:uid="{00000000-0005-0000-0000-000034240000}"/>
    <cellStyle name="40% - Énfasis6 6 3" xfId="9327" xr:uid="{00000000-0005-0000-0000-000035240000}"/>
    <cellStyle name="40% - Énfasis6 6 3 2" xfId="9328" xr:uid="{00000000-0005-0000-0000-000036240000}"/>
    <cellStyle name="40% - Énfasis6 6 4" xfId="9329" xr:uid="{00000000-0005-0000-0000-000037240000}"/>
    <cellStyle name="40% - Énfasis6 6 4 2" xfId="9330" xr:uid="{00000000-0005-0000-0000-000038240000}"/>
    <cellStyle name="40% - Énfasis6 6 5" xfId="9331" xr:uid="{00000000-0005-0000-0000-000039240000}"/>
    <cellStyle name="40% - Énfasis6 6 6" xfId="9332" xr:uid="{00000000-0005-0000-0000-00003A240000}"/>
    <cellStyle name="40% - Énfasis6 6 7" xfId="9333" xr:uid="{00000000-0005-0000-0000-00003B240000}"/>
    <cellStyle name="40% - Énfasis6 6 8" xfId="9334" xr:uid="{00000000-0005-0000-0000-00003C240000}"/>
    <cellStyle name="40% - Énfasis6 6 9" xfId="9335" xr:uid="{00000000-0005-0000-0000-00003D240000}"/>
    <cellStyle name="40% - Énfasis6 60" xfId="9336" xr:uid="{00000000-0005-0000-0000-00003E240000}"/>
    <cellStyle name="40% - Énfasis6 61" xfId="9337" xr:uid="{00000000-0005-0000-0000-00003F240000}"/>
    <cellStyle name="40% - Énfasis6 62" xfId="9338" xr:uid="{00000000-0005-0000-0000-000040240000}"/>
    <cellStyle name="40% - Énfasis6 63" xfId="9339" xr:uid="{00000000-0005-0000-0000-000041240000}"/>
    <cellStyle name="40% - Énfasis6 64" xfId="9340" xr:uid="{00000000-0005-0000-0000-000042240000}"/>
    <cellStyle name="40% - Énfasis6 7 10" xfId="9341" xr:uid="{00000000-0005-0000-0000-000043240000}"/>
    <cellStyle name="40% - Énfasis6 7 11" xfId="9342" xr:uid="{00000000-0005-0000-0000-000044240000}"/>
    <cellStyle name="40% - Énfasis6 7 12" xfId="9343" xr:uid="{00000000-0005-0000-0000-000045240000}"/>
    <cellStyle name="40% - Énfasis6 7 13" xfId="9344" xr:uid="{00000000-0005-0000-0000-000046240000}"/>
    <cellStyle name="40% - Énfasis6 7 14" xfId="9345" xr:uid="{00000000-0005-0000-0000-000047240000}"/>
    <cellStyle name="40% - Énfasis6 7 15" xfId="9346" xr:uid="{00000000-0005-0000-0000-000048240000}"/>
    <cellStyle name="40% - Énfasis6 7 16" xfId="9347" xr:uid="{00000000-0005-0000-0000-000049240000}"/>
    <cellStyle name="40% - Énfasis6 7 17" xfId="9348" xr:uid="{00000000-0005-0000-0000-00004A240000}"/>
    <cellStyle name="40% - Énfasis6 7 18" xfId="9349" xr:uid="{00000000-0005-0000-0000-00004B240000}"/>
    <cellStyle name="40% - Énfasis6 7 19" xfId="9350" xr:uid="{00000000-0005-0000-0000-00004C240000}"/>
    <cellStyle name="40% - Énfasis6 7 2" xfId="9351" xr:uid="{00000000-0005-0000-0000-00004D240000}"/>
    <cellStyle name="40% - Énfasis6 7 2 2" xfId="9352" xr:uid="{00000000-0005-0000-0000-00004E240000}"/>
    <cellStyle name="40% - Énfasis6 7 3" xfId="9353" xr:uid="{00000000-0005-0000-0000-00004F240000}"/>
    <cellStyle name="40% - Énfasis6 7 3 2" xfId="9354" xr:uid="{00000000-0005-0000-0000-000050240000}"/>
    <cellStyle name="40% - Énfasis6 7 4" xfId="9355" xr:uid="{00000000-0005-0000-0000-000051240000}"/>
    <cellStyle name="40% - Énfasis6 7 4 2" xfId="9356" xr:uid="{00000000-0005-0000-0000-000052240000}"/>
    <cellStyle name="40% - Énfasis6 7 5" xfId="9357" xr:uid="{00000000-0005-0000-0000-000053240000}"/>
    <cellStyle name="40% - Énfasis6 7 6" xfId="9358" xr:uid="{00000000-0005-0000-0000-000054240000}"/>
    <cellStyle name="40% - Énfasis6 7 7" xfId="9359" xr:uid="{00000000-0005-0000-0000-000055240000}"/>
    <cellStyle name="40% - Énfasis6 7 8" xfId="9360" xr:uid="{00000000-0005-0000-0000-000056240000}"/>
    <cellStyle name="40% - Énfasis6 7 9" xfId="9361" xr:uid="{00000000-0005-0000-0000-000057240000}"/>
    <cellStyle name="40% - Énfasis6 8 10" xfId="9362" xr:uid="{00000000-0005-0000-0000-000058240000}"/>
    <cellStyle name="40% - Énfasis6 8 11" xfId="9363" xr:uid="{00000000-0005-0000-0000-000059240000}"/>
    <cellStyle name="40% - Énfasis6 8 12" xfId="9364" xr:uid="{00000000-0005-0000-0000-00005A240000}"/>
    <cellStyle name="40% - Énfasis6 8 13" xfId="9365" xr:uid="{00000000-0005-0000-0000-00005B240000}"/>
    <cellStyle name="40% - Énfasis6 8 14" xfId="9366" xr:uid="{00000000-0005-0000-0000-00005C240000}"/>
    <cellStyle name="40% - Énfasis6 8 15" xfId="9367" xr:uid="{00000000-0005-0000-0000-00005D240000}"/>
    <cellStyle name="40% - Énfasis6 8 16" xfId="9368" xr:uid="{00000000-0005-0000-0000-00005E240000}"/>
    <cellStyle name="40% - Énfasis6 8 17" xfId="9369" xr:uid="{00000000-0005-0000-0000-00005F240000}"/>
    <cellStyle name="40% - Énfasis6 8 18" xfId="9370" xr:uid="{00000000-0005-0000-0000-000060240000}"/>
    <cellStyle name="40% - Énfasis6 8 19" xfId="9371" xr:uid="{00000000-0005-0000-0000-000061240000}"/>
    <cellStyle name="40% - Énfasis6 8 2" xfId="9372" xr:uid="{00000000-0005-0000-0000-000062240000}"/>
    <cellStyle name="40% - Énfasis6 8 2 2" xfId="9373" xr:uid="{00000000-0005-0000-0000-000063240000}"/>
    <cellStyle name="40% - Énfasis6 8 3" xfId="9374" xr:uid="{00000000-0005-0000-0000-000064240000}"/>
    <cellStyle name="40% - Énfasis6 8 3 2" xfId="9375" xr:uid="{00000000-0005-0000-0000-000065240000}"/>
    <cellStyle name="40% - Énfasis6 8 4" xfId="9376" xr:uid="{00000000-0005-0000-0000-000066240000}"/>
    <cellStyle name="40% - Énfasis6 8 4 2" xfId="9377" xr:uid="{00000000-0005-0000-0000-000067240000}"/>
    <cellStyle name="40% - Énfasis6 8 5" xfId="9378" xr:uid="{00000000-0005-0000-0000-000068240000}"/>
    <cellStyle name="40% - Énfasis6 8 6" xfId="9379" xr:uid="{00000000-0005-0000-0000-000069240000}"/>
    <cellStyle name="40% - Énfasis6 8 7" xfId="9380" xr:uid="{00000000-0005-0000-0000-00006A240000}"/>
    <cellStyle name="40% - Énfasis6 8 8" xfId="9381" xr:uid="{00000000-0005-0000-0000-00006B240000}"/>
    <cellStyle name="40% - Énfasis6 8 9" xfId="9382" xr:uid="{00000000-0005-0000-0000-00006C240000}"/>
    <cellStyle name="40% - Énfasis6 9 10" xfId="9383" xr:uid="{00000000-0005-0000-0000-00006D240000}"/>
    <cellStyle name="40% - Énfasis6 9 11" xfId="9384" xr:uid="{00000000-0005-0000-0000-00006E240000}"/>
    <cellStyle name="40% - Énfasis6 9 12" xfId="9385" xr:uid="{00000000-0005-0000-0000-00006F240000}"/>
    <cellStyle name="40% - Énfasis6 9 13" xfId="9386" xr:uid="{00000000-0005-0000-0000-000070240000}"/>
    <cellStyle name="40% - Énfasis6 9 14" xfId="9387" xr:uid="{00000000-0005-0000-0000-000071240000}"/>
    <cellStyle name="40% - Énfasis6 9 15" xfId="9388" xr:uid="{00000000-0005-0000-0000-000072240000}"/>
    <cellStyle name="40% - Énfasis6 9 16" xfId="9389" xr:uid="{00000000-0005-0000-0000-000073240000}"/>
    <cellStyle name="40% - Énfasis6 9 17" xfId="9390" xr:uid="{00000000-0005-0000-0000-000074240000}"/>
    <cellStyle name="40% - Énfasis6 9 18" xfId="9391" xr:uid="{00000000-0005-0000-0000-000075240000}"/>
    <cellStyle name="40% - Énfasis6 9 19" xfId="9392" xr:uid="{00000000-0005-0000-0000-000076240000}"/>
    <cellStyle name="40% - Énfasis6 9 2" xfId="9393" xr:uid="{00000000-0005-0000-0000-000077240000}"/>
    <cellStyle name="40% - Énfasis6 9 2 2" xfId="9394" xr:uid="{00000000-0005-0000-0000-000078240000}"/>
    <cellStyle name="40% - Énfasis6 9 3" xfId="9395" xr:uid="{00000000-0005-0000-0000-000079240000}"/>
    <cellStyle name="40% - Énfasis6 9 3 2" xfId="9396" xr:uid="{00000000-0005-0000-0000-00007A240000}"/>
    <cellStyle name="40% - Énfasis6 9 4" xfId="9397" xr:uid="{00000000-0005-0000-0000-00007B240000}"/>
    <cellStyle name="40% - Énfasis6 9 4 2" xfId="9398" xr:uid="{00000000-0005-0000-0000-00007C240000}"/>
    <cellStyle name="40% - Énfasis6 9 5" xfId="9399" xr:uid="{00000000-0005-0000-0000-00007D240000}"/>
    <cellStyle name="40% - Énfasis6 9 6" xfId="9400" xr:uid="{00000000-0005-0000-0000-00007E240000}"/>
    <cellStyle name="40% - Énfasis6 9 7" xfId="9401" xr:uid="{00000000-0005-0000-0000-00007F240000}"/>
    <cellStyle name="40% - Énfasis6 9 8" xfId="9402" xr:uid="{00000000-0005-0000-0000-000080240000}"/>
    <cellStyle name="40% - Énfasis6 9 9" xfId="9403" xr:uid="{00000000-0005-0000-0000-000081240000}"/>
    <cellStyle name="60% - Énfasis1" xfId="32531" builtinId="32" customBuiltin="1"/>
    <cellStyle name="60% - Énfasis1 10 10" xfId="9404" xr:uid="{00000000-0005-0000-0000-000083240000}"/>
    <cellStyle name="60% - Énfasis1 10 11" xfId="9405" xr:uid="{00000000-0005-0000-0000-000084240000}"/>
    <cellStyle name="60% - Énfasis1 10 12" xfId="9406" xr:uid="{00000000-0005-0000-0000-000085240000}"/>
    <cellStyle name="60% - Énfasis1 10 13" xfId="9407" xr:uid="{00000000-0005-0000-0000-000086240000}"/>
    <cellStyle name="60% - Énfasis1 10 14" xfId="9408" xr:uid="{00000000-0005-0000-0000-000087240000}"/>
    <cellStyle name="60% - Énfasis1 10 15" xfId="9409" xr:uid="{00000000-0005-0000-0000-000088240000}"/>
    <cellStyle name="60% - Énfasis1 10 16" xfId="9410" xr:uid="{00000000-0005-0000-0000-000089240000}"/>
    <cellStyle name="60% - Énfasis1 10 17" xfId="9411" xr:uid="{00000000-0005-0000-0000-00008A240000}"/>
    <cellStyle name="60% - Énfasis1 10 18" xfId="9412" xr:uid="{00000000-0005-0000-0000-00008B240000}"/>
    <cellStyle name="60% - Énfasis1 10 19" xfId="9413" xr:uid="{00000000-0005-0000-0000-00008C240000}"/>
    <cellStyle name="60% - Énfasis1 10 2" xfId="9414" xr:uid="{00000000-0005-0000-0000-00008D240000}"/>
    <cellStyle name="60% - Énfasis1 10 2 2" xfId="9415" xr:uid="{00000000-0005-0000-0000-00008E240000}"/>
    <cellStyle name="60% - Énfasis1 10 3" xfId="9416" xr:uid="{00000000-0005-0000-0000-00008F240000}"/>
    <cellStyle name="60% - Énfasis1 10 3 2" xfId="9417" xr:uid="{00000000-0005-0000-0000-000090240000}"/>
    <cellStyle name="60% - Énfasis1 10 4" xfId="9418" xr:uid="{00000000-0005-0000-0000-000091240000}"/>
    <cellStyle name="60% - Énfasis1 10 4 2" xfId="9419" xr:uid="{00000000-0005-0000-0000-000092240000}"/>
    <cellStyle name="60% - Énfasis1 10 5" xfId="9420" xr:uid="{00000000-0005-0000-0000-000093240000}"/>
    <cellStyle name="60% - Énfasis1 10 6" xfId="9421" xr:uid="{00000000-0005-0000-0000-000094240000}"/>
    <cellStyle name="60% - Énfasis1 10 7" xfId="9422" xr:uid="{00000000-0005-0000-0000-000095240000}"/>
    <cellStyle name="60% - Énfasis1 10 8" xfId="9423" xr:uid="{00000000-0005-0000-0000-000096240000}"/>
    <cellStyle name="60% - Énfasis1 10 9" xfId="9424" xr:uid="{00000000-0005-0000-0000-000097240000}"/>
    <cellStyle name="60% - Énfasis1 11 10" xfId="9425" xr:uid="{00000000-0005-0000-0000-000098240000}"/>
    <cellStyle name="60% - Énfasis1 11 11" xfId="9426" xr:uid="{00000000-0005-0000-0000-000099240000}"/>
    <cellStyle name="60% - Énfasis1 11 12" xfId="9427" xr:uid="{00000000-0005-0000-0000-00009A240000}"/>
    <cellStyle name="60% - Énfasis1 11 13" xfId="9428" xr:uid="{00000000-0005-0000-0000-00009B240000}"/>
    <cellStyle name="60% - Énfasis1 11 14" xfId="9429" xr:uid="{00000000-0005-0000-0000-00009C240000}"/>
    <cellStyle name="60% - Énfasis1 11 15" xfId="9430" xr:uid="{00000000-0005-0000-0000-00009D240000}"/>
    <cellStyle name="60% - Énfasis1 11 16" xfId="9431" xr:uid="{00000000-0005-0000-0000-00009E240000}"/>
    <cellStyle name="60% - Énfasis1 11 17" xfId="9432" xr:uid="{00000000-0005-0000-0000-00009F240000}"/>
    <cellStyle name="60% - Énfasis1 11 18" xfId="9433" xr:uid="{00000000-0005-0000-0000-0000A0240000}"/>
    <cellStyle name="60% - Énfasis1 11 19" xfId="9434" xr:uid="{00000000-0005-0000-0000-0000A1240000}"/>
    <cellStyle name="60% - Énfasis1 11 2" xfId="9435" xr:uid="{00000000-0005-0000-0000-0000A2240000}"/>
    <cellStyle name="60% - Énfasis1 11 2 2" xfId="9436" xr:uid="{00000000-0005-0000-0000-0000A3240000}"/>
    <cellStyle name="60% - Énfasis1 11 3" xfId="9437" xr:uid="{00000000-0005-0000-0000-0000A4240000}"/>
    <cellStyle name="60% - Énfasis1 11 3 2" xfId="9438" xr:uid="{00000000-0005-0000-0000-0000A5240000}"/>
    <cellStyle name="60% - Énfasis1 11 4" xfId="9439" xr:uid="{00000000-0005-0000-0000-0000A6240000}"/>
    <cellStyle name="60% - Énfasis1 11 4 2" xfId="9440" xr:uid="{00000000-0005-0000-0000-0000A7240000}"/>
    <cellStyle name="60% - Énfasis1 11 5" xfId="9441" xr:uid="{00000000-0005-0000-0000-0000A8240000}"/>
    <cellStyle name="60% - Énfasis1 11 6" xfId="9442" xr:uid="{00000000-0005-0000-0000-0000A9240000}"/>
    <cellStyle name="60% - Énfasis1 11 7" xfId="9443" xr:uid="{00000000-0005-0000-0000-0000AA240000}"/>
    <cellStyle name="60% - Énfasis1 11 8" xfId="9444" xr:uid="{00000000-0005-0000-0000-0000AB240000}"/>
    <cellStyle name="60% - Énfasis1 11 9" xfId="9445" xr:uid="{00000000-0005-0000-0000-0000AC240000}"/>
    <cellStyle name="60% - Énfasis1 12 10" xfId="9446" xr:uid="{00000000-0005-0000-0000-0000AD240000}"/>
    <cellStyle name="60% - Énfasis1 12 11" xfId="9447" xr:uid="{00000000-0005-0000-0000-0000AE240000}"/>
    <cellStyle name="60% - Énfasis1 12 12" xfId="9448" xr:uid="{00000000-0005-0000-0000-0000AF240000}"/>
    <cellStyle name="60% - Énfasis1 12 13" xfId="9449" xr:uid="{00000000-0005-0000-0000-0000B0240000}"/>
    <cellStyle name="60% - Énfasis1 12 14" xfId="9450" xr:uid="{00000000-0005-0000-0000-0000B1240000}"/>
    <cellStyle name="60% - Énfasis1 12 15" xfId="9451" xr:uid="{00000000-0005-0000-0000-0000B2240000}"/>
    <cellStyle name="60% - Énfasis1 12 16" xfId="9452" xr:uid="{00000000-0005-0000-0000-0000B3240000}"/>
    <cellStyle name="60% - Énfasis1 12 17" xfId="9453" xr:uid="{00000000-0005-0000-0000-0000B4240000}"/>
    <cellStyle name="60% - Énfasis1 12 18" xfId="9454" xr:uid="{00000000-0005-0000-0000-0000B5240000}"/>
    <cellStyle name="60% - Énfasis1 12 19" xfId="9455" xr:uid="{00000000-0005-0000-0000-0000B6240000}"/>
    <cellStyle name="60% - Énfasis1 12 2" xfId="9456" xr:uid="{00000000-0005-0000-0000-0000B7240000}"/>
    <cellStyle name="60% - Énfasis1 12 2 2" xfId="9457" xr:uid="{00000000-0005-0000-0000-0000B8240000}"/>
    <cellStyle name="60% - Énfasis1 12 3" xfId="9458" xr:uid="{00000000-0005-0000-0000-0000B9240000}"/>
    <cellStyle name="60% - Énfasis1 12 3 2" xfId="9459" xr:uid="{00000000-0005-0000-0000-0000BA240000}"/>
    <cellStyle name="60% - Énfasis1 12 4" xfId="9460" xr:uid="{00000000-0005-0000-0000-0000BB240000}"/>
    <cellStyle name="60% - Énfasis1 12 4 2" xfId="9461" xr:uid="{00000000-0005-0000-0000-0000BC240000}"/>
    <cellStyle name="60% - Énfasis1 12 5" xfId="9462" xr:uid="{00000000-0005-0000-0000-0000BD240000}"/>
    <cellStyle name="60% - Énfasis1 12 6" xfId="9463" xr:uid="{00000000-0005-0000-0000-0000BE240000}"/>
    <cellStyle name="60% - Énfasis1 12 7" xfId="9464" xr:uid="{00000000-0005-0000-0000-0000BF240000}"/>
    <cellStyle name="60% - Énfasis1 12 8" xfId="9465" xr:uid="{00000000-0005-0000-0000-0000C0240000}"/>
    <cellStyle name="60% - Énfasis1 12 9" xfId="9466" xr:uid="{00000000-0005-0000-0000-0000C1240000}"/>
    <cellStyle name="60% - Énfasis1 13 10" xfId="9467" xr:uid="{00000000-0005-0000-0000-0000C2240000}"/>
    <cellStyle name="60% - Énfasis1 13 11" xfId="9468" xr:uid="{00000000-0005-0000-0000-0000C3240000}"/>
    <cellStyle name="60% - Énfasis1 13 12" xfId="9469" xr:uid="{00000000-0005-0000-0000-0000C4240000}"/>
    <cellStyle name="60% - Énfasis1 13 13" xfId="9470" xr:uid="{00000000-0005-0000-0000-0000C5240000}"/>
    <cellStyle name="60% - Énfasis1 13 14" xfId="9471" xr:uid="{00000000-0005-0000-0000-0000C6240000}"/>
    <cellStyle name="60% - Énfasis1 13 15" xfId="9472" xr:uid="{00000000-0005-0000-0000-0000C7240000}"/>
    <cellStyle name="60% - Énfasis1 13 16" xfId="9473" xr:uid="{00000000-0005-0000-0000-0000C8240000}"/>
    <cellStyle name="60% - Énfasis1 13 17" xfId="9474" xr:uid="{00000000-0005-0000-0000-0000C9240000}"/>
    <cellStyle name="60% - Énfasis1 13 18" xfId="9475" xr:uid="{00000000-0005-0000-0000-0000CA240000}"/>
    <cellStyle name="60% - Énfasis1 13 19" xfId="9476" xr:uid="{00000000-0005-0000-0000-0000CB240000}"/>
    <cellStyle name="60% - Énfasis1 13 2" xfId="9477" xr:uid="{00000000-0005-0000-0000-0000CC240000}"/>
    <cellStyle name="60% - Énfasis1 13 2 2" xfId="9478" xr:uid="{00000000-0005-0000-0000-0000CD240000}"/>
    <cellStyle name="60% - Énfasis1 13 3" xfId="9479" xr:uid="{00000000-0005-0000-0000-0000CE240000}"/>
    <cellStyle name="60% - Énfasis1 13 3 2" xfId="9480" xr:uid="{00000000-0005-0000-0000-0000CF240000}"/>
    <cellStyle name="60% - Énfasis1 13 4" xfId="9481" xr:uid="{00000000-0005-0000-0000-0000D0240000}"/>
    <cellStyle name="60% - Énfasis1 13 4 2" xfId="9482" xr:uid="{00000000-0005-0000-0000-0000D1240000}"/>
    <cellStyle name="60% - Énfasis1 13 5" xfId="9483" xr:uid="{00000000-0005-0000-0000-0000D2240000}"/>
    <cellStyle name="60% - Énfasis1 13 6" xfId="9484" xr:uid="{00000000-0005-0000-0000-0000D3240000}"/>
    <cellStyle name="60% - Énfasis1 13 7" xfId="9485" xr:uid="{00000000-0005-0000-0000-0000D4240000}"/>
    <cellStyle name="60% - Énfasis1 13 8" xfId="9486" xr:uid="{00000000-0005-0000-0000-0000D5240000}"/>
    <cellStyle name="60% - Énfasis1 13 9" xfId="9487" xr:uid="{00000000-0005-0000-0000-0000D6240000}"/>
    <cellStyle name="60% - Énfasis1 14 10" xfId="9488" xr:uid="{00000000-0005-0000-0000-0000D7240000}"/>
    <cellStyle name="60% - Énfasis1 14 11" xfId="9489" xr:uid="{00000000-0005-0000-0000-0000D8240000}"/>
    <cellStyle name="60% - Énfasis1 14 12" xfId="9490" xr:uid="{00000000-0005-0000-0000-0000D9240000}"/>
    <cellStyle name="60% - Énfasis1 14 13" xfId="9491" xr:uid="{00000000-0005-0000-0000-0000DA240000}"/>
    <cellStyle name="60% - Énfasis1 14 14" xfId="9492" xr:uid="{00000000-0005-0000-0000-0000DB240000}"/>
    <cellStyle name="60% - Énfasis1 14 15" xfId="9493" xr:uid="{00000000-0005-0000-0000-0000DC240000}"/>
    <cellStyle name="60% - Énfasis1 14 16" xfId="9494" xr:uid="{00000000-0005-0000-0000-0000DD240000}"/>
    <cellStyle name="60% - Énfasis1 14 17" xfId="9495" xr:uid="{00000000-0005-0000-0000-0000DE240000}"/>
    <cellStyle name="60% - Énfasis1 14 18" xfId="9496" xr:uid="{00000000-0005-0000-0000-0000DF240000}"/>
    <cellStyle name="60% - Énfasis1 14 19" xfId="9497" xr:uid="{00000000-0005-0000-0000-0000E0240000}"/>
    <cellStyle name="60% - Énfasis1 14 2" xfId="9498" xr:uid="{00000000-0005-0000-0000-0000E1240000}"/>
    <cellStyle name="60% - Énfasis1 14 2 2" xfId="9499" xr:uid="{00000000-0005-0000-0000-0000E2240000}"/>
    <cellStyle name="60% - Énfasis1 14 3" xfId="9500" xr:uid="{00000000-0005-0000-0000-0000E3240000}"/>
    <cellStyle name="60% - Énfasis1 14 3 2" xfId="9501" xr:uid="{00000000-0005-0000-0000-0000E4240000}"/>
    <cellStyle name="60% - Énfasis1 14 4" xfId="9502" xr:uid="{00000000-0005-0000-0000-0000E5240000}"/>
    <cellStyle name="60% - Énfasis1 14 4 2" xfId="9503" xr:uid="{00000000-0005-0000-0000-0000E6240000}"/>
    <cellStyle name="60% - Énfasis1 14 5" xfId="9504" xr:uid="{00000000-0005-0000-0000-0000E7240000}"/>
    <cellStyle name="60% - Énfasis1 14 6" xfId="9505" xr:uid="{00000000-0005-0000-0000-0000E8240000}"/>
    <cellStyle name="60% - Énfasis1 14 7" xfId="9506" xr:uid="{00000000-0005-0000-0000-0000E9240000}"/>
    <cellStyle name="60% - Énfasis1 14 8" xfId="9507" xr:uid="{00000000-0005-0000-0000-0000EA240000}"/>
    <cellStyle name="60% - Énfasis1 14 9" xfId="9508" xr:uid="{00000000-0005-0000-0000-0000EB240000}"/>
    <cellStyle name="60% - Énfasis1 15 10" xfId="9509" xr:uid="{00000000-0005-0000-0000-0000EC240000}"/>
    <cellStyle name="60% - Énfasis1 15 11" xfId="9510" xr:uid="{00000000-0005-0000-0000-0000ED240000}"/>
    <cellStyle name="60% - Énfasis1 15 12" xfId="9511" xr:uid="{00000000-0005-0000-0000-0000EE240000}"/>
    <cellStyle name="60% - Énfasis1 15 13" xfId="9512" xr:uid="{00000000-0005-0000-0000-0000EF240000}"/>
    <cellStyle name="60% - Énfasis1 15 14" xfId="9513" xr:uid="{00000000-0005-0000-0000-0000F0240000}"/>
    <cellStyle name="60% - Énfasis1 15 15" xfId="9514" xr:uid="{00000000-0005-0000-0000-0000F1240000}"/>
    <cellStyle name="60% - Énfasis1 15 16" xfId="9515" xr:uid="{00000000-0005-0000-0000-0000F2240000}"/>
    <cellStyle name="60% - Énfasis1 15 17" xfId="9516" xr:uid="{00000000-0005-0000-0000-0000F3240000}"/>
    <cellStyle name="60% - Énfasis1 15 18" xfId="9517" xr:uid="{00000000-0005-0000-0000-0000F4240000}"/>
    <cellStyle name="60% - Énfasis1 15 19" xfId="9518" xr:uid="{00000000-0005-0000-0000-0000F5240000}"/>
    <cellStyle name="60% - Énfasis1 15 2" xfId="9519" xr:uid="{00000000-0005-0000-0000-0000F6240000}"/>
    <cellStyle name="60% - Énfasis1 15 2 2" xfId="9520" xr:uid="{00000000-0005-0000-0000-0000F7240000}"/>
    <cellStyle name="60% - Énfasis1 15 3" xfId="9521" xr:uid="{00000000-0005-0000-0000-0000F8240000}"/>
    <cellStyle name="60% - Énfasis1 15 3 2" xfId="9522" xr:uid="{00000000-0005-0000-0000-0000F9240000}"/>
    <cellStyle name="60% - Énfasis1 15 4" xfId="9523" xr:uid="{00000000-0005-0000-0000-0000FA240000}"/>
    <cellStyle name="60% - Énfasis1 15 4 2" xfId="9524" xr:uid="{00000000-0005-0000-0000-0000FB240000}"/>
    <cellStyle name="60% - Énfasis1 15 5" xfId="9525" xr:uid="{00000000-0005-0000-0000-0000FC240000}"/>
    <cellStyle name="60% - Énfasis1 15 6" xfId="9526" xr:uid="{00000000-0005-0000-0000-0000FD240000}"/>
    <cellStyle name="60% - Énfasis1 15 7" xfId="9527" xr:uid="{00000000-0005-0000-0000-0000FE240000}"/>
    <cellStyle name="60% - Énfasis1 15 8" xfId="9528" xr:uid="{00000000-0005-0000-0000-0000FF240000}"/>
    <cellStyle name="60% - Énfasis1 15 9" xfId="9529" xr:uid="{00000000-0005-0000-0000-000000250000}"/>
    <cellStyle name="60% - Énfasis1 16 10" xfId="9530" xr:uid="{00000000-0005-0000-0000-000001250000}"/>
    <cellStyle name="60% - Énfasis1 16 11" xfId="9531" xr:uid="{00000000-0005-0000-0000-000002250000}"/>
    <cellStyle name="60% - Énfasis1 16 12" xfId="9532" xr:uid="{00000000-0005-0000-0000-000003250000}"/>
    <cellStyle name="60% - Énfasis1 16 13" xfId="9533" xr:uid="{00000000-0005-0000-0000-000004250000}"/>
    <cellStyle name="60% - Énfasis1 16 14" xfId="9534" xr:uid="{00000000-0005-0000-0000-000005250000}"/>
    <cellStyle name="60% - Énfasis1 16 15" xfId="9535" xr:uid="{00000000-0005-0000-0000-000006250000}"/>
    <cellStyle name="60% - Énfasis1 16 16" xfId="9536" xr:uid="{00000000-0005-0000-0000-000007250000}"/>
    <cellStyle name="60% - Énfasis1 16 17" xfId="9537" xr:uid="{00000000-0005-0000-0000-000008250000}"/>
    <cellStyle name="60% - Énfasis1 16 18" xfId="9538" xr:uid="{00000000-0005-0000-0000-000009250000}"/>
    <cellStyle name="60% - Énfasis1 16 19" xfId="9539" xr:uid="{00000000-0005-0000-0000-00000A250000}"/>
    <cellStyle name="60% - Énfasis1 16 2" xfId="9540" xr:uid="{00000000-0005-0000-0000-00000B250000}"/>
    <cellStyle name="60% - Énfasis1 16 2 2" xfId="9541" xr:uid="{00000000-0005-0000-0000-00000C250000}"/>
    <cellStyle name="60% - Énfasis1 16 3" xfId="9542" xr:uid="{00000000-0005-0000-0000-00000D250000}"/>
    <cellStyle name="60% - Énfasis1 16 3 2" xfId="9543" xr:uid="{00000000-0005-0000-0000-00000E250000}"/>
    <cellStyle name="60% - Énfasis1 16 4" xfId="9544" xr:uid="{00000000-0005-0000-0000-00000F250000}"/>
    <cellStyle name="60% - Énfasis1 16 4 2" xfId="9545" xr:uid="{00000000-0005-0000-0000-000010250000}"/>
    <cellStyle name="60% - Énfasis1 16 5" xfId="9546" xr:uid="{00000000-0005-0000-0000-000011250000}"/>
    <cellStyle name="60% - Énfasis1 16 6" xfId="9547" xr:uid="{00000000-0005-0000-0000-000012250000}"/>
    <cellStyle name="60% - Énfasis1 16 7" xfId="9548" xr:uid="{00000000-0005-0000-0000-000013250000}"/>
    <cellStyle name="60% - Énfasis1 16 8" xfId="9549" xr:uid="{00000000-0005-0000-0000-000014250000}"/>
    <cellStyle name="60% - Énfasis1 16 9" xfId="9550" xr:uid="{00000000-0005-0000-0000-000015250000}"/>
    <cellStyle name="60% - Énfasis1 17 10" xfId="9551" xr:uid="{00000000-0005-0000-0000-000016250000}"/>
    <cellStyle name="60% - Énfasis1 17 11" xfId="9552" xr:uid="{00000000-0005-0000-0000-000017250000}"/>
    <cellStyle name="60% - Énfasis1 17 12" xfId="9553" xr:uid="{00000000-0005-0000-0000-000018250000}"/>
    <cellStyle name="60% - Énfasis1 17 13" xfId="9554" xr:uid="{00000000-0005-0000-0000-000019250000}"/>
    <cellStyle name="60% - Énfasis1 17 14" xfId="9555" xr:uid="{00000000-0005-0000-0000-00001A250000}"/>
    <cellStyle name="60% - Énfasis1 17 15" xfId="9556" xr:uid="{00000000-0005-0000-0000-00001B250000}"/>
    <cellStyle name="60% - Énfasis1 17 16" xfId="9557" xr:uid="{00000000-0005-0000-0000-00001C250000}"/>
    <cellStyle name="60% - Énfasis1 17 17" xfId="9558" xr:uid="{00000000-0005-0000-0000-00001D250000}"/>
    <cellStyle name="60% - Énfasis1 17 18" xfId="9559" xr:uid="{00000000-0005-0000-0000-00001E250000}"/>
    <cellStyle name="60% - Énfasis1 17 19" xfId="9560" xr:uid="{00000000-0005-0000-0000-00001F250000}"/>
    <cellStyle name="60% - Énfasis1 17 2" xfId="9561" xr:uid="{00000000-0005-0000-0000-000020250000}"/>
    <cellStyle name="60% - Énfasis1 17 2 2" xfId="9562" xr:uid="{00000000-0005-0000-0000-000021250000}"/>
    <cellStyle name="60% - Énfasis1 17 3" xfId="9563" xr:uid="{00000000-0005-0000-0000-000022250000}"/>
    <cellStyle name="60% - Énfasis1 17 3 2" xfId="9564" xr:uid="{00000000-0005-0000-0000-000023250000}"/>
    <cellStyle name="60% - Énfasis1 17 4" xfId="9565" xr:uid="{00000000-0005-0000-0000-000024250000}"/>
    <cellStyle name="60% - Énfasis1 17 4 2" xfId="9566" xr:uid="{00000000-0005-0000-0000-000025250000}"/>
    <cellStyle name="60% - Énfasis1 17 5" xfId="9567" xr:uid="{00000000-0005-0000-0000-000026250000}"/>
    <cellStyle name="60% - Énfasis1 17 6" xfId="9568" xr:uid="{00000000-0005-0000-0000-000027250000}"/>
    <cellStyle name="60% - Énfasis1 17 7" xfId="9569" xr:uid="{00000000-0005-0000-0000-000028250000}"/>
    <cellStyle name="60% - Énfasis1 17 8" xfId="9570" xr:uid="{00000000-0005-0000-0000-000029250000}"/>
    <cellStyle name="60% - Énfasis1 17 9" xfId="9571" xr:uid="{00000000-0005-0000-0000-00002A250000}"/>
    <cellStyle name="60% - Énfasis1 18 10" xfId="9572" xr:uid="{00000000-0005-0000-0000-00002B250000}"/>
    <cellStyle name="60% - Énfasis1 18 11" xfId="9573" xr:uid="{00000000-0005-0000-0000-00002C250000}"/>
    <cellStyle name="60% - Énfasis1 18 12" xfId="9574" xr:uid="{00000000-0005-0000-0000-00002D250000}"/>
    <cellStyle name="60% - Énfasis1 18 13" xfId="9575" xr:uid="{00000000-0005-0000-0000-00002E250000}"/>
    <cellStyle name="60% - Énfasis1 18 14" xfId="9576" xr:uid="{00000000-0005-0000-0000-00002F250000}"/>
    <cellStyle name="60% - Énfasis1 18 15" xfId="9577" xr:uid="{00000000-0005-0000-0000-000030250000}"/>
    <cellStyle name="60% - Énfasis1 18 16" xfId="9578" xr:uid="{00000000-0005-0000-0000-000031250000}"/>
    <cellStyle name="60% - Énfasis1 18 17" xfId="9579" xr:uid="{00000000-0005-0000-0000-000032250000}"/>
    <cellStyle name="60% - Énfasis1 18 18" xfId="9580" xr:uid="{00000000-0005-0000-0000-000033250000}"/>
    <cellStyle name="60% - Énfasis1 18 19" xfId="9581" xr:uid="{00000000-0005-0000-0000-000034250000}"/>
    <cellStyle name="60% - Énfasis1 18 2" xfId="9582" xr:uid="{00000000-0005-0000-0000-000035250000}"/>
    <cellStyle name="60% - Énfasis1 18 2 2" xfId="9583" xr:uid="{00000000-0005-0000-0000-000036250000}"/>
    <cellStyle name="60% - Énfasis1 18 3" xfId="9584" xr:uid="{00000000-0005-0000-0000-000037250000}"/>
    <cellStyle name="60% - Énfasis1 18 3 2" xfId="9585" xr:uid="{00000000-0005-0000-0000-000038250000}"/>
    <cellStyle name="60% - Énfasis1 18 4" xfId="9586" xr:uid="{00000000-0005-0000-0000-000039250000}"/>
    <cellStyle name="60% - Énfasis1 18 4 2" xfId="9587" xr:uid="{00000000-0005-0000-0000-00003A250000}"/>
    <cellStyle name="60% - Énfasis1 18 5" xfId="9588" xr:uid="{00000000-0005-0000-0000-00003B250000}"/>
    <cellStyle name="60% - Énfasis1 18 6" xfId="9589" xr:uid="{00000000-0005-0000-0000-00003C250000}"/>
    <cellStyle name="60% - Énfasis1 18 7" xfId="9590" xr:uid="{00000000-0005-0000-0000-00003D250000}"/>
    <cellStyle name="60% - Énfasis1 18 8" xfId="9591" xr:uid="{00000000-0005-0000-0000-00003E250000}"/>
    <cellStyle name="60% - Énfasis1 18 9" xfId="9592" xr:uid="{00000000-0005-0000-0000-00003F250000}"/>
    <cellStyle name="60% - Énfasis1 19 10" xfId="9593" xr:uid="{00000000-0005-0000-0000-000040250000}"/>
    <cellStyle name="60% - Énfasis1 19 11" xfId="9594" xr:uid="{00000000-0005-0000-0000-000041250000}"/>
    <cellStyle name="60% - Énfasis1 19 12" xfId="9595" xr:uid="{00000000-0005-0000-0000-000042250000}"/>
    <cellStyle name="60% - Énfasis1 19 13" xfId="9596" xr:uid="{00000000-0005-0000-0000-000043250000}"/>
    <cellStyle name="60% - Énfasis1 19 14" xfId="9597" xr:uid="{00000000-0005-0000-0000-000044250000}"/>
    <cellStyle name="60% - Énfasis1 19 15" xfId="9598" xr:uid="{00000000-0005-0000-0000-000045250000}"/>
    <cellStyle name="60% - Énfasis1 19 16" xfId="9599" xr:uid="{00000000-0005-0000-0000-000046250000}"/>
    <cellStyle name="60% - Énfasis1 19 17" xfId="9600" xr:uid="{00000000-0005-0000-0000-000047250000}"/>
    <cellStyle name="60% - Énfasis1 19 18" xfId="9601" xr:uid="{00000000-0005-0000-0000-000048250000}"/>
    <cellStyle name="60% - Énfasis1 19 19" xfId="9602" xr:uid="{00000000-0005-0000-0000-000049250000}"/>
    <cellStyle name="60% - Énfasis1 19 2" xfId="9603" xr:uid="{00000000-0005-0000-0000-00004A250000}"/>
    <cellStyle name="60% - Énfasis1 19 2 2" xfId="9604" xr:uid="{00000000-0005-0000-0000-00004B250000}"/>
    <cellStyle name="60% - Énfasis1 19 3" xfId="9605" xr:uid="{00000000-0005-0000-0000-00004C250000}"/>
    <cellStyle name="60% - Énfasis1 19 3 2" xfId="9606" xr:uid="{00000000-0005-0000-0000-00004D250000}"/>
    <cellStyle name="60% - Énfasis1 19 4" xfId="9607" xr:uid="{00000000-0005-0000-0000-00004E250000}"/>
    <cellStyle name="60% - Énfasis1 19 4 2" xfId="9608" xr:uid="{00000000-0005-0000-0000-00004F250000}"/>
    <cellStyle name="60% - Énfasis1 19 5" xfId="9609" xr:uid="{00000000-0005-0000-0000-000050250000}"/>
    <cellStyle name="60% - Énfasis1 19 6" xfId="9610" xr:uid="{00000000-0005-0000-0000-000051250000}"/>
    <cellStyle name="60% - Énfasis1 19 7" xfId="9611" xr:uid="{00000000-0005-0000-0000-000052250000}"/>
    <cellStyle name="60% - Énfasis1 19 8" xfId="9612" xr:uid="{00000000-0005-0000-0000-000053250000}"/>
    <cellStyle name="60% - Énfasis1 19 9" xfId="9613" xr:uid="{00000000-0005-0000-0000-000054250000}"/>
    <cellStyle name="60% - Énfasis1 2 10" xfId="9614" xr:uid="{00000000-0005-0000-0000-000055250000}"/>
    <cellStyle name="60% - Énfasis1 2 11" xfId="9615" xr:uid="{00000000-0005-0000-0000-000056250000}"/>
    <cellStyle name="60% - Énfasis1 2 12" xfId="9616" xr:uid="{00000000-0005-0000-0000-000057250000}"/>
    <cellStyle name="60% - Énfasis1 2 13" xfId="9617" xr:uid="{00000000-0005-0000-0000-000058250000}"/>
    <cellStyle name="60% - Énfasis1 2 14" xfId="9618" xr:uid="{00000000-0005-0000-0000-000059250000}"/>
    <cellStyle name="60% - Énfasis1 2 15" xfId="9619" xr:uid="{00000000-0005-0000-0000-00005A250000}"/>
    <cellStyle name="60% - Énfasis1 2 16" xfId="9620" xr:uid="{00000000-0005-0000-0000-00005B250000}"/>
    <cellStyle name="60% - Énfasis1 2 17" xfId="9621" xr:uid="{00000000-0005-0000-0000-00005C250000}"/>
    <cellStyle name="60% - Énfasis1 2 18" xfId="9622" xr:uid="{00000000-0005-0000-0000-00005D250000}"/>
    <cellStyle name="60% - Énfasis1 2 19" xfId="9623" xr:uid="{00000000-0005-0000-0000-00005E250000}"/>
    <cellStyle name="60% - Énfasis1 2 2" xfId="9624" xr:uid="{00000000-0005-0000-0000-00005F250000}"/>
    <cellStyle name="60% - Énfasis1 2 2 2" xfId="9625" xr:uid="{00000000-0005-0000-0000-000060250000}"/>
    <cellStyle name="60% - Énfasis1 2 3" xfId="9626" xr:uid="{00000000-0005-0000-0000-000061250000}"/>
    <cellStyle name="60% - Énfasis1 2 3 2" xfId="9627" xr:uid="{00000000-0005-0000-0000-000062250000}"/>
    <cellStyle name="60% - Énfasis1 2 4" xfId="9628" xr:uid="{00000000-0005-0000-0000-000063250000}"/>
    <cellStyle name="60% - Énfasis1 2 4 2" xfId="9629" xr:uid="{00000000-0005-0000-0000-000064250000}"/>
    <cellStyle name="60% - Énfasis1 2 5" xfId="9630" xr:uid="{00000000-0005-0000-0000-000065250000}"/>
    <cellStyle name="60% - Énfasis1 2 6" xfId="9631" xr:uid="{00000000-0005-0000-0000-000066250000}"/>
    <cellStyle name="60% - Énfasis1 2 7" xfId="9632" xr:uid="{00000000-0005-0000-0000-000067250000}"/>
    <cellStyle name="60% - Énfasis1 2 8" xfId="9633" xr:uid="{00000000-0005-0000-0000-000068250000}"/>
    <cellStyle name="60% - Énfasis1 2 9" xfId="9634" xr:uid="{00000000-0005-0000-0000-000069250000}"/>
    <cellStyle name="60% - Énfasis1 20 10" xfId="9635" xr:uid="{00000000-0005-0000-0000-00006A250000}"/>
    <cellStyle name="60% - Énfasis1 20 11" xfId="9636" xr:uid="{00000000-0005-0000-0000-00006B250000}"/>
    <cellStyle name="60% - Énfasis1 20 12" xfId="9637" xr:uid="{00000000-0005-0000-0000-00006C250000}"/>
    <cellStyle name="60% - Énfasis1 20 13" xfId="9638" xr:uid="{00000000-0005-0000-0000-00006D250000}"/>
    <cellStyle name="60% - Énfasis1 20 14" xfId="9639" xr:uid="{00000000-0005-0000-0000-00006E250000}"/>
    <cellStyle name="60% - Énfasis1 20 15" xfId="9640" xr:uid="{00000000-0005-0000-0000-00006F250000}"/>
    <cellStyle name="60% - Énfasis1 20 16" xfId="9641" xr:uid="{00000000-0005-0000-0000-000070250000}"/>
    <cellStyle name="60% - Énfasis1 20 17" xfId="9642" xr:uid="{00000000-0005-0000-0000-000071250000}"/>
    <cellStyle name="60% - Énfasis1 20 18" xfId="9643" xr:uid="{00000000-0005-0000-0000-000072250000}"/>
    <cellStyle name="60% - Énfasis1 20 19" xfId="9644" xr:uid="{00000000-0005-0000-0000-000073250000}"/>
    <cellStyle name="60% - Énfasis1 20 2" xfId="9645" xr:uid="{00000000-0005-0000-0000-000074250000}"/>
    <cellStyle name="60% - Énfasis1 20 2 2" xfId="9646" xr:uid="{00000000-0005-0000-0000-000075250000}"/>
    <cellStyle name="60% - Énfasis1 20 3" xfId="9647" xr:uid="{00000000-0005-0000-0000-000076250000}"/>
    <cellStyle name="60% - Énfasis1 20 3 2" xfId="9648" xr:uid="{00000000-0005-0000-0000-000077250000}"/>
    <cellStyle name="60% - Énfasis1 20 4" xfId="9649" xr:uid="{00000000-0005-0000-0000-000078250000}"/>
    <cellStyle name="60% - Énfasis1 20 4 2" xfId="9650" xr:uid="{00000000-0005-0000-0000-000079250000}"/>
    <cellStyle name="60% - Énfasis1 20 5" xfId="9651" xr:uid="{00000000-0005-0000-0000-00007A250000}"/>
    <cellStyle name="60% - Énfasis1 20 6" xfId="9652" xr:uid="{00000000-0005-0000-0000-00007B250000}"/>
    <cellStyle name="60% - Énfasis1 20 7" xfId="9653" xr:uid="{00000000-0005-0000-0000-00007C250000}"/>
    <cellStyle name="60% - Énfasis1 20 8" xfId="9654" xr:uid="{00000000-0005-0000-0000-00007D250000}"/>
    <cellStyle name="60% - Énfasis1 20 9" xfId="9655" xr:uid="{00000000-0005-0000-0000-00007E250000}"/>
    <cellStyle name="60% - Énfasis1 21 10" xfId="9656" xr:uid="{00000000-0005-0000-0000-00007F250000}"/>
    <cellStyle name="60% - Énfasis1 21 11" xfId="9657" xr:uid="{00000000-0005-0000-0000-000080250000}"/>
    <cellStyle name="60% - Énfasis1 21 12" xfId="9658" xr:uid="{00000000-0005-0000-0000-000081250000}"/>
    <cellStyle name="60% - Énfasis1 21 13" xfId="9659" xr:uid="{00000000-0005-0000-0000-000082250000}"/>
    <cellStyle name="60% - Énfasis1 21 14" xfId="9660" xr:uid="{00000000-0005-0000-0000-000083250000}"/>
    <cellStyle name="60% - Énfasis1 21 15" xfId="9661" xr:uid="{00000000-0005-0000-0000-000084250000}"/>
    <cellStyle name="60% - Énfasis1 21 16" xfId="9662" xr:uid="{00000000-0005-0000-0000-000085250000}"/>
    <cellStyle name="60% - Énfasis1 21 17" xfId="9663" xr:uid="{00000000-0005-0000-0000-000086250000}"/>
    <cellStyle name="60% - Énfasis1 21 18" xfId="9664" xr:uid="{00000000-0005-0000-0000-000087250000}"/>
    <cellStyle name="60% - Énfasis1 21 19" xfId="9665" xr:uid="{00000000-0005-0000-0000-000088250000}"/>
    <cellStyle name="60% - Énfasis1 21 2" xfId="9666" xr:uid="{00000000-0005-0000-0000-000089250000}"/>
    <cellStyle name="60% - Énfasis1 21 2 2" xfId="9667" xr:uid="{00000000-0005-0000-0000-00008A250000}"/>
    <cellStyle name="60% - Énfasis1 21 3" xfId="9668" xr:uid="{00000000-0005-0000-0000-00008B250000}"/>
    <cellStyle name="60% - Énfasis1 21 3 2" xfId="9669" xr:uid="{00000000-0005-0000-0000-00008C250000}"/>
    <cellStyle name="60% - Énfasis1 21 4" xfId="9670" xr:uid="{00000000-0005-0000-0000-00008D250000}"/>
    <cellStyle name="60% - Énfasis1 21 4 2" xfId="9671" xr:uid="{00000000-0005-0000-0000-00008E250000}"/>
    <cellStyle name="60% - Énfasis1 21 5" xfId="9672" xr:uid="{00000000-0005-0000-0000-00008F250000}"/>
    <cellStyle name="60% - Énfasis1 21 6" xfId="9673" xr:uid="{00000000-0005-0000-0000-000090250000}"/>
    <cellStyle name="60% - Énfasis1 21 7" xfId="9674" xr:uid="{00000000-0005-0000-0000-000091250000}"/>
    <cellStyle name="60% - Énfasis1 21 8" xfId="9675" xr:uid="{00000000-0005-0000-0000-000092250000}"/>
    <cellStyle name="60% - Énfasis1 21 9" xfId="9676" xr:uid="{00000000-0005-0000-0000-000093250000}"/>
    <cellStyle name="60% - Énfasis1 22 10" xfId="9677" xr:uid="{00000000-0005-0000-0000-000094250000}"/>
    <cellStyle name="60% - Énfasis1 22 11" xfId="9678" xr:uid="{00000000-0005-0000-0000-000095250000}"/>
    <cellStyle name="60% - Énfasis1 22 12" xfId="9679" xr:uid="{00000000-0005-0000-0000-000096250000}"/>
    <cellStyle name="60% - Énfasis1 22 13" xfId="9680" xr:uid="{00000000-0005-0000-0000-000097250000}"/>
    <cellStyle name="60% - Énfasis1 22 14" xfId="9681" xr:uid="{00000000-0005-0000-0000-000098250000}"/>
    <cellStyle name="60% - Énfasis1 22 15" xfId="9682" xr:uid="{00000000-0005-0000-0000-000099250000}"/>
    <cellStyle name="60% - Énfasis1 22 16" xfId="9683" xr:uid="{00000000-0005-0000-0000-00009A250000}"/>
    <cellStyle name="60% - Énfasis1 22 17" xfId="9684" xr:uid="{00000000-0005-0000-0000-00009B250000}"/>
    <cellStyle name="60% - Énfasis1 22 18" xfId="9685" xr:uid="{00000000-0005-0000-0000-00009C250000}"/>
    <cellStyle name="60% - Énfasis1 22 19" xfId="9686" xr:uid="{00000000-0005-0000-0000-00009D250000}"/>
    <cellStyle name="60% - Énfasis1 22 2" xfId="9687" xr:uid="{00000000-0005-0000-0000-00009E250000}"/>
    <cellStyle name="60% - Énfasis1 22 2 2" xfId="9688" xr:uid="{00000000-0005-0000-0000-00009F250000}"/>
    <cellStyle name="60% - Énfasis1 22 3" xfId="9689" xr:uid="{00000000-0005-0000-0000-0000A0250000}"/>
    <cellStyle name="60% - Énfasis1 22 3 2" xfId="9690" xr:uid="{00000000-0005-0000-0000-0000A1250000}"/>
    <cellStyle name="60% - Énfasis1 22 4" xfId="9691" xr:uid="{00000000-0005-0000-0000-0000A2250000}"/>
    <cellStyle name="60% - Énfasis1 22 4 2" xfId="9692" xr:uid="{00000000-0005-0000-0000-0000A3250000}"/>
    <cellStyle name="60% - Énfasis1 22 5" xfId="9693" xr:uid="{00000000-0005-0000-0000-0000A4250000}"/>
    <cellStyle name="60% - Énfasis1 22 6" xfId="9694" xr:uid="{00000000-0005-0000-0000-0000A5250000}"/>
    <cellStyle name="60% - Énfasis1 22 7" xfId="9695" xr:uid="{00000000-0005-0000-0000-0000A6250000}"/>
    <cellStyle name="60% - Énfasis1 22 8" xfId="9696" xr:uid="{00000000-0005-0000-0000-0000A7250000}"/>
    <cellStyle name="60% - Énfasis1 22 9" xfId="9697" xr:uid="{00000000-0005-0000-0000-0000A8250000}"/>
    <cellStyle name="60% - Énfasis1 23 10" xfId="9698" xr:uid="{00000000-0005-0000-0000-0000A9250000}"/>
    <cellStyle name="60% - Énfasis1 23 11" xfId="9699" xr:uid="{00000000-0005-0000-0000-0000AA250000}"/>
    <cellStyle name="60% - Énfasis1 23 12" xfId="9700" xr:uid="{00000000-0005-0000-0000-0000AB250000}"/>
    <cellStyle name="60% - Énfasis1 23 13" xfId="9701" xr:uid="{00000000-0005-0000-0000-0000AC250000}"/>
    <cellStyle name="60% - Énfasis1 23 14" xfId="9702" xr:uid="{00000000-0005-0000-0000-0000AD250000}"/>
    <cellStyle name="60% - Énfasis1 23 15" xfId="9703" xr:uid="{00000000-0005-0000-0000-0000AE250000}"/>
    <cellStyle name="60% - Énfasis1 23 16" xfId="9704" xr:uid="{00000000-0005-0000-0000-0000AF250000}"/>
    <cellStyle name="60% - Énfasis1 23 17" xfId="9705" xr:uid="{00000000-0005-0000-0000-0000B0250000}"/>
    <cellStyle name="60% - Énfasis1 23 18" xfId="9706" xr:uid="{00000000-0005-0000-0000-0000B1250000}"/>
    <cellStyle name="60% - Énfasis1 23 19" xfId="9707" xr:uid="{00000000-0005-0000-0000-0000B2250000}"/>
    <cellStyle name="60% - Énfasis1 23 2" xfId="9708" xr:uid="{00000000-0005-0000-0000-0000B3250000}"/>
    <cellStyle name="60% - Énfasis1 23 2 2" xfId="9709" xr:uid="{00000000-0005-0000-0000-0000B4250000}"/>
    <cellStyle name="60% - Énfasis1 23 3" xfId="9710" xr:uid="{00000000-0005-0000-0000-0000B5250000}"/>
    <cellStyle name="60% - Énfasis1 23 3 2" xfId="9711" xr:uid="{00000000-0005-0000-0000-0000B6250000}"/>
    <cellStyle name="60% - Énfasis1 23 4" xfId="9712" xr:uid="{00000000-0005-0000-0000-0000B7250000}"/>
    <cellStyle name="60% - Énfasis1 23 4 2" xfId="9713" xr:uid="{00000000-0005-0000-0000-0000B8250000}"/>
    <cellStyle name="60% - Énfasis1 23 5" xfId="9714" xr:uid="{00000000-0005-0000-0000-0000B9250000}"/>
    <cellStyle name="60% - Énfasis1 23 6" xfId="9715" xr:uid="{00000000-0005-0000-0000-0000BA250000}"/>
    <cellStyle name="60% - Énfasis1 23 7" xfId="9716" xr:uid="{00000000-0005-0000-0000-0000BB250000}"/>
    <cellStyle name="60% - Énfasis1 23 8" xfId="9717" xr:uid="{00000000-0005-0000-0000-0000BC250000}"/>
    <cellStyle name="60% - Énfasis1 23 9" xfId="9718" xr:uid="{00000000-0005-0000-0000-0000BD250000}"/>
    <cellStyle name="60% - Énfasis1 24 10" xfId="9719" xr:uid="{00000000-0005-0000-0000-0000BE250000}"/>
    <cellStyle name="60% - Énfasis1 24 11" xfId="9720" xr:uid="{00000000-0005-0000-0000-0000BF250000}"/>
    <cellStyle name="60% - Énfasis1 24 12" xfId="9721" xr:uid="{00000000-0005-0000-0000-0000C0250000}"/>
    <cellStyle name="60% - Énfasis1 24 13" xfId="9722" xr:uid="{00000000-0005-0000-0000-0000C1250000}"/>
    <cellStyle name="60% - Énfasis1 24 14" xfId="9723" xr:uid="{00000000-0005-0000-0000-0000C2250000}"/>
    <cellStyle name="60% - Énfasis1 24 15" xfId="9724" xr:uid="{00000000-0005-0000-0000-0000C3250000}"/>
    <cellStyle name="60% - Énfasis1 24 16" xfId="9725" xr:uid="{00000000-0005-0000-0000-0000C4250000}"/>
    <cellStyle name="60% - Énfasis1 24 17" xfId="9726" xr:uid="{00000000-0005-0000-0000-0000C5250000}"/>
    <cellStyle name="60% - Énfasis1 24 18" xfId="9727" xr:uid="{00000000-0005-0000-0000-0000C6250000}"/>
    <cellStyle name="60% - Énfasis1 24 19" xfId="9728" xr:uid="{00000000-0005-0000-0000-0000C7250000}"/>
    <cellStyle name="60% - Énfasis1 24 2" xfId="9729" xr:uid="{00000000-0005-0000-0000-0000C8250000}"/>
    <cellStyle name="60% - Énfasis1 24 2 2" xfId="9730" xr:uid="{00000000-0005-0000-0000-0000C9250000}"/>
    <cellStyle name="60% - Énfasis1 24 3" xfId="9731" xr:uid="{00000000-0005-0000-0000-0000CA250000}"/>
    <cellStyle name="60% - Énfasis1 24 3 2" xfId="9732" xr:uid="{00000000-0005-0000-0000-0000CB250000}"/>
    <cellStyle name="60% - Énfasis1 24 4" xfId="9733" xr:uid="{00000000-0005-0000-0000-0000CC250000}"/>
    <cellStyle name="60% - Énfasis1 24 4 2" xfId="9734" xr:uid="{00000000-0005-0000-0000-0000CD250000}"/>
    <cellStyle name="60% - Énfasis1 24 5" xfId="9735" xr:uid="{00000000-0005-0000-0000-0000CE250000}"/>
    <cellStyle name="60% - Énfasis1 24 6" xfId="9736" xr:uid="{00000000-0005-0000-0000-0000CF250000}"/>
    <cellStyle name="60% - Énfasis1 24 7" xfId="9737" xr:uid="{00000000-0005-0000-0000-0000D0250000}"/>
    <cellStyle name="60% - Énfasis1 24 8" xfId="9738" xr:uid="{00000000-0005-0000-0000-0000D1250000}"/>
    <cellStyle name="60% - Énfasis1 24 9" xfId="9739" xr:uid="{00000000-0005-0000-0000-0000D2250000}"/>
    <cellStyle name="60% - Énfasis1 25 10" xfId="9740" xr:uid="{00000000-0005-0000-0000-0000D3250000}"/>
    <cellStyle name="60% - Énfasis1 25 11" xfId="9741" xr:uid="{00000000-0005-0000-0000-0000D4250000}"/>
    <cellStyle name="60% - Énfasis1 25 12" xfId="9742" xr:uid="{00000000-0005-0000-0000-0000D5250000}"/>
    <cellStyle name="60% - Énfasis1 25 13" xfId="9743" xr:uid="{00000000-0005-0000-0000-0000D6250000}"/>
    <cellStyle name="60% - Énfasis1 25 14" xfId="9744" xr:uid="{00000000-0005-0000-0000-0000D7250000}"/>
    <cellStyle name="60% - Énfasis1 25 15" xfId="9745" xr:uid="{00000000-0005-0000-0000-0000D8250000}"/>
    <cellStyle name="60% - Énfasis1 25 16" xfId="9746" xr:uid="{00000000-0005-0000-0000-0000D9250000}"/>
    <cellStyle name="60% - Énfasis1 25 17" xfId="9747" xr:uid="{00000000-0005-0000-0000-0000DA250000}"/>
    <cellStyle name="60% - Énfasis1 25 18" xfId="9748" xr:uid="{00000000-0005-0000-0000-0000DB250000}"/>
    <cellStyle name="60% - Énfasis1 25 19" xfId="9749" xr:uid="{00000000-0005-0000-0000-0000DC250000}"/>
    <cellStyle name="60% - Énfasis1 25 2" xfId="9750" xr:uid="{00000000-0005-0000-0000-0000DD250000}"/>
    <cellStyle name="60% - Énfasis1 25 2 2" xfId="9751" xr:uid="{00000000-0005-0000-0000-0000DE250000}"/>
    <cellStyle name="60% - Énfasis1 25 3" xfId="9752" xr:uid="{00000000-0005-0000-0000-0000DF250000}"/>
    <cellStyle name="60% - Énfasis1 25 3 2" xfId="9753" xr:uid="{00000000-0005-0000-0000-0000E0250000}"/>
    <cellStyle name="60% - Énfasis1 25 4" xfId="9754" xr:uid="{00000000-0005-0000-0000-0000E1250000}"/>
    <cellStyle name="60% - Énfasis1 25 4 2" xfId="9755" xr:uid="{00000000-0005-0000-0000-0000E2250000}"/>
    <cellStyle name="60% - Énfasis1 25 5" xfId="9756" xr:uid="{00000000-0005-0000-0000-0000E3250000}"/>
    <cellStyle name="60% - Énfasis1 25 6" xfId="9757" xr:uid="{00000000-0005-0000-0000-0000E4250000}"/>
    <cellStyle name="60% - Énfasis1 25 7" xfId="9758" xr:uid="{00000000-0005-0000-0000-0000E5250000}"/>
    <cellStyle name="60% - Énfasis1 25 8" xfId="9759" xr:uid="{00000000-0005-0000-0000-0000E6250000}"/>
    <cellStyle name="60% - Énfasis1 25 9" xfId="9760" xr:uid="{00000000-0005-0000-0000-0000E7250000}"/>
    <cellStyle name="60% - Énfasis1 26 10" xfId="9761" xr:uid="{00000000-0005-0000-0000-0000E8250000}"/>
    <cellStyle name="60% - Énfasis1 26 11" xfId="9762" xr:uid="{00000000-0005-0000-0000-0000E9250000}"/>
    <cellStyle name="60% - Énfasis1 26 12" xfId="9763" xr:uid="{00000000-0005-0000-0000-0000EA250000}"/>
    <cellStyle name="60% - Énfasis1 26 13" xfId="9764" xr:uid="{00000000-0005-0000-0000-0000EB250000}"/>
    <cellStyle name="60% - Énfasis1 26 14" xfId="9765" xr:uid="{00000000-0005-0000-0000-0000EC250000}"/>
    <cellStyle name="60% - Énfasis1 26 15" xfId="9766" xr:uid="{00000000-0005-0000-0000-0000ED250000}"/>
    <cellStyle name="60% - Énfasis1 26 16" xfId="9767" xr:uid="{00000000-0005-0000-0000-0000EE250000}"/>
    <cellStyle name="60% - Énfasis1 26 17" xfId="9768" xr:uid="{00000000-0005-0000-0000-0000EF250000}"/>
    <cellStyle name="60% - Énfasis1 26 18" xfId="9769" xr:uid="{00000000-0005-0000-0000-0000F0250000}"/>
    <cellStyle name="60% - Énfasis1 26 19" xfId="9770" xr:uid="{00000000-0005-0000-0000-0000F1250000}"/>
    <cellStyle name="60% - Énfasis1 26 2" xfId="9771" xr:uid="{00000000-0005-0000-0000-0000F2250000}"/>
    <cellStyle name="60% - Énfasis1 26 2 2" xfId="9772" xr:uid="{00000000-0005-0000-0000-0000F3250000}"/>
    <cellStyle name="60% - Énfasis1 26 3" xfId="9773" xr:uid="{00000000-0005-0000-0000-0000F4250000}"/>
    <cellStyle name="60% - Énfasis1 26 3 2" xfId="9774" xr:uid="{00000000-0005-0000-0000-0000F5250000}"/>
    <cellStyle name="60% - Énfasis1 26 4" xfId="9775" xr:uid="{00000000-0005-0000-0000-0000F6250000}"/>
    <cellStyle name="60% - Énfasis1 26 4 2" xfId="9776" xr:uid="{00000000-0005-0000-0000-0000F7250000}"/>
    <cellStyle name="60% - Énfasis1 26 5" xfId="9777" xr:uid="{00000000-0005-0000-0000-0000F8250000}"/>
    <cellStyle name="60% - Énfasis1 26 6" xfId="9778" xr:uid="{00000000-0005-0000-0000-0000F9250000}"/>
    <cellStyle name="60% - Énfasis1 26 7" xfId="9779" xr:uid="{00000000-0005-0000-0000-0000FA250000}"/>
    <cellStyle name="60% - Énfasis1 26 8" xfId="9780" xr:uid="{00000000-0005-0000-0000-0000FB250000}"/>
    <cellStyle name="60% - Énfasis1 26 9" xfId="9781" xr:uid="{00000000-0005-0000-0000-0000FC250000}"/>
    <cellStyle name="60% - Énfasis1 27 10" xfId="9782" xr:uid="{00000000-0005-0000-0000-0000FD250000}"/>
    <cellStyle name="60% - Énfasis1 27 11" xfId="9783" xr:uid="{00000000-0005-0000-0000-0000FE250000}"/>
    <cellStyle name="60% - Énfasis1 27 12" xfId="9784" xr:uid="{00000000-0005-0000-0000-0000FF250000}"/>
    <cellStyle name="60% - Énfasis1 27 13" xfId="9785" xr:uid="{00000000-0005-0000-0000-000000260000}"/>
    <cellStyle name="60% - Énfasis1 27 14" xfId="9786" xr:uid="{00000000-0005-0000-0000-000001260000}"/>
    <cellStyle name="60% - Énfasis1 27 15" xfId="9787" xr:uid="{00000000-0005-0000-0000-000002260000}"/>
    <cellStyle name="60% - Énfasis1 27 16" xfId="9788" xr:uid="{00000000-0005-0000-0000-000003260000}"/>
    <cellStyle name="60% - Énfasis1 27 17" xfId="9789" xr:uid="{00000000-0005-0000-0000-000004260000}"/>
    <cellStyle name="60% - Énfasis1 27 18" xfId="9790" xr:uid="{00000000-0005-0000-0000-000005260000}"/>
    <cellStyle name="60% - Énfasis1 27 19" xfId="9791" xr:uid="{00000000-0005-0000-0000-000006260000}"/>
    <cellStyle name="60% - Énfasis1 27 2" xfId="9792" xr:uid="{00000000-0005-0000-0000-000007260000}"/>
    <cellStyle name="60% - Énfasis1 27 2 2" xfId="9793" xr:uid="{00000000-0005-0000-0000-000008260000}"/>
    <cellStyle name="60% - Énfasis1 27 3" xfId="9794" xr:uid="{00000000-0005-0000-0000-000009260000}"/>
    <cellStyle name="60% - Énfasis1 27 3 2" xfId="9795" xr:uid="{00000000-0005-0000-0000-00000A260000}"/>
    <cellStyle name="60% - Énfasis1 27 4" xfId="9796" xr:uid="{00000000-0005-0000-0000-00000B260000}"/>
    <cellStyle name="60% - Énfasis1 27 4 2" xfId="9797" xr:uid="{00000000-0005-0000-0000-00000C260000}"/>
    <cellStyle name="60% - Énfasis1 27 5" xfId="9798" xr:uid="{00000000-0005-0000-0000-00000D260000}"/>
    <cellStyle name="60% - Énfasis1 27 6" xfId="9799" xr:uid="{00000000-0005-0000-0000-00000E260000}"/>
    <cellStyle name="60% - Énfasis1 27 7" xfId="9800" xr:uid="{00000000-0005-0000-0000-00000F260000}"/>
    <cellStyle name="60% - Énfasis1 27 8" xfId="9801" xr:uid="{00000000-0005-0000-0000-000010260000}"/>
    <cellStyle name="60% - Énfasis1 27 9" xfId="9802" xr:uid="{00000000-0005-0000-0000-000011260000}"/>
    <cellStyle name="60% - Énfasis1 28 10" xfId="9803" xr:uid="{00000000-0005-0000-0000-000012260000}"/>
    <cellStyle name="60% - Énfasis1 28 11" xfId="9804" xr:uid="{00000000-0005-0000-0000-000013260000}"/>
    <cellStyle name="60% - Énfasis1 28 12" xfId="9805" xr:uid="{00000000-0005-0000-0000-000014260000}"/>
    <cellStyle name="60% - Énfasis1 28 13" xfId="9806" xr:uid="{00000000-0005-0000-0000-000015260000}"/>
    <cellStyle name="60% - Énfasis1 28 14" xfId="9807" xr:uid="{00000000-0005-0000-0000-000016260000}"/>
    <cellStyle name="60% - Énfasis1 28 15" xfId="9808" xr:uid="{00000000-0005-0000-0000-000017260000}"/>
    <cellStyle name="60% - Énfasis1 28 16" xfId="9809" xr:uid="{00000000-0005-0000-0000-000018260000}"/>
    <cellStyle name="60% - Énfasis1 28 17" xfId="9810" xr:uid="{00000000-0005-0000-0000-000019260000}"/>
    <cellStyle name="60% - Énfasis1 28 18" xfId="9811" xr:uid="{00000000-0005-0000-0000-00001A260000}"/>
    <cellStyle name="60% - Énfasis1 28 19" xfId="9812" xr:uid="{00000000-0005-0000-0000-00001B260000}"/>
    <cellStyle name="60% - Énfasis1 28 2" xfId="9813" xr:uid="{00000000-0005-0000-0000-00001C260000}"/>
    <cellStyle name="60% - Énfasis1 28 2 2" xfId="9814" xr:uid="{00000000-0005-0000-0000-00001D260000}"/>
    <cellStyle name="60% - Énfasis1 28 3" xfId="9815" xr:uid="{00000000-0005-0000-0000-00001E260000}"/>
    <cellStyle name="60% - Énfasis1 28 3 2" xfId="9816" xr:uid="{00000000-0005-0000-0000-00001F260000}"/>
    <cellStyle name="60% - Énfasis1 28 4" xfId="9817" xr:uid="{00000000-0005-0000-0000-000020260000}"/>
    <cellStyle name="60% - Énfasis1 28 4 2" xfId="9818" xr:uid="{00000000-0005-0000-0000-000021260000}"/>
    <cellStyle name="60% - Énfasis1 28 5" xfId="9819" xr:uid="{00000000-0005-0000-0000-000022260000}"/>
    <cellStyle name="60% - Énfasis1 28 6" xfId="9820" xr:uid="{00000000-0005-0000-0000-000023260000}"/>
    <cellStyle name="60% - Énfasis1 28 7" xfId="9821" xr:uid="{00000000-0005-0000-0000-000024260000}"/>
    <cellStyle name="60% - Énfasis1 28 8" xfId="9822" xr:uid="{00000000-0005-0000-0000-000025260000}"/>
    <cellStyle name="60% - Énfasis1 28 9" xfId="9823" xr:uid="{00000000-0005-0000-0000-000026260000}"/>
    <cellStyle name="60% - Énfasis1 29 10" xfId="9824" xr:uid="{00000000-0005-0000-0000-000027260000}"/>
    <cellStyle name="60% - Énfasis1 29 11" xfId="9825" xr:uid="{00000000-0005-0000-0000-000028260000}"/>
    <cellStyle name="60% - Énfasis1 29 12" xfId="9826" xr:uid="{00000000-0005-0000-0000-000029260000}"/>
    <cellStyle name="60% - Énfasis1 29 13" xfId="9827" xr:uid="{00000000-0005-0000-0000-00002A260000}"/>
    <cellStyle name="60% - Énfasis1 29 14" xfId="9828" xr:uid="{00000000-0005-0000-0000-00002B260000}"/>
    <cellStyle name="60% - Énfasis1 29 15" xfId="9829" xr:uid="{00000000-0005-0000-0000-00002C260000}"/>
    <cellStyle name="60% - Énfasis1 29 16" xfId="9830" xr:uid="{00000000-0005-0000-0000-00002D260000}"/>
    <cellStyle name="60% - Énfasis1 29 17" xfId="9831" xr:uid="{00000000-0005-0000-0000-00002E260000}"/>
    <cellStyle name="60% - Énfasis1 29 18" xfId="9832" xr:uid="{00000000-0005-0000-0000-00002F260000}"/>
    <cellStyle name="60% - Énfasis1 29 19" xfId="9833" xr:uid="{00000000-0005-0000-0000-000030260000}"/>
    <cellStyle name="60% - Énfasis1 29 2" xfId="9834" xr:uid="{00000000-0005-0000-0000-000031260000}"/>
    <cellStyle name="60% - Énfasis1 29 2 2" xfId="9835" xr:uid="{00000000-0005-0000-0000-000032260000}"/>
    <cellStyle name="60% - Énfasis1 29 3" xfId="9836" xr:uid="{00000000-0005-0000-0000-000033260000}"/>
    <cellStyle name="60% - Énfasis1 29 3 2" xfId="9837" xr:uid="{00000000-0005-0000-0000-000034260000}"/>
    <cellStyle name="60% - Énfasis1 29 4" xfId="9838" xr:uid="{00000000-0005-0000-0000-000035260000}"/>
    <cellStyle name="60% - Énfasis1 29 4 2" xfId="9839" xr:uid="{00000000-0005-0000-0000-000036260000}"/>
    <cellStyle name="60% - Énfasis1 29 5" xfId="9840" xr:uid="{00000000-0005-0000-0000-000037260000}"/>
    <cellStyle name="60% - Énfasis1 29 6" xfId="9841" xr:uid="{00000000-0005-0000-0000-000038260000}"/>
    <cellStyle name="60% - Énfasis1 29 7" xfId="9842" xr:uid="{00000000-0005-0000-0000-000039260000}"/>
    <cellStyle name="60% - Énfasis1 29 8" xfId="9843" xr:uid="{00000000-0005-0000-0000-00003A260000}"/>
    <cellStyle name="60% - Énfasis1 29 9" xfId="9844" xr:uid="{00000000-0005-0000-0000-00003B260000}"/>
    <cellStyle name="60% - Énfasis1 3 10" xfId="9845" xr:uid="{00000000-0005-0000-0000-00003C260000}"/>
    <cellStyle name="60% - Énfasis1 3 11" xfId="9846" xr:uid="{00000000-0005-0000-0000-00003D260000}"/>
    <cellStyle name="60% - Énfasis1 3 12" xfId="9847" xr:uid="{00000000-0005-0000-0000-00003E260000}"/>
    <cellStyle name="60% - Énfasis1 3 13" xfId="9848" xr:uid="{00000000-0005-0000-0000-00003F260000}"/>
    <cellStyle name="60% - Énfasis1 3 14" xfId="9849" xr:uid="{00000000-0005-0000-0000-000040260000}"/>
    <cellStyle name="60% - Énfasis1 3 15" xfId="9850" xr:uid="{00000000-0005-0000-0000-000041260000}"/>
    <cellStyle name="60% - Énfasis1 3 16" xfId="9851" xr:uid="{00000000-0005-0000-0000-000042260000}"/>
    <cellStyle name="60% - Énfasis1 3 17" xfId="9852" xr:uid="{00000000-0005-0000-0000-000043260000}"/>
    <cellStyle name="60% - Énfasis1 3 18" xfId="9853" xr:uid="{00000000-0005-0000-0000-000044260000}"/>
    <cellStyle name="60% - Énfasis1 3 19" xfId="9854" xr:uid="{00000000-0005-0000-0000-000045260000}"/>
    <cellStyle name="60% - Énfasis1 3 2" xfId="9855" xr:uid="{00000000-0005-0000-0000-000046260000}"/>
    <cellStyle name="60% - Énfasis1 3 2 2" xfId="9856" xr:uid="{00000000-0005-0000-0000-000047260000}"/>
    <cellStyle name="60% - Énfasis1 3 3" xfId="9857" xr:uid="{00000000-0005-0000-0000-000048260000}"/>
    <cellStyle name="60% - Énfasis1 3 3 2" xfId="9858" xr:uid="{00000000-0005-0000-0000-000049260000}"/>
    <cellStyle name="60% - Énfasis1 3 4" xfId="9859" xr:uid="{00000000-0005-0000-0000-00004A260000}"/>
    <cellStyle name="60% - Énfasis1 3 4 2" xfId="9860" xr:uid="{00000000-0005-0000-0000-00004B260000}"/>
    <cellStyle name="60% - Énfasis1 3 5" xfId="9861" xr:uid="{00000000-0005-0000-0000-00004C260000}"/>
    <cellStyle name="60% - Énfasis1 3 6" xfId="9862" xr:uid="{00000000-0005-0000-0000-00004D260000}"/>
    <cellStyle name="60% - Énfasis1 3 7" xfId="9863" xr:uid="{00000000-0005-0000-0000-00004E260000}"/>
    <cellStyle name="60% - Énfasis1 3 8" xfId="9864" xr:uid="{00000000-0005-0000-0000-00004F260000}"/>
    <cellStyle name="60% - Énfasis1 3 9" xfId="9865" xr:uid="{00000000-0005-0000-0000-000050260000}"/>
    <cellStyle name="60% - Énfasis1 30 10" xfId="9866" xr:uid="{00000000-0005-0000-0000-000051260000}"/>
    <cellStyle name="60% - Énfasis1 30 11" xfId="9867" xr:uid="{00000000-0005-0000-0000-000052260000}"/>
    <cellStyle name="60% - Énfasis1 30 12" xfId="9868" xr:uid="{00000000-0005-0000-0000-000053260000}"/>
    <cellStyle name="60% - Énfasis1 30 13" xfId="9869" xr:uid="{00000000-0005-0000-0000-000054260000}"/>
    <cellStyle name="60% - Énfasis1 30 14" xfId="9870" xr:uid="{00000000-0005-0000-0000-000055260000}"/>
    <cellStyle name="60% - Énfasis1 30 15" xfId="9871" xr:uid="{00000000-0005-0000-0000-000056260000}"/>
    <cellStyle name="60% - Énfasis1 30 16" xfId="9872" xr:uid="{00000000-0005-0000-0000-000057260000}"/>
    <cellStyle name="60% - Énfasis1 30 17" xfId="9873" xr:uid="{00000000-0005-0000-0000-000058260000}"/>
    <cellStyle name="60% - Énfasis1 30 18" xfId="9874" xr:uid="{00000000-0005-0000-0000-000059260000}"/>
    <cellStyle name="60% - Énfasis1 30 19" xfId="9875" xr:uid="{00000000-0005-0000-0000-00005A260000}"/>
    <cellStyle name="60% - Énfasis1 30 2" xfId="9876" xr:uid="{00000000-0005-0000-0000-00005B260000}"/>
    <cellStyle name="60% - Énfasis1 30 2 2" xfId="9877" xr:uid="{00000000-0005-0000-0000-00005C260000}"/>
    <cellStyle name="60% - Énfasis1 30 3" xfId="9878" xr:uid="{00000000-0005-0000-0000-00005D260000}"/>
    <cellStyle name="60% - Énfasis1 30 3 2" xfId="9879" xr:uid="{00000000-0005-0000-0000-00005E260000}"/>
    <cellStyle name="60% - Énfasis1 30 4" xfId="9880" xr:uid="{00000000-0005-0000-0000-00005F260000}"/>
    <cellStyle name="60% - Énfasis1 30 4 2" xfId="9881" xr:uid="{00000000-0005-0000-0000-000060260000}"/>
    <cellStyle name="60% - Énfasis1 30 5" xfId="9882" xr:uid="{00000000-0005-0000-0000-000061260000}"/>
    <cellStyle name="60% - Énfasis1 30 6" xfId="9883" xr:uid="{00000000-0005-0000-0000-000062260000}"/>
    <cellStyle name="60% - Énfasis1 30 7" xfId="9884" xr:uid="{00000000-0005-0000-0000-000063260000}"/>
    <cellStyle name="60% - Énfasis1 30 8" xfId="9885" xr:uid="{00000000-0005-0000-0000-000064260000}"/>
    <cellStyle name="60% - Énfasis1 30 9" xfId="9886" xr:uid="{00000000-0005-0000-0000-000065260000}"/>
    <cellStyle name="60% - Énfasis1 31 10" xfId="9887" xr:uid="{00000000-0005-0000-0000-000066260000}"/>
    <cellStyle name="60% - Énfasis1 31 11" xfId="9888" xr:uid="{00000000-0005-0000-0000-000067260000}"/>
    <cellStyle name="60% - Énfasis1 31 12" xfId="9889" xr:uid="{00000000-0005-0000-0000-000068260000}"/>
    <cellStyle name="60% - Énfasis1 31 13" xfId="9890" xr:uid="{00000000-0005-0000-0000-000069260000}"/>
    <cellStyle name="60% - Énfasis1 31 14" xfId="9891" xr:uid="{00000000-0005-0000-0000-00006A260000}"/>
    <cellStyle name="60% - Énfasis1 31 15" xfId="9892" xr:uid="{00000000-0005-0000-0000-00006B260000}"/>
    <cellStyle name="60% - Énfasis1 31 16" xfId="9893" xr:uid="{00000000-0005-0000-0000-00006C260000}"/>
    <cellStyle name="60% - Énfasis1 31 17" xfId="9894" xr:uid="{00000000-0005-0000-0000-00006D260000}"/>
    <cellStyle name="60% - Énfasis1 31 18" xfId="9895" xr:uid="{00000000-0005-0000-0000-00006E260000}"/>
    <cellStyle name="60% - Énfasis1 31 19" xfId="9896" xr:uid="{00000000-0005-0000-0000-00006F260000}"/>
    <cellStyle name="60% - Énfasis1 31 2" xfId="9897" xr:uid="{00000000-0005-0000-0000-000070260000}"/>
    <cellStyle name="60% - Énfasis1 31 2 2" xfId="9898" xr:uid="{00000000-0005-0000-0000-000071260000}"/>
    <cellStyle name="60% - Énfasis1 31 3" xfId="9899" xr:uid="{00000000-0005-0000-0000-000072260000}"/>
    <cellStyle name="60% - Énfasis1 31 3 2" xfId="9900" xr:uid="{00000000-0005-0000-0000-000073260000}"/>
    <cellStyle name="60% - Énfasis1 31 4" xfId="9901" xr:uid="{00000000-0005-0000-0000-000074260000}"/>
    <cellStyle name="60% - Énfasis1 31 4 2" xfId="9902" xr:uid="{00000000-0005-0000-0000-000075260000}"/>
    <cellStyle name="60% - Énfasis1 31 5" xfId="9903" xr:uid="{00000000-0005-0000-0000-000076260000}"/>
    <cellStyle name="60% - Énfasis1 31 6" xfId="9904" xr:uid="{00000000-0005-0000-0000-000077260000}"/>
    <cellStyle name="60% - Énfasis1 31 7" xfId="9905" xr:uid="{00000000-0005-0000-0000-000078260000}"/>
    <cellStyle name="60% - Énfasis1 31 8" xfId="9906" xr:uid="{00000000-0005-0000-0000-000079260000}"/>
    <cellStyle name="60% - Énfasis1 31 9" xfId="9907" xr:uid="{00000000-0005-0000-0000-00007A260000}"/>
    <cellStyle name="60% - Énfasis1 32 10" xfId="9908" xr:uid="{00000000-0005-0000-0000-00007B260000}"/>
    <cellStyle name="60% - Énfasis1 32 11" xfId="9909" xr:uid="{00000000-0005-0000-0000-00007C260000}"/>
    <cellStyle name="60% - Énfasis1 32 12" xfId="9910" xr:uid="{00000000-0005-0000-0000-00007D260000}"/>
    <cellStyle name="60% - Énfasis1 32 13" xfId="9911" xr:uid="{00000000-0005-0000-0000-00007E260000}"/>
    <cellStyle name="60% - Énfasis1 32 14" xfId="9912" xr:uid="{00000000-0005-0000-0000-00007F260000}"/>
    <cellStyle name="60% - Énfasis1 32 15" xfId="9913" xr:uid="{00000000-0005-0000-0000-000080260000}"/>
    <cellStyle name="60% - Énfasis1 32 16" xfId="9914" xr:uid="{00000000-0005-0000-0000-000081260000}"/>
    <cellStyle name="60% - Énfasis1 32 17" xfId="9915" xr:uid="{00000000-0005-0000-0000-000082260000}"/>
    <cellStyle name="60% - Énfasis1 32 18" xfId="9916" xr:uid="{00000000-0005-0000-0000-000083260000}"/>
    <cellStyle name="60% - Énfasis1 32 19" xfId="9917" xr:uid="{00000000-0005-0000-0000-000084260000}"/>
    <cellStyle name="60% - Énfasis1 32 2" xfId="9918" xr:uid="{00000000-0005-0000-0000-000085260000}"/>
    <cellStyle name="60% - Énfasis1 32 2 2" xfId="9919" xr:uid="{00000000-0005-0000-0000-000086260000}"/>
    <cellStyle name="60% - Énfasis1 32 3" xfId="9920" xr:uid="{00000000-0005-0000-0000-000087260000}"/>
    <cellStyle name="60% - Énfasis1 32 3 2" xfId="9921" xr:uid="{00000000-0005-0000-0000-000088260000}"/>
    <cellStyle name="60% - Énfasis1 32 4" xfId="9922" xr:uid="{00000000-0005-0000-0000-000089260000}"/>
    <cellStyle name="60% - Énfasis1 32 4 2" xfId="9923" xr:uid="{00000000-0005-0000-0000-00008A260000}"/>
    <cellStyle name="60% - Énfasis1 32 5" xfId="9924" xr:uid="{00000000-0005-0000-0000-00008B260000}"/>
    <cellStyle name="60% - Énfasis1 32 6" xfId="9925" xr:uid="{00000000-0005-0000-0000-00008C260000}"/>
    <cellStyle name="60% - Énfasis1 32 7" xfId="9926" xr:uid="{00000000-0005-0000-0000-00008D260000}"/>
    <cellStyle name="60% - Énfasis1 32 8" xfId="9927" xr:uid="{00000000-0005-0000-0000-00008E260000}"/>
    <cellStyle name="60% - Énfasis1 32 9" xfId="9928" xr:uid="{00000000-0005-0000-0000-00008F260000}"/>
    <cellStyle name="60% - Énfasis1 33 10" xfId="9929" xr:uid="{00000000-0005-0000-0000-000090260000}"/>
    <cellStyle name="60% - Énfasis1 33 11" xfId="9930" xr:uid="{00000000-0005-0000-0000-000091260000}"/>
    <cellStyle name="60% - Énfasis1 33 12" xfId="9931" xr:uid="{00000000-0005-0000-0000-000092260000}"/>
    <cellStyle name="60% - Énfasis1 33 13" xfId="9932" xr:uid="{00000000-0005-0000-0000-000093260000}"/>
    <cellStyle name="60% - Énfasis1 33 14" xfId="9933" xr:uid="{00000000-0005-0000-0000-000094260000}"/>
    <cellStyle name="60% - Énfasis1 33 15" xfId="9934" xr:uid="{00000000-0005-0000-0000-000095260000}"/>
    <cellStyle name="60% - Énfasis1 33 16" xfId="9935" xr:uid="{00000000-0005-0000-0000-000096260000}"/>
    <cellStyle name="60% - Énfasis1 33 17" xfId="9936" xr:uid="{00000000-0005-0000-0000-000097260000}"/>
    <cellStyle name="60% - Énfasis1 33 18" xfId="9937" xr:uid="{00000000-0005-0000-0000-000098260000}"/>
    <cellStyle name="60% - Énfasis1 33 19" xfId="9938" xr:uid="{00000000-0005-0000-0000-000099260000}"/>
    <cellStyle name="60% - Énfasis1 33 2" xfId="9939" xr:uid="{00000000-0005-0000-0000-00009A260000}"/>
    <cellStyle name="60% - Énfasis1 33 2 2" xfId="9940" xr:uid="{00000000-0005-0000-0000-00009B260000}"/>
    <cellStyle name="60% - Énfasis1 33 3" xfId="9941" xr:uid="{00000000-0005-0000-0000-00009C260000}"/>
    <cellStyle name="60% - Énfasis1 33 3 2" xfId="9942" xr:uid="{00000000-0005-0000-0000-00009D260000}"/>
    <cellStyle name="60% - Énfasis1 33 4" xfId="9943" xr:uid="{00000000-0005-0000-0000-00009E260000}"/>
    <cellStyle name="60% - Énfasis1 33 4 2" xfId="9944" xr:uid="{00000000-0005-0000-0000-00009F260000}"/>
    <cellStyle name="60% - Énfasis1 33 5" xfId="9945" xr:uid="{00000000-0005-0000-0000-0000A0260000}"/>
    <cellStyle name="60% - Énfasis1 33 6" xfId="9946" xr:uid="{00000000-0005-0000-0000-0000A1260000}"/>
    <cellStyle name="60% - Énfasis1 33 7" xfId="9947" xr:uid="{00000000-0005-0000-0000-0000A2260000}"/>
    <cellStyle name="60% - Énfasis1 33 8" xfId="9948" xr:uid="{00000000-0005-0000-0000-0000A3260000}"/>
    <cellStyle name="60% - Énfasis1 33 9" xfId="9949" xr:uid="{00000000-0005-0000-0000-0000A4260000}"/>
    <cellStyle name="60% - Énfasis1 34 10" xfId="9950" xr:uid="{00000000-0005-0000-0000-0000A5260000}"/>
    <cellStyle name="60% - Énfasis1 34 11" xfId="9951" xr:uid="{00000000-0005-0000-0000-0000A6260000}"/>
    <cellStyle name="60% - Énfasis1 34 12" xfId="9952" xr:uid="{00000000-0005-0000-0000-0000A7260000}"/>
    <cellStyle name="60% - Énfasis1 34 13" xfId="9953" xr:uid="{00000000-0005-0000-0000-0000A8260000}"/>
    <cellStyle name="60% - Énfasis1 34 14" xfId="9954" xr:uid="{00000000-0005-0000-0000-0000A9260000}"/>
    <cellStyle name="60% - Énfasis1 34 15" xfId="9955" xr:uid="{00000000-0005-0000-0000-0000AA260000}"/>
    <cellStyle name="60% - Énfasis1 34 16" xfId="9956" xr:uid="{00000000-0005-0000-0000-0000AB260000}"/>
    <cellStyle name="60% - Énfasis1 34 17" xfId="9957" xr:uid="{00000000-0005-0000-0000-0000AC260000}"/>
    <cellStyle name="60% - Énfasis1 34 18" xfId="9958" xr:uid="{00000000-0005-0000-0000-0000AD260000}"/>
    <cellStyle name="60% - Énfasis1 34 19" xfId="9959" xr:uid="{00000000-0005-0000-0000-0000AE260000}"/>
    <cellStyle name="60% - Énfasis1 34 2" xfId="9960" xr:uid="{00000000-0005-0000-0000-0000AF260000}"/>
    <cellStyle name="60% - Énfasis1 34 2 2" xfId="9961" xr:uid="{00000000-0005-0000-0000-0000B0260000}"/>
    <cellStyle name="60% - Énfasis1 34 3" xfId="9962" xr:uid="{00000000-0005-0000-0000-0000B1260000}"/>
    <cellStyle name="60% - Énfasis1 34 3 2" xfId="9963" xr:uid="{00000000-0005-0000-0000-0000B2260000}"/>
    <cellStyle name="60% - Énfasis1 34 4" xfId="9964" xr:uid="{00000000-0005-0000-0000-0000B3260000}"/>
    <cellStyle name="60% - Énfasis1 34 4 2" xfId="9965" xr:uid="{00000000-0005-0000-0000-0000B4260000}"/>
    <cellStyle name="60% - Énfasis1 34 5" xfId="9966" xr:uid="{00000000-0005-0000-0000-0000B5260000}"/>
    <cellStyle name="60% - Énfasis1 34 6" xfId="9967" xr:uid="{00000000-0005-0000-0000-0000B6260000}"/>
    <cellStyle name="60% - Énfasis1 34 7" xfId="9968" xr:uid="{00000000-0005-0000-0000-0000B7260000}"/>
    <cellStyle name="60% - Énfasis1 34 8" xfId="9969" xr:uid="{00000000-0005-0000-0000-0000B8260000}"/>
    <cellStyle name="60% - Énfasis1 34 9" xfId="9970" xr:uid="{00000000-0005-0000-0000-0000B9260000}"/>
    <cellStyle name="60% - Énfasis1 35 10" xfId="9971" xr:uid="{00000000-0005-0000-0000-0000BA260000}"/>
    <cellStyle name="60% - Énfasis1 35 11" xfId="9972" xr:uid="{00000000-0005-0000-0000-0000BB260000}"/>
    <cellStyle name="60% - Énfasis1 35 12" xfId="9973" xr:uid="{00000000-0005-0000-0000-0000BC260000}"/>
    <cellStyle name="60% - Énfasis1 35 13" xfId="9974" xr:uid="{00000000-0005-0000-0000-0000BD260000}"/>
    <cellStyle name="60% - Énfasis1 35 14" xfId="9975" xr:uid="{00000000-0005-0000-0000-0000BE260000}"/>
    <cellStyle name="60% - Énfasis1 35 15" xfId="9976" xr:uid="{00000000-0005-0000-0000-0000BF260000}"/>
    <cellStyle name="60% - Énfasis1 35 16" xfId="9977" xr:uid="{00000000-0005-0000-0000-0000C0260000}"/>
    <cellStyle name="60% - Énfasis1 35 17" xfId="9978" xr:uid="{00000000-0005-0000-0000-0000C1260000}"/>
    <cellStyle name="60% - Énfasis1 35 18" xfId="9979" xr:uid="{00000000-0005-0000-0000-0000C2260000}"/>
    <cellStyle name="60% - Énfasis1 35 19" xfId="9980" xr:uid="{00000000-0005-0000-0000-0000C3260000}"/>
    <cellStyle name="60% - Énfasis1 35 2" xfId="9981" xr:uid="{00000000-0005-0000-0000-0000C4260000}"/>
    <cellStyle name="60% - Énfasis1 35 2 2" xfId="9982" xr:uid="{00000000-0005-0000-0000-0000C5260000}"/>
    <cellStyle name="60% - Énfasis1 35 3" xfId="9983" xr:uid="{00000000-0005-0000-0000-0000C6260000}"/>
    <cellStyle name="60% - Énfasis1 35 3 2" xfId="9984" xr:uid="{00000000-0005-0000-0000-0000C7260000}"/>
    <cellStyle name="60% - Énfasis1 35 4" xfId="9985" xr:uid="{00000000-0005-0000-0000-0000C8260000}"/>
    <cellStyle name="60% - Énfasis1 35 4 2" xfId="9986" xr:uid="{00000000-0005-0000-0000-0000C9260000}"/>
    <cellStyle name="60% - Énfasis1 35 5" xfId="9987" xr:uid="{00000000-0005-0000-0000-0000CA260000}"/>
    <cellStyle name="60% - Énfasis1 35 6" xfId="9988" xr:uid="{00000000-0005-0000-0000-0000CB260000}"/>
    <cellStyle name="60% - Énfasis1 35 7" xfId="9989" xr:uid="{00000000-0005-0000-0000-0000CC260000}"/>
    <cellStyle name="60% - Énfasis1 35 8" xfId="9990" xr:uid="{00000000-0005-0000-0000-0000CD260000}"/>
    <cellStyle name="60% - Énfasis1 35 9" xfId="9991" xr:uid="{00000000-0005-0000-0000-0000CE260000}"/>
    <cellStyle name="60% - Énfasis1 36 10" xfId="9992" xr:uid="{00000000-0005-0000-0000-0000CF260000}"/>
    <cellStyle name="60% - Énfasis1 36 11" xfId="9993" xr:uid="{00000000-0005-0000-0000-0000D0260000}"/>
    <cellStyle name="60% - Énfasis1 36 12" xfId="9994" xr:uid="{00000000-0005-0000-0000-0000D1260000}"/>
    <cellStyle name="60% - Énfasis1 36 13" xfId="9995" xr:uid="{00000000-0005-0000-0000-0000D2260000}"/>
    <cellStyle name="60% - Énfasis1 36 14" xfId="9996" xr:uid="{00000000-0005-0000-0000-0000D3260000}"/>
    <cellStyle name="60% - Énfasis1 36 15" xfId="9997" xr:uid="{00000000-0005-0000-0000-0000D4260000}"/>
    <cellStyle name="60% - Énfasis1 36 16" xfId="9998" xr:uid="{00000000-0005-0000-0000-0000D5260000}"/>
    <cellStyle name="60% - Énfasis1 36 17" xfId="9999" xr:uid="{00000000-0005-0000-0000-0000D6260000}"/>
    <cellStyle name="60% - Énfasis1 36 18" xfId="10000" xr:uid="{00000000-0005-0000-0000-0000D7260000}"/>
    <cellStyle name="60% - Énfasis1 36 19" xfId="10001" xr:uid="{00000000-0005-0000-0000-0000D8260000}"/>
    <cellStyle name="60% - Énfasis1 36 2" xfId="10002" xr:uid="{00000000-0005-0000-0000-0000D9260000}"/>
    <cellStyle name="60% - Énfasis1 36 2 2" xfId="10003" xr:uid="{00000000-0005-0000-0000-0000DA260000}"/>
    <cellStyle name="60% - Énfasis1 36 3" xfId="10004" xr:uid="{00000000-0005-0000-0000-0000DB260000}"/>
    <cellStyle name="60% - Énfasis1 36 3 2" xfId="10005" xr:uid="{00000000-0005-0000-0000-0000DC260000}"/>
    <cellStyle name="60% - Énfasis1 36 4" xfId="10006" xr:uid="{00000000-0005-0000-0000-0000DD260000}"/>
    <cellStyle name="60% - Énfasis1 36 4 2" xfId="10007" xr:uid="{00000000-0005-0000-0000-0000DE260000}"/>
    <cellStyle name="60% - Énfasis1 36 5" xfId="10008" xr:uid="{00000000-0005-0000-0000-0000DF260000}"/>
    <cellStyle name="60% - Énfasis1 36 6" xfId="10009" xr:uid="{00000000-0005-0000-0000-0000E0260000}"/>
    <cellStyle name="60% - Énfasis1 36 7" xfId="10010" xr:uid="{00000000-0005-0000-0000-0000E1260000}"/>
    <cellStyle name="60% - Énfasis1 36 8" xfId="10011" xr:uid="{00000000-0005-0000-0000-0000E2260000}"/>
    <cellStyle name="60% - Énfasis1 36 9" xfId="10012" xr:uid="{00000000-0005-0000-0000-0000E3260000}"/>
    <cellStyle name="60% - Énfasis1 37 10" xfId="10013" xr:uid="{00000000-0005-0000-0000-0000E4260000}"/>
    <cellStyle name="60% - Énfasis1 37 11" xfId="10014" xr:uid="{00000000-0005-0000-0000-0000E5260000}"/>
    <cellStyle name="60% - Énfasis1 37 12" xfId="10015" xr:uid="{00000000-0005-0000-0000-0000E6260000}"/>
    <cellStyle name="60% - Énfasis1 37 13" xfId="10016" xr:uid="{00000000-0005-0000-0000-0000E7260000}"/>
    <cellStyle name="60% - Énfasis1 37 14" xfId="10017" xr:uid="{00000000-0005-0000-0000-0000E8260000}"/>
    <cellStyle name="60% - Énfasis1 37 15" xfId="10018" xr:uid="{00000000-0005-0000-0000-0000E9260000}"/>
    <cellStyle name="60% - Énfasis1 37 16" xfId="10019" xr:uid="{00000000-0005-0000-0000-0000EA260000}"/>
    <cellStyle name="60% - Énfasis1 37 17" xfId="10020" xr:uid="{00000000-0005-0000-0000-0000EB260000}"/>
    <cellStyle name="60% - Énfasis1 37 18" xfId="10021" xr:uid="{00000000-0005-0000-0000-0000EC260000}"/>
    <cellStyle name="60% - Énfasis1 37 19" xfId="10022" xr:uid="{00000000-0005-0000-0000-0000ED260000}"/>
    <cellStyle name="60% - Énfasis1 37 2" xfId="10023" xr:uid="{00000000-0005-0000-0000-0000EE260000}"/>
    <cellStyle name="60% - Énfasis1 37 2 2" xfId="10024" xr:uid="{00000000-0005-0000-0000-0000EF260000}"/>
    <cellStyle name="60% - Énfasis1 37 3" xfId="10025" xr:uid="{00000000-0005-0000-0000-0000F0260000}"/>
    <cellStyle name="60% - Énfasis1 37 3 2" xfId="10026" xr:uid="{00000000-0005-0000-0000-0000F1260000}"/>
    <cellStyle name="60% - Énfasis1 37 4" xfId="10027" xr:uid="{00000000-0005-0000-0000-0000F2260000}"/>
    <cellStyle name="60% - Énfasis1 37 4 2" xfId="10028" xr:uid="{00000000-0005-0000-0000-0000F3260000}"/>
    <cellStyle name="60% - Énfasis1 37 5" xfId="10029" xr:uid="{00000000-0005-0000-0000-0000F4260000}"/>
    <cellStyle name="60% - Énfasis1 37 6" xfId="10030" xr:uid="{00000000-0005-0000-0000-0000F5260000}"/>
    <cellStyle name="60% - Énfasis1 37 7" xfId="10031" xr:uid="{00000000-0005-0000-0000-0000F6260000}"/>
    <cellStyle name="60% - Énfasis1 37 8" xfId="10032" xr:uid="{00000000-0005-0000-0000-0000F7260000}"/>
    <cellStyle name="60% - Énfasis1 37 9" xfId="10033" xr:uid="{00000000-0005-0000-0000-0000F8260000}"/>
    <cellStyle name="60% - Énfasis1 38 10" xfId="10034" xr:uid="{00000000-0005-0000-0000-0000F9260000}"/>
    <cellStyle name="60% - Énfasis1 38 11" xfId="10035" xr:uid="{00000000-0005-0000-0000-0000FA260000}"/>
    <cellStyle name="60% - Énfasis1 38 12" xfId="10036" xr:uid="{00000000-0005-0000-0000-0000FB260000}"/>
    <cellStyle name="60% - Énfasis1 38 13" xfId="10037" xr:uid="{00000000-0005-0000-0000-0000FC260000}"/>
    <cellStyle name="60% - Énfasis1 38 14" xfId="10038" xr:uid="{00000000-0005-0000-0000-0000FD260000}"/>
    <cellStyle name="60% - Énfasis1 38 15" xfId="10039" xr:uid="{00000000-0005-0000-0000-0000FE260000}"/>
    <cellStyle name="60% - Énfasis1 38 16" xfId="10040" xr:uid="{00000000-0005-0000-0000-0000FF260000}"/>
    <cellStyle name="60% - Énfasis1 38 17" xfId="10041" xr:uid="{00000000-0005-0000-0000-000000270000}"/>
    <cellStyle name="60% - Énfasis1 38 18" xfId="10042" xr:uid="{00000000-0005-0000-0000-000001270000}"/>
    <cellStyle name="60% - Énfasis1 38 19" xfId="10043" xr:uid="{00000000-0005-0000-0000-000002270000}"/>
    <cellStyle name="60% - Énfasis1 38 2" xfId="10044" xr:uid="{00000000-0005-0000-0000-000003270000}"/>
    <cellStyle name="60% - Énfasis1 38 2 2" xfId="10045" xr:uid="{00000000-0005-0000-0000-000004270000}"/>
    <cellStyle name="60% - Énfasis1 38 3" xfId="10046" xr:uid="{00000000-0005-0000-0000-000005270000}"/>
    <cellStyle name="60% - Énfasis1 38 3 2" xfId="10047" xr:uid="{00000000-0005-0000-0000-000006270000}"/>
    <cellStyle name="60% - Énfasis1 38 4" xfId="10048" xr:uid="{00000000-0005-0000-0000-000007270000}"/>
    <cellStyle name="60% - Énfasis1 38 4 2" xfId="10049" xr:uid="{00000000-0005-0000-0000-000008270000}"/>
    <cellStyle name="60% - Énfasis1 38 5" xfId="10050" xr:uid="{00000000-0005-0000-0000-000009270000}"/>
    <cellStyle name="60% - Énfasis1 38 6" xfId="10051" xr:uid="{00000000-0005-0000-0000-00000A270000}"/>
    <cellStyle name="60% - Énfasis1 38 7" xfId="10052" xr:uid="{00000000-0005-0000-0000-00000B270000}"/>
    <cellStyle name="60% - Énfasis1 38 8" xfId="10053" xr:uid="{00000000-0005-0000-0000-00000C270000}"/>
    <cellStyle name="60% - Énfasis1 38 9" xfId="10054" xr:uid="{00000000-0005-0000-0000-00000D270000}"/>
    <cellStyle name="60% - Énfasis1 39" xfId="10055" xr:uid="{00000000-0005-0000-0000-00000E270000}"/>
    <cellStyle name="60% - Énfasis1 39 10" xfId="10056" xr:uid="{00000000-0005-0000-0000-00000F270000}"/>
    <cellStyle name="60% - Énfasis1 39 11" xfId="10057" xr:uid="{00000000-0005-0000-0000-000010270000}"/>
    <cellStyle name="60% - Énfasis1 39 12" xfId="10058" xr:uid="{00000000-0005-0000-0000-000011270000}"/>
    <cellStyle name="60% - Énfasis1 39 13" xfId="10059" xr:uid="{00000000-0005-0000-0000-000012270000}"/>
    <cellStyle name="60% - Énfasis1 39 14" xfId="10060" xr:uid="{00000000-0005-0000-0000-000013270000}"/>
    <cellStyle name="60% - Énfasis1 39 15" xfId="10061" xr:uid="{00000000-0005-0000-0000-000014270000}"/>
    <cellStyle name="60% - Énfasis1 39 16" xfId="10062" xr:uid="{00000000-0005-0000-0000-000015270000}"/>
    <cellStyle name="60% - Énfasis1 39 2" xfId="10063" xr:uid="{00000000-0005-0000-0000-000016270000}"/>
    <cellStyle name="60% - Énfasis1 39 3" xfId="10064" xr:uid="{00000000-0005-0000-0000-000017270000}"/>
    <cellStyle name="60% - Énfasis1 39 4" xfId="10065" xr:uid="{00000000-0005-0000-0000-000018270000}"/>
    <cellStyle name="60% - Énfasis1 39 5" xfId="10066" xr:uid="{00000000-0005-0000-0000-000019270000}"/>
    <cellStyle name="60% - Énfasis1 39 6" xfId="10067" xr:uid="{00000000-0005-0000-0000-00001A270000}"/>
    <cellStyle name="60% - Énfasis1 39 7" xfId="10068" xr:uid="{00000000-0005-0000-0000-00001B270000}"/>
    <cellStyle name="60% - Énfasis1 39 8" xfId="10069" xr:uid="{00000000-0005-0000-0000-00001C270000}"/>
    <cellStyle name="60% - Énfasis1 39 9" xfId="10070" xr:uid="{00000000-0005-0000-0000-00001D270000}"/>
    <cellStyle name="60% - Énfasis1 4 10" xfId="10071" xr:uid="{00000000-0005-0000-0000-00001E270000}"/>
    <cellStyle name="60% - Énfasis1 4 11" xfId="10072" xr:uid="{00000000-0005-0000-0000-00001F270000}"/>
    <cellStyle name="60% - Énfasis1 4 12" xfId="10073" xr:uid="{00000000-0005-0000-0000-000020270000}"/>
    <cellStyle name="60% - Énfasis1 4 13" xfId="10074" xr:uid="{00000000-0005-0000-0000-000021270000}"/>
    <cellStyle name="60% - Énfasis1 4 14" xfId="10075" xr:uid="{00000000-0005-0000-0000-000022270000}"/>
    <cellStyle name="60% - Énfasis1 4 15" xfId="10076" xr:uid="{00000000-0005-0000-0000-000023270000}"/>
    <cellStyle name="60% - Énfasis1 4 16" xfId="10077" xr:uid="{00000000-0005-0000-0000-000024270000}"/>
    <cellStyle name="60% - Énfasis1 4 17" xfId="10078" xr:uid="{00000000-0005-0000-0000-000025270000}"/>
    <cellStyle name="60% - Énfasis1 4 18" xfId="10079" xr:uid="{00000000-0005-0000-0000-000026270000}"/>
    <cellStyle name="60% - Énfasis1 4 19" xfId="10080" xr:uid="{00000000-0005-0000-0000-000027270000}"/>
    <cellStyle name="60% - Énfasis1 4 2" xfId="10081" xr:uid="{00000000-0005-0000-0000-000028270000}"/>
    <cellStyle name="60% - Énfasis1 4 2 2" xfId="10082" xr:uid="{00000000-0005-0000-0000-000029270000}"/>
    <cellStyle name="60% - Énfasis1 4 3" xfId="10083" xr:uid="{00000000-0005-0000-0000-00002A270000}"/>
    <cellStyle name="60% - Énfasis1 4 3 2" xfId="10084" xr:uid="{00000000-0005-0000-0000-00002B270000}"/>
    <cellStyle name="60% - Énfasis1 4 4" xfId="10085" xr:uid="{00000000-0005-0000-0000-00002C270000}"/>
    <cellStyle name="60% - Énfasis1 4 4 2" xfId="10086" xr:uid="{00000000-0005-0000-0000-00002D270000}"/>
    <cellStyle name="60% - Énfasis1 4 5" xfId="10087" xr:uid="{00000000-0005-0000-0000-00002E270000}"/>
    <cellStyle name="60% - Énfasis1 4 6" xfId="10088" xr:uid="{00000000-0005-0000-0000-00002F270000}"/>
    <cellStyle name="60% - Énfasis1 4 7" xfId="10089" xr:uid="{00000000-0005-0000-0000-000030270000}"/>
    <cellStyle name="60% - Énfasis1 4 8" xfId="10090" xr:uid="{00000000-0005-0000-0000-000031270000}"/>
    <cellStyle name="60% - Énfasis1 4 9" xfId="10091" xr:uid="{00000000-0005-0000-0000-000032270000}"/>
    <cellStyle name="60% - Énfasis1 40" xfId="10092" xr:uid="{00000000-0005-0000-0000-000033270000}"/>
    <cellStyle name="60% - Énfasis1 40 10" xfId="10093" xr:uid="{00000000-0005-0000-0000-000034270000}"/>
    <cellStyle name="60% - Énfasis1 40 11" xfId="10094" xr:uid="{00000000-0005-0000-0000-000035270000}"/>
    <cellStyle name="60% - Énfasis1 40 12" xfId="10095" xr:uid="{00000000-0005-0000-0000-000036270000}"/>
    <cellStyle name="60% - Énfasis1 40 13" xfId="10096" xr:uid="{00000000-0005-0000-0000-000037270000}"/>
    <cellStyle name="60% - Énfasis1 40 14" xfId="10097" xr:uid="{00000000-0005-0000-0000-000038270000}"/>
    <cellStyle name="60% - Énfasis1 40 15" xfId="10098" xr:uid="{00000000-0005-0000-0000-000039270000}"/>
    <cellStyle name="60% - Énfasis1 40 16" xfId="10099" xr:uid="{00000000-0005-0000-0000-00003A270000}"/>
    <cellStyle name="60% - Énfasis1 40 2" xfId="10100" xr:uid="{00000000-0005-0000-0000-00003B270000}"/>
    <cellStyle name="60% - Énfasis1 40 3" xfId="10101" xr:uid="{00000000-0005-0000-0000-00003C270000}"/>
    <cellStyle name="60% - Énfasis1 40 4" xfId="10102" xr:uid="{00000000-0005-0000-0000-00003D270000}"/>
    <cellStyle name="60% - Énfasis1 40 5" xfId="10103" xr:uid="{00000000-0005-0000-0000-00003E270000}"/>
    <cellStyle name="60% - Énfasis1 40 6" xfId="10104" xr:uid="{00000000-0005-0000-0000-00003F270000}"/>
    <cellStyle name="60% - Énfasis1 40 7" xfId="10105" xr:uid="{00000000-0005-0000-0000-000040270000}"/>
    <cellStyle name="60% - Énfasis1 40 8" xfId="10106" xr:uid="{00000000-0005-0000-0000-000041270000}"/>
    <cellStyle name="60% - Énfasis1 40 9" xfId="10107" xr:uid="{00000000-0005-0000-0000-000042270000}"/>
    <cellStyle name="60% - Énfasis1 41" xfId="10108" xr:uid="{00000000-0005-0000-0000-000043270000}"/>
    <cellStyle name="60% - Énfasis1 41 10" xfId="10109" xr:uid="{00000000-0005-0000-0000-000044270000}"/>
    <cellStyle name="60% - Énfasis1 41 11" xfId="10110" xr:uid="{00000000-0005-0000-0000-000045270000}"/>
    <cellStyle name="60% - Énfasis1 41 12" xfId="10111" xr:uid="{00000000-0005-0000-0000-000046270000}"/>
    <cellStyle name="60% - Énfasis1 41 13" xfId="10112" xr:uid="{00000000-0005-0000-0000-000047270000}"/>
    <cellStyle name="60% - Énfasis1 41 14" xfId="10113" xr:uid="{00000000-0005-0000-0000-000048270000}"/>
    <cellStyle name="60% - Énfasis1 41 15" xfId="10114" xr:uid="{00000000-0005-0000-0000-000049270000}"/>
    <cellStyle name="60% - Énfasis1 41 16" xfId="10115" xr:uid="{00000000-0005-0000-0000-00004A270000}"/>
    <cellStyle name="60% - Énfasis1 41 2" xfId="10116" xr:uid="{00000000-0005-0000-0000-00004B270000}"/>
    <cellStyle name="60% - Énfasis1 41 3" xfId="10117" xr:uid="{00000000-0005-0000-0000-00004C270000}"/>
    <cellStyle name="60% - Énfasis1 41 4" xfId="10118" xr:uid="{00000000-0005-0000-0000-00004D270000}"/>
    <cellStyle name="60% - Énfasis1 41 5" xfId="10119" xr:uid="{00000000-0005-0000-0000-00004E270000}"/>
    <cellStyle name="60% - Énfasis1 41 6" xfId="10120" xr:uid="{00000000-0005-0000-0000-00004F270000}"/>
    <cellStyle name="60% - Énfasis1 41 7" xfId="10121" xr:uid="{00000000-0005-0000-0000-000050270000}"/>
    <cellStyle name="60% - Énfasis1 41 8" xfId="10122" xr:uid="{00000000-0005-0000-0000-000051270000}"/>
    <cellStyle name="60% - Énfasis1 41 9" xfId="10123" xr:uid="{00000000-0005-0000-0000-000052270000}"/>
    <cellStyle name="60% - Énfasis1 42" xfId="10124" xr:uid="{00000000-0005-0000-0000-000053270000}"/>
    <cellStyle name="60% - Énfasis1 43" xfId="10125" xr:uid="{00000000-0005-0000-0000-000054270000}"/>
    <cellStyle name="60% - Énfasis1 44" xfId="10126" xr:uid="{00000000-0005-0000-0000-000055270000}"/>
    <cellStyle name="60% - Énfasis1 45" xfId="10127" xr:uid="{00000000-0005-0000-0000-000056270000}"/>
    <cellStyle name="60% - Énfasis1 46" xfId="10128" xr:uid="{00000000-0005-0000-0000-000057270000}"/>
    <cellStyle name="60% - Énfasis1 47" xfId="10129" xr:uid="{00000000-0005-0000-0000-000058270000}"/>
    <cellStyle name="60% - Énfasis1 48" xfId="10130" xr:uid="{00000000-0005-0000-0000-000059270000}"/>
    <cellStyle name="60% - Énfasis1 49" xfId="10131" xr:uid="{00000000-0005-0000-0000-00005A270000}"/>
    <cellStyle name="60% - Énfasis1 5 10" xfId="10132" xr:uid="{00000000-0005-0000-0000-00005B270000}"/>
    <cellStyle name="60% - Énfasis1 5 11" xfId="10133" xr:uid="{00000000-0005-0000-0000-00005C270000}"/>
    <cellStyle name="60% - Énfasis1 5 12" xfId="10134" xr:uid="{00000000-0005-0000-0000-00005D270000}"/>
    <cellStyle name="60% - Énfasis1 5 13" xfId="10135" xr:uid="{00000000-0005-0000-0000-00005E270000}"/>
    <cellStyle name="60% - Énfasis1 5 14" xfId="10136" xr:uid="{00000000-0005-0000-0000-00005F270000}"/>
    <cellStyle name="60% - Énfasis1 5 15" xfId="10137" xr:uid="{00000000-0005-0000-0000-000060270000}"/>
    <cellStyle name="60% - Énfasis1 5 16" xfId="10138" xr:uid="{00000000-0005-0000-0000-000061270000}"/>
    <cellStyle name="60% - Énfasis1 5 17" xfId="10139" xr:uid="{00000000-0005-0000-0000-000062270000}"/>
    <cellStyle name="60% - Énfasis1 5 18" xfId="10140" xr:uid="{00000000-0005-0000-0000-000063270000}"/>
    <cellStyle name="60% - Énfasis1 5 19" xfId="10141" xr:uid="{00000000-0005-0000-0000-000064270000}"/>
    <cellStyle name="60% - Énfasis1 5 2" xfId="10142" xr:uid="{00000000-0005-0000-0000-000065270000}"/>
    <cellStyle name="60% - Énfasis1 5 2 2" xfId="10143" xr:uid="{00000000-0005-0000-0000-000066270000}"/>
    <cellStyle name="60% - Énfasis1 5 3" xfId="10144" xr:uid="{00000000-0005-0000-0000-000067270000}"/>
    <cellStyle name="60% - Énfasis1 5 3 2" xfId="10145" xr:uid="{00000000-0005-0000-0000-000068270000}"/>
    <cellStyle name="60% - Énfasis1 5 4" xfId="10146" xr:uid="{00000000-0005-0000-0000-000069270000}"/>
    <cellStyle name="60% - Énfasis1 5 4 2" xfId="10147" xr:uid="{00000000-0005-0000-0000-00006A270000}"/>
    <cellStyle name="60% - Énfasis1 5 5" xfId="10148" xr:uid="{00000000-0005-0000-0000-00006B270000}"/>
    <cellStyle name="60% - Énfasis1 5 6" xfId="10149" xr:uid="{00000000-0005-0000-0000-00006C270000}"/>
    <cellStyle name="60% - Énfasis1 5 7" xfId="10150" xr:uid="{00000000-0005-0000-0000-00006D270000}"/>
    <cellStyle name="60% - Énfasis1 5 8" xfId="10151" xr:uid="{00000000-0005-0000-0000-00006E270000}"/>
    <cellStyle name="60% - Énfasis1 5 9" xfId="10152" xr:uid="{00000000-0005-0000-0000-00006F270000}"/>
    <cellStyle name="60% - Énfasis1 50" xfId="10153" xr:uid="{00000000-0005-0000-0000-000070270000}"/>
    <cellStyle name="60% - Énfasis1 51" xfId="10154" xr:uid="{00000000-0005-0000-0000-000071270000}"/>
    <cellStyle name="60% - Énfasis1 52" xfId="10155" xr:uid="{00000000-0005-0000-0000-000072270000}"/>
    <cellStyle name="60% - Énfasis1 53" xfId="10156" xr:uid="{00000000-0005-0000-0000-000073270000}"/>
    <cellStyle name="60% - Énfasis1 54" xfId="10157" xr:uid="{00000000-0005-0000-0000-000074270000}"/>
    <cellStyle name="60% - Énfasis1 55" xfId="10158" xr:uid="{00000000-0005-0000-0000-000075270000}"/>
    <cellStyle name="60% - Énfasis1 56" xfId="10159" xr:uid="{00000000-0005-0000-0000-000076270000}"/>
    <cellStyle name="60% - Énfasis1 57" xfId="10160" xr:uid="{00000000-0005-0000-0000-000077270000}"/>
    <cellStyle name="60% - Énfasis1 58" xfId="10161" xr:uid="{00000000-0005-0000-0000-000078270000}"/>
    <cellStyle name="60% - Énfasis1 59" xfId="10162" xr:uid="{00000000-0005-0000-0000-000079270000}"/>
    <cellStyle name="60% - Énfasis1 6 10" xfId="10163" xr:uid="{00000000-0005-0000-0000-00007A270000}"/>
    <cellStyle name="60% - Énfasis1 6 11" xfId="10164" xr:uid="{00000000-0005-0000-0000-00007B270000}"/>
    <cellStyle name="60% - Énfasis1 6 12" xfId="10165" xr:uid="{00000000-0005-0000-0000-00007C270000}"/>
    <cellStyle name="60% - Énfasis1 6 13" xfId="10166" xr:uid="{00000000-0005-0000-0000-00007D270000}"/>
    <cellStyle name="60% - Énfasis1 6 14" xfId="10167" xr:uid="{00000000-0005-0000-0000-00007E270000}"/>
    <cellStyle name="60% - Énfasis1 6 15" xfId="10168" xr:uid="{00000000-0005-0000-0000-00007F270000}"/>
    <cellStyle name="60% - Énfasis1 6 16" xfId="10169" xr:uid="{00000000-0005-0000-0000-000080270000}"/>
    <cellStyle name="60% - Énfasis1 6 17" xfId="10170" xr:uid="{00000000-0005-0000-0000-000081270000}"/>
    <cellStyle name="60% - Énfasis1 6 18" xfId="10171" xr:uid="{00000000-0005-0000-0000-000082270000}"/>
    <cellStyle name="60% - Énfasis1 6 19" xfId="10172" xr:uid="{00000000-0005-0000-0000-000083270000}"/>
    <cellStyle name="60% - Énfasis1 6 2" xfId="10173" xr:uid="{00000000-0005-0000-0000-000084270000}"/>
    <cellStyle name="60% - Énfasis1 6 2 2" xfId="10174" xr:uid="{00000000-0005-0000-0000-000085270000}"/>
    <cellStyle name="60% - Énfasis1 6 3" xfId="10175" xr:uid="{00000000-0005-0000-0000-000086270000}"/>
    <cellStyle name="60% - Énfasis1 6 3 2" xfId="10176" xr:uid="{00000000-0005-0000-0000-000087270000}"/>
    <cellStyle name="60% - Énfasis1 6 4" xfId="10177" xr:uid="{00000000-0005-0000-0000-000088270000}"/>
    <cellStyle name="60% - Énfasis1 6 4 2" xfId="10178" xr:uid="{00000000-0005-0000-0000-000089270000}"/>
    <cellStyle name="60% - Énfasis1 6 5" xfId="10179" xr:uid="{00000000-0005-0000-0000-00008A270000}"/>
    <cellStyle name="60% - Énfasis1 6 6" xfId="10180" xr:uid="{00000000-0005-0000-0000-00008B270000}"/>
    <cellStyle name="60% - Énfasis1 6 7" xfId="10181" xr:uid="{00000000-0005-0000-0000-00008C270000}"/>
    <cellStyle name="60% - Énfasis1 6 8" xfId="10182" xr:uid="{00000000-0005-0000-0000-00008D270000}"/>
    <cellStyle name="60% - Énfasis1 6 9" xfId="10183" xr:uid="{00000000-0005-0000-0000-00008E270000}"/>
    <cellStyle name="60% - Énfasis1 60" xfId="10184" xr:uid="{00000000-0005-0000-0000-00008F270000}"/>
    <cellStyle name="60% - Énfasis1 61" xfId="10185" xr:uid="{00000000-0005-0000-0000-000090270000}"/>
    <cellStyle name="60% - Énfasis1 62" xfId="10186" xr:uid="{00000000-0005-0000-0000-000091270000}"/>
    <cellStyle name="60% - Énfasis1 63" xfId="10187" xr:uid="{00000000-0005-0000-0000-000092270000}"/>
    <cellStyle name="60% - Énfasis1 64" xfId="10188" xr:uid="{00000000-0005-0000-0000-000093270000}"/>
    <cellStyle name="60% - Énfasis1 7 10" xfId="10189" xr:uid="{00000000-0005-0000-0000-000094270000}"/>
    <cellStyle name="60% - Énfasis1 7 11" xfId="10190" xr:uid="{00000000-0005-0000-0000-000095270000}"/>
    <cellStyle name="60% - Énfasis1 7 12" xfId="10191" xr:uid="{00000000-0005-0000-0000-000096270000}"/>
    <cellStyle name="60% - Énfasis1 7 13" xfId="10192" xr:uid="{00000000-0005-0000-0000-000097270000}"/>
    <cellStyle name="60% - Énfasis1 7 14" xfId="10193" xr:uid="{00000000-0005-0000-0000-000098270000}"/>
    <cellStyle name="60% - Énfasis1 7 15" xfId="10194" xr:uid="{00000000-0005-0000-0000-000099270000}"/>
    <cellStyle name="60% - Énfasis1 7 16" xfId="10195" xr:uid="{00000000-0005-0000-0000-00009A270000}"/>
    <cellStyle name="60% - Énfasis1 7 17" xfId="10196" xr:uid="{00000000-0005-0000-0000-00009B270000}"/>
    <cellStyle name="60% - Énfasis1 7 18" xfId="10197" xr:uid="{00000000-0005-0000-0000-00009C270000}"/>
    <cellStyle name="60% - Énfasis1 7 19" xfId="10198" xr:uid="{00000000-0005-0000-0000-00009D270000}"/>
    <cellStyle name="60% - Énfasis1 7 2" xfId="10199" xr:uid="{00000000-0005-0000-0000-00009E270000}"/>
    <cellStyle name="60% - Énfasis1 7 2 2" xfId="10200" xr:uid="{00000000-0005-0000-0000-00009F270000}"/>
    <cellStyle name="60% - Énfasis1 7 3" xfId="10201" xr:uid="{00000000-0005-0000-0000-0000A0270000}"/>
    <cellStyle name="60% - Énfasis1 7 3 2" xfId="10202" xr:uid="{00000000-0005-0000-0000-0000A1270000}"/>
    <cellStyle name="60% - Énfasis1 7 4" xfId="10203" xr:uid="{00000000-0005-0000-0000-0000A2270000}"/>
    <cellStyle name="60% - Énfasis1 7 4 2" xfId="10204" xr:uid="{00000000-0005-0000-0000-0000A3270000}"/>
    <cellStyle name="60% - Énfasis1 7 5" xfId="10205" xr:uid="{00000000-0005-0000-0000-0000A4270000}"/>
    <cellStyle name="60% - Énfasis1 7 6" xfId="10206" xr:uid="{00000000-0005-0000-0000-0000A5270000}"/>
    <cellStyle name="60% - Énfasis1 7 7" xfId="10207" xr:uid="{00000000-0005-0000-0000-0000A6270000}"/>
    <cellStyle name="60% - Énfasis1 7 8" xfId="10208" xr:uid="{00000000-0005-0000-0000-0000A7270000}"/>
    <cellStyle name="60% - Énfasis1 7 9" xfId="10209" xr:uid="{00000000-0005-0000-0000-0000A8270000}"/>
    <cellStyle name="60% - Énfasis1 8 10" xfId="10210" xr:uid="{00000000-0005-0000-0000-0000A9270000}"/>
    <cellStyle name="60% - Énfasis1 8 11" xfId="10211" xr:uid="{00000000-0005-0000-0000-0000AA270000}"/>
    <cellStyle name="60% - Énfasis1 8 12" xfId="10212" xr:uid="{00000000-0005-0000-0000-0000AB270000}"/>
    <cellStyle name="60% - Énfasis1 8 13" xfId="10213" xr:uid="{00000000-0005-0000-0000-0000AC270000}"/>
    <cellStyle name="60% - Énfasis1 8 14" xfId="10214" xr:uid="{00000000-0005-0000-0000-0000AD270000}"/>
    <cellStyle name="60% - Énfasis1 8 15" xfId="10215" xr:uid="{00000000-0005-0000-0000-0000AE270000}"/>
    <cellStyle name="60% - Énfasis1 8 16" xfId="10216" xr:uid="{00000000-0005-0000-0000-0000AF270000}"/>
    <cellStyle name="60% - Énfasis1 8 17" xfId="10217" xr:uid="{00000000-0005-0000-0000-0000B0270000}"/>
    <cellStyle name="60% - Énfasis1 8 18" xfId="10218" xr:uid="{00000000-0005-0000-0000-0000B1270000}"/>
    <cellStyle name="60% - Énfasis1 8 19" xfId="10219" xr:uid="{00000000-0005-0000-0000-0000B2270000}"/>
    <cellStyle name="60% - Énfasis1 8 2" xfId="10220" xr:uid="{00000000-0005-0000-0000-0000B3270000}"/>
    <cellStyle name="60% - Énfasis1 8 2 2" xfId="10221" xr:uid="{00000000-0005-0000-0000-0000B4270000}"/>
    <cellStyle name="60% - Énfasis1 8 3" xfId="10222" xr:uid="{00000000-0005-0000-0000-0000B5270000}"/>
    <cellStyle name="60% - Énfasis1 8 3 2" xfId="10223" xr:uid="{00000000-0005-0000-0000-0000B6270000}"/>
    <cellStyle name="60% - Énfasis1 8 4" xfId="10224" xr:uid="{00000000-0005-0000-0000-0000B7270000}"/>
    <cellStyle name="60% - Énfasis1 8 4 2" xfId="10225" xr:uid="{00000000-0005-0000-0000-0000B8270000}"/>
    <cellStyle name="60% - Énfasis1 8 5" xfId="10226" xr:uid="{00000000-0005-0000-0000-0000B9270000}"/>
    <cellStyle name="60% - Énfasis1 8 6" xfId="10227" xr:uid="{00000000-0005-0000-0000-0000BA270000}"/>
    <cellStyle name="60% - Énfasis1 8 7" xfId="10228" xr:uid="{00000000-0005-0000-0000-0000BB270000}"/>
    <cellStyle name="60% - Énfasis1 8 8" xfId="10229" xr:uid="{00000000-0005-0000-0000-0000BC270000}"/>
    <cellStyle name="60% - Énfasis1 8 9" xfId="10230" xr:uid="{00000000-0005-0000-0000-0000BD270000}"/>
    <cellStyle name="60% - Énfasis1 9 10" xfId="10231" xr:uid="{00000000-0005-0000-0000-0000BE270000}"/>
    <cellStyle name="60% - Énfasis1 9 11" xfId="10232" xr:uid="{00000000-0005-0000-0000-0000BF270000}"/>
    <cellStyle name="60% - Énfasis1 9 12" xfId="10233" xr:uid="{00000000-0005-0000-0000-0000C0270000}"/>
    <cellStyle name="60% - Énfasis1 9 13" xfId="10234" xr:uid="{00000000-0005-0000-0000-0000C1270000}"/>
    <cellStyle name="60% - Énfasis1 9 14" xfId="10235" xr:uid="{00000000-0005-0000-0000-0000C2270000}"/>
    <cellStyle name="60% - Énfasis1 9 15" xfId="10236" xr:uid="{00000000-0005-0000-0000-0000C3270000}"/>
    <cellStyle name="60% - Énfasis1 9 16" xfId="10237" xr:uid="{00000000-0005-0000-0000-0000C4270000}"/>
    <cellStyle name="60% - Énfasis1 9 17" xfId="10238" xr:uid="{00000000-0005-0000-0000-0000C5270000}"/>
    <cellStyle name="60% - Énfasis1 9 18" xfId="10239" xr:uid="{00000000-0005-0000-0000-0000C6270000}"/>
    <cellStyle name="60% - Énfasis1 9 19" xfId="10240" xr:uid="{00000000-0005-0000-0000-0000C7270000}"/>
    <cellStyle name="60% - Énfasis1 9 2" xfId="10241" xr:uid="{00000000-0005-0000-0000-0000C8270000}"/>
    <cellStyle name="60% - Énfasis1 9 2 2" xfId="10242" xr:uid="{00000000-0005-0000-0000-0000C9270000}"/>
    <cellStyle name="60% - Énfasis1 9 3" xfId="10243" xr:uid="{00000000-0005-0000-0000-0000CA270000}"/>
    <cellStyle name="60% - Énfasis1 9 3 2" xfId="10244" xr:uid="{00000000-0005-0000-0000-0000CB270000}"/>
    <cellStyle name="60% - Énfasis1 9 4" xfId="10245" xr:uid="{00000000-0005-0000-0000-0000CC270000}"/>
    <cellStyle name="60% - Énfasis1 9 4 2" xfId="10246" xr:uid="{00000000-0005-0000-0000-0000CD270000}"/>
    <cellStyle name="60% - Énfasis1 9 5" xfId="10247" xr:uid="{00000000-0005-0000-0000-0000CE270000}"/>
    <cellStyle name="60% - Énfasis1 9 6" xfId="10248" xr:uid="{00000000-0005-0000-0000-0000CF270000}"/>
    <cellStyle name="60% - Énfasis1 9 7" xfId="10249" xr:uid="{00000000-0005-0000-0000-0000D0270000}"/>
    <cellStyle name="60% - Énfasis1 9 8" xfId="10250" xr:uid="{00000000-0005-0000-0000-0000D1270000}"/>
    <cellStyle name="60% - Énfasis1 9 9" xfId="10251" xr:uid="{00000000-0005-0000-0000-0000D2270000}"/>
    <cellStyle name="60% - Énfasis2" xfId="32535" builtinId="36" customBuiltin="1"/>
    <cellStyle name="60% - Énfasis2 10 10" xfId="10252" xr:uid="{00000000-0005-0000-0000-0000D4270000}"/>
    <cellStyle name="60% - Énfasis2 10 11" xfId="10253" xr:uid="{00000000-0005-0000-0000-0000D5270000}"/>
    <cellStyle name="60% - Énfasis2 10 12" xfId="10254" xr:uid="{00000000-0005-0000-0000-0000D6270000}"/>
    <cellStyle name="60% - Énfasis2 10 13" xfId="10255" xr:uid="{00000000-0005-0000-0000-0000D7270000}"/>
    <cellStyle name="60% - Énfasis2 10 14" xfId="10256" xr:uid="{00000000-0005-0000-0000-0000D8270000}"/>
    <cellStyle name="60% - Énfasis2 10 15" xfId="10257" xr:uid="{00000000-0005-0000-0000-0000D9270000}"/>
    <cellStyle name="60% - Énfasis2 10 16" xfId="10258" xr:uid="{00000000-0005-0000-0000-0000DA270000}"/>
    <cellStyle name="60% - Énfasis2 10 17" xfId="10259" xr:uid="{00000000-0005-0000-0000-0000DB270000}"/>
    <cellStyle name="60% - Énfasis2 10 18" xfId="10260" xr:uid="{00000000-0005-0000-0000-0000DC270000}"/>
    <cellStyle name="60% - Énfasis2 10 19" xfId="10261" xr:uid="{00000000-0005-0000-0000-0000DD270000}"/>
    <cellStyle name="60% - Énfasis2 10 2" xfId="10262" xr:uid="{00000000-0005-0000-0000-0000DE270000}"/>
    <cellStyle name="60% - Énfasis2 10 2 2" xfId="10263" xr:uid="{00000000-0005-0000-0000-0000DF270000}"/>
    <cellStyle name="60% - Énfasis2 10 3" xfId="10264" xr:uid="{00000000-0005-0000-0000-0000E0270000}"/>
    <cellStyle name="60% - Énfasis2 10 3 2" xfId="10265" xr:uid="{00000000-0005-0000-0000-0000E1270000}"/>
    <cellStyle name="60% - Énfasis2 10 4" xfId="10266" xr:uid="{00000000-0005-0000-0000-0000E2270000}"/>
    <cellStyle name="60% - Énfasis2 10 4 2" xfId="10267" xr:uid="{00000000-0005-0000-0000-0000E3270000}"/>
    <cellStyle name="60% - Énfasis2 10 5" xfId="10268" xr:uid="{00000000-0005-0000-0000-0000E4270000}"/>
    <cellStyle name="60% - Énfasis2 10 6" xfId="10269" xr:uid="{00000000-0005-0000-0000-0000E5270000}"/>
    <cellStyle name="60% - Énfasis2 10 7" xfId="10270" xr:uid="{00000000-0005-0000-0000-0000E6270000}"/>
    <cellStyle name="60% - Énfasis2 10 8" xfId="10271" xr:uid="{00000000-0005-0000-0000-0000E7270000}"/>
    <cellStyle name="60% - Énfasis2 10 9" xfId="10272" xr:uid="{00000000-0005-0000-0000-0000E8270000}"/>
    <cellStyle name="60% - Énfasis2 11 10" xfId="10273" xr:uid="{00000000-0005-0000-0000-0000E9270000}"/>
    <cellStyle name="60% - Énfasis2 11 11" xfId="10274" xr:uid="{00000000-0005-0000-0000-0000EA270000}"/>
    <cellStyle name="60% - Énfasis2 11 12" xfId="10275" xr:uid="{00000000-0005-0000-0000-0000EB270000}"/>
    <cellStyle name="60% - Énfasis2 11 13" xfId="10276" xr:uid="{00000000-0005-0000-0000-0000EC270000}"/>
    <cellStyle name="60% - Énfasis2 11 14" xfId="10277" xr:uid="{00000000-0005-0000-0000-0000ED270000}"/>
    <cellStyle name="60% - Énfasis2 11 15" xfId="10278" xr:uid="{00000000-0005-0000-0000-0000EE270000}"/>
    <cellStyle name="60% - Énfasis2 11 16" xfId="10279" xr:uid="{00000000-0005-0000-0000-0000EF270000}"/>
    <cellStyle name="60% - Énfasis2 11 17" xfId="10280" xr:uid="{00000000-0005-0000-0000-0000F0270000}"/>
    <cellStyle name="60% - Énfasis2 11 18" xfId="10281" xr:uid="{00000000-0005-0000-0000-0000F1270000}"/>
    <cellStyle name="60% - Énfasis2 11 19" xfId="10282" xr:uid="{00000000-0005-0000-0000-0000F2270000}"/>
    <cellStyle name="60% - Énfasis2 11 2" xfId="10283" xr:uid="{00000000-0005-0000-0000-0000F3270000}"/>
    <cellStyle name="60% - Énfasis2 11 2 2" xfId="10284" xr:uid="{00000000-0005-0000-0000-0000F4270000}"/>
    <cellStyle name="60% - Énfasis2 11 3" xfId="10285" xr:uid="{00000000-0005-0000-0000-0000F5270000}"/>
    <cellStyle name="60% - Énfasis2 11 3 2" xfId="10286" xr:uid="{00000000-0005-0000-0000-0000F6270000}"/>
    <cellStyle name="60% - Énfasis2 11 4" xfId="10287" xr:uid="{00000000-0005-0000-0000-0000F7270000}"/>
    <cellStyle name="60% - Énfasis2 11 4 2" xfId="10288" xr:uid="{00000000-0005-0000-0000-0000F8270000}"/>
    <cellStyle name="60% - Énfasis2 11 5" xfId="10289" xr:uid="{00000000-0005-0000-0000-0000F9270000}"/>
    <cellStyle name="60% - Énfasis2 11 6" xfId="10290" xr:uid="{00000000-0005-0000-0000-0000FA270000}"/>
    <cellStyle name="60% - Énfasis2 11 7" xfId="10291" xr:uid="{00000000-0005-0000-0000-0000FB270000}"/>
    <cellStyle name="60% - Énfasis2 11 8" xfId="10292" xr:uid="{00000000-0005-0000-0000-0000FC270000}"/>
    <cellStyle name="60% - Énfasis2 11 9" xfId="10293" xr:uid="{00000000-0005-0000-0000-0000FD270000}"/>
    <cellStyle name="60% - Énfasis2 12 10" xfId="10294" xr:uid="{00000000-0005-0000-0000-0000FE270000}"/>
    <cellStyle name="60% - Énfasis2 12 11" xfId="10295" xr:uid="{00000000-0005-0000-0000-0000FF270000}"/>
    <cellStyle name="60% - Énfasis2 12 12" xfId="10296" xr:uid="{00000000-0005-0000-0000-000000280000}"/>
    <cellStyle name="60% - Énfasis2 12 13" xfId="10297" xr:uid="{00000000-0005-0000-0000-000001280000}"/>
    <cellStyle name="60% - Énfasis2 12 14" xfId="10298" xr:uid="{00000000-0005-0000-0000-000002280000}"/>
    <cellStyle name="60% - Énfasis2 12 15" xfId="10299" xr:uid="{00000000-0005-0000-0000-000003280000}"/>
    <cellStyle name="60% - Énfasis2 12 16" xfId="10300" xr:uid="{00000000-0005-0000-0000-000004280000}"/>
    <cellStyle name="60% - Énfasis2 12 17" xfId="10301" xr:uid="{00000000-0005-0000-0000-000005280000}"/>
    <cellStyle name="60% - Énfasis2 12 18" xfId="10302" xr:uid="{00000000-0005-0000-0000-000006280000}"/>
    <cellStyle name="60% - Énfasis2 12 19" xfId="10303" xr:uid="{00000000-0005-0000-0000-000007280000}"/>
    <cellStyle name="60% - Énfasis2 12 2" xfId="10304" xr:uid="{00000000-0005-0000-0000-000008280000}"/>
    <cellStyle name="60% - Énfasis2 12 2 2" xfId="10305" xr:uid="{00000000-0005-0000-0000-000009280000}"/>
    <cellStyle name="60% - Énfasis2 12 3" xfId="10306" xr:uid="{00000000-0005-0000-0000-00000A280000}"/>
    <cellStyle name="60% - Énfasis2 12 3 2" xfId="10307" xr:uid="{00000000-0005-0000-0000-00000B280000}"/>
    <cellStyle name="60% - Énfasis2 12 4" xfId="10308" xr:uid="{00000000-0005-0000-0000-00000C280000}"/>
    <cellStyle name="60% - Énfasis2 12 4 2" xfId="10309" xr:uid="{00000000-0005-0000-0000-00000D280000}"/>
    <cellStyle name="60% - Énfasis2 12 5" xfId="10310" xr:uid="{00000000-0005-0000-0000-00000E280000}"/>
    <cellStyle name="60% - Énfasis2 12 6" xfId="10311" xr:uid="{00000000-0005-0000-0000-00000F280000}"/>
    <cellStyle name="60% - Énfasis2 12 7" xfId="10312" xr:uid="{00000000-0005-0000-0000-000010280000}"/>
    <cellStyle name="60% - Énfasis2 12 8" xfId="10313" xr:uid="{00000000-0005-0000-0000-000011280000}"/>
    <cellStyle name="60% - Énfasis2 12 9" xfId="10314" xr:uid="{00000000-0005-0000-0000-000012280000}"/>
    <cellStyle name="60% - Énfasis2 13 10" xfId="10315" xr:uid="{00000000-0005-0000-0000-000013280000}"/>
    <cellStyle name="60% - Énfasis2 13 11" xfId="10316" xr:uid="{00000000-0005-0000-0000-000014280000}"/>
    <cellStyle name="60% - Énfasis2 13 12" xfId="10317" xr:uid="{00000000-0005-0000-0000-000015280000}"/>
    <cellStyle name="60% - Énfasis2 13 13" xfId="10318" xr:uid="{00000000-0005-0000-0000-000016280000}"/>
    <cellStyle name="60% - Énfasis2 13 14" xfId="10319" xr:uid="{00000000-0005-0000-0000-000017280000}"/>
    <cellStyle name="60% - Énfasis2 13 15" xfId="10320" xr:uid="{00000000-0005-0000-0000-000018280000}"/>
    <cellStyle name="60% - Énfasis2 13 16" xfId="10321" xr:uid="{00000000-0005-0000-0000-000019280000}"/>
    <cellStyle name="60% - Énfasis2 13 17" xfId="10322" xr:uid="{00000000-0005-0000-0000-00001A280000}"/>
    <cellStyle name="60% - Énfasis2 13 18" xfId="10323" xr:uid="{00000000-0005-0000-0000-00001B280000}"/>
    <cellStyle name="60% - Énfasis2 13 19" xfId="10324" xr:uid="{00000000-0005-0000-0000-00001C280000}"/>
    <cellStyle name="60% - Énfasis2 13 2" xfId="10325" xr:uid="{00000000-0005-0000-0000-00001D280000}"/>
    <cellStyle name="60% - Énfasis2 13 2 2" xfId="10326" xr:uid="{00000000-0005-0000-0000-00001E280000}"/>
    <cellStyle name="60% - Énfasis2 13 3" xfId="10327" xr:uid="{00000000-0005-0000-0000-00001F280000}"/>
    <cellStyle name="60% - Énfasis2 13 3 2" xfId="10328" xr:uid="{00000000-0005-0000-0000-000020280000}"/>
    <cellStyle name="60% - Énfasis2 13 4" xfId="10329" xr:uid="{00000000-0005-0000-0000-000021280000}"/>
    <cellStyle name="60% - Énfasis2 13 4 2" xfId="10330" xr:uid="{00000000-0005-0000-0000-000022280000}"/>
    <cellStyle name="60% - Énfasis2 13 5" xfId="10331" xr:uid="{00000000-0005-0000-0000-000023280000}"/>
    <cellStyle name="60% - Énfasis2 13 6" xfId="10332" xr:uid="{00000000-0005-0000-0000-000024280000}"/>
    <cellStyle name="60% - Énfasis2 13 7" xfId="10333" xr:uid="{00000000-0005-0000-0000-000025280000}"/>
    <cellStyle name="60% - Énfasis2 13 8" xfId="10334" xr:uid="{00000000-0005-0000-0000-000026280000}"/>
    <cellStyle name="60% - Énfasis2 13 9" xfId="10335" xr:uid="{00000000-0005-0000-0000-000027280000}"/>
    <cellStyle name="60% - Énfasis2 14 10" xfId="10336" xr:uid="{00000000-0005-0000-0000-000028280000}"/>
    <cellStyle name="60% - Énfasis2 14 11" xfId="10337" xr:uid="{00000000-0005-0000-0000-000029280000}"/>
    <cellStyle name="60% - Énfasis2 14 12" xfId="10338" xr:uid="{00000000-0005-0000-0000-00002A280000}"/>
    <cellStyle name="60% - Énfasis2 14 13" xfId="10339" xr:uid="{00000000-0005-0000-0000-00002B280000}"/>
    <cellStyle name="60% - Énfasis2 14 14" xfId="10340" xr:uid="{00000000-0005-0000-0000-00002C280000}"/>
    <cellStyle name="60% - Énfasis2 14 15" xfId="10341" xr:uid="{00000000-0005-0000-0000-00002D280000}"/>
    <cellStyle name="60% - Énfasis2 14 16" xfId="10342" xr:uid="{00000000-0005-0000-0000-00002E280000}"/>
    <cellStyle name="60% - Énfasis2 14 17" xfId="10343" xr:uid="{00000000-0005-0000-0000-00002F280000}"/>
    <cellStyle name="60% - Énfasis2 14 18" xfId="10344" xr:uid="{00000000-0005-0000-0000-000030280000}"/>
    <cellStyle name="60% - Énfasis2 14 19" xfId="10345" xr:uid="{00000000-0005-0000-0000-000031280000}"/>
    <cellStyle name="60% - Énfasis2 14 2" xfId="10346" xr:uid="{00000000-0005-0000-0000-000032280000}"/>
    <cellStyle name="60% - Énfasis2 14 2 2" xfId="10347" xr:uid="{00000000-0005-0000-0000-000033280000}"/>
    <cellStyle name="60% - Énfasis2 14 3" xfId="10348" xr:uid="{00000000-0005-0000-0000-000034280000}"/>
    <cellStyle name="60% - Énfasis2 14 3 2" xfId="10349" xr:uid="{00000000-0005-0000-0000-000035280000}"/>
    <cellStyle name="60% - Énfasis2 14 4" xfId="10350" xr:uid="{00000000-0005-0000-0000-000036280000}"/>
    <cellStyle name="60% - Énfasis2 14 4 2" xfId="10351" xr:uid="{00000000-0005-0000-0000-000037280000}"/>
    <cellStyle name="60% - Énfasis2 14 5" xfId="10352" xr:uid="{00000000-0005-0000-0000-000038280000}"/>
    <cellStyle name="60% - Énfasis2 14 6" xfId="10353" xr:uid="{00000000-0005-0000-0000-000039280000}"/>
    <cellStyle name="60% - Énfasis2 14 7" xfId="10354" xr:uid="{00000000-0005-0000-0000-00003A280000}"/>
    <cellStyle name="60% - Énfasis2 14 8" xfId="10355" xr:uid="{00000000-0005-0000-0000-00003B280000}"/>
    <cellStyle name="60% - Énfasis2 14 9" xfId="10356" xr:uid="{00000000-0005-0000-0000-00003C280000}"/>
    <cellStyle name="60% - Énfasis2 15 10" xfId="10357" xr:uid="{00000000-0005-0000-0000-00003D280000}"/>
    <cellStyle name="60% - Énfasis2 15 11" xfId="10358" xr:uid="{00000000-0005-0000-0000-00003E280000}"/>
    <cellStyle name="60% - Énfasis2 15 12" xfId="10359" xr:uid="{00000000-0005-0000-0000-00003F280000}"/>
    <cellStyle name="60% - Énfasis2 15 13" xfId="10360" xr:uid="{00000000-0005-0000-0000-000040280000}"/>
    <cellStyle name="60% - Énfasis2 15 14" xfId="10361" xr:uid="{00000000-0005-0000-0000-000041280000}"/>
    <cellStyle name="60% - Énfasis2 15 15" xfId="10362" xr:uid="{00000000-0005-0000-0000-000042280000}"/>
    <cellStyle name="60% - Énfasis2 15 16" xfId="10363" xr:uid="{00000000-0005-0000-0000-000043280000}"/>
    <cellStyle name="60% - Énfasis2 15 17" xfId="10364" xr:uid="{00000000-0005-0000-0000-000044280000}"/>
    <cellStyle name="60% - Énfasis2 15 18" xfId="10365" xr:uid="{00000000-0005-0000-0000-000045280000}"/>
    <cellStyle name="60% - Énfasis2 15 19" xfId="10366" xr:uid="{00000000-0005-0000-0000-000046280000}"/>
    <cellStyle name="60% - Énfasis2 15 2" xfId="10367" xr:uid="{00000000-0005-0000-0000-000047280000}"/>
    <cellStyle name="60% - Énfasis2 15 2 2" xfId="10368" xr:uid="{00000000-0005-0000-0000-000048280000}"/>
    <cellStyle name="60% - Énfasis2 15 3" xfId="10369" xr:uid="{00000000-0005-0000-0000-000049280000}"/>
    <cellStyle name="60% - Énfasis2 15 3 2" xfId="10370" xr:uid="{00000000-0005-0000-0000-00004A280000}"/>
    <cellStyle name="60% - Énfasis2 15 4" xfId="10371" xr:uid="{00000000-0005-0000-0000-00004B280000}"/>
    <cellStyle name="60% - Énfasis2 15 4 2" xfId="10372" xr:uid="{00000000-0005-0000-0000-00004C280000}"/>
    <cellStyle name="60% - Énfasis2 15 5" xfId="10373" xr:uid="{00000000-0005-0000-0000-00004D280000}"/>
    <cellStyle name="60% - Énfasis2 15 6" xfId="10374" xr:uid="{00000000-0005-0000-0000-00004E280000}"/>
    <cellStyle name="60% - Énfasis2 15 7" xfId="10375" xr:uid="{00000000-0005-0000-0000-00004F280000}"/>
    <cellStyle name="60% - Énfasis2 15 8" xfId="10376" xr:uid="{00000000-0005-0000-0000-000050280000}"/>
    <cellStyle name="60% - Énfasis2 15 9" xfId="10377" xr:uid="{00000000-0005-0000-0000-000051280000}"/>
    <cellStyle name="60% - Énfasis2 16 10" xfId="10378" xr:uid="{00000000-0005-0000-0000-000052280000}"/>
    <cellStyle name="60% - Énfasis2 16 11" xfId="10379" xr:uid="{00000000-0005-0000-0000-000053280000}"/>
    <cellStyle name="60% - Énfasis2 16 12" xfId="10380" xr:uid="{00000000-0005-0000-0000-000054280000}"/>
    <cellStyle name="60% - Énfasis2 16 13" xfId="10381" xr:uid="{00000000-0005-0000-0000-000055280000}"/>
    <cellStyle name="60% - Énfasis2 16 14" xfId="10382" xr:uid="{00000000-0005-0000-0000-000056280000}"/>
    <cellStyle name="60% - Énfasis2 16 15" xfId="10383" xr:uid="{00000000-0005-0000-0000-000057280000}"/>
    <cellStyle name="60% - Énfasis2 16 16" xfId="10384" xr:uid="{00000000-0005-0000-0000-000058280000}"/>
    <cellStyle name="60% - Énfasis2 16 17" xfId="10385" xr:uid="{00000000-0005-0000-0000-000059280000}"/>
    <cellStyle name="60% - Énfasis2 16 18" xfId="10386" xr:uid="{00000000-0005-0000-0000-00005A280000}"/>
    <cellStyle name="60% - Énfasis2 16 19" xfId="10387" xr:uid="{00000000-0005-0000-0000-00005B280000}"/>
    <cellStyle name="60% - Énfasis2 16 2" xfId="10388" xr:uid="{00000000-0005-0000-0000-00005C280000}"/>
    <cellStyle name="60% - Énfasis2 16 2 2" xfId="10389" xr:uid="{00000000-0005-0000-0000-00005D280000}"/>
    <cellStyle name="60% - Énfasis2 16 3" xfId="10390" xr:uid="{00000000-0005-0000-0000-00005E280000}"/>
    <cellStyle name="60% - Énfasis2 16 3 2" xfId="10391" xr:uid="{00000000-0005-0000-0000-00005F280000}"/>
    <cellStyle name="60% - Énfasis2 16 4" xfId="10392" xr:uid="{00000000-0005-0000-0000-000060280000}"/>
    <cellStyle name="60% - Énfasis2 16 4 2" xfId="10393" xr:uid="{00000000-0005-0000-0000-000061280000}"/>
    <cellStyle name="60% - Énfasis2 16 5" xfId="10394" xr:uid="{00000000-0005-0000-0000-000062280000}"/>
    <cellStyle name="60% - Énfasis2 16 6" xfId="10395" xr:uid="{00000000-0005-0000-0000-000063280000}"/>
    <cellStyle name="60% - Énfasis2 16 7" xfId="10396" xr:uid="{00000000-0005-0000-0000-000064280000}"/>
    <cellStyle name="60% - Énfasis2 16 8" xfId="10397" xr:uid="{00000000-0005-0000-0000-000065280000}"/>
    <cellStyle name="60% - Énfasis2 16 9" xfId="10398" xr:uid="{00000000-0005-0000-0000-000066280000}"/>
    <cellStyle name="60% - Énfasis2 17 10" xfId="10399" xr:uid="{00000000-0005-0000-0000-000067280000}"/>
    <cellStyle name="60% - Énfasis2 17 11" xfId="10400" xr:uid="{00000000-0005-0000-0000-000068280000}"/>
    <cellStyle name="60% - Énfasis2 17 12" xfId="10401" xr:uid="{00000000-0005-0000-0000-000069280000}"/>
    <cellStyle name="60% - Énfasis2 17 13" xfId="10402" xr:uid="{00000000-0005-0000-0000-00006A280000}"/>
    <cellStyle name="60% - Énfasis2 17 14" xfId="10403" xr:uid="{00000000-0005-0000-0000-00006B280000}"/>
    <cellStyle name="60% - Énfasis2 17 15" xfId="10404" xr:uid="{00000000-0005-0000-0000-00006C280000}"/>
    <cellStyle name="60% - Énfasis2 17 16" xfId="10405" xr:uid="{00000000-0005-0000-0000-00006D280000}"/>
    <cellStyle name="60% - Énfasis2 17 17" xfId="10406" xr:uid="{00000000-0005-0000-0000-00006E280000}"/>
    <cellStyle name="60% - Énfasis2 17 18" xfId="10407" xr:uid="{00000000-0005-0000-0000-00006F280000}"/>
    <cellStyle name="60% - Énfasis2 17 19" xfId="10408" xr:uid="{00000000-0005-0000-0000-000070280000}"/>
    <cellStyle name="60% - Énfasis2 17 2" xfId="10409" xr:uid="{00000000-0005-0000-0000-000071280000}"/>
    <cellStyle name="60% - Énfasis2 17 2 2" xfId="10410" xr:uid="{00000000-0005-0000-0000-000072280000}"/>
    <cellStyle name="60% - Énfasis2 17 3" xfId="10411" xr:uid="{00000000-0005-0000-0000-000073280000}"/>
    <cellStyle name="60% - Énfasis2 17 3 2" xfId="10412" xr:uid="{00000000-0005-0000-0000-000074280000}"/>
    <cellStyle name="60% - Énfasis2 17 4" xfId="10413" xr:uid="{00000000-0005-0000-0000-000075280000}"/>
    <cellStyle name="60% - Énfasis2 17 4 2" xfId="10414" xr:uid="{00000000-0005-0000-0000-000076280000}"/>
    <cellStyle name="60% - Énfasis2 17 5" xfId="10415" xr:uid="{00000000-0005-0000-0000-000077280000}"/>
    <cellStyle name="60% - Énfasis2 17 6" xfId="10416" xr:uid="{00000000-0005-0000-0000-000078280000}"/>
    <cellStyle name="60% - Énfasis2 17 7" xfId="10417" xr:uid="{00000000-0005-0000-0000-000079280000}"/>
    <cellStyle name="60% - Énfasis2 17 8" xfId="10418" xr:uid="{00000000-0005-0000-0000-00007A280000}"/>
    <cellStyle name="60% - Énfasis2 17 9" xfId="10419" xr:uid="{00000000-0005-0000-0000-00007B280000}"/>
    <cellStyle name="60% - Énfasis2 18 10" xfId="10420" xr:uid="{00000000-0005-0000-0000-00007C280000}"/>
    <cellStyle name="60% - Énfasis2 18 11" xfId="10421" xr:uid="{00000000-0005-0000-0000-00007D280000}"/>
    <cellStyle name="60% - Énfasis2 18 12" xfId="10422" xr:uid="{00000000-0005-0000-0000-00007E280000}"/>
    <cellStyle name="60% - Énfasis2 18 13" xfId="10423" xr:uid="{00000000-0005-0000-0000-00007F280000}"/>
    <cellStyle name="60% - Énfasis2 18 14" xfId="10424" xr:uid="{00000000-0005-0000-0000-000080280000}"/>
    <cellStyle name="60% - Énfasis2 18 15" xfId="10425" xr:uid="{00000000-0005-0000-0000-000081280000}"/>
    <cellStyle name="60% - Énfasis2 18 16" xfId="10426" xr:uid="{00000000-0005-0000-0000-000082280000}"/>
    <cellStyle name="60% - Énfasis2 18 17" xfId="10427" xr:uid="{00000000-0005-0000-0000-000083280000}"/>
    <cellStyle name="60% - Énfasis2 18 18" xfId="10428" xr:uid="{00000000-0005-0000-0000-000084280000}"/>
    <cellStyle name="60% - Énfasis2 18 19" xfId="10429" xr:uid="{00000000-0005-0000-0000-000085280000}"/>
    <cellStyle name="60% - Énfasis2 18 2" xfId="10430" xr:uid="{00000000-0005-0000-0000-000086280000}"/>
    <cellStyle name="60% - Énfasis2 18 2 2" xfId="10431" xr:uid="{00000000-0005-0000-0000-000087280000}"/>
    <cellStyle name="60% - Énfasis2 18 3" xfId="10432" xr:uid="{00000000-0005-0000-0000-000088280000}"/>
    <cellStyle name="60% - Énfasis2 18 3 2" xfId="10433" xr:uid="{00000000-0005-0000-0000-000089280000}"/>
    <cellStyle name="60% - Énfasis2 18 4" xfId="10434" xr:uid="{00000000-0005-0000-0000-00008A280000}"/>
    <cellStyle name="60% - Énfasis2 18 4 2" xfId="10435" xr:uid="{00000000-0005-0000-0000-00008B280000}"/>
    <cellStyle name="60% - Énfasis2 18 5" xfId="10436" xr:uid="{00000000-0005-0000-0000-00008C280000}"/>
    <cellStyle name="60% - Énfasis2 18 6" xfId="10437" xr:uid="{00000000-0005-0000-0000-00008D280000}"/>
    <cellStyle name="60% - Énfasis2 18 7" xfId="10438" xr:uid="{00000000-0005-0000-0000-00008E280000}"/>
    <cellStyle name="60% - Énfasis2 18 8" xfId="10439" xr:uid="{00000000-0005-0000-0000-00008F280000}"/>
    <cellStyle name="60% - Énfasis2 18 9" xfId="10440" xr:uid="{00000000-0005-0000-0000-000090280000}"/>
    <cellStyle name="60% - Énfasis2 19 10" xfId="10441" xr:uid="{00000000-0005-0000-0000-000091280000}"/>
    <cellStyle name="60% - Énfasis2 19 11" xfId="10442" xr:uid="{00000000-0005-0000-0000-000092280000}"/>
    <cellStyle name="60% - Énfasis2 19 12" xfId="10443" xr:uid="{00000000-0005-0000-0000-000093280000}"/>
    <cellStyle name="60% - Énfasis2 19 13" xfId="10444" xr:uid="{00000000-0005-0000-0000-000094280000}"/>
    <cellStyle name="60% - Énfasis2 19 14" xfId="10445" xr:uid="{00000000-0005-0000-0000-000095280000}"/>
    <cellStyle name="60% - Énfasis2 19 15" xfId="10446" xr:uid="{00000000-0005-0000-0000-000096280000}"/>
    <cellStyle name="60% - Énfasis2 19 16" xfId="10447" xr:uid="{00000000-0005-0000-0000-000097280000}"/>
    <cellStyle name="60% - Énfasis2 19 17" xfId="10448" xr:uid="{00000000-0005-0000-0000-000098280000}"/>
    <cellStyle name="60% - Énfasis2 19 18" xfId="10449" xr:uid="{00000000-0005-0000-0000-000099280000}"/>
    <cellStyle name="60% - Énfasis2 19 19" xfId="10450" xr:uid="{00000000-0005-0000-0000-00009A280000}"/>
    <cellStyle name="60% - Énfasis2 19 2" xfId="10451" xr:uid="{00000000-0005-0000-0000-00009B280000}"/>
    <cellStyle name="60% - Énfasis2 19 2 2" xfId="10452" xr:uid="{00000000-0005-0000-0000-00009C280000}"/>
    <cellStyle name="60% - Énfasis2 19 3" xfId="10453" xr:uid="{00000000-0005-0000-0000-00009D280000}"/>
    <cellStyle name="60% - Énfasis2 19 3 2" xfId="10454" xr:uid="{00000000-0005-0000-0000-00009E280000}"/>
    <cellStyle name="60% - Énfasis2 19 4" xfId="10455" xr:uid="{00000000-0005-0000-0000-00009F280000}"/>
    <cellStyle name="60% - Énfasis2 19 4 2" xfId="10456" xr:uid="{00000000-0005-0000-0000-0000A0280000}"/>
    <cellStyle name="60% - Énfasis2 19 5" xfId="10457" xr:uid="{00000000-0005-0000-0000-0000A1280000}"/>
    <cellStyle name="60% - Énfasis2 19 6" xfId="10458" xr:uid="{00000000-0005-0000-0000-0000A2280000}"/>
    <cellStyle name="60% - Énfasis2 19 7" xfId="10459" xr:uid="{00000000-0005-0000-0000-0000A3280000}"/>
    <cellStyle name="60% - Énfasis2 19 8" xfId="10460" xr:uid="{00000000-0005-0000-0000-0000A4280000}"/>
    <cellStyle name="60% - Énfasis2 19 9" xfId="10461" xr:uid="{00000000-0005-0000-0000-0000A5280000}"/>
    <cellStyle name="60% - Énfasis2 2 10" xfId="10462" xr:uid="{00000000-0005-0000-0000-0000A6280000}"/>
    <cellStyle name="60% - Énfasis2 2 11" xfId="10463" xr:uid="{00000000-0005-0000-0000-0000A7280000}"/>
    <cellStyle name="60% - Énfasis2 2 12" xfId="10464" xr:uid="{00000000-0005-0000-0000-0000A8280000}"/>
    <cellStyle name="60% - Énfasis2 2 13" xfId="10465" xr:uid="{00000000-0005-0000-0000-0000A9280000}"/>
    <cellStyle name="60% - Énfasis2 2 14" xfId="10466" xr:uid="{00000000-0005-0000-0000-0000AA280000}"/>
    <cellStyle name="60% - Énfasis2 2 15" xfId="10467" xr:uid="{00000000-0005-0000-0000-0000AB280000}"/>
    <cellStyle name="60% - Énfasis2 2 16" xfId="10468" xr:uid="{00000000-0005-0000-0000-0000AC280000}"/>
    <cellStyle name="60% - Énfasis2 2 17" xfId="10469" xr:uid="{00000000-0005-0000-0000-0000AD280000}"/>
    <cellStyle name="60% - Énfasis2 2 18" xfId="10470" xr:uid="{00000000-0005-0000-0000-0000AE280000}"/>
    <cellStyle name="60% - Énfasis2 2 19" xfId="10471" xr:uid="{00000000-0005-0000-0000-0000AF280000}"/>
    <cellStyle name="60% - Énfasis2 2 2" xfId="10472" xr:uid="{00000000-0005-0000-0000-0000B0280000}"/>
    <cellStyle name="60% - Énfasis2 2 2 2" xfId="10473" xr:uid="{00000000-0005-0000-0000-0000B1280000}"/>
    <cellStyle name="60% - Énfasis2 2 3" xfId="10474" xr:uid="{00000000-0005-0000-0000-0000B2280000}"/>
    <cellStyle name="60% - Énfasis2 2 3 2" xfId="10475" xr:uid="{00000000-0005-0000-0000-0000B3280000}"/>
    <cellStyle name="60% - Énfasis2 2 4" xfId="10476" xr:uid="{00000000-0005-0000-0000-0000B4280000}"/>
    <cellStyle name="60% - Énfasis2 2 4 2" xfId="10477" xr:uid="{00000000-0005-0000-0000-0000B5280000}"/>
    <cellStyle name="60% - Énfasis2 2 5" xfId="10478" xr:uid="{00000000-0005-0000-0000-0000B6280000}"/>
    <cellStyle name="60% - Énfasis2 2 6" xfId="10479" xr:uid="{00000000-0005-0000-0000-0000B7280000}"/>
    <cellStyle name="60% - Énfasis2 2 7" xfId="10480" xr:uid="{00000000-0005-0000-0000-0000B8280000}"/>
    <cellStyle name="60% - Énfasis2 2 8" xfId="10481" xr:uid="{00000000-0005-0000-0000-0000B9280000}"/>
    <cellStyle name="60% - Énfasis2 2 9" xfId="10482" xr:uid="{00000000-0005-0000-0000-0000BA280000}"/>
    <cellStyle name="60% - Énfasis2 20 10" xfId="10483" xr:uid="{00000000-0005-0000-0000-0000BB280000}"/>
    <cellStyle name="60% - Énfasis2 20 11" xfId="10484" xr:uid="{00000000-0005-0000-0000-0000BC280000}"/>
    <cellStyle name="60% - Énfasis2 20 12" xfId="10485" xr:uid="{00000000-0005-0000-0000-0000BD280000}"/>
    <cellStyle name="60% - Énfasis2 20 13" xfId="10486" xr:uid="{00000000-0005-0000-0000-0000BE280000}"/>
    <cellStyle name="60% - Énfasis2 20 14" xfId="10487" xr:uid="{00000000-0005-0000-0000-0000BF280000}"/>
    <cellStyle name="60% - Énfasis2 20 15" xfId="10488" xr:uid="{00000000-0005-0000-0000-0000C0280000}"/>
    <cellStyle name="60% - Énfasis2 20 16" xfId="10489" xr:uid="{00000000-0005-0000-0000-0000C1280000}"/>
    <cellStyle name="60% - Énfasis2 20 17" xfId="10490" xr:uid="{00000000-0005-0000-0000-0000C2280000}"/>
    <cellStyle name="60% - Énfasis2 20 18" xfId="10491" xr:uid="{00000000-0005-0000-0000-0000C3280000}"/>
    <cellStyle name="60% - Énfasis2 20 19" xfId="10492" xr:uid="{00000000-0005-0000-0000-0000C4280000}"/>
    <cellStyle name="60% - Énfasis2 20 2" xfId="10493" xr:uid="{00000000-0005-0000-0000-0000C5280000}"/>
    <cellStyle name="60% - Énfasis2 20 2 2" xfId="10494" xr:uid="{00000000-0005-0000-0000-0000C6280000}"/>
    <cellStyle name="60% - Énfasis2 20 3" xfId="10495" xr:uid="{00000000-0005-0000-0000-0000C7280000}"/>
    <cellStyle name="60% - Énfasis2 20 3 2" xfId="10496" xr:uid="{00000000-0005-0000-0000-0000C8280000}"/>
    <cellStyle name="60% - Énfasis2 20 4" xfId="10497" xr:uid="{00000000-0005-0000-0000-0000C9280000}"/>
    <cellStyle name="60% - Énfasis2 20 4 2" xfId="10498" xr:uid="{00000000-0005-0000-0000-0000CA280000}"/>
    <cellStyle name="60% - Énfasis2 20 5" xfId="10499" xr:uid="{00000000-0005-0000-0000-0000CB280000}"/>
    <cellStyle name="60% - Énfasis2 20 6" xfId="10500" xr:uid="{00000000-0005-0000-0000-0000CC280000}"/>
    <cellStyle name="60% - Énfasis2 20 7" xfId="10501" xr:uid="{00000000-0005-0000-0000-0000CD280000}"/>
    <cellStyle name="60% - Énfasis2 20 8" xfId="10502" xr:uid="{00000000-0005-0000-0000-0000CE280000}"/>
    <cellStyle name="60% - Énfasis2 20 9" xfId="10503" xr:uid="{00000000-0005-0000-0000-0000CF280000}"/>
    <cellStyle name="60% - Énfasis2 21 10" xfId="10504" xr:uid="{00000000-0005-0000-0000-0000D0280000}"/>
    <cellStyle name="60% - Énfasis2 21 11" xfId="10505" xr:uid="{00000000-0005-0000-0000-0000D1280000}"/>
    <cellStyle name="60% - Énfasis2 21 12" xfId="10506" xr:uid="{00000000-0005-0000-0000-0000D2280000}"/>
    <cellStyle name="60% - Énfasis2 21 13" xfId="10507" xr:uid="{00000000-0005-0000-0000-0000D3280000}"/>
    <cellStyle name="60% - Énfasis2 21 14" xfId="10508" xr:uid="{00000000-0005-0000-0000-0000D4280000}"/>
    <cellStyle name="60% - Énfasis2 21 15" xfId="10509" xr:uid="{00000000-0005-0000-0000-0000D5280000}"/>
    <cellStyle name="60% - Énfasis2 21 16" xfId="10510" xr:uid="{00000000-0005-0000-0000-0000D6280000}"/>
    <cellStyle name="60% - Énfasis2 21 17" xfId="10511" xr:uid="{00000000-0005-0000-0000-0000D7280000}"/>
    <cellStyle name="60% - Énfasis2 21 18" xfId="10512" xr:uid="{00000000-0005-0000-0000-0000D8280000}"/>
    <cellStyle name="60% - Énfasis2 21 19" xfId="10513" xr:uid="{00000000-0005-0000-0000-0000D9280000}"/>
    <cellStyle name="60% - Énfasis2 21 2" xfId="10514" xr:uid="{00000000-0005-0000-0000-0000DA280000}"/>
    <cellStyle name="60% - Énfasis2 21 2 2" xfId="10515" xr:uid="{00000000-0005-0000-0000-0000DB280000}"/>
    <cellStyle name="60% - Énfasis2 21 3" xfId="10516" xr:uid="{00000000-0005-0000-0000-0000DC280000}"/>
    <cellStyle name="60% - Énfasis2 21 3 2" xfId="10517" xr:uid="{00000000-0005-0000-0000-0000DD280000}"/>
    <cellStyle name="60% - Énfasis2 21 4" xfId="10518" xr:uid="{00000000-0005-0000-0000-0000DE280000}"/>
    <cellStyle name="60% - Énfasis2 21 4 2" xfId="10519" xr:uid="{00000000-0005-0000-0000-0000DF280000}"/>
    <cellStyle name="60% - Énfasis2 21 5" xfId="10520" xr:uid="{00000000-0005-0000-0000-0000E0280000}"/>
    <cellStyle name="60% - Énfasis2 21 6" xfId="10521" xr:uid="{00000000-0005-0000-0000-0000E1280000}"/>
    <cellStyle name="60% - Énfasis2 21 7" xfId="10522" xr:uid="{00000000-0005-0000-0000-0000E2280000}"/>
    <cellStyle name="60% - Énfasis2 21 8" xfId="10523" xr:uid="{00000000-0005-0000-0000-0000E3280000}"/>
    <cellStyle name="60% - Énfasis2 21 9" xfId="10524" xr:uid="{00000000-0005-0000-0000-0000E4280000}"/>
    <cellStyle name="60% - Énfasis2 22 10" xfId="10525" xr:uid="{00000000-0005-0000-0000-0000E5280000}"/>
    <cellStyle name="60% - Énfasis2 22 11" xfId="10526" xr:uid="{00000000-0005-0000-0000-0000E6280000}"/>
    <cellStyle name="60% - Énfasis2 22 12" xfId="10527" xr:uid="{00000000-0005-0000-0000-0000E7280000}"/>
    <cellStyle name="60% - Énfasis2 22 13" xfId="10528" xr:uid="{00000000-0005-0000-0000-0000E8280000}"/>
    <cellStyle name="60% - Énfasis2 22 14" xfId="10529" xr:uid="{00000000-0005-0000-0000-0000E9280000}"/>
    <cellStyle name="60% - Énfasis2 22 15" xfId="10530" xr:uid="{00000000-0005-0000-0000-0000EA280000}"/>
    <cellStyle name="60% - Énfasis2 22 16" xfId="10531" xr:uid="{00000000-0005-0000-0000-0000EB280000}"/>
    <cellStyle name="60% - Énfasis2 22 17" xfId="10532" xr:uid="{00000000-0005-0000-0000-0000EC280000}"/>
    <cellStyle name="60% - Énfasis2 22 18" xfId="10533" xr:uid="{00000000-0005-0000-0000-0000ED280000}"/>
    <cellStyle name="60% - Énfasis2 22 19" xfId="10534" xr:uid="{00000000-0005-0000-0000-0000EE280000}"/>
    <cellStyle name="60% - Énfasis2 22 2" xfId="10535" xr:uid="{00000000-0005-0000-0000-0000EF280000}"/>
    <cellStyle name="60% - Énfasis2 22 2 2" xfId="10536" xr:uid="{00000000-0005-0000-0000-0000F0280000}"/>
    <cellStyle name="60% - Énfasis2 22 3" xfId="10537" xr:uid="{00000000-0005-0000-0000-0000F1280000}"/>
    <cellStyle name="60% - Énfasis2 22 3 2" xfId="10538" xr:uid="{00000000-0005-0000-0000-0000F2280000}"/>
    <cellStyle name="60% - Énfasis2 22 4" xfId="10539" xr:uid="{00000000-0005-0000-0000-0000F3280000}"/>
    <cellStyle name="60% - Énfasis2 22 4 2" xfId="10540" xr:uid="{00000000-0005-0000-0000-0000F4280000}"/>
    <cellStyle name="60% - Énfasis2 22 5" xfId="10541" xr:uid="{00000000-0005-0000-0000-0000F5280000}"/>
    <cellStyle name="60% - Énfasis2 22 6" xfId="10542" xr:uid="{00000000-0005-0000-0000-0000F6280000}"/>
    <cellStyle name="60% - Énfasis2 22 7" xfId="10543" xr:uid="{00000000-0005-0000-0000-0000F7280000}"/>
    <cellStyle name="60% - Énfasis2 22 8" xfId="10544" xr:uid="{00000000-0005-0000-0000-0000F8280000}"/>
    <cellStyle name="60% - Énfasis2 22 9" xfId="10545" xr:uid="{00000000-0005-0000-0000-0000F9280000}"/>
    <cellStyle name="60% - Énfasis2 23 10" xfId="10546" xr:uid="{00000000-0005-0000-0000-0000FA280000}"/>
    <cellStyle name="60% - Énfasis2 23 11" xfId="10547" xr:uid="{00000000-0005-0000-0000-0000FB280000}"/>
    <cellStyle name="60% - Énfasis2 23 12" xfId="10548" xr:uid="{00000000-0005-0000-0000-0000FC280000}"/>
    <cellStyle name="60% - Énfasis2 23 13" xfId="10549" xr:uid="{00000000-0005-0000-0000-0000FD280000}"/>
    <cellStyle name="60% - Énfasis2 23 14" xfId="10550" xr:uid="{00000000-0005-0000-0000-0000FE280000}"/>
    <cellStyle name="60% - Énfasis2 23 15" xfId="10551" xr:uid="{00000000-0005-0000-0000-0000FF280000}"/>
    <cellStyle name="60% - Énfasis2 23 16" xfId="10552" xr:uid="{00000000-0005-0000-0000-000000290000}"/>
    <cellStyle name="60% - Énfasis2 23 17" xfId="10553" xr:uid="{00000000-0005-0000-0000-000001290000}"/>
    <cellStyle name="60% - Énfasis2 23 18" xfId="10554" xr:uid="{00000000-0005-0000-0000-000002290000}"/>
    <cellStyle name="60% - Énfasis2 23 19" xfId="10555" xr:uid="{00000000-0005-0000-0000-000003290000}"/>
    <cellStyle name="60% - Énfasis2 23 2" xfId="10556" xr:uid="{00000000-0005-0000-0000-000004290000}"/>
    <cellStyle name="60% - Énfasis2 23 2 2" xfId="10557" xr:uid="{00000000-0005-0000-0000-000005290000}"/>
    <cellStyle name="60% - Énfasis2 23 3" xfId="10558" xr:uid="{00000000-0005-0000-0000-000006290000}"/>
    <cellStyle name="60% - Énfasis2 23 3 2" xfId="10559" xr:uid="{00000000-0005-0000-0000-000007290000}"/>
    <cellStyle name="60% - Énfasis2 23 4" xfId="10560" xr:uid="{00000000-0005-0000-0000-000008290000}"/>
    <cellStyle name="60% - Énfasis2 23 4 2" xfId="10561" xr:uid="{00000000-0005-0000-0000-000009290000}"/>
    <cellStyle name="60% - Énfasis2 23 5" xfId="10562" xr:uid="{00000000-0005-0000-0000-00000A290000}"/>
    <cellStyle name="60% - Énfasis2 23 6" xfId="10563" xr:uid="{00000000-0005-0000-0000-00000B290000}"/>
    <cellStyle name="60% - Énfasis2 23 7" xfId="10564" xr:uid="{00000000-0005-0000-0000-00000C290000}"/>
    <cellStyle name="60% - Énfasis2 23 8" xfId="10565" xr:uid="{00000000-0005-0000-0000-00000D290000}"/>
    <cellStyle name="60% - Énfasis2 23 9" xfId="10566" xr:uid="{00000000-0005-0000-0000-00000E290000}"/>
    <cellStyle name="60% - Énfasis2 24 10" xfId="10567" xr:uid="{00000000-0005-0000-0000-00000F290000}"/>
    <cellStyle name="60% - Énfasis2 24 11" xfId="10568" xr:uid="{00000000-0005-0000-0000-000010290000}"/>
    <cellStyle name="60% - Énfasis2 24 12" xfId="10569" xr:uid="{00000000-0005-0000-0000-000011290000}"/>
    <cellStyle name="60% - Énfasis2 24 13" xfId="10570" xr:uid="{00000000-0005-0000-0000-000012290000}"/>
    <cellStyle name="60% - Énfasis2 24 14" xfId="10571" xr:uid="{00000000-0005-0000-0000-000013290000}"/>
    <cellStyle name="60% - Énfasis2 24 15" xfId="10572" xr:uid="{00000000-0005-0000-0000-000014290000}"/>
    <cellStyle name="60% - Énfasis2 24 16" xfId="10573" xr:uid="{00000000-0005-0000-0000-000015290000}"/>
    <cellStyle name="60% - Énfasis2 24 17" xfId="10574" xr:uid="{00000000-0005-0000-0000-000016290000}"/>
    <cellStyle name="60% - Énfasis2 24 18" xfId="10575" xr:uid="{00000000-0005-0000-0000-000017290000}"/>
    <cellStyle name="60% - Énfasis2 24 19" xfId="10576" xr:uid="{00000000-0005-0000-0000-000018290000}"/>
    <cellStyle name="60% - Énfasis2 24 2" xfId="10577" xr:uid="{00000000-0005-0000-0000-000019290000}"/>
    <cellStyle name="60% - Énfasis2 24 2 2" xfId="10578" xr:uid="{00000000-0005-0000-0000-00001A290000}"/>
    <cellStyle name="60% - Énfasis2 24 3" xfId="10579" xr:uid="{00000000-0005-0000-0000-00001B290000}"/>
    <cellStyle name="60% - Énfasis2 24 3 2" xfId="10580" xr:uid="{00000000-0005-0000-0000-00001C290000}"/>
    <cellStyle name="60% - Énfasis2 24 4" xfId="10581" xr:uid="{00000000-0005-0000-0000-00001D290000}"/>
    <cellStyle name="60% - Énfasis2 24 4 2" xfId="10582" xr:uid="{00000000-0005-0000-0000-00001E290000}"/>
    <cellStyle name="60% - Énfasis2 24 5" xfId="10583" xr:uid="{00000000-0005-0000-0000-00001F290000}"/>
    <cellStyle name="60% - Énfasis2 24 6" xfId="10584" xr:uid="{00000000-0005-0000-0000-000020290000}"/>
    <cellStyle name="60% - Énfasis2 24 7" xfId="10585" xr:uid="{00000000-0005-0000-0000-000021290000}"/>
    <cellStyle name="60% - Énfasis2 24 8" xfId="10586" xr:uid="{00000000-0005-0000-0000-000022290000}"/>
    <cellStyle name="60% - Énfasis2 24 9" xfId="10587" xr:uid="{00000000-0005-0000-0000-000023290000}"/>
    <cellStyle name="60% - Énfasis2 25 10" xfId="10588" xr:uid="{00000000-0005-0000-0000-000024290000}"/>
    <cellStyle name="60% - Énfasis2 25 11" xfId="10589" xr:uid="{00000000-0005-0000-0000-000025290000}"/>
    <cellStyle name="60% - Énfasis2 25 12" xfId="10590" xr:uid="{00000000-0005-0000-0000-000026290000}"/>
    <cellStyle name="60% - Énfasis2 25 13" xfId="10591" xr:uid="{00000000-0005-0000-0000-000027290000}"/>
    <cellStyle name="60% - Énfasis2 25 14" xfId="10592" xr:uid="{00000000-0005-0000-0000-000028290000}"/>
    <cellStyle name="60% - Énfasis2 25 15" xfId="10593" xr:uid="{00000000-0005-0000-0000-000029290000}"/>
    <cellStyle name="60% - Énfasis2 25 16" xfId="10594" xr:uid="{00000000-0005-0000-0000-00002A290000}"/>
    <cellStyle name="60% - Énfasis2 25 17" xfId="10595" xr:uid="{00000000-0005-0000-0000-00002B290000}"/>
    <cellStyle name="60% - Énfasis2 25 18" xfId="10596" xr:uid="{00000000-0005-0000-0000-00002C290000}"/>
    <cellStyle name="60% - Énfasis2 25 19" xfId="10597" xr:uid="{00000000-0005-0000-0000-00002D290000}"/>
    <cellStyle name="60% - Énfasis2 25 2" xfId="10598" xr:uid="{00000000-0005-0000-0000-00002E290000}"/>
    <cellStyle name="60% - Énfasis2 25 2 2" xfId="10599" xr:uid="{00000000-0005-0000-0000-00002F290000}"/>
    <cellStyle name="60% - Énfasis2 25 3" xfId="10600" xr:uid="{00000000-0005-0000-0000-000030290000}"/>
    <cellStyle name="60% - Énfasis2 25 3 2" xfId="10601" xr:uid="{00000000-0005-0000-0000-000031290000}"/>
    <cellStyle name="60% - Énfasis2 25 4" xfId="10602" xr:uid="{00000000-0005-0000-0000-000032290000}"/>
    <cellStyle name="60% - Énfasis2 25 4 2" xfId="10603" xr:uid="{00000000-0005-0000-0000-000033290000}"/>
    <cellStyle name="60% - Énfasis2 25 5" xfId="10604" xr:uid="{00000000-0005-0000-0000-000034290000}"/>
    <cellStyle name="60% - Énfasis2 25 6" xfId="10605" xr:uid="{00000000-0005-0000-0000-000035290000}"/>
    <cellStyle name="60% - Énfasis2 25 7" xfId="10606" xr:uid="{00000000-0005-0000-0000-000036290000}"/>
    <cellStyle name="60% - Énfasis2 25 8" xfId="10607" xr:uid="{00000000-0005-0000-0000-000037290000}"/>
    <cellStyle name="60% - Énfasis2 25 9" xfId="10608" xr:uid="{00000000-0005-0000-0000-000038290000}"/>
    <cellStyle name="60% - Énfasis2 26 10" xfId="10609" xr:uid="{00000000-0005-0000-0000-000039290000}"/>
    <cellStyle name="60% - Énfasis2 26 11" xfId="10610" xr:uid="{00000000-0005-0000-0000-00003A290000}"/>
    <cellStyle name="60% - Énfasis2 26 12" xfId="10611" xr:uid="{00000000-0005-0000-0000-00003B290000}"/>
    <cellStyle name="60% - Énfasis2 26 13" xfId="10612" xr:uid="{00000000-0005-0000-0000-00003C290000}"/>
    <cellStyle name="60% - Énfasis2 26 14" xfId="10613" xr:uid="{00000000-0005-0000-0000-00003D290000}"/>
    <cellStyle name="60% - Énfasis2 26 15" xfId="10614" xr:uid="{00000000-0005-0000-0000-00003E290000}"/>
    <cellStyle name="60% - Énfasis2 26 16" xfId="10615" xr:uid="{00000000-0005-0000-0000-00003F290000}"/>
    <cellStyle name="60% - Énfasis2 26 17" xfId="10616" xr:uid="{00000000-0005-0000-0000-000040290000}"/>
    <cellStyle name="60% - Énfasis2 26 18" xfId="10617" xr:uid="{00000000-0005-0000-0000-000041290000}"/>
    <cellStyle name="60% - Énfasis2 26 19" xfId="10618" xr:uid="{00000000-0005-0000-0000-000042290000}"/>
    <cellStyle name="60% - Énfasis2 26 2" xfId="10619" xr:uid="{00000000-0005-0000-0000-000043290000}"/>
    <cellStyle name="60% - Énfasis2 26 2 2" xfId="10620" xr:uid="{00000000-0005-0000-0000-000044290000}"/>
    <cellStyle name="60% - Énfasis2 26 3" xfId="10621" xr:uid="{00000000-0005-0000-0000-000045290000}"/>
    <cellStyle name="60% - Énfasis2 26 3 2" xfId="10622" xr:uid="{00000000-0005-0000-0000-000046290000}"/>
    <cellStyle name="60% - Énfasis2 26 4" xfId="10623" xr:uid="{00000000-0005-0000-0000-000047290000}"/>
    <cellStyle name="60% - Énfasis2 26 4 2" xfId="10624" xr:uid="{00000000-0005-0000-0000-000048290000}"/>
    <cellStyle name="60% - Énfasis2 26 5" xfId="10625" xr:uid="{00000000-0005-0000-0000-000049290000}"/>
    <cellStyle name="60% - Énfasis2 26 6" xfId="10626" xr:uid="{00000000-0005-0000-0000-00004A290000}"/>
    <cellStyle name="60% - Énfasis2 26 7" xfId="10627" xr:uid="{00000000-0005-0000-0000-00004B290000}"/>
    <cellStyle name="60% - Énfasis2 26 8" xfId="10628" xr:uid="{00000000-0005-0000-0000-00004C290000}"/>
    <cellStyle name="60% - Énfasis2 26 9" xfId="10629" xr:uid="{00000000-0005-0000-0000-00004D290000}"/>
    <cellStyle name="60% - Énfasis2 27 10" xfId="10630" xr:uid="{00000000-0005-0000-0000-00004E290000}"/>
    <cellStyle name="60% - Énfasis2 27 11" xfId="10631" xr:uid="{00000000-0005-0000-0000-00004F290000}"/>
    <cellStyle name="60% - Énfasis2 27 12" xfId="10632" xr:uid="{00000000-0005-0000-0000-000050290000}"/>
    <cellStyle name="60% - Énfasis2 27 13" xfId="10633" xr:uid="{00000000-0005-0000-0000-000051290000}"/>
    <cellStyle name="60% - Énfasis2 27 14" xfId="10634" xr:uid="{00000000-0005-0000-0000-000052290000}"/>
    <cellStyle name="60% - Énfasis2 27 15" xfId="10635" xr:uid="{00000000-0005-0000-0000-000053290000}"/>
    <cellStyle name="60% - Énfasis2 27 16" xfId="10636" xr:uid="{00000000-0005-0000-0000-000054290000}"/>
    <cellStyle name="60% - Énfasis2 27 17" xfId="10637" xr:uid="{00000000-0005-0000-0000-000055290000}"/>
    <cellStyle name="60% - Énfasis2 27 18" xfId="10638" xr:uid="{00000000-0005-0000-0000-000056290000}"/>
    <cellStyle name="60% - Énfasis2 27 19" xfId="10639" xr:uid="{00000000-0005-0000-0000-000057290000}"/>
    <cellStyle name="60% - Énfasis2 27 2" xfId="10640" xr:uid="{00000000-0005-0000-0000-000058290000}"/>
    <cellStyle name="60% - Énfasis2 27 2 2" xfId="10641" xr:uid="{00000000-0005-0000-0000-000059290000}"/>
    <cellStyle name="60% - Énfasis2 27 3" xfId="10642" xr:uid="{00000000-0005-0000-0000-00005A290000}"/>
    <cellStyle name="60% - Énfasis2 27 3 2" xfId="10643" xr:uid="{00000000-0005-0000-0000-00005B290000}"/>
    <cellStyle name="60% - Énfasis2 27 4" xfId="10644" xr:uid="{00000000-0005-0000-0000-00005C290000}"/>
    <cellStyle name="60% - Énfasis2 27 4 2" xfId="10645" xr:uid="{00000000-0005-0000-0000-00005D290000}"/>
    <cellStyle name="60% - Énfasis2 27 5" xfId="10646" xr:uid="{00000000-0005-0000-0000-00005E290000}"/>
    <cellStyle name="60% - Énfasis2 27 6" xfId="10647" xr:uid="{00000000-0005-0000-0000-00005F290000}"/>
    <cellStyle name="60% - Énfasis2 27 7" xfId="10648" xr:uid="{00000000-0005-0000-0000-000060290000}"/>
    <cellStyle name="60% - Énfasis2 27 8" xfId="10649" xr:uid="{00000000-0005-0000-0000-000061290000}"/>
    <cellStyle name="60% - Énfasis2 27 9" xfId="10650" xr:uid="{00000000-0005-0000-0000-000062290000}"/>
    <cellStyle name="60% - Énfasis2 28 10" xfId="10651" xr:uid="{00000000-0005-0000-0000-000063290000}"/>
    <cellStyle name="60% - Énfasis2 28 11" xfId="10652" xr:uid="{00000000-0005-0000-0000-000064290000}"/>
    <cellStyle name="60% - Énfasis2 28 12" xfId="10653" xr:uid="{00000000-0005-0000-0000-000065290000}"/>
    <cellStyle name="60% - Énfasis2 28 13" xfId="10654" xr:uid="{00000000-0005-0000-0000-000066290000}"/>
    <cellStyle name="60% - Énfasis2 28 14" xfId="10655" xr:uid="{00000000-0005-0000-0000-000067290000}"/>
    <cellStyle name="60% - Énfasis2 28 15" xfId="10656" xr:uid="{00000000-0005-0000-0000-000068290000}"/>
    <cellStyle name="60% - Énfasis2 28 16" xfId="10657" xr:uid="{00000000-0005-0000-0000-000069290000}"/>
    <cellStyle name="60% - Énfasis2 28 17" xfId="10658" xr:uid="{00000000-0005-0000-0000-00006A290000}"/>
    <cellStyle name="60% - Énfasis2 28 18" xfId="10659" xr:uid="{00000000-0005-0000-0000-00006B290000}"/>
    <cellStyle name="60% - Énfasis2 28 19" xfId="10660" xr:uid="{00000000-0005-0000-0000-00006C290000}"/>
    <cellStyle name="60% - Énfasis2 28 2" xfId="10661" xr:uid="{00000000-0005-0000-0000-00006D290000}"/>
    <cellStyle name="60% - Énfasis2 28 2 2" xfId="10662" xr:uid="{00000000-0005-0000-0000-00006E290000}"/>
    <cellStyle name="60% - Énfasis2 28 3" xfId="10663" xr:uid="{00000000-0005-0000-0000-00006F290000}"/>
    <cellStyle name="60% - Énfasis2 28 3 2" xfId="10664" xr:uid="{00000000-0005-0000-0000-000070290000}"/>
    <cellStyle name="60% - Énfasis2 28 4" xfId="10665" xr:uid="{00000000-0005-0000-0000-000071290000}"/>
    <cellStyle name="60% - Énfasis2 28 4 2" xfId="10666" xr:uid="{00000000-0005-0000-0000-000072290000}"/>
    <cellStyle name="60% - Énfasis2 28 5" xfId="10667" xr:uid="{00000000-0005-0000-0000-000073290000}"/>
    <cellStyle name="60% - Énfasis2 28 6" xfId="10668" xr:uid="{00000000-0005-0000-0000-000074290000}"/>
    <cellStyle name="60% - Énfasis2 28 7" xfId="10669" xr:uid="{00000000-0005-0000-0000-000075290000}"/>
    <cellStyle name="60% - Énfasis2 28 8" xfId="10670" xr:uid="{00000000-0005-0000-0000-000076290000}"/>
    <cellStyle name="60% - Énfasis2 28 9" xfId="10671" xr:uid="{00000000-0005-0000-0000-000077290000}"/>
    <cellStyle name="60% - Énfasis2 29 10" xfId="10672" xr:uid="{00000000-0005-0000-0000-000078290000}"/>
    <cellStyle name="60% - Énfasis2 29 11" xfId="10673" xr:uid="{00000000-0005-0000-0000-000079290000}"/>
    <cellStyle name="60% - Énfasis2 29 12" xfId="10674" xr:uid="{00000000-0005-0000-0000-00007A290000}"/>
    <cellStyle name="60% - Énfasis2 29 13" xfId="10675" xr:uid="{00000000-0005-0000-0000-00007B290000}"/>
    <cellStyle name="60% - Énfasis2 29 14" xfId="10676" xr:uid="{00000000-0005-0000-0000-00007C290000}"/>
    <cellStyle name="60% - Énfasis2 29 15" xfId="10677" xr:uid="{00000000-0005-0000-0000-00007D290000}"/>
    <cellStyle name="60% - Énfasis2 29 16" xfId="10678" xr:uid="{00000000-0005-0000-0000-00007E290000}"/>
    <cellStyle name="60% - Énfasis2 29 17" xfId="10679" xr:uid="{00000000-0005-0000-0000-00007F290000}"/>
    <cellStyle name="60% - Énfasis2 29 18" xfId="10680" xr:uid="{00000000-0005-0000-0000-000080290000}"/>
    <cellStyle name="60% - Énfasis2 29 19" xfId="10681" xr:uid="{00000000-0005-0000-0000-000081290000}"/>
    <cellStyle name="60% - Énfasis2 29 2" xfId="10682" xr:uid="{00000000-0005-0000-0000-000082290000}"/>
    <cellStyle name="60% - Énfasis2 29 2 2" xfId="10683" xr:uid="{00000000-0005-0000-0000-000083290000}"/>
    <cellStyle name="60% - Énfasis2 29 3" xfId="10684" xr:uid="{00000000-0005-0000-0000-000084290000}"/>
    <cellStyle name="60% - Énfasis2 29 3 2" xfId="10685" xr:uid="{00000000-0005-0000-0000-000085290000}"/>
    <cellStyle name="60% - Énfasis2 29 4" xfId="10686" xr:uid="{00000000-0005-0000-0000-000086290000}"/>
    <cellStyle name="60% - Énfasis2 29 4 2" xfId="10687" xr:uid="{00000000-0005-0000-0000-000087290000}"/>
    <cellStyle name="60% - Énfasis2 29 5" xfId="10688" xr:uid="{00000000-0005-0000-0000-000088290000}"/>
    <cellStyle name="60% - Énfasis2 29 6" xfId="10689" xr:uid="{00000000-0005-0000-0000-000089290000}"/>
    <cellStyle name="60% - Énfasis2 29 7" xfId="10690" xr:uid="{00000000-0005-0000-0000-00008A290000}"/>
    <cellStyle name="60% - Énfasis2 29 8" xfId="10691" xr:uid="{00000000-0005-0000-0000-00008B290000}"/>
    <cellStyle name="60% - Énfasis2 29 9" xfId="10692" xr:uid="{00000000-0005-0000-0000-00008C290000}"/>
    <cellStyle name="60% - Énfasis2 3 10" xfId="10693" xr:uid="{00000000-0005-0000-0000-00008D290000}"/>
    <cellStyle name="60% - Énfasis2 3 11" xfId="10694" xr:uid="{00000000-0005-0000-0000-00008E290000}"/>
    <cellStyle name="60% - Énfasis2 3 12" xfId="10695" xr:uid="{00000000-0005-0000-0000-00008F290000}"/>
    <cellStyle name="60% - Énfasis2 3 13" xfId="10696" xr:uid="{00000000-0005-0000-0000-000090290000}"/>
    <cellStyle name="60% - Énfasis2 3 14" xfId="10697" xr:uid="{00000000-0005-0000-0000-000091290000}"/>
    <cellStyle name="60% - Énfasis2 3 15" xfId="10698" xr:uid="{00000000-0005-0000-0000-000092290000}"/>
    <cellStyle name="60% - Énfasis2 3 16" xfId="10699" xr:uid="{00000000-0005-0000-0000-000093290000}"/>
    <cellStyle name="60% - Énfasis2 3 17" xfId="10700" xr:uid="{00000000-0005-0000-0000-000094290000}"/>
    <cellStyle name="60% - Énfasis2 3 18" xfId="10701" xr:uid="{00000000-0005-0000-0000-000095290000}"/>
    <cellStyle name="60% - Énfasis2 3 19" xfId="10702" xr:uid="{00000000-0005-0000-0000-000096290000}"/>
    <cellStyle name="60% - Énfasis2 3 2" xfId="10703" xr:uid="{00000000-0005-0000-0000-000097290000}"/>
    <cellStyle name="60% - Énfasis2 3 2 2" xfId="10704" xr:uid="{00000000-0005-0000-0000-000098290000}"/>
    <cellStyle name="60% - Énfasis2 3 3" xfId="10705" xr:uid="{00000000-0005-0000-0000-000099290000}"/>
    <cellStyle name="60% - Énfasis2 3 3 2" xfId="10706" xr:uid="{00000000-0005-0000-0000-00009A290000}"/>
    <cellStyle name="60% - Énfasis2 3 4" xfId="10707" xr:uid="{00000000-0005-0000-0000-00009B290000}"/>
    <cellStyle name="60% - Énfasis2 3 4 2" xfId="10708" xr:uid="{00000000-0005-0000-0000-00009C290000}"/>
    <cellStyle name="60% - Énfasis2 3 5" xfId="10709" xr:uid="{00000000-0005-0000-0000-00009D290000}"/>
    <cellStyle name="60% - Énfasis2 3 6" xfId="10710" xr:uid="{00000000-0005-0000-0000-00009E290000}"/>
    <cellStyle name="60% - Énfasis2 3 7" xfId="10711" xr:uid="{00000000-0005-0000-0000-00009F290000}"/>
    <cellStyle name="60% - Énfasis2 3 8" xfId="10712" xr:uid="{00000000-0005-0000-0000-0000A0290000}"/>
    <cellStyle name="60% - Énfasis2 3 9" xfId="10713" xr:uid="{00000000-0005-0000-0000-0000A1290000}"/>
    <cellStyle name="60% - Énfasis2 30 10" xfId="10714" xr:uid="{00000000-0005-0000-0000-0000A2290000}"/>
    <cellStyle name="60% - Énfasis2 30 11" xfId="10715" xr:uid="{00000000-0005-0000-0000-0000A3290000}"/>
    <cellStyle name="60% - Énfasis2 30 12" xfId="10716" xr:uid="{00000000-0005-0000-0000-0000A4290000}"/>
    <cellStyle name="60% - Énfasis2 30 13" xfId="10717" xr:uid="{00000000-0005-0000-0000-0000A5290000}"/>
    <cellStyle name="60% - Énfasis2 30 14" xfId="10718" xr:uid="{00000000-0005-0000-0000-0000A6290000}"/>
    <cellStyle name="60% - Énfasis2 30 15" xfId="10719" xr:uid="{00000000-0005-0000-0000-0000A7290000}"/>
    <cellStyle name="60% - Énfasis2 30 16" xfId="10720" xr:uid="{00000000-0005-0000-0000-0000A8290000}"/>
    <cellStyle name="60% - Énfasis2 30 17" xfId="10721" xr:uid="{00000000-0005-0000-0000-0000A9290000}"/>
    <cellStyle name="60% - Énfasis2 30 18" xfId="10722" xr:uid="{00000000-0005-0000-0000-0000AA290000}"/>
    <cellStyle name="60% - Énfasis2 30 19" xfId="10723" xr:uid="{00000000-0005-0000-0000-0000AB290000}"/>
    <cellStyle name="60% - Énfasis2 30 2" xfId="10724" xr:uid="{00000000-0005-0000-0000-0000AC290000}"/>
    <cellStyle name="60% - Énfasis2 30 2 2" xfId="10725" xr:uid="{00000000-0005-0000-0000-0000AD290000}"/>
    <cellStyle name="60% - Énfasis2 30 3" xfId="10726" xr:uid="{00000000-0005-0000-0000-0000AE290000}"/>
    <cellStyle name="60% - Énfasis2 30 3 2" xfId="10727" xr:uid="{00000000-0005-0000-0000-0000AF290000}"/>
    <cellStyle name="60% - Énfasis2 30 4" xfId="10728" xr:uid="{00000000-0005-0000-0000-0000B0290000}"/>
    <cellStyle name="60% - Énfasis2 30 4 2" xfId="10729" xr:uid="{00000000-0005-0000-0000-0000B1290000}"/>
    <cellStyle name="60% - Énfasis2 30 5" xfId="10730" xr:uid="{00000000-0005-0000-0000-0000B2290000}"/>
    <cellStyle name="60% - Énfasis2 30 6" xfId="10731" xr:uid="{00000000-0005-0000-0000-0000B3290000}"/>
    <cellStyle name="60% - Énfasis2 30 7" xfId="10732" xr:uid="{00000000-0005-0000-0000-0000B4290000}"/>
    <cellStyle name="60% - Énfasis2 30 8" xfId="10733" xr:uid="{00000000-0005-0000-0000-0000B5290000}"/>
    <cellStyle name="60% - Énfasis2 30 9" xfId="10734" xr:uid="{00000000-0005-0000-0000-0000B6290000}"/>
    <cellStyle name="60% - Énfasis2 31 10" xfId="10735" xr:uid="{00000000-0005-0000-0000-0000B7290000}"/>
    <cellStyle name="60% - Énfasis2 31 11" xfId="10736" xr:uid="{00000000-0005-0000-0000-0000B8290000}"/>
    <cellStyle name="60% - Énfasis2 31 12" xfId="10737" xr:uid="{00000000-0005-0000-0000-0000B9290000}"/>
    <cellStyle name="60% - Énfasis2 31 13" xfId="10738" xr:uid="{00000000-0005-0000-0000-0000BA290000}"/>
    <cellStyle name="60% - Énfasis2 31 14" xfId="10739" xr:uid="{00000000-0005-0000-0000-0000BB290000}"/>
    <cellStyle name="60% - Énfasis2 31 15" xfId="10740" xr:uid="{00000000-0005-0000-0000-0000BC290000}"/>
    <cellStyle name="60% - Énfasis2 31 16" xfId="10741" xr:uid="{00000000-0005-0000-0000-0000BD290000}"/>
    <cellStyle name="60% - Énfasis2 31 17" xfId="10742" xr:uid="{00000000-0005-0000-0000-0000BE290000}"/>
    <cellStyle name="60% - Énfasis2 31 18" xfId="10743" xr:uid="{00000000-0005-0000-0000-0000BF290000}"/>
    <cellStyle name="60% - Énfasis2 31 19" xfId="10744" xr:uid="{00000000-0005-0000-0000-0000C0290000}"/>
    <cellStyle name="60% - Énfasis2 31 2" xfId="10745" xr:uid="{00000000-0005-0000-0000-0000C1290000}"/>
    <cellStyle name="60% - Énfasis2 31 2 2" xfId="10746" xr:uid="{00000000-0005-0000-0000-0000C2290000}"/>
    <cellStyle name="60% - Énfasis2 31 3" xfId="10747" xr:uid="{00000000-0005-0000-0000-0000C3290000}"/>
    <cellStyle name="60% - Énfasis2 31 3 2" xfId="10748" xr:uid="{00000000-0005-0000-0000-0000C4290000}"/>
    <cellStyle name="60% - Énfasis2 31 4" xfId="10749" xr:uid="{00000000-0005-0000-0000-0000C5290000}"/>
    <cellStyle name="60% - Énfasis2 31 4 2" xfId="10750" xr:uid="{00000000-0005-0000-0000-0000C6290000}"/>
    <cellStyle name="60% - Énfasis2 31 5" xfId="10751" xr:uid="{00000000-0005-0000-0000-0000C7290000}"/>
    <cellStyle name="60% - Énfasis2 31 6" xfId="10752" xr:uid="{00000000-0005-0000-0000-0000C8290000}"/>
    <cellStyle name="60% - Énfasis2 31 7" xfId="10753" xr:uid="{00000000-0005-0000-0000-0000C9290000}"/>
    <cellStyle name="60% - Énfasis2 31 8" xfId="10754" xr:uid="{00000000-0005-0000-0000-0000CA290000}"/>
    <cellStyle name="60% - Énfasis2 31 9" xfId="10755" xr:uid="{00000000-0005-0000-0000-0000CB290000}"/>
    <cellStyle name="60% - Énfasis2 32 10" xfId="10756" xr:uid="{00000000-0005-0000-0000-0000CC290000}"/>
    <cellStyle name="60% - Énfasis2 32 11" xfId="10757" xr:uid="{00000000-0005-0000-0000-0000CD290000}"/>
    <cellStyle name="60% - Énfasis2 32 12" xfId="10758" xr:uid="{00000000-0005-0000-0000-0000CE290000}"/>
    <cellStyle name="60% - Énfasis2 32 13" xfId="10759" xr:uid="{00000000-0005-0000-0000-0000CF290000}"/>
    <cellStyle name="60% - Énfasis2 32 14" xfId="10760" xr:uid="{00000000-0005-0000-0000-0000D0290000}"/>
    <cellStyle name="60% - Énfasis2 32 15" xfId="10761" xr:uid="{00000000-0005-0000-0000-0000D1290000}"/>
    <cellStyle name="60% - Énfasis2 32 16" xfId="10762" xr:uid="{00000000-0005-0000-0000-0000D2290000}"/>
    <cellStyle name="60% - Énfasis2 32 17" xfId="10763" xr:uid="{00000000-0005-0000-0000-0000D3290000}"/>
    <cellStyle name="60% - Énfasis2 32 18" xfId="10764" xr:uid="{00000000-0005-0000-0000-0000D4290000}"/>
    <cellStyle name="60% - Énfasis2 32 19" xfId="10765" xr:uid="{00000000-0005-0000-0000-0000D5290000}"/>
    <cellStyle name="60% - Énfasis2 32 2" xfId="10766" xr:uid="{00000000-0005-0000-0000-0000D6290000}"/>
    <cellStyle name="60% - Énfasis2 32 2 2" xfId="10767" xr:uid="{00000000-0005-0000-0000-0000D7290000}"/>
    <cellStyle name="60% - Énfasis2 32 3" xfId="10768" xr:uid="{00000000-0005-0000-0000-0000D8290000}"/>
    <cellStyle name="60% - Énfasis2 32 3 2" xfId="10769" xr:uid="{00000000-0005-0000-0000-0000D9290000}"/>
    <cellStyle name="60% - Énfasis2 32 4" xfId="10770" xr:uid="{00000000-0005-0000-0000-0000DA290000}"/>
    <cellStyle name="60% - Énfasis2 32 4 2" xfId="10771" xr:uid="{00000000-0005-0000-0000-0000DB290000}"/>
    <cellStyle name="60% - Énfasis2 32 5" xfId="10772" xr:uid="{00000000-0005-0000-0000-0000DC290000}"/>
    <cellStyle name="60% - Énfasis2 32 6" xfId="10773" xr:uid="{00000000-0005-0000-0000-0000DD290000}"/>
    <cellStyle name="60% - Énfasis2 32 7" xfId="10774" xr:uid="{00000000-0005-0000-0000-0000DE290000}"/>
    <cellStyle name="60% - Énfasis2 32 8" xfId="10775" xr:uid="{00000000-0005-0000-0000-0000DF290000}"/>
    <cellStyle name="60% - Énfasis2 32 9" xfId="10776" xr:uid="{00000000-0005-0000-0000-0000E0290000}"/>
    <cellStyle name="60% - Énfasis2 33 10" xfId="10777" xr:uid="{00000000-0005-0000-0000-0000E1290000}"/>
    <cellStyle name="60% - Énfasis2 33 11" xfId="10778" xr:uid="{00000000-0005-0000-0000-0000E2290000}"/>
    <cellStyle name="60% - Énfasis2 33 12" xfId="10779" xr:uid="{00000000-0005-0000-0000-0000E3290000}"/>
    <cellStyle name="60% - Énfasis2 33 13" xfId="10780" xr:uid="{00000000-0005-0000-0000-0000E4290000}"/>
    <cellStyle name="60% - Énfasis2 33 14" xfId="10781" xr:uid="{00000000-0005-0000-0000-0000E5290000}"/>
    <cellStyle name="60% - Énfasis2 33 15" xfId="10782" xr:uid="{00000000-0005-0000-0000-0000E6290000}"/>
    <cellStyle name="60% - Énfasis2 33 16" xfId="10783" xr:uid="{00000000-0005-0000-0000-0000E7290000}"/>
    <cellStyle name="60% - Énfasis2 33 17" xfId="10784" xr:uid="{00000000-0005-0000-0000-0000E8290000}"/>
    <cellStyle name="60% - Énfasis2 33 18" xfId="10785" xr:uid="{00000000-0005-0000-0000-0000E9290000}"/>
    <cellStyle name="60% - Énfasis2 33 19" xfId="10786" xr:uid="{00000000-0005-0000-0000-0000EA290000}"/>
    <cellStyle name="60% - Énfasis2 33 2" xfId="10787" xr:uid="{00000000-0005-0000-0000-0000EB290000}"/>
    <cellStyle name="60% - Énfasis2 33 2 2" xfId="10788" xr:uid="{00000000-0005-0000-0000-0000EC290000}"/>
    <cellStyle name="60% - Énfasis2 33 3" xfId="10789" xr:uid="{00000000-0005-0000-0000-0000ED290000}"/>
    <cellStyle name="60% - Énfasis2 33 3 2" xfId="10790" xr:uid="{00000000-0005-0000-0000-0000EE290000}"/>
    <cellStyle name="60% - Énfasis2 33 4" xfId="10791" xr:uid="{00000000-0005-0000-0000-0000EF290000}"/>
    <cellStyle name="60% - Énfasis2 33 4 2" xfId="10792" xr:uid="{00000000-0005-0000-0000-0000F0290000}"/>
    <cellStyle name="60% - Énfasis2 33 5" xfId="10793" xr:uid="{00000000-0005-0000-0000-0000F1290000}"/>
    <cellStyle name="60% - Énfasis2 33 6" xfId="10794" xr:uid="{00000000-0005-0000-0000-0000F2290000}"/>
    <cellStyle name="60% - Énfasis2 33 7" xfId="10795" xr:uid="{00000000-0005-0000-0000-0000F3290000}"/>
    <cellStyle name="60% - Énfasis2 33 8" xfId="10796" xr:uid="{00000000-0005-0000-0000-0000F4290000}"/>
    <cellStyle name="60% - Énfasis2 33 9" xfId="10797" xr:uid="{00000000-0005-0000-0000-0000F5290000}"/>
    <cellStyle name="60% - Énfasis2 34 10" xfId="10798" xr:uid="{00000000-0005-0000-0000-0000F6290000}"/>
    <cellStyle name="60% - Énfasis2 34 11" xfId="10799" xr:uid="{00000000-0005-0000-0000-0000F7290000}"/>
    <cellStyle name="60% - Énfasis2 34 12" xfId="10800" xr:uid="{00000000-0005-0000-0000-0000F8290000}"/>
    <cellStyle name="60% - Énfasis2 34 13" xfId="10801" xr:uid="{00000000-0005-0000-0000-0000F9290000}"/>
    <cellStyle name="60% - Énfasis2 34 14" xfId="10802" xr:uid="{00000000-0005-0000-0000-0000FA290000}"/>
    <cellStyle name="60% - Énfasis2 34 15" xfId="10803" xr:uid="{00000000-0005-0000-0000-0000FB290000}"/>
    <cellStyle name="60% - Énfasis2 34 16" xfId="10804" xr:uid="{00000000-0005-0000-0000-0000FC290000}"/>
    <cellStyle name="60% - Énfasis2 34 17" xfId="10805" xr:uid="{00000000-0005-0000-0000-0000FD290000}"/>
    <cellStyle name="60% - Énfasis2 34 18" xfId="10806" xr:uid="{00000000-0005-0000-0000-0000FE290000}"/>
    <cellStyle name="60% - Énfasis2 34 19" xfId="10807" xr:uid="{00000000-0005-0000-0000-0000FF290000}"/>
    <cellStyle name="60% - Énfasis2 34 2" xfId="10808" xr:uid="{00000000-0005-0000-0000-0000002A0000}"/>
    <cellStyle name="60% - Énfasis2 34 2 2" xfId="10809" xr:uid="{00000000-0005-0000-0000-0000012A0000}"/>
    <cellStyle name="60% - Énfasis2 34 3" xfId="10810" xr:uid="{00000000-0005-0000-0000-0000022A0000}"/>
    <cellStyle name="60% - Énfasis2 34 3 2" xfId="10811" xr:uid="{00000000-0005-0000-0000-0000032A0000}"/>
    <cellStyle name="60% - Énfasis2 34 4" xfId="10812" xr:uid="{00000000-0005-0000-0000-0000042A0000}"/>
    <cellStyle name="60% - Énfasis2 34 4 2" xfId="10813" xr:uid="{00000000-0005-0000-0000-0000052A0000}"/>
    <cellStyle name="60% - Énfasis2 34 5" xfId="10814" xr:uid="{00000000-0005-0000-0000-0000062A0000}"/>
    <cellStyle name="60% - Énfasis2 34 6" xfId="10815" xr:uid="{00000000-0005-0000-0000-0000072A0000}"/>
    <cellStyle name="60% - Énfasis2 34 7" xfId="10816" xr:uid="{00000000-0005-0000-0000-0000082A0000}"/>
    <cellStyle name="60% - Énfasis2 34 8" xfId="10817" xr:uid="{00000000-0005-0000-0000-0000092A0000}"/>
    <cellStyle name="60% - Énfasis2 34 9" xfId="10818" xr:uid="{00000000-0005-0000-0000-00000A2A0000}"/>
    <cellStyle name="60% - Énfasis2 35 10" xfId="10819" xr:uid="{00000000-0005-0000-0000-00000B2A0000}"/>
    <cellStyle name="60% - Énfasis2 35 11" xfId="10820" xr:uid="{00000000-0005-0000-0000-00000C2A0000}"/>
    <cellStyle name="60% - Énfasis2 35 12" xfId="10821" xr:uid="{00000000-0005-0000-0000-00000D2A0000}"/>
    <cellStyle name="60% - Énfasis2 35 13" xfId="10822" xr:uid="{00000000-0005-0000-0000-00000E2A0000}"/>
    <cellStyle name="60% - Énfasis2 35 14" xfId="10823" xr:uid="{00000000-0005-0000-0000-00000F2A0000}"/>
    <cellStyle name="60% - Énfasis2 35 15" xfId="10824" xr:uid="{00000000-0005-0000-0000-0000102A0000}"/>
    <cellStyle name="60% - Énfasis2 35 16" xfId="10825" xr:uid="{00000000-0005-0000-0000-0000112A0000}"/>
    <cellStyle name="60% - Énfasis2 35 17" xfId="10826" xr:uid="{00000000-0005-0000-0000-0000122A0000}"/>
    <cellStyle name="60% - Énfasis2 35 18" xfId="10827" xr:uid="{00000000-0005-0000-0000-0000132A0000}"/>
    <cellStyle name="60% - Énfasis2 35 19" xfId="10828" xr:uid="{00000000-0005-0000-0000-0000142A0000}"/>
    <cellStyle name="60% - Énfasis2 35 2" xfId="10829" xr:uid="{00000000-0005-0000-0000-0000152A0000}"/>
    <cellStyle name="60% - Énfasis2 35 2 2" xfId="10830" xr:uid="{00000000-0005-0000-0000-0000162A0000}"/>
    <cellStyle name="60% - Énfasis2 35 3" xfId="10831" xr:uid="{00000000-0005-0000-0000-0000172A0000}"/>
    <cellStyle name="60% - Énfasis2 35 3 2" xfId="10832" xr:uid="{00000000-0005-0000-0000-0000182A0000}"/>
    <cellStyle name="60% - Énfasis2 35 4" xfId="10833" xr:uid="{00000000-0005-0000-0000-0000192A0000}"/>
    <cellStyle name="60% - Énfasis2 35 4 2" xfId="10834" xr:uid="{00000000-0005-0000-0000-00001A2A0000}"/>
    <cellStyle name="60% - Énfasis2 35 5" xfId="10835" xr:uid="{00000000-0005-0000-0000-00001B2A0000}"/>
    <cellStyle name="60% - Énfasis2 35 6" xfId="10836" xr:uid="{00000000-0005-0000-0000-00001C2A0000}"/>
    <cellStyle name="60% - Énfasis2 35 7" xfId="10837" xr:uid="{00000000-0005-0000-0000-00001D2A0000}"/>
    <cellStyle name="60% - Énfasis2 35 8" xfId="10838" xr:uid="{00000000-0005-0000-0000-00001E2A0000}"/>
    <cellStyle name="60% - Énfasis2 35 9" xfId="10839" xr:uid="{00000000-0005-0000-0000-00001F2A0000}"/>
    <cellStyle name="60% - Énfasis2 36 10" xfId="10840" xr:uid="{00000000-0005-0000-0000-0000202A0000}"/>
    <cellStyle name="60% - Énfasis2 36 11" xfId="10841" xr:uid="{00000000-0005-0000-0000-0000212A0000}"/>
    <cellStyle name="60% - Énfasis2 36 12" xfId="10842" xr:uid="{00000000-0005-0000-0000-0000222A0000}"/>
    <cellStyle name="60% - Énfasis2 36 13" xfId="10843" xr:uid="{00000000-0005-0000-0000-0000232A0000}"/>
    <cellStyle name="60% - Énfasis2 36 14" xfId="10844" xr:uid="{00000000-0005-0000-0000-0000242A0000}"/>
    <cellStyle name="60% - Énfasis2 36 15" xfId="10845" xr:uid="{00000000-0005-0000-0000-0000252A0000}"/>
    <cellStyle name="60% - Énfasis2 36 16" xfId="10846" xr:uid="{00000000-0005-0000-0000-0000262A0000}"/>
    <cellStyle name="60% - Énfasis2 36 17" xfId="10847" xr:uid="{00000000-0005-0000-0000-0000272A0000}"/>
    <cellStyle name="60% - Énfasis2 36 18" xfId="10848" xr:uid="{00000000-0005-0000-0000-0000282A0000}"/>
    <cellStyle name="60% - Énfasis2 36 19" xfId="10849" xr:uid="{00000000-0005-0000-0000-0000292A0000}"/>
    <cellStyle name="60% - Énfasis2 36 2" xfId="10850" xr:uid="{00000000-0005-0000-0000-00002A2A0000}"/>
    <cellStyle name="60% - Énfasis2 36 2 2" xfId="10851" xr:uid="{00000000-0005-0000-0000-00002B2A0000}"/>
    <cellStyle name="60% - Énfasis2 36 3" xfId="10852" xr:uid="{00000000-0005-0000-0000-00002C2A0000}"/>
    <cellStyle name="60% - Énfasis2 36 3 2" xfId="10853" xr:uid="{00000000-0005-0000-0000-00002D2A0000}"/>
    <cellStyle name="60% - Énfasis2 36 4" xfId="10854" xr:uid="{00000000-0005-0000-0000-00002E2A0000}"/>
    <cellStyle name="60% - Énfasis2 36 4 2" xfId="10855" xr:uid="{00000000-0005-0000-0000-00002F2A0000}"/>
    <cellStyle name="60% - Énfasis2 36 5" xfId="10856" xr:uid="{00000000-0005-0000-0000-0000302A0000}"/>
    <cellStyle name="60% - Énfasis2 36 6" xfId="10857" xr:uid="{00000000-0005-0000-0000-0000312A0000}"/>
    <cellStyle name="60% - Énfasis2 36 7" xfId="10858" xr:uid="{00000000-0005-0000-0000-0000322A0000}"/>
    <cellStyle name="60% - Énfasis2 36 8" xfId="10859" xr:uid="{00000000-0005-0000-0000-0000332A0000}"/>
    <cellStyle name="60% - Énfasis2 36 9" xfId="10860" xr:uid="{00000000-0005-0000-0000-0000342A0000}"/>
    <cellStyle name="60% - Énfasis2 37 10" xfId="10861" xr:uid="{00000000-0005-0000-0000-0000352A0000}"/>
    <cellStyle name="60% - Énfasis2 37 11" xfId="10862" xr:uid="{00000000-0005-0000-0000-0000362A0000}"/>
    <cellStyle name="60% - Énfasis2 37 12" xfId="10863" xr:uid="{00000000-0005-0000-0000-0000372A0000}"/>
    <cellStyle name="60% - Énfasis2 37 13" xfId="10864" xr:uid="{00000000-0005-0000-0000-0000382A0000}"/>
    <cellStyle name="60% - Énfasis2 37 14" xfId="10865" xr:uid="{00000000-0005-0000-0000-0000392A0000}"/>
    <cellStyle name="60% - Énfasis2 37 15" xfId="10866" xr:uid="{00000000-0005-0000-0000-00003A2A0000}"/>
    <cellStyle name="60% - Énfasis2 37 16" xfId="10867" xr:uid="{00000000-0005-0000-0000-00003B2A0000}"/>
    <cellStyle name="60% - Énfasis2 37 17" xfId="10868" xr:uid="{00000000-0005-0000-0000-00003C2A0000}"/>
    <cellStyle name="60% - Énfasis2 37 18" xfId="10869" xr:uid="{00000000-0005-0000-0000-00003D2A0000}"/>
    <cellStyle name="60% - Énfasis2 37 19" xfId="10870" xr:uid="{00000000-0005-0000-0000-00003E2A0000}"/>
    <cellStyle name="60% - Énfasis2 37 2" xfId="10871" xr:uid="{00000000-0005-0000-0000-00003F2A0000}"/>
    <cellStyle name="60% - Énfasis2 37 2 2" xfId="10872" xr:uid="{00000000-0005-0000-0000-0000402A0000}"/>
    <cellStyle name="60% - Énfasis2 37 3" xfId="10873" xr:uid="{00000000-0005-0000-0000-0000412A0000}"/>
    <cellStyle name="60% - Énfasis2 37 3 2" xfId="10874" xr:uid="{00000000-0005-0000-0000-0000422A0000}"/>
    <cellStyle name="60% - Énfasis2 37 4" xfId="10875" xr:uid="{00000000-0005-0000-0000-0000432A0000}"/>
    <cellStyle name="60% - Énfasis2 37 4 2" xfId="10876" xr:uid="{00000000-0005-0000-0000-0000442A0000}"/>
    <cellStyle name="60% - Énfasis2 37 5" xfId="10877" xr:uid="{00000000-0005-0000-0000-0000452A0000}"/>
    <cellStyle name="60% - Énfasis2 37 6" xfId="10878" xr:uid="{00000000-0005-0000-0000-0000462A0000}"/>
    <cellStyle name="60% - Énfasis2 37 7" xfId="10879" xr:uid="{00000000-0005-0000-0000-0000472A0000}"/>
    <cellStyle name="60% - Énfasis2 37 8" xfId="10880" xr:uid="{00000000-0005-0000-0000-0000482A0000}"/>
    <cellStyle name="60% - Énfasis2 37 9" xfId="10881" xr:uid="{00000000-0005-0000-0000-0000492A0000}"/>
    <cellStyle name="60% - Énfasis2 38 10" xfId="10882" xr:uid="{00000000-0005-0000-0000-00004A2A0000}"/>
    <cellStyle name="60% - Énfasis2 38 11" xfId="10883" xr:uid="{00000000-0005-0000-0000-00004B2A0000}"/>
    <cellStyle name="60% - Énfasis2 38 12" xfId="10884" xr:uid="{00000000-0005-0000-0000-00004C2A0000}"/>
    <cellStyle name="60% - Énfasis2 38 13" xfId="10885" xr:uid="{00000000-0005-0000-0000-00004D2A0000}"/>
    <cellStyle name="60% - Énfasis2 38 14" xfId="10886" xr:uid="{00000000-0005-0000-0000-00004E2A0000}"/>
    <cellStyle name="60% - Énfasis2 38 15" xfId="10887" xr:uid="{00000000-0005-0000-0000-00004F2A0000}"/>
    <cellStyle name="60% - Énfasis2 38 16" xfId="10888" xr:uid="{00000000-0005-0000-0000-0000502A0000}"/>
    <cellStyle name="60% - Énfasis2 38 17" xfId="10889" xr:uid="{00000000-0005-0000-0000-0000512A0000}"/>
    <cellStyle name="60% - Énfasis2 38 18" xfId="10890" xr:uid="{00000000-0005-0000-0000-0000522A0000}"/>
    <cellStyle name="60% - Énfasis2 38 19" xfId="10891" xr:uid="{00000000-0005-0000-0000-0000532A0000}"/>
    <cellStyle name="60% - Énfasis2 38 2" xfId="10892" xr:uid="{00000000-0005-0000-0000-0000542A0000}"/>
    <cellStyle name="60% - Énfasis2 38 2 2" xfId="10893" xr:uid="{00000000-0005-0000-0000-0000552A0000}"/>
    <cellStyle name="60% - Énfasis2 38 3" xfId="10894" xr:uid="{00000000-0005-0000-0000-0000562A0000}"/>
    <cellStyle name="60% - Énfasis2 38 3 2" xfId="10895" xr:uid="{00000000-0005-0000-0000-0000572A0000}"/>
    <cellStyle name="60% - Énfasis2 38 4" xfId="10896" xr:uid="{00000000-0005-0000-0000-0000582A0000}"/>
    <cellStyle name="60% - Énfasis2 38 4 2" xfId="10897" xr:uid="{00000000-0005-0000-0000-0000592A0000}"/>
    <cellStyle name="60% - Énfasis2 38 5" xfId="10898" xr:uid="{00000000-0005-0000-0000-00005A2A0000}"/>
    <cellStyle name="60% - Énfasis2 38 6" xfId="10899" xr:uid="{00000000-0005-0000-0000-00005B2A0000}"/>
    <cellStyle name="60% - Énfasis2 38 7" xfId="10900" xr:uid="{00000000-0005-0000-0000-00005C2A0000}"/>
    <cellStyle name="60% - Énfasis2 38 8" xfId="10901" xr:uid="{00000000-0005-0000-0000-00005D2A0000}"/>
    <cellStyle name="60% - Énfasis2 38 9" xfId="10902" xr:uid="{00000000-0005-0000-0000-00005E2A0000}"/>
    <cellStyle name="60% - Énfasis2 39" xfId="10903" xr:uid="{00000000-0005-0000-0000-00005F2A0000}"/>
    <cellStyle name="60% - Énfasis2 39 10" xfId="10904" xr:uid="{00000000-0005-0000-0000-0000602A0000}"/>
    <cellStyle name="60% - Énfasis2 39 11" xfId="10905" xr:uid="{00000000-0005-0000-0000-0000612A0000}"/>
    <cellStyle name="60% - Énfasis2 39 12" xfId="10906" xr:uid="{00000000-0005-0000-0000-0000622A0000}"/>
    <cellStyle name="60% - Énfasis2 39 13" xfId="10907" xr:uid="{00000000-0005-0000-0000-0000632A0000}"/>
    <cellStyle name="60% - Énfasis2 39 14" xfId="10908" xr:uid="{00000000-0005-0000-0000-0000642A0000}"/>
    <cellStyle name="60% - Énfasis2 39 15" xfId="10909" xr:uid="{00000000-0005-0000-0000-0000652A0000}"/>
    <cellStyle name="60% - Énfasis2 39 16" xfId="10910" xr:uid="{00000000-0005-0000-0000-0000662A0000}"/>
    <cellStyle name="60% - Énfasis2 39 2" xfId="10911" xr:uid="{00000000-0005-0000-0000-0000672A0000}"/>
    <cellStyle name="60% - Énfasis2 39 3" xfId="10912" xr:uid="{00000000-0005-0000-0000-0000682A0000}"/>
    <cellStyle name="60% - Énfasis2 39 4" xfId="10913" xr:uid="{00000000-0005-0000-0000-0000692A0000}"/>
    <cellStyle name="60% - Énfasis2 39 5" xfId="10914" xr:uid="{00000000-0005-0000-0000-00006A2A0000}"/>
    <cellStyle name="60% - Énfasis2 39 6" xfId="10915" xr:uid="{00000000-0005-0000-0000-00006B2A0000}"/>
    <cellStyle name="60% - Énfasis2 39 7" xfId="10916" xr:uid="{00000000-0005-0000-0000-00006C2A0000}"/>
    <cellStyle name="60% - Énfasis2 39 8" xfId="10917" xr:uid="{00000000-0005-0000-0000-00006D2A0000}"/>
    <cellStyle name="60% - Énfasis2 39 9" xfId="10918" xr:uid="{00000000-0005-0000-0000-00006E2A0000}"/>
    <cellStyle name="60% - Énfasis2 4 10" xfId="10919" xr:uid="{00000000-0005-0000-0000-00006F2A0000}"/>
    <cellStyle name="60% - Énfasis2 4 11" xfId="10920" xr:uid="{00000000-0005-0000-0000-0000702A0000}"/>
    <cellStyle name="60% - Énfasis2 4 12" xfId="10921" xr:uid="{00000000-0005-0000-0000-0000712A0000}"/>
    <cellStyle name="60% - Énfasis2 4 13" xfId="10922" xr:uid="{00000000-0005-0000-0000-0000722A0000}"/>
    <cellStyle name="60% - Énfasis2 4 14" xfId="10923" xr:uid="{00000000-0005-0000-0000-0000732A0000}"/>
    <cellStyle name="60% - Énfasis2 4 15" xfId="10924" xr:uid="{00000000-0005-0000-0000-0000742A0000}"/>
    <cellStyle name="60% - Énfasis2 4 16" xfId="10925" xr:uid="{00000000-0005-0000-0000-0000752A0000}"/>
    <cellStyle name="60% - Énfasis2 4 17" xfId="10926" xr:uid="{00000000-0005-0000-0000-0000762A0000}"/>
    <cellStyle name="60% - Énfasis2 4 18" xfId="10927" xr:uid="{00000000-0005-0000-0000-0000772A0000}"/>
    <cellStyle name="60% - Énfasis2 4 19" xfId="10928" xr:uid="{00000000-0005-0000-0000-0000782A0000}"/>
    <cellStyle name="60% - Énfasis2 4 2" xfId="10929" xr:uid="{00000000-0005-0000-0000-0000792A0000}"/>
    <cellStyle name="60% - Énfasis2 4 2 2" xfId="10930" xr:uid="{00000000-0005-0000-0000-00007A2A0000}"/>
    <cellStyle name="60% - Énfasis2 4 3" xfId="10931" xr:uid="{00000000-0005-0000-0000-00007B2A0000}"/>
    <cellStyle name="60% - Énfasis2 4 3 2" xfId="10932" xr:uid="{00000000-0005-0000-0000-00007C2A0000}"/>
    <cellStyle name="60% - Énfasis2 4 4" xfId="10933" xr:uid="{00000000-0005-0000-0000-00007D2A0000}"/>
    <cellStyle name="60% - Énfasis2 4 4 2" xfId="10934" xr:uid="{00000000-0005-0000-0000-00007E2A0000}"/>
    <cellStyle name="60% - Énfasis2 4 5" xfId="10935" xr:uid="{00000000-0005-0000-0000-00007F2A0000}"/>
    <cellStyle name="60% - Énfasis2 4 6" xfId="10936" xr:uid="{00000000-0005-0000-0000-0000802A0000}"/>
    <cellStyle name="60% - Énfasis2 4 7" xfId="10937" xr:uid="{00000000-0005-0000-0000-0000812A0000}"/>
    <cellStyle name="60% - Énfasis2 4 8" xfId="10938" xr:uid="{00000000-0005-0000-0000-0000822A0000}"/>
    <cellStyle name="60% - Énfasis2 4 9" xfId="10939" xr:uid="{00000000-0005-0000-0000-0000832A0000}"/>
    <cellStyle name="60% - Énfasis2 40" xfId="10940" xr:uid="{00000000-0005-0000-0000-0000842A0000}"/>
    <cellStyle name="60% - Énfasis2 40 10" xfId="10941" xr:uid="{00000000-0005-0000-0000-0000852A0000}"/>
    <cellStyle name="60% - Énfasis2 40 11" xfId="10942" xr:uid="{00000000-0005-0000-0000-0000862A0000}"/>
    <cellStyle name="60% - Énfasis2 40 12" xfId="10943" xr:uid="{00000000-0005-0000-0000-0000872A0000}"/>
    <cellStyle name="60% - Énfasis2 40 13" xfId="10944" xr:uid="{00000000-0005-0000-0000-0000882A0000}"/>
    <cellStyle name="60% - Énfasis2 40 14" xfId="10945" xr:uid="{00000000-0005-0000-0000-0000892A0000}"/>
    <cellStyle name="60% - Énfasis2 40 15" xfId="10946" xr:uid="{00000000-0005-0000-0000-00008A2A0000}"/>
    <cellStyle name="60% - Énfasis2 40 16" xfId="10947" xr:uid="{00000000-0005-0000-0000-00008B2A0000}"/>
    <cellStyle name="60% - Énfasis2 40 2" xfId="10948" xr:uid="{00000000-0005-0000-0000-00008C2A0000}"/>
    <cellStyle name="60% - Énfasis2 40 3" xfId="10949" xr:uid="{00000000-0005-0000-0000-00008D2A0000}"/>
    <cellStyle name="60% - Énfasis2 40 4" xfId="10950" xr:uid="{00000000-0005-0000-0000-00008E2A0000}"/>
    <cellStyle name="60% - Énfasis2 40 5" xfId="10951" xr:uid="{00000000-0005-0000-0000-00008F2A0000}"/>
    <cellStyle name="60% - Énfasis2 40 6" xfId="10952" xr:uid="{00000000-0005-0000-0000-0000902A0000}"/>
    <cellStyle name="60% - Énfasis2 40 7" xfId="10953" xr:uid="{00000000-0005-0000-0000-0000912A0000}"/>
    <cellStyle name="60% - Énfasis2 40 8" xfId="10954" xr:uid="{00000000-0005-0000-0000-0000922A0000}"/>
    <cellStyle name="60% - Énfasis2 40 9" xfId="10955" xr:uid="{00000000-0005-0000-0000-0000932A0000}"/>
    <cellStyle name="60% - Énfasis2 41" xfId="10956" xr:uid="{00000000-0005-0000-0000-0000942A0000}"/>
    <cellStyle name="60% - Énfasis2 41 10" xfId="10957" xr:uid="{00000000-0005-0000-0000-0000952A0000}"/>
    <cellStyle name="60% - Énfasis2 41 11" xfId="10958" xr:uid="{00000000-0005-0000-0000-0000962A0000}"/>
    <cellStyle name="60% - Énfasis2 41 12" xfId="10959" xr:uid="{00000000-0005-0000-0000-0000972A0000}"/>
    <cellStyle name="60% - Énfasis2 41 13" xfId="10960" xr:uid="{00000000-0005-0000-0000-0000982A0000}"/>
    <cellStyle name="60% - Énfasis2 41 14" xfId="10961" xr:uid="{00000000-0005-0000-0000-0000992A0000}"/>
    <cellStyle name="60% - Énfasis2 41 15" xfId="10962" xr:uid="{00000000-0005-0000-0000-00009A2A0000}"/>
    <cellStyle name="60% - Énfasis2 41 16" xfId="10963" xr:uid="{00000000-0005-0000-0000-00009B2A0000}"/>
    <cellStyle name="60% - Énfasis2 41 2" xfId="10964" xr:uid="{00000000-0005-0000-0000-00009C2A0000}"/>
    <cellStyle name="60% - Énfasis2 41 3" xfId="10965" xr:uid="{00000000-0005-0000-0000-00009D2A0000}"/>
    <cellStyle name="60% - Énfasis2 41 4" xfId="10966" xr:uid="{00000000-0005-0000-0000-00009E2A0000}"/>
    <cellStyle name="60% - Énfasis2 41 5" xfId="10967" xr:uid="{00000000-0005-0000-0000-00009F2A0000}"/>
    <cellStyle name="60% - Énfasis2 41 6" xfId="10968" xr:uid="{00000000-0005-0000-0000-0000A02A0000}"/>
    <cellStyle name="60% - Énfasis2 41 7" xfId="10969" xr:uid="{00000000-0005-0000-0000-0000A12A0000}"/>
    <cellStyle name="60% - Énfasis2 41 8" xfId="10970" xr:uid="{00000000-0005-0000-0000-0000A22A0000}"/>
    <cellStyle name="60% - Énfasis2 41 9" xfId="10971" xr:uid="{00000000-0005-0000-0000-0000A32A0000}"/>
    <cellStyle name="60% - Énfasis2 42" xfId="10972" xr:uid="{00000000-0005-0000-0000-0000A42A0000}"/>
    <cellStyle name="60% - Énfasis2 43" xfId="10973" xr:uid="{00000000-0005-0000-0000-0000A52A0000}"/>
    <cellStyle name="60% - Énfasis2 44" xfId="10974" xr:uid="{00000000-0005-0000-0000-0000A62A0000}"/>
    <cellStyle name="60% - Énfasis2 45" xfId="10975" xr:uid="{00000000-0005-0000-0000-0000A72A0000}"/>
    <cellStyle name="60% - Énfasis2 46" xfId="10976" xr:uid="{00000000-0005-0000-0000-0000A82A0000}"/>
    <cellStyle name="60% - Énfasis2 47" xfId="10977" xr:uid="{00000000-0005-0000-0000-0000A92A0000}"/>
    <cellStyle name="60% - Énfasis2 48" xfId="10978" xr:uid="{00000000-0005-0000-0000-0000AA2A0000}"/>
    <cellStyle name="60% - Énfasis2 49" xfId="10979" xr:uid="{00000000-0005-0000-0000-0000AB2A0000}"/>
    <cellStyle name="60% - Énfasis2 5 10" xfId="10980" xr:uid="{00000000-0005-0000-0000-0000AC2A0000}"/>
    <cellStyle name="60% - Énfasis2 5 11" xfId="10981" xr:uid="{00000000-0005-0000-0000-0000AD2A0000}"/>
    <cellStyle name="60% - Énfasis2 5 12" xfId="10982" xr:uid="{00000000-0005-0000-0000-0000AE2A0000}"/>
    <cellStyle name="60% - Énfasis2 5 13" xfId="10983" xr:uid="{00000000-0005-0000-0000-0000AF2A0000}"/>
    <cellStyle name="60% - Énfasis2 5 14" xfId="10984" xr:uid="{00000000-0005-0000-0000-0000B02A0000}"/>
    <cellStyle name="60% - Énfasis2 5 15" xfId="10985" xr:uid="{00000000-0005-0000-0000-0000B12A0000}"/>
    <cellStyle name="60% - Énfasis2 5 16" xfId="10986" xr:uid="{00000000-0005-0000-0000-0000B22A0000}"/>
    <cellStyle name="60% - Énfasis2 5 17" xfId="10987" xr:uid="{00000000-0005-0000-0000-0000B32A0000}"/>
    <cellStyle name="60% - Énfasis2 5 18" xfId="10988" xr:uid="{00000000-0005-0000-0000-0000B42A0000}"/>
    <cellStyle name="60% - Énfasis2 5 19" xfId="10989" xr:uid="{00000000-0005-0000-0000-0000B52A0000}"/>
    <cellStyle name="60% - Énfasis2 5 2" xfId="10990" xr:uid="{00000000-0005-0000-0000-0000B62A0000}"/>
    <cellStyle name="60% - Énfasis2 5 2 2" xfId="10991" xr:uid="{00000000-0005-0000-0000-0000B72A0000}"/>
    <cellStyle name="60% - Énfasis2 5 3" xfId="10992" xr:uid="{00000000-0005-0000-0000-0000B82A0000}"/>
    <cellStyle name="60% - Énfasis2 5 3 2" xfId="10993" xr:uid="{00000000-0005-0000-0000-0000B92A0000}"/>
    <cellStyle name="60% - Énfasis2 5 4" xfId="10994" xr:uid="{00000000-0005-0000-0000-0000BA2A0000}"/>
    <cellStyle name="60% - Énfasis2 5 4 2" xfId="10995" xr:uid="{00000000-0005-0000-0000-0000BB2A0000}"/>
    <cellStyle name="60% - Énfasis2 5 5" xfId="10996" xr:uid="{00000000-0005-0000-0000-0000BC2A0000}"/>
    <cellStyle name="60% - Énfasis2 5 6" xfId="10997" xr:uid="{00000000-0005-0000-0000-0000BD2A0000}"/>
    <cellStyle name="60% - Énfasis2 5 7" xfId="10998" xr:uid="{00000000-0005-0000-0000-0000BE2A0000}"/>
    <cellStyle name="60% - Énfasis2 5 8" xfId="10999" xr:uid="{00000000-0005-0000-0000-0000BF2A0000}"/>
    <cellStyle name="60% - Énfasis2 5 9" xfId="11000" xr:uid="{00000000-0005-0000-0000-0000C02A0000}"/>
    <cellStyle name="60% - Énfasis2 50" xfId="11001" xr:uid="{00000000-0005-0000-0000-0000C12A0000}"/>
    <cellStyle name="60% - Énfasis2 51" xfId="11002" xr:uid="{00000000-0005-0000-0000-0000C22A0000}"/>
    <cellStyle name="60% - Énfasis2 52" xfId="11003" xr:uid="{00000000-0005-0000-0000-0000C32A0000}"/>
    <cellStyle name="60% - Énfasis2 53" xfId="11004" xr:uid="{00000000-0005-0000-0000-0000C42A0000}"/>
    <cellStyle name="60% - Énfasis2 54" xfId="11005" xr:uid="{00000000-0005-0000-0000-0000C52A0000}"/>
    <cellStyle name="60% - Énfasis2 55" xfId="11006" xr:uid="{00000000-0005-0000-0000-0000C62A0000}"/>
    <cellStyle name="60% - Énfasis2 56" xfId="11007" xr:uid="{00000000-0005-0000-0000-0000C72A0000}"/>
    <cellStyle name="60% - Énfasis2 57" xfId="11008" xr:uid="{00000000-0005-0000-0000-0000C82A0000}"/>
    <cellStyle name="60% - Énfasis2 58" xfId="11009" xr:uid="{00000000-0005-0000-0000-0000C92A0000}"/>
    <cellStyle name="60% - Énfasis2 59" xfId="11010" xr:uid="{00000000-0005-0000-0000-0000CA2A0000}"/>
    <cellStyle name="60% - Énfasis2 6 10" xfId="11011" xr:uid="{00000000-0005-0000-0000-0000CB2A0000}"/>
    <cellStyle name="60% - Énfasis2 6 11" xfId="11012" xr:uid="{00000000-0005-0000-0000-0000CC2A0000}"/>
    <cellStyle name="60% - Énfasis2 6 12" xfId="11013" xr:uid="{00000000-0005-0000-0000-0000CD2A0000}"/>
    <cellStyle name="60% - Énfasis2 6 13" xfId="11014" xr:uid="{00000000-0005-0000-0000-0000CE2A0000}"/>
    <cellStyle name="60% - Énfasis2 6 14" xfId="11015" xr:uid="{00000000-0005-0000-0000-0000CF2A0000}"/>
    <cellStyle name="60% - Énfasis2 6 15" xfId="11016" xr:uid="{00000000-0005-0000-0000-0000D02A0000}"/>
    <cellStyle name="60% - Énfasis2 6 16" xfId="11017" xr:uid="{00000000-0005-0000-0000-0000D12A0000}"/>
    <cellStyle name="60% - Énfasis2 6 17" xfId="11018" xr:uid="{00000000-0005-0000-0000-0000D22A0000}"/>
    <cellStyle name="60% - Énfasis2 6 18" xfId="11019" xr:uid="{00000000-0005-0000-0000-0000D32A0000}"/>
    <cellStyle name="60% - Énfasis2 6 19" xfId="11020" xr:uid="{00000000-0005-0000-0000-0000D42A0000}"/>
    <cellStyle name="60% - Énfasis2 6 2" xfId="11021" xr:uid="{00000000-0005-0000-0000-0000D52A0000}"/>
    <cellStyle name="60% - Énfasis2 6 2 2" xfId="11022" xr:uid="{00000000-0005-0000-0000-0000D62A0000}"/>
    <cellStyle name="60% - Énfasis2 6 3" xfId="11023" xr:uid="{00000000-0005-0000-0000-0000D72A0000}"/>
    <cellStyle name="60% - Énfasis2 6 3 2" xfId="11024" xr:uid="{00000000-0005-0000-0000-0000D82A0000}"/>
    <cellStyle name="60% - Énfasis2 6 4" xfId="11025" xr:uid="{00000000-0005-0000-0000-0000D92A0000}"/>
    <cellStyle name="60% - Énfasis2 6 4 2" xfId="11026" xr:uid="{00000000-0005-0000-0000-0000DA2A0000}"/>
    <cellStyle name="60% - Énfasis2 6 5" xfId="11027" xr:uid="{00000000-0005-0000-0000-0000DB2A0000}"/>
    <cellStyle name="60% - Énfasis2 6 6" xfId="11028" xr:uid="{00000000-0005-0000-0000-0000DC2A0000}"/>
    <cellStyle name="60% - Énfasis2 6 7" xfId="11029" xr:uid="{00000000-0005-0000-0000-0000DD2A0000}"/>
    <cellStyle name="60% - Énfasis2 6 8" xfId="11030" xr:uid="{00000000-0005-0000-0000-0000DE2A0000}"/>
    <cellStyle name="60% - Énfasis2 6 9" xfId="11031" xr:uid="{00000000-0005-0000-0000-0000DF2A0000}"/>
    <cellStyle name="60% - Énfasis2 60" xfId="11032" xr:uid="{00000000-0005-0000-0000-0000E02A0000}"/>
    <cellStyle name="60% - Énfasis2 61" xfId="11033" xr:uid="{00000000-0005-0000-0000-0000E12A0000}"/>
    <cellStyle name="60% - Énfasis2 62" xfId="11034" xr:uid="{00000000-0005-0000-0000-0000E22A0000}"/>
    <cellStyle name="60% - Énfasis2 63" xfId="11035" xr:uid="{00000000-0005-0000-0000-0000E32A0000}"/>
    <cellStyle name="60% - Énfasis2 64" xfId="11036" xr:uid="{00000000-0005-0000-0000-0000E42A0000}"/>
    <cellStyle name="60% - Énfasis2 7 10" xfId="11037" xr:uid="{00000000-0005-0000-0000-0000E52A0000}"/>
    <cellStyle name="60% - Énfasis2 7 11" xfId="11038" xr:uid="{00000000-0005-0000-0000-0000E62A0000}"/>
    <cellStyle name="60% - Énfasis2 7 12" xfId="11039" xr:uid="{00000000-0005-0000-0000-0000E72A0000}"/>
    <cellStyle name="60% - Énfasis2 7 13" xfId="11040" xr:uid="{00000000-0005-0000-0000-0000E82A0000}"/>
    <cellStyle name="60% - Énfasis2 7 14" xfId="11041" xr:uid="{00000000-0005-0000-0000-0000E92A0000}"/>
    <cellStyle name="60% - Énfasis2 7 15" xfId="11042" xr:uid="{00000000-0005-0000-0000-0000EA2A0000}"/>
    <cellStyle name="60% - Énfasis2 7 16" xfId="11043" xr:uid="{00000000-0005-0000-0000-0000EB2A0000}"/>
    <cellStyle name="60% - Énfasis2 7 17" xfId="11044" xr:uid="{00000000-0005-0000-0000-0000EC2A0000}"/>
    <cellStyle name="60% - Énfasis2 7 18" xfId="11045" xr:uid="{00000000-0005-0000-0000-0000ED2A0000}"/>
    <cellStyle name="60% - Énfasis2 7 19" xfId="11046" xr:uid="{00000000-0005-0000-0000-0000EE2A0000}"/>
    <cellStyle name="60% - Énfasis2 7 2" xfId="11047" xr:uid="{00000000-0005-0000-0000-0000EF2A0000}"/>
    <cellStyle name="60% - Énfasis2 7 2 2" xfId="11048" xr:uid="{00000000-0005-0000-0000-0000F02A0000}"/>
    <cellStyle name="60% - Énfasis2 7 3" xfId="11049" xr:uid="{00000000-0005-0000-0000-0000F12A0000}"/>
    <cellStyle name="60% - Énfasis2 7 3 2" xfId="11050" xr:uid="{00000000-0005-0000-0000-0000F22A0000}"/>
    <cellStyle name="60% - Énfasis2 7 4" xfId="11051" xr:uid="{00000000-0005-0000-0000-0000F32A0000}"/>
    <cellStyle name="60% - Énfasis2 7 4 2" xfId="11052" xr:uid="{00000000-0005-0000-0000-0000F42A0000}"/>
    <cellStyle name="60% - Énfasis2 7 5" xfId="11053" xr:uid="{00000000-0005-0000-0000-0000F52A0000}"/>
    <cellStyle name="60% - Énfasis2 7 6" xfId="11054" xr:uid="{00000000-0005-0000-0000-0000F62A0000}"/>
    <cellStyle name="60% - Énfasis2 7 7" xfId="11055" xr:uid="{00000000-0005-0000-0000-0000F72A0000}"/>
    <cellStyle name="60% - Énfasis2 7 8" xfId="11056" xr:uid="{00000000-0005-0000-0000-0000F82A0000}"/>
    <cellStyle name="60% - Énfasis2 7 9" xfId="11057" xr:uid="{00000000-0005-0000-0000-0000F92A0000}"/>
    <cellStyle name="60% - Énfasis2 8 10" xfId="11058" xr:uid="{00000000-0005-0000-0000-0000FA2A0000}"/>
    <cellStyle name="60% - Énfasis2 8 11" xfId="11059" xr:uid="{00000000-0005-0000-0000-0000FB2A0000}"/>
    <cellStyle name="60% - Énfasis2 8 12" xfId="11060" xr:uid="{00000000-0005-0000-0000-0000FC2A0000}"/>
    <cellStyle name="60% - Énfasis2 8 13" xfId="11061" xr:uid="{00000000-0005-0000-0000-0000FD2A0000}"/>
    <cellStyle name="60% - Énfasis2 8 14" xfId="11062" xr:uid="{00000000-0005-0000-0000-0000FE2A0000}"/>
    <cellStyle name="60% - Énfasis2 8 15" xfId="11063" xr:uid="{00000000-0005-0000-0000-0000FF2A0000}"/>
    <cellStyle name="60% - Énfasis2 8 16" xfId="11064" xr:uid="{00000000-0005-0000-0000-0000002B0000}"/>
    <cellStyle name="60% - Énfasis2 8 17" xfId="11065" xr:uid="{00000000-0005-0000-0000-0000012B0000}"/>
    <cellStyle name="60% - Énfasis2 8 18" xfId="11066" xr:uid="{00000000-0005-0000-0000-0000022B0000}"/>
    <cellStyle name="60% - Énfasis2 8 19" xfId="11067" xr:uid="{00000000-0005-0000-0000-0000032B0000}"/>
    <cellStyle name="60% - Énfasis2 8 2" xfId="11068" xr:uid="{00000000-0005-0000-0000-0000042B0000}"/>
    <cellStyle name="60% - Énfasis2 8 2 2" xfId="11069" xr:uid="{00000000-0005-0000-0000-0000052B0000}"/>
    <cellStyle name="60% - Énfasis2 8 3" xfId="11070" xr:uid="{00000000-0005-0000-0000-0000062B0000}"/>
    <cellStyle name="60% - Énfasis2 8 3 2" xfId="11071" xr:uid="{00000000-0005-0000-0000-0000072B0000}"/>
    <cellStyle name="60% - Énfasis2 8 4" xfId="11072" xr:uid="{00000000-0005-0000-0000-0000082B0000}"/>
    <cellStyle name="60% - Énfasis2 8 4 2" xfId="11073" xr:uid="{00000000-0005-0000-0000-0000092B0000}"/>
    <cellStyle name="60% - Énfasis2 8 5" xfId="11074" xr:uid="{00000000-0005-0000-0000-00000A2B0000}"/>
    <cellStyle name="60% - Énfasis2 8 6" xfId="11075" xr:uid="{00000000-0005-0000-0000-00000B2B0000}"/>
    <cellStyle name="60% - Énfasis2 8 7" xfId="11076" xr:uid="{00000000-0005-0000-0000-00000C2B0000}"/>
    <cellStyle name="60% - Énfasis2 8 8" xfId="11077" xr:uid="{00000000-0005-0000-0000-00000D2B0000}"/>
    <cellStyle name="60% - Énfasis2 8 9" xfId="11078" xr:uid="{00000000-0005-0000-0000-00000E2B0000}"/>
    <cellStyle name="60% - Énfasis2 9 10" xfId="11079" xr:uid="{00000000-0005-0000-0000-00000F2B0000}"/>
    <cellStyle name="60% - Énfasis2 9 11" xfId="11080" xr:uid="{00000000-0005-0000-0000-0000102B0000}"/>
    <cellStyle name="60% - Énfasis2 9 12" xfId="11081" xr:uid="{00000000-0005-0000-0000-0000112B0000}"/>
    <cellStyle name="60% - Énfasis2 9 13" xfId="11082" xr:uid="{00000000-0005-0000-0000-0000122B0000}"/>
    <cellStyle name="60% - Énfasis2 9 14" xfId="11083" xr:uid="{00000000-0005-0000-0000-0000132B0000}"/>
    <cellStyle name="60% - Énfasis2 9 15" xfId="11084" xr:uid="{00000000-0005-0000-0000-0000142B0000}"/>
    <cellStyle name="60% - Énfasis2 9 16" xfId="11085" xr:uid="{00000000-0005-0000-0000-0000152B0000}"/>
    <cellStyle name="60% - Énfasis2 9 17" xfId="11086" xr:uid="{00000000-0005-0000-0000-0000162B0000}"/>
    <cellStyle name="60% - Énfasis2 9 18" xfId="11087" xr:uid="{00000000-0005-0000-0000-0000172B0000}"/>
    <cellStyle name="60% - Énfasis2 9 19" xfId="11088" xr:uid="{00000000-0005-0000-0000-0000182B0000}"/>
    <cellStyle name="60% - Énfasis2 9 2" xfId="11089" xr:uid="{00000000-0005-0000-0000-0000192B0000}"/>
    <cellStyle name="60% - Énfasis2 9 2 2" xfId="11090" xr:uid="{00000000-0005-0000-0000-00001A2B0000}"/>
    <cellStyle name="60% - Énfasis2 9 3" xfId="11091" xr:uid="{00000000-0005-0000-0000-00001B2B0000}"/>
    <cellStyle name="60% - Énfasis2 9 3 2" xfId="11092" xr:uid="{00000000-0005-0000-0000-00001C2B0000}"/>
    <cellStyle name="60% - Énfasis2 9 4" xfId="11093" xr:uid="{00000000-0005-0000-0000-00001D2B0000}"/>
    <cellStyle name="60% - Énfasis2 9 4 2" xfId="11094" xr:uid="{00000000-0005-0000-0000-00001E2B0000}"/>
    <cellStyle name="60% - Énfasis2 9 5" xfId="11095" xr:uid="{00000000-0005-0000-0000-00001F2B0000}"/>
    <cellStyle name="60% - Énfasis2 9 6" xfId="11096" xr:uid="{00000000-0005-0000-0000-0000202B0000}"/>
    <cellStyle name="60% - Énfasis2 9 7" xfId="11097" xr:uid="{00000000-0005-0000-0000-0000212B0000}"/>
    <cellStyle name="60% - Énfasis2 9 8" xfId="11098" xr:uid="{00000000-0005-0000-0000-0000222B0000}"/>
    <cellStyle name="60% - Énfasis2 9 9" xfId="11099" xr:uid="{00000000-0005-0000-0000-0000232B0000}"/>
    <cellStyle name="60% - Énfasis3" xfId="32539" builtinId="40" customBuiltin="1"/>
    <cellStyle name="60% - Énfasis3 10 10" xfId="11100" xr:uid="{00000000-0005-0000-0000-0000252B0000}"/>
    <cellStyle name="60% - Énfasis3 10 11" xfId="11101" xr:uid="{00000000-0005-0000-0000-0000262B0000}"/>
    <cellStyle name="60% - Énfasis3 10 12" xfId="11102" xr:uid="{00000000-0005-0000-0000-0000272B0000}"/>
    <cellStyle name="60% - Énfasis3 10 13" xfId="11103" xr:uid="{00000000-0005-0000-0000-0000282B0000}"/>
    <cellStyle name="60% - Énfasis3 10 14" xfId="11104" xr:uid="{00000000-0005-0000-0000-0000292B0000}"/>
    <cellStyle name="60% - Énfasis3 10 15" xfId="11105" xr:uid="{00000000-0005-0000-0000-00002A2B0000}"/>
    <cellStyle name="60% - Énfasis3 10 16" xfId="11106" xr:uid="{00000000-0005-0000-0000-00002B2B0000}"/>
    <cellStyle name="60% - Énfasis3 10 17" xfId="11107" xr:uid="{00000000-0005-0000-0000-00002C2B0000}"/>
    <cellStyle name="60% - Énfasis3 10 18" xfId="11108" xr:uid="{00000000-0005-0000-0000-00002D2B0000}"/>
    <cellStyle name="60% - Énfasis3 10 19" xfId="11109" xr:uid="{00000000-0005-0000-0000-00002E2B0000}"/>
    <cellStyle name="60% - Énfasis3 10 2" xfId="11110" xr:uid="{00000000-0005-0000-0000-00002F2B0000}"/>
    <cellStyle name="60% - Énfasis3 10 2 2" xfId="11111" xr:uid="{00000000-0005-0000-0000-0000302B0000}"/>
    <cellStyle name="60% - Énfasis3 10 3" xfId="11112" xr:uid="{00000000-0005-0000-0000-0000312B0000}"/>
    <cellStyle name="60% - Énfasis3 10 3 2" xfId="11113" xr:uid="{00000000-0005-0000-0000-0000322B0000}"/>
    <cellStyle name="60% - Énfasis3 10 4" xfId="11114" xr:uid="{00000000-0005-0000-0000-0000332B0000}"/>
    <cellStyle name="60% - Énfasis3 10 4 2" xfId="11115" xr:uid="{00000000-0005-0000-0000-0000342B0000}"/>
    <cellStyle name="60% - Énfasis3 10 5" xfId="11116" xr:uid="{00000000-0005-0000-0000-0000352B0000}"/>
    <cellStyle name="60% - Énfasis3 10 6" xfId="11117" xr:uid="{00000000-0005-0000-0000-0000362B0000}"/>
    <cellStyle name="60% - Énfasis3 10 7" xfId="11118" xr:uid="{00000000-0005-0000-0000-0000372B0000}"/>
    <cellStyle name="60% - Énfasis3 10 8" xfId="11119" xr:uid="{00000000-0005-0000-0000-0000382B0000}"/>
    <cellStyle name="60% - Énfasis3 10 9" xfId="11120" xr:uid="{00000000-0005-0000-0000-0000392B0000}"/>
    <cellStyle name="60% - Énfasis3 11 10" xfId="11121" xr:uid="{00000000-0005-0000-0000-00003A2B0000}"/>
    <cellStyle name="60% - Énfasis3 11 11" xfId="11122" xr:uid="{00000000-0005-0000-0000-00003B2B0000}"/>
    <cellStyle name="60% - Énfasis3 11 12" xfId="11123" xr:uid="{00000000-0005-0000-0000-00003C2B0000}"/>
    <cellStyle name="60% - Énfasis3 11 13" xfId="11124" xr:uid="{00000000-0005-0000-0000-00003D2B0000}"/>
    <cellStyle name="60% - Énfasis3 11 14" xfId="11125" xr:uid="{00000000-0005-0000-0000-00003E2B0000}"/>
    <cellStyle name="60% - Énfasis3 11 15" xfId="11126" xr:uid="{00000000-0005-0000-0000-00003F2B0000}"/>
    <cellStyle name="60% - Énfasis3 11 16" xfId="11127" xr:uid="{00000000-0005-0000-0000-0000402B0000}"/>
    <cellStyle name="60% - Énfasis3 11 17" xfId="11128" xr:uid="{00000000-0005-0000-0000-0000412B0000}"/>
    <cellStyle name="60% - Énfasis3 11 18" xfId="11129" xr:uid="{00000000-0005-0000-0000-0000422B0000}"/>
    <cellStyle name="60% - Énfasis3 11 19" xfId="11130" xr:uid="{00000000-0005-0000-0000-0000432B0000}"/>
    <cellStyle name="60% - Énfasis3 11 2" xfId="11131" xr:uid="{00000000-0005-0000-0000-0000442B0000}"/>
    <cellStyle name="60% - Énfasis3 11 2 2" xfId="11132" xr:uid="{00000000-0005-0000-0000-0000452B0000}"/>
    <cellStyle name="60% - Énfasis3 11 3" xfId="11133" xr:uid="{00000000-0005-0000-0000-0000462B0000}"/>
    <cellStyle name="60% - Énfasis3 11 3 2" xfId="11134" xr:uid="{00000000-0005-0000-0000-0000472B0000}"/>
    <cellStyle name="60% - Énfasis3 11 4" xfId="11135" xr:uid="{00000000-0005-0000-0000-0000482B0000}"/>
    <cellStyle name="60% - Énfasis3 11 4 2" xfId="11136" xr:uid="{00000000-0005-0000-0000-0000492B0000}"/>
    <cellStyle name="60% - Énfasis3 11 5" xfId="11137" xr:uid="{00000000-0005-0000-0000-00004A2B0000}"/>
    <cellStyle name="60% - Énfasis3 11 6" xfId="11138" xr:uid="{00000000-0005-0000-0000-00004B2B0000}"/>
    <cellStyle name="60% - Énfasis3 11 7" xfId="11139" xr:uid="{00000000-0005-0000-0000-00004C2B0000}"/>
    <cellStyle name="60% - Énfasis3 11 8" xfId="11140" xr:uid="{00000000-0005-0000-0000-00004D2B0000}"/>
    <cellStyle name="60% - Énfasis3 11 9" xfId="11141" xr:uid="{00000000-0005-0000-0000-00004E2B0000}"/>
    <cellStyle name="60% - Énfasis3 12 10" xfId="11142" xr:uid="{00000000-0005-0000-0000-00004F2B0000}"/>
    <cellStyle name="60% - Énfasis3 12 11" xfId="11143" xr:uid="{00000000-0005-0000-0000-0000502B0000}"/>
    <cellStyle name="60% - Énfasis3 12 12" xfId="11144" xr:uid="{00000000-0005-0000-0000-0000512B0000}"/>
    <cellStyle name="60% - Énfasis3 12 13" xfId="11145" xr:uid="{00000000-0005-0000-0000-0000522B0000}"/>
    <cellStyle name="60% - Énfasis3 12 14" xfId="11146" xr:uid="{00000000-0005-0000-0000-0000532B0000}"/>
    <cellStyle name="60% - Énfasis3 12 15" xfId="11147" xr:uid="{00000000-0005-0000-0000-0000542B0000}"/>
    <cellStyle name="60% - Énfasis3 12 16" xfId="11148" xr:uid="{00000000-0005-0000-0000-0000552B0000}"/>
    <cellStyle name="60% - Énfasis3 12 17" xfId="11149" xr:uid="{00000000-0005-0000-0000-0000562B0000}"/>
    <cellStyle name="60% - Énfasis3 12 18" xfId="11150" xr:uid="{00000000-0005-0000-0000-0000572B0000}"/>
    <cellStyle name="60% - Énfasis3 12 19" xfId="11151" xr:uid="{00000000-0005-0000-0000-0000582B0000}"/>
    <cellStyle name="60% - Énfasis3 12 2" xfId="11152" xr:uid="{00000000-0005-0000-0000-0000592B0000}"/>
    <cellStyle name="60% - Énfasis3 12 2 2" xfId="11153" xr:uid="{00000000-0005-0000-0000-00005A2B0000}"/>
    <cellStyle name="60% - Énfasis3 12 3" xfId="11154" xr:uid="{00000000-0005-0000-0000-00005B2B0000}"/>
    <cellStyle name="60% - Énfasis3 12 3 2" xfId="11155" xr:uid="{00000000-0005-0000-0000-00005C2B0000}"/>
    <cellStyle name="60% - Énfasis3 12 4" xfId="11156" xr:uid="{00000000-0005-0000-0000-00005D2B0000}"/>
    <cellStyle name="60% - Énfasis3 12 4 2" xfId="11157" xr:uid="{00000000-0005-0000-0000-00005E2B0000}"/>
    <cellStyle name="60% - Énfasis3 12 5" xfId="11158" xr:uid="{00000000-0005-0000-0000-00005F2B0000}"/>
    <cellStyle name="60% - Énfasis3 12 6" xfId="11159" xr:uid="{00000000-0005-0000-0000-0000602B0000}"/>
    <cellStyle name="60% - Énfasis3 12 7" xfId="11160" xr:uid="{00000000-0005-0000-0000-0000612B0000}"/>
    <cellStyle name="60% - Énfasis3 12 8" xfId="11161" xr:uid="{00000000-0005-0000-0000-0000622B0000}"/>
    <cellStyle name="60% - Énfasis3 12 9" xfId="11162" xr:uid="{00000000-0005-0000-0000-0000632B0000}"/>
    <cellStyle name="60% - Énfasis3 13 10" xfId="11163" xr:uid="{00000000-0005-0000-0000-0000642B0000}"/>
    <cellStyle name="60% - Énfasis3 13 11" xfId="11164" xr:uid="{00000000-0005-0000-0000-0000652B0000}"/>
    <cellStyle name="60% - Énfasis3 13 12" xfId="11165" xr:uid="{00000000-0005-0000-0000-0000662B0000}"/>
    <cellStyle name="60% - Énfasis3 13 13" xfId="11166" xr:uid="{00000000-0005-0000-0000-0000672B0000}"/>
    <cellStyle name="60% - Énfasis3 13 14" xfId="11167" xr:uid="{00000000-0005-0000-0000-0000682B0000}"/>
    <cellStyle name="60% - Énfasis3 13 15" xfId="11168" xr:uid="{00000000-0005-0000-0000-0000692B0000}"/>
    <cellStyle name="60% - Énfasis3 13 16" xfId="11169" xr:uid="{00000000-0005-0000-0000-00006A2B0000}"/>
    <cellStyle name="60% - Énfasis3 13 17" xfId="11170" xr:uid="{00000000-0005-0000-0000-00006B2B0000}"/>
    <cellStyle name="60% - Énfasis3 13 18" xfId="11171" xr:uid="{00000000-0005-0000-0000-00006C2B0000}"/>
    <cellStyle name="60% - Énfasis3 13 19" xfId="11172" xr:uid="{00000000-0005-0000-0000-00006D2B0000}"/>
    <cellStyle name="60% - Énfasis3 13 2" xfId="11173" xr:uid="{00000000-0005-0000-0000-00006E2B0000}"/>
    <cellStyle name="60% - Énfasis3 13 2 2" xfId="11174" xr:uid="{00000000-0005-0000-0000-00006F2B0000}"/>
    <cellStyle name="60% - Énfasis3 13 3" xfId="11175" xr:uid="{00000000-0005-0000-0000-0000702B0000}"/>
    <cellStyle name="60% - Énfasis3 13 3 2" xfId="11176" xr:uid="{00000000-0005-0000-0000-0000712B0000}"/>
    <cellStyle name="60% - Énfasis3 13 4" xfId="11177" xr:uid="{00000000-0005-0000-0000-0000722B0000}"/>
    <cellStyle name="60% - Énfasis3 13 4 2" xfId="11178" xr:uid="{00000000-0005-0000-0000-0000732B0000}"/>
    <cellStyle name="60% - Énfasis3 13 5" xfId="11179" xr:uid="{00000000-0005-0000-0000-0000742B0000}"/>
    <cellStyle name="60% - Énfasis3 13 6" xfId="11180" xr:uid="{00000000-0005-0000-0000-0000752B0000}"/>
    <cellStyle name="60% - Énfasis3 13 7" xfId="11181" xr:uid="{00000000-0005-0000-0000-0000762B0000}"/>
    <cellStyle name="60% - Énfasis3 13 8" xfId="11182" xr:uid="{00000000-0005-0000-0000-0000772B0000}"/>
    <cellStyle name="60% - Énfasis3 13 9" xfId="11183" xr:uid="{00000000-0005-0000-0000-0000782B0000}"/>
    <cellStyle name="60% - Énfasis3 14 10" xfId="11184" xr:uid="{00000000-0005-0000-0000-0000792B0000}"/>
    <cellStyle name="60% - Énfasis3 14 11" xfId="11185" xr:uid="{00000000-0005-0000-0000-00007A2B0000}"/>
    <cellStyle name="60% - Énfasis3 14 12" xfId="11186" xr:uid="{00000000-0005-0000-0000-00007B2B0000}"/>
    <cellStyle name="60% - Énfasis3 14 13" xfId="11187" xr:uid="{00000000-0005-0000-0000-00007C2B0000}"/>
    <cellStyle name="60% - Énfasis3 14 14" xfId="11188" xr:uid="{00000000-0005-0000-0000-00007D2B0000}"/>
    <cellStyle name="60% - Énfasis3 14 15" xfId="11189" xr:uid="{00000000-0005-0000-0000-00007E2B0000}"/>
    <cellStyle name="60% - Énfasis3 14 16" xfId="11190" xr:uid="{00000000-0005-0000-0000-00007F2B0000}"/>
    <cellStyle name="60% - Énfasis3 14 17" xfId="11191" xr:uid="{00000000-0005-0000-0000-0000802B0000}"/>
    <cellStyle name="60% - Énfasis3 14 18" xfId="11192" xr:uid="{00000000-0005-0000-0000-0000812B0000}"/>
    <cellStyle name="60% - Énfasis3 14 19" xfId="11193" xr:uid="{00000000-0005-0000-0000-0000822B0000}"/>
    <cellStyle name="60% - Énfasis3 14 2" xfId="11194" xr:uid="{00000000-0005-0000-0000-0000832B0000}"/>
    <cellStyle name="60% - Énfasis3 14 2 2" xfId="11195" xr:uid="{00000000-0005-0000-0000-0000842B0000}"/>
    <cellStyle name="60% - Énfasis3 14 3" xfId="11196" xr:uid="{00000000-0005-0000-0000-0000852B0000}"/>
    <cellStyle name="60% - Énfasis3 14 3 2" xfId="11197" xr:uid="{00000000-0005-0000-0000-0000862B0000}"/>
    <cellStyle name="60% - Énfasis3 14 4" xfId="11198" xr:uid="{00000000-0005-0000-0000-0000872B0000}"/>
    <cellStyle name="60% - Énfasis3 14 4 2" xfId="11199" xr:uid="{00000000-0005-0000-0000-0000882B0000}"/>
    <cellStyle name="60% - Énfasis3 14 5" xfId="11200" xr:uid="{00000000-0005-0000-0000-0000892B0000}"/>
    <cellStyle name="60% - Énfasis3 14 6" xfId="11201" xr:uid="{00000000-0005-0000-0000-00008A2B0000}"/>
    <cellStyle name="60% - Énfasis3 14 7" xfId="11202" xr:uid="{00000000-0005-0000-0000-00008B2B0000}"/>
    <cellStyle name="60% - Énfasis3 14 8" xfId="11203" xr:uid="{00000000-0005-0000-0000-00008C2B0000}"/>
    <cellStyle name="60% - Énfasis3 14 9" xfId="11204" xr:uid="{00000000-0005-0000-0000-00008D2B0000}"/>
    <cellStyle name="60% - Énfasis3 15 10" xfId="11205" xr:uid="{00000000-0005-0000-0000-00008E2B0000}"/>
    <cellStyle name="60% - Énfasis3 15 11" xfId="11206" xr:uid="{00000000-0005-0000-0000-00008F2B0000}"/>
    <cellStyle name="60% - Énfasis3 15 12" xfId="11207" xr:uid="{00000000-0005-0000-0000-0000902B0000}"/>
    <cellStyle name="60% - Énfasis3 15 13" xfId="11208" xr:uid="{00000000-0005-0000-0000-0000912B0000}"/>
    <cellStyle name="60% - Énfasis3 15 14" xfId="11209" xr:uid="{00000000-0005-0000-0000-0000922B0000}"/>
    <cellStyle name="60% - Énfasis3 15 15" xfId="11210" xr:uid="{00000000-0005-0000-0000-0000932B0000}"/>
    <cellStyle name="60% - Énfasis3 15 16" xfId="11211" xr:uid="{00000000-0005-0000-0000-0000942B0000}"/>
    <cellStyle name="60% - Énfasis3 15 17" xfId="11212" xr:uid="{00000000-0005-0000-0000-0000952B0000}"/>
    <cellStyle name="60% - Énfasis3 15 18" xfId="11213" xr:uid="{00000000-0005-0000-0000-0000962B0000}"/>
    <cellStyle name="60% - Énfasis3 15 19" xfId="11214" xr:uid="{00000000-0005-0000-0000-0000972B0000}"/>
    <cellStyle name="60% - Énfasis3 15 2" xfId="11215" xr:uid="{00000000-0005-0000-0000-0000982B0000}"/>
    <cellStyle name="60% - Énfasis3 15 2 2" xfId="11216" xr:uid="{00000000-0005-0000-0000-0000992B0000}"/>
    <cellStyle name="60% - Énfasis3 15 3" xfId="11217" xr:uid="{00000000-0005-0000-0000-00009A2B0000}"/>
    <cellStyle name="60% - Énfasis3 15 3 2" xfId="11218" xr:uid="{00000000-0005-0000-0000-00009B2B0000}"/>
    <cellStyle name="60% - Énfasis3 15 4" xfId="11219" xr:uid="{00000000-0005-0000-0000-00009C2B0000}"/>
    <cellStyle name="60% - Énfasis3 15 4 2" xfId="11220" xr:uid="{00000000-0005-0000-0000-00009D2B0000}"/>
    <cellStyle name="60% - Énfasis3 15 5" xfId="11221" xr:uid="{00000000-0005-0000-0000-00009E2B0000}"/>
    <cellStyle name="60% - Énfasis3 15 6" xfId="11222" xr:uid="{00000000-0005-0000-0000-00009F2B0000}"/>
    <cellStyle name="60% - Énfasis3 15 7" xfId="11223" xr:uid="{00000000-0005-0000-0000-0000A02B0000}"/>
    <cellStyle name="60% - Énfasis3 15 8" xfId="11224" xr:uid="{00000000-0005-0000-0000-0000A12B0000}"/>
    <cellStyle name="60% - Énfasis3 15 9" xfId="11225" xr:uid="{00000000-0005-0000-0000-0000A22B0000}"/>
    <cellStyle name="60% - Énfasis3 16 10" xfId="11226" xr:uid="{00000000-0005-0000-0000-0000A32B0000}"/>
    <cellStyle name="60% - Énfasis3 16 11" xfId="11227" xr:uid="{00000000-0005-0000-0000-0000A42B0000}"/>
    <cellStyle name="60% - Énfasis3 16 12" xfId="11228" xr:uid="{00000000-0005-0000-0000-0000A52B0000}"/>
    <cellStyle name="60% - Énfasis3 16 13" xfId="11229" xr:uid="{00000000-0005-0000-0000-0000A62B0000}"/>
    <cellStyle name="60% - Énfasis3 16 14" xfId="11230" xr:uid="{00000000-0005-0000-0000-0000A72B0000}"/>
    <cellStyle name="60% - Énfasis3 16 15" xfId="11231" xr:uid="{00000000-0005-0000-0000-0000A82B0000}"/>
    <cellStyle name="60% - Énfasis3 16 16" xfId="11232" xr:uid="{00000000-0005-0000-0000-0000A92B0000}"/>
    <cellStyle name="60% - Énfasis3 16 17" xfId="11233" xr:uid="{00000000-0005-0000-0000-0000AA2B0000}"/>
    <cellStyle name="60% - Énfasis3 16 18" xfId="11234" xr:uid="{00000000-0005-0000-0000-0000AB2B0000}"/>
    <cellStyle name="60% - Énfasis3 16 19" xfId="11235" xr:uid="{00000000-0005-0000-0000-0000AC2B0000}"/>
    <cellStyle name="60% - Énfasis3 16 2" xfId="11236" xr:uid="{00000000-0005-0000-0000-0000AD2B0000}"/>
    <cellStyle name="60% - Énfasis3 16 2 2" xfId="11237" xr:uid="{00000000-0005-0000-0000-0000AE2B0000}"/>
    <cellStyle name="60% - Énfasis3 16 3" xfId="11238" xr:uid="{00000000-0005-0000-0000-0000AF2B0000}"/>
    <cellStyle name="60% - Énfasis3 16 3 2" xfId="11239" xr:uid="{00000000-0005-0000-0000-0000B02B0000}"/>
    <cellStyle name="60% - Énfasis3 16 4" xfId="11240" xr:uid="{00000000-0005-0000-0000-0000B12B0000}"/>
    <cellStyle name="60% - Énfasis3 16 4 2" xfId="11241" xr:uid="{00000000-0005-0000-0000-0000B22B0000}"/>
    <cellStyle name="60% - Énfasis3 16 5" xfId="11242" xr:uid="{00000000-0005-0000-0000-0000B32B0000}"/>
    <cellStyle name="60% - Énfasis3 16 6" xfId="11243" xr:uid="{00000000-0005-0000-0000-0000B42B0000}"/>
    <cellStyle name="60% - Énfasis3 16 7" xfId="11244" xr:uid="{00000000-0005-0000-0000-0000B52B0000}"/>
    <cellStyle name="60% - Énfasis3 16 8" xfId="11245" xr:uid="{00000000-0005-0000-0000-0000B62B0000}"/>
    <cellStyle name="60% - Énfasis3 16 9" xfId="11246" xr:uid="{00000000-0005-0000-0000-0000B72B0000}"/>
    <cellStyle name="60% - Énfasis3 17 10" xfId="11247" xr:uid="{00000000-0005-0000-0000-0000B82B0000}"/>
    <cellStyle name="60% - Énfasis3 17 11" xfId="11248" xr:uid="{00000000-0005-0000-0000-0000B92B0000}"/>
    <cellStyle name="60% - Énfasis3 17 12" xfId="11249" xr:uid="{00000000-0005-0000-0000-0000BA2B0000}"/>
    <cellStyle name="60% - Énfasis3 17 13" xfId="11250" xr:uid="{00000000-0005-0000-0000-0000BB2B0000}"/>
    <cellStyle name="60% - Énfasis3 17 14" xfId="11251" xr:uid="{00000000-0005-0000-0000-0000BC2B0000}"/>
    <cellStyle name="60% - Énfasis3 17 15" xfId="11252" xr:uid="{00000000-0005-0000-0000-0000BD2B0000}"/>
    <cellStyle name="60% - Énfasis3 17 16" xfId="11253" xr:uid="{00000000-0005-0000-0000-0000BE2B0000}"/>
    <cellStyle name="60% - Énfasis3 17 17" xfId="11254" xr:uid="{00000000-0005-0000-0000-0000BF2B0000}"/>
    <cellStyle name="60% - Énfasis3 17 18" xfId="11255" xr:uid="{00000000-0005-0000-0000-0000C02B0000}"/>
    <cellStyle name="60% - Énfasis3 17 19" xfId="11256" xr:uid="{00000000-0005-0000-0000-0000C12B0000}"/>
    <cellStyle name="60% - Énfasis3 17 2" xfId="11257" xr:uid="{00000000-0005-0000-0000-0000C22B0000}"/>
    <cellStyle name="60% - Énfasis3 17 2 2" xfId="11258" xr:uid="{00000000-0005-0000-0000-0000C32B0000}"/>
    <cellStyle name="60% - Énfasis3 17 3" xfId="11259" xr:uid="{00000000-0005-0000-0000-0000C42B0000}"/>
    <cellStyle name="60% - Énfasis3 17 3 2" xfId="11260" xr:uid="{00000000-0005-0000-0000-0000C52B0000}"/>
    <cellStyle name="60% - Énfasis3 17 4" xfId="11261" xr:uid="{00000000-0005-0000-0000-0000C62B0000}"/>
    <cellStyle name="60% - Énfasis3 17 4 2" xfId="11262" xr:uid="{00000000-0005-0000-0000-0000C72B0000}"/>
    <cellStyle name="60% - Énfasis3 17 5" xfId="11263" xr:uid="{00000000-0005-0000-0000-0000C82B0000}"/>
    <cellStyle name="60% - Énfasis3 17 6" xfId="11264" xr:uid="{00000000-0005-0000-0000-0000C92B0000}"/>
    <cellStyle name="60% - Énfasis3 17 7" xfId="11265" xr:uid="{00000000-0005-0000-0000-0000CA2B0000}"/>
    <cellStyle name="60% - Énfasis3 17 8" xfId="11266" xr:uid="{00000000-0005-0000-0000-0000CB2B0000}"/>
    <cellStyle name="60% - Énfasis3 17 9" xfId="11267" xr:uid="{00000000-0005-0000-0000-0000CC2B0000}"/>
    <cellStyle name="60% - Énfasis3 18 10" xfId="11268" xr:uid="{00000000-0005-0000-0000-0000CD2B0000}"/>
    <cellStyle name="60% - Énfasis3 18 11" xfId="11269" xr:uid="{00000000-0005-0000-0000-0000CE2B0000}"/>
    <cellStyle name="60% - Énfasis3 18 12" xfId="11270" xr:uid="{00000000-0005-0000-0000-0000CF2B0000}"/>
    <cellStyle name="60% - Énfasis3 18 13" xfId="11271" xr:uid="{00000000-0005-0000-0000-0000D02B0000}"/>
    <cellStyle name="60% - Énfasis3 18 14" xfId="11272" xr:uid="{00000000-0005-0000-0000-0000D12B0000}"/>
    <cellStyle name="60% - Énfasis3 18 15" xfId="11273" xr:uid="{00000000-0005-0000-0000-0000D22B0000}"/>
    <cellStyle name="60% - Énfasis3 18 16" xfId="11274" xr:uid="{00000000-0005-0000-0000-0000D32B0000}"/>
    <cellStyle name="60% - Énfasis3 18 17" xfId="11275" xr:uid="{00000000-0005-0000-0000-0000D42B0000}"/>
    <cellStyle name="60% - Énfasis3 18 18" xfId="11276" xr:uid="{00000000-0005-0000-0000-0000D52B0000}"/>
    <cellStyle name="60% - Énfasis3 18 19" xfId="11277" xr:uid="{00000000-0005-0000-0000-0000D62B0000}"/>
    <cellStyle name="60% - Énfasis3 18 2" xfId="11278" xr:uid="{00000000-0005-0000-0000-0000D72B0000}"/>
    <cellStyle name="60% - Énfasis3 18 2 2" xfId="11279" xr:uid="{00000000-0005-0000-0000-0000D82B0000}"/>
    <cellStyle name="60% - Énfasis3 18 3" xfId="11280" xr:uid="{00000000-0005-0000-0000-0000D92B0000}"/>
    <cellStyle name="60% - Énfasis3 18 3 2" xfId="11281" xr:uid="{00000000-0005-0000-0000-0000DA2B0000}"/>
    <cellStyle name="60% - Énfasis3 18 4" xfId="11282" xr:uid="{00000000-0005-0000-0000-0000DB2B0000}"/>
    <cellStyle name="60% - Énfasis3 18 4 2" xfId="11283" xr:uid="{00000000-0005-0000-0000-0000DC2B0000}"/>
    <cellStyle name="60% - Énfasis3 18 5" xfId="11284" xr:uid="{00000000-0005-0000-0000-0000DD2B0000}"/>
    <cellStyle name="60% - Énfasis3 18 6" xfId="11285" xr:uid="{00000000-0005-0000-0000-0000DE2B0000}"/>
    <cellStyle name="60% - Énfasis3 18 7" xfId="11286" xr:uid="{00000000-0005-0000-0000-0000DF2B0000}"/>
    <cellStyle name="60% - Énfasis3 18 8" xfId="11287" xr:uid="{00000000-0005-0000-0000-0000E02B0000}"/>
    <cellStyle name="60% - Énfasis3 18 9" xfId="11288" xr:uid="{00000000-0005-0000-0000-0000E12B0000}"/>
    <cellStyle name="60% - Énfasis3 19 10" xfId="11289" xr:uid="{00000000-0005-0000-0000-0000E22B0000}"/>
    <cellStyle name="60% - Énfasis3 19 11" xfId="11290" xr:uid="{00000000-0005-0000-0000-0000E32B0000}"/>
    <cellStyle name="60% - Énfasis3 19 12" xfId="11291" xr:uid="{00000000-0005-0000-0000-0000E42B0000}"/>
    <cellStyle name="60% - Énfasis3 19 13" xfId="11292" xr:uid="{00000000-0005-0000-0000-0000E52B0000}"/>
    <cellStyle name="60% - Énfasis3 19 14" xfId="11293" xr:uid="{00000000-0005-0000-0000-0000E62B0000}"/>
    <cellStyle name="60% - Énfasis3 19 15" xfId="11294" xr:uid="{00000000-0005-0000-0000-0000E72B0000}"/>
    <cellStyle name="60% - Énfasis3 19 16" xfId="11295" xr:uid="{00000000-0005-0000-0000-0000E82B0000}"/>
    <cellStyle name="60% - Énfasis3 19 17" xfId="11296" xr:uid="{00000000-0005-0000-0000-0000E92B0000}"/>
    <cellStyle name="60% - Énfasis3 19 18" xfId="11297" xr:uid="{00000000-0005-0000-0000-0000EA2B0000}"/>
    <cellStyle name="60% - Énfasis3 19 19" xfId="11298" xr:uid="{00000000-0005-0000-0000-0000EB2B0000}"/>
    <cellStyle name="60% - Énfasis3 19 2" xfId="11299" xr:uid="{00000000-0005-0000-0000-0000EC2B0000}"/>
    <cellStyle name="60% - Énfasis3 19 2 2" xfId="11300" xr:uid="{00000000-0005-0000-0000-0000ED2B0000}"/>
    <cellStyle name="60% - Énfasis3 19 3" xfId="11301" xr:uid="{00000000-0005-0000-0000-0000EE2B0000}"/>
    <cellStyle name="60% - Énfasis3 19 3 2" xfId="11302" xr:uid="{00000000-0005-0000-0000-0000EF2B0000}"/>
    <cellStyle name="60% - Énfasis3 19 4" xfId="11303" xr:uid="{00000000-0005-0000-0000-0000F02B0000}"/>
    <cellStyle name="60% - Énfasis3 19 4 2" xfId="11304" xr:uid="{00000000-0005-0000-0000-0000F12B0000}"/>
    <cellStyle name="60% - Énfasis3 19 5" xfId="11305" xr:uid="{00000000-0005-0000-0000-0000F22B0000}"/>
    <cellStyle name="60% - Énfasis3 19 6" xfId="11306" xr:uid="{00000000-0005-0000-0000-0000F32B0000}"/>
    <cellStyle name="60% - Énfasis3 19 7" xfId="11307" xr:uid="{00000000-0005-0000-0000-0000F42B0000}"/>
    <cellStyle name="60% - Énfasis3 19 8" xfId="11308" xr:uid="{00000000-0005-0000-0000-0000F52B0000}"/>
    <cellStyle name="60% - Énfasis3 19 9" xfId="11309" xr:uid="{00000000-0005-0000-0000-0000F62B0000}"/>
    <cellStyle name="60% - Énfasis3 2 10" xfId="11310" xr:uid="{00000000-0005-0000-0000-0000F72B0000}"/>
    <cellStyle name="60% - Énfasis3 2 11" xfId="11311" xr:uid="{00000000-0005-0000-0000-0000F82B0000}"/>
    <cellStyle name="60% - Énfasis3 2 12" xfId="11312" xr:uid="{00000000-0005-0000-0000-0000F92B0000}"/>
    <cellStyle name="60% - Énfasis3 2 13" xfId="11313" xr:uid="{00000000-0005-0000-0000-0000FA2B0000}"/>
    <cellStyle name="60% - Énfasis3 2 14" xfId="11314" xr:uid="{00000000-0005-0000-0000-0000FB2B0000}"/>
    <cellStyle name="60% - Énfasis3 2 15" xfId="11315" xr:uid="{00000000-0005-0000-0000-0000FC2B0000}"/>
    <cellStyle name="60% - Énfasis3 2 16" xfId="11316" xr:uid="{00000000-0005-0000-0000-0000FD2B0000}"/>
    <cellStyle name="60% - Énfasis3 2 17" xfId="11317" xr:uid="{00000000-0005-0000-0000-0000FE2B0000}"/>
    <cellStyle name="60% - Énfasis3 2 18" xfId="11318" xr:uid="{00000000-0005-0000-0000-0000FF2B0000}"/>
    <cellStyle name="60% - Énfasis3 2 19" xfId="11319" xr:uid="{00000000-0005-0000-0000-0000002C0000}"/>
    <cellStyle name="60% - Énfasis3 2 2" xfId="11320" xr:uid="{00000000-0005-0000-0000-0000012C0000}"/>
    <cellStyle name="60% - Énfasis3 2 2 2" xfId="11321" xr:uid="{00000000-0005-0000-0000-0000022C0000}"/>
    <cellStyle name="60% - Énfasis3 2 3" xfId="11322" xr:uid="{00000000-0005-0000-0000-0000032C0000}"/>
    <cellStyle name="60% - Énfasis3 2 3 2" xfId="11323" xr:uid="{00000000-0005-0000-0000-0000042C0000}"/>
    <cellStyle name="60% - Énfasis3 2 4" xfId="11324" xr:uid="{00000000-0005-0000-0000-0000052C0000}"/>
    <cellStyle name="60% - Énfasis3 2 4 2" xfId="11325" xr:uid="{00000000-0005-0000-0000-0000062C0000}"/>
    <cellStyle name="60% - Énfasis3 2 5" xfId="11326" xr:uid="{00000000-0005-0000-0000-0000072C0000}"/>
    <cellStyle name="60% - Énfasis3 2 6" xfId="11327" xr:uid="{00000000-0005-0000-0000-0000082C0000}"/>
    <cellStyle name="60% - Énfasis3 2 7" xfId="11328" xr:uid="{00000000-0005-0000-0000-0000092C0000}"/>
    <cellStyle name="60% - Énfasis3 2 8" xfId="11329" xr:uid="{00000000-0005-0000-0000-00000A2C0000}"/>
    <cellStyle name="60% - Énfasis3 2 9" xfId="11330" xr:uid="{00000000-0005-0000-0000-00000B2C0000}"/>
    <cellStyle name="60% - Énfasis3 20 10" xfId="11331" xr:uid="{00000000-0005-0000-0000-00000C2C0000}"/>
    <cellStyle name="60% - Énfasis3 20 11" xfId="11332" xr:uid="{00000000-0005-0000-0000-00000D2C0000}"/>
    <cellStyle name="60% - Énfasis3 20 12" xfId="11333" xr:uid="{00000000-0005-0000-0000-00000E2C0000}"/>
    <cellStyle name="60% - Énfasis3 20 13" xfId="11334" xr:uid="{00000000-0005-0000-0000-00000F2C0000}"/>
    <cellStyle name="60% - Énfasis3 20 14" xfId="11335" xr:uid="{00000000-0005-0000-0000-0000102C0000}"/>
    <cellStyle name="60% - Énfasis3 20 15" xfId="11336" xr:uid="{00000000-0005-0000-0000-0000112C0000}"/>
    <cellStyle name="60% - Énfasis3 20 16" xfId="11337" xr:uid="{00000000-0005-0000-0000-0000122C0000}"/>
    <cellStyle name="60% - Énfasis3 20 17" xfId="11338" xr:uid="{00000000-0005-0000-0000-0000132C0000}"/>
    <cellStyle name="60% - Énfasis3 20 18" xfId="11339" xr:uid="{00000000-0005-0000-0000-0000142C0000}"/>
    <cellStyle name="60% - Énfasis3 20 19" xfId="11340" xr:uid="{00000000-0005-0000-0000-0000152C0000}"/>
    <cellStyle name="60% - Énfasis3 20 2" xfId="11341" xr:uid="{00000000-0005-0000-0000-0000162C0000}"/>
    <cellStyle name="60% - Énfasis3 20 2 2" xfId="11342" xr:uid="{00000000-0005-0000-0000-0000172C0000}"/>
    <cellStyle name="60% - Énfasis3 20 3" xfId="11343" xr:uid="{00000000-0005-0000-0000-0000182C0000}"/>
    <cellStyle name="60% - Énfasis3 20 3 2" xfId="11344" xr:uid="{00000000-0005-0000-0000-0000192C0000}"/>
    <cellStyle name="60% - Énfasis3 20 4" xfId="11345" xr:uid="{00000000-0005-0000-0000-00001A2C0000}"/>
    <cellStyle name="60% - Énfasis3 20 4 2" xfId="11346" xr:uid="{00000000-0005-0000-0000-00001B2C0000}"/>
    <cellStyle name="60% - Énfasis3 20 5" xfId="11347" xr:uid="{00000000-0005-0000-0000-00001C2C0000}"/>
    <cellStyle name="60% - Énfasis3 20 6" xfId="11348" xr:uid="{00000000-0005-0000-0000-00001D2C0000}"/>
    <cellStyle name="60% - Énfasis3 20 7" xfId="11349" xr:uid="{00000000-0005-0000-0000-00001E2C0000}"/>
    <cellStyle name="60% - Énfasis3 20 8" xfId="11350" xr:uid="{00000000-0005-0000-0000-00001F2C0000}"/>
    <cellStyle name="60% - Énfasis3 20 9" xfId="11351" xr:uid="{00000000-0005-0000-0000-0000202C0000}"/>
    <cellStyle name="60% - Énfasis3 21 10" xfId="11352" xr:uid="{00000000-0005-0000-0000-0000212C0000}"/>
    <cellStyle name="60% - Énfasis3 21 11" xfId="11353" xr:uid="{00000000-0005-0000-0000-0000222C0000}"/>
    <cellStyle name="60% - Énfasis3 21 12" xfId="11354" xr:uid="{00000000-0005-0000-0000-0000232C0000}"/>
    <cellStyle name="60% - Énfasis3 21 13" xfId="11355" xr:uid="{00000000-0005-0000-0000-0000242C0000}"/>
    <cellStyle name="60% - Énfasis3 21 14" xfId="11356" xr:uid="{00000000-0005-0000-0000-0000252C0000}"/>
    <cellStyle name="60% - Énfasis3 21 15" xfId="11357" xr:uid="{00000000-0005-0000-0000-0000262C0000}"/>
    <cellStyle name="60% - Énfasis3 21 16" xfId="11358" xr:uid="{00000000-0005-0000-0000-0000272C0000}"/>
    <cellStyle name="60% - Énfasis3 21 17" xfId="11359" xr:uid="{00000000-0005-0000-0000-0000282C0000}"/>
    <cellStyle name="60% - Énfasis3 21 18" xfId="11360" xr:uid="{00000000-0005-0000-0000-0000292C0000}"/>
    <cellStyle name="60% - Énfasis3 21 19" xfId="11361" xr:uid="{00000000-0005-0000-0000-00002A2C0000}"/>
    <cellStyle name="60% - Énfasis3 21 2" xfId="11362" xr:uid="{00000000-0005-0000-0000-00002B2C0000}"/>
    <cellStyle name="60% - Énfasis3 21 2 2" xfId="11363" xr:uid="{00000000-0005-0000-0000-00002C2C0000}"/>
    <cellStyle name="60% - Énfasis3 21 3" xfId="11364" xr:uid="{00000000-0005-0000-0000-00002D2C0000}"/>
    <cellStyle name="60% - Énfasis3 21 3 2" xfId="11365" xr:uid="{00000000-0005-0000-0000-00002E2C0000}"/>
    <cellStyle name="60% - Énfasis3 21 4" xfId="11366" xr:uid="{00000000-0005-0000-0000-00002F2C0000}"/>
    <cellStyle name="60% - Énfasis3 21 4 2" xfId="11367" xr:uid="{00000000-0005-0000-0000-0000302C0000}"/>
    <cellStyle name="60% - Énfasis3 21 5" xfId="11368" xr:uid="{00000000-0005-0000-0000-0000312C0000}"/>
    <cellStyle name="60% - Énfasis3 21 6" xfId="11369" xr:uid="{00000000-0005-0000-0000-0000322C0000}"/>
    <cellStyle name="60% - Énfasis3 21 7" xfId="11370" xr:uid="{00000000-0005-0000-0000-0000332C0000}"/>
    <cellStyle name="60% - Énfasis3 21 8" xfId="11371" xr:uid="{00000000-0005-0000-0000-0000342C0000}"/>
    <cellStyle name="60% - Énfasis3 21 9" xfId="11372" xr:uid="{00000000-0005-0000-0000-0000352C0000}"/>
    <cellStyle name="60% - Énfasis3 22 10" xfId="11373" xr:uid="{00000000-0005-0000-0000-0000362C0000}"/>
    <cellStyle name="60% - Énfasis3 22 11" xfId="11374" xr:uid="{00000000-0005-0000-0000-0000372C0000}"/>
    <cellStyle name="60% - Énfasis3 22 12" xfId="11375" xr:uid="{00000000-0005-0000-0000-0000382C0000}"/>
    <cellStyle name="60% - Énfasis3 22 13" xfId="11376" xr:uid="{00000000-0005-0000-0000-0000392C0000}"/>
    <cellStyle name="60% - Énfasis3 22 14" xfId="11377" xr:uid="{00000000-0005-0000-0000-00003A2C0000}"/>
    <cellStyle name="60% - Énfasis3 22 15" xfId="11378" xr:uid="{00000000-0005-0000-0000-00003B2C0000}"/>
    <cellStyle name="60% - Énfasis3 22 16" xfId="11379" xr:uid="{00000000-0005-0000-0000-00003C2C0000}"/>
    <cellStyle name="60% - Énfasis3 22 17" xfId="11380" xr:uid="{00000000-0005-0000-0000-00003D2C0000}"/>
    <cellStyle name="60% - Énfasis3 22 18" xfId="11381" xr:uid="{00000000-0005-0000-0000-00003E2C0000}"/>
    <cellStyle name="60% - Énfasis3 22 19" xfId="11382" xr:uid="{00000000-0005-0000-0000-00003F2C0000}"/>
    <cellStyle name="60% - Énfasis3 22 2" xfId="11383" xr:uid="{00000000-0005-0000-0000-0000402C0000}"/>
    <cellStyle name="60% - Énfasis3 22 2 2" xfId="11384" xr:uid="{00000000-0005-0000-0000-0000412C0000}"/>
    <cellStyle name="60% - Énfasis3 22 3" xfId="11385" xr:uid="{00000000-0005-0000-0000-0000422C0000}"/>
    <cellStyle name="60% - Énfasis3 22 3 2" xfId="11386" xr:uid="{00000000-0005-0000-0000-0000432C0000}"/>
    <cellStyle name="60% - Énfasis3 22 4" xfId="11387" xr:uid="{00000000-0005-0000-0000-0000442C0000}"/>
    <cellStyle name="60% - Énfasis3 22 4 2" xfId="11388" xr:uid="{00000000-0005-0000-0000-0000452C0000}"/>
    <cellStyle name="60% - Énfasis3 22 5" xfId="11389" xr:uid="{00000000-0005-0000-0000-0000462C0000}"/>
    <cellStyle name="60% - Énfasis3 22 6" xfId="11390" xr:uid="{00000000-0005-0000-0000-0000472C0000}"/>
    <cellStyle name="60% - Énfasis3 22 7" xfId="11391" xr:uid="{00000000-0005-0000-0000-0000482C0000}"/>
    <cellStyle name="60% - Énfasis3 22 8" xfId="11392" xr:uid="{00000000-0005-0000-0000-0000492C0000}"/>
    <cellStyle name="60% - Énfasis3 22 9" xfId="11393" xr:uid="{00000000-0005-0000-0000-00004A2C0000}"/>
    <cellStyle name="60% - Énfasis3 23 10" xfId="11394" xr:uid="{00000000-0005-0000-0000-00004B2C0000}"/>
    <cellStyle name="60% - Énfasis3 23 11" xfId="11395" xr:uid="{00000000-0005-0000-0000-00004C2C0000}"/>
    <cellStyle name="60% - Énfasis3 23 12" xfId="11396" xr:uid="{00000000-0005-0000-0000-00004D2C0000}"/>
    <cellStyle name="60% - Énfasis3 23 13" xfId="11397" xr:uid="{00000000-0005-0000-0000-00004E2C0000}"/>
    <cellStyle name="60% - Énfasis3 23 14" xfId="11398" xr:uid="{00000000-0005-0000-0000-00004F2C0000}"/>
    <cellStyle name="60% - Énfasis3 23 15" xfId="11399" xr:uid="{00000000-0005-0000-0000-0000502C0000}"/>
    <cellStyle name="60% - Énfasis3 23 16" xfId="11400" xr:uid="{00000000-0005-0000-0000-0000512C0000}"/>
    <cellStyle name="60% - Énfasis3 23 17" xfId="11401" xr:uid="{00000000-0005-0000-0000-0000522C0000}"/>
    <cellStyle name="60% - Énfasis3 23 18" xfId="11402" xr:uid="{00000000-0005-0000-0000-0000532C0000}"/>
    <cellStyle name="60% - Énfasis3 23 19" xfId="11403" xr:uid="{00000000-0005-0000-0000-0000542C0000}"/>
    <cellStyle name="60% - Énfasis3 23 2" xfId="11404" xr:uid="{00000000-0005-0000-0000-0000552C0000}"/>
    <cellStyle name="60% - Énfasis3 23 2 2" xfId="11405" xr:uid="{00000000-0005-0000-0000-0000562C0000}"/>
    <cellStyle name="60% - Énfasis3 23 3" xfId="11406" xr:uid="{00000000-0005-0000-0000-0000572C0000}"/>
    <cellStyle name="60% - Énfasis3 23 3 2" xfId="11407" xr:uid="{00000000-0005-0000-0000-0000582C0000}"/>
    <cellStyle name="60% - Énfasis3 23 4" xfId="11408" xr:uid="{00000000-0005-0000-0000-0000592C0000}"/>
    <cellStyle name="60% - Énfasis3 23 4 2" xfId="11409" xr:uid="{00000000-0005-0000-0000-00005A2C0000}"/>
    <cellStyle name="60% - Énfasis3 23 5" xfId="11410" xr:uid="{00000000-0005-0000-0000-00005B2C0000}"/>
    <cellStyle name="60% - Énfasis3 23 6" xfId="11411" xr:uid="{00000000-0005-0000-0000-00005C2C0000}"/>
    <cellStyle name="60% - Énfasis3 23 7" xfId="11412" xr:uid="{00000000-0005-0000-0000-00005D2C0000}"/>
    <cellStyle name="60% - Énfasis3 23 8" xfId="11413" xr:uid="{00000000-0005-0000-0000-00005E2C0000}"/>
    <cellStyle name="60% - Énfasis3 23 9" xfId="11414" xr:uid="{00000000-0005-0000-0000-00005F2C0000}"/>
    <cellStyle name="60% - Énfasis3 24 10" xfId="11415" xr:uid="{00000000-0005-0000-0000-0000602C0000}"/>
    <cellStyle name="60% - Énfasis3 24 11" xfId="11416" xr:uid="{00000000-0005-0000-0000-0000612C0000}"/>
    <cellStyle name="60% - Énfasis3 24 12" xfId="11417" xr:uid="{00000000-0005-0000-0000-0000622C0000}"/>
    <cellStyle name="60% - Énfasis3 24 13" xfId="11418" xr:uid="{00000000-0005-0000-0000-0000632C0000}"/>
    <cellStyle name="60% - Énfasis3 24 14" xfId="11419" xr:uid="{00000000-0005-0000-0000-0000642C0000}"/>
    <cellStyle name="60% - Énfasis3 24 15" xfId="11420" xr:uid="{00000000-0005-0000-0000-0000652C0000}"/>
    <cellStyle name="60% - Énfasis3 24 16" xfId="11421" xr:uid="{00000000-0005-0000-0000-0000662C0000}"/>
    <cellStyle name="60% - Énfasis3 24 17" xfId="11422" xr:uid="{00000000-0005-0000-0000-0000672C0000}"/>
    <cellStyle name="60% - Énfasis3 24 18" xfId="11423" xr:uid="{00000000-0005-0000-0000-0000682C0000}"/>
    <cellStyle name="60% - Énfasis3 24 19" xfId="11424" xr:uid="{00000000-0005-0000-0000-0000692C0000}"/>
    <cellStyle name="60% - Énfasis3 24 2" xfId="11425" xr:uid="{00000000-0005-0000-0000-00006A2C0000}"/>
    <cellStyle name="60% - Énfasis3 24 2 2" xfId="11426" xr:uid="{00000000-0005-0000-0000-00006B2C0000}"/>
    <cellStyle name="60% - Énfasis3 24 3" xfId="11427" xr:uid="{00000000-0005-0000-0000-00006C2C0000}"/>
    <cellStyle name="60% - Énfasis3 24 3 2" xfId="11428" xr:uid="{00000000-0005-0000-0000-00006D2C0000}"/>
    <cellStyle name="60% - Énfasis3 24 4" xfId="11429" xr:uid="{00000000-0005-0000-0000-00006E2C0000}"/>
    <cellStyle name="60% - Énfasis3 24 4 2" xfId="11430" xr:uid="{00000000-0005-0000-0000-00006F2C0000}"/>
    <cellStyle name="60% - Énfasis3 24 5" xfId="11431" xr:uid="{00000000-0005-0000-0000-0000702C0000}"/>
    <cellStyle name="60% - Énfasis3 24 6" xfId="11432" xr:uid="{00000000-0005-0000-0000-0000712C0000}"/>
    <cellStyle name="60% - Énfasis3 24 7" xfId="11433" xr:uid="{00000000-0005-0000-0000-0000722C0000}"/>
    <cellStyle name="60% - Énfasis3 24 8" xfId="11434" xr:uid="{00000000-0005-0000-0000-0000732C0000}"/>
    <cellStyle name="60% - Énfasis3 24 9" xfId="11435" xr:uid="{00000000-0005-0000-0000-0000742C0000}"/>
    <cellStyle name="60% - Énfasis3 25 10" xfId="11436" xr:uid="{00000000-0005-0000-0000-0000752C0000}"/>
    <cellStyle name="60% - Énfasis3 25 11" xfId="11437" xr:uid="{00000000-0005-0000-0000-0000762C0000}"/>
    <cellStyle name="60% - Énfasis3 25 12" xfId="11438" xr:uid="{00000000-0005-0000-0000-0000772C0000}"/>
    <cellStyle name="60% - Énfasis3 25 13" xfId="11439" xr:uid="{00000000-0005-0000-0000-0000782C0000}"/>
    <cellStyle name="60% - Énfasis3 25 14" xfId="11440" xr:uid="{00000000-0005-0000-0000-0000792C0000}"/>
    <cellStyle name="60% - Énfasis3 25 15" xfId="11441" xr:uid="{00000000-0005-0000-0000-00007A2C0000}"/>
    <cellStyle name="60% - Énfasis3 25 16" xfId="11442" xr:uid="{00000000-0005-0000-0000-00007B2C0000}"/>
    <cellStyle name="60% - Énfasis3 25 17" xfId="11443" xr:uid="{00000000-0005-0000-0000-00007C2C0000}"/>
    <cellStyle name="60% - Énfasis3 25 18" xfId="11444" xr:uid="{00000000-0005-0000-0000-00007D2C0000}"/>
    <cellStyle name="60% - Énfasis3 25 19" xfId="11445" xr:uid="{00000000-0005-0000-0000-00007E2C0000}"/>
    <cellStyle name="60% - Énfasis3 25 2" xfId="11446" xr:uid="{00000000-0005-0000-0000-00007F2C0000}"/>
    <cellStyle name="60% - Énfasis3 25 2 2" xfId="11447" xr:uid="{00000000-0005-0000-0000-0000802C0000}"/>
    <cellStyle name="60% - Énfasis3 25 3" xfId="11448" xr:uid="{00000000-0005-0000-0000-0000812C0000}"/>
    <cellStyle name="60% - Énfasis3 25 3 2" xfId="11449" xr:uid="{00000000-0005-0000-0000-0000822C0000}"/>
    <cellStyle name="60% - Énfasis3 25 4" xfId="11450" xr:uid="{00000000-0005-0000-0000-0000832C0000}"/>
    <cellStyle name="60% - Énfasis3 25 4 2" xfId="11451" xr:uid="{00000000-0005-0000-0000-0000842C0000}"/>
    <cellStyle name="60% - Énfasis3 25 5" xfId="11452" xr:uid="{00000000-0005-0000-0000-0000852C0000}"/>
    <cellStyle name="60% - Énfasis3 25 6" xfId="11453" xr:uid="{00000000-0005-0000-0000-0000862C0000}"/>
    <cellStyle name="60% - Énfasis3 25 7" xfId="11454" xr:uid="{00000000-0005-0000-0000-0000872C0000}"/>
    <cellStyle name="60% - Énfasis3 25 8" xfId="11455" xr:uid="{00000000-0005-0000-0000-0000882C0000}"/>
    <cellStyle name="60% - Énfasis3 25 9" xfId="11456" xr:uid="{00000000-0005-0000-0000-0000892C0000}"/>
    <cellStyle name="60% - Énfasis3 26 10" xfId="11457" xr:uid="{00000000-0005-0000-0000-00008A2C0000}"/>
    <cellStyle name="60% - Énfasis3 26 11" xfId="11458" xr:uid="{00000000-0005-0000-0000-00008B2C0000}"/>
    <cellStyle name="60% - Énfasis3 26 12" xfId="11459" xr:uid="{00000000-0005-0000-0000-00008C2C0000}"/>
    <cellStyle name="60% - Énfasis3 26 13" xfId="11460" xr:uid="{00000000-0005-0000-0000-00008D2C0000}"/>
    <cellStyle name="60% - Énfasis3 26 14" xfId="11461" xr:uid="{00000000-0005-0000-0000-00008E2C0000}"/>
    <cellStyle name="60% - Énfasis3 26 15" xfId="11462" xr:uid="{00000000-0005-0000-0000-00008F2C0000}"/>
    <cellStyle name="60% - Énfasis3 26 16" xfId="11463" xr:uid="{00000000-0005-0000-0000-0000902C0000}"/>
    <cellStyle name="60% - Énfasis3 26 17" xfId="11464" xr:uid="{00000000-0005-0000-0000-0000912C0000}"/>
    <cellStyle name="60% - Énfasis3 26 18" xfId="11465" xr:uid="{00000000-0005-0000-0000-0000922C0000}"/>
    <cellStyle name="60% - Énfasis3 26 19" xfId="11466" xr:uid="{00000000-0005-0000-0000-0000932C0000}"/>
    <cellStyle name="60% - Énfasis3 26 2" xfId="11467" xr:uid="{00000000-0005-0000-0000-0000942C0000}"/>
    <cellStyle name="60% - Énfasis3 26 2 2" xfId="11468" xr:uid="{00000000-0005-0000-0000-0000952C0000}"/>
    <cellStyle name="60% - Énfasis3 26 3" xfId="11469" xr:uid="{00000000-0005-0000-0000-0000962C0000}"/>
    <cellStyle name="60% - Énfasis3 26 3 2" xfId="11470" xr:uid="{00000000-0005-0000-0000-0000972C0000}"/>
    <cellStyle name="60% - Énfasis3 26 4" xfId="11471" xr:uid="{00000000-0005-0000-0000-0000982C0000}"/>
    <cellStyle name="60% - Énfasis3 26 4 2" xfId="11472" xr:uid="{00000000-0005-0000-0000-0000992C0000}"/>
    <cellStyle name="60% - Énfasis3 26 5" xfId="11473" xr:uid="{00000000-0005-0000-0000-00009A2C0000}"/>
    <cellStyle name="60% - Énfasis3 26 6" xfId="11474" xr:uid="{00000000-0005-0000-0000-00009B2C0000}"/>
    <cellStyle name="60% - Énfasis3 26 7" xfId="11475" xr:uid="{00000000-0005-0000-0000-00009C2C0000}"/>
    <cellStyle name="60% - Énfasis3 26 8" xfId="11476" xr:uid="{00000000-0005-0000-0000-00009D2C0000}"/>
    <cellStyle name="60% - Énfasis3 26 9" xfId="11477" xr:uid="{00000000-0005-0000-0000-00009E2C0000}"/>
    <cellStyle name="60% - Énfasis3 27 10" xfId="11478" xr:uid="{00000000-0005-0000-0000-00009F2C0000}"/>
    <cellStyle name="60% - Énfasis3 27 11" xfId="11479" xr:uid="{00000000-0005-0000-0000-0000A02C0000}"/>
    <cellStyle name="60% - Énfasis3 27 12" xfId="11480" xr:uid="{00000000-0005-0000-0000-0000A12C0000}"/>
    <cellStyle name="60% - Énfasis3 27 13" xfId="11481" xr:uid="{00000000-0005-0000-0000-0000A22C0000}"/>
    <cellStyle name="60% - Énfasis3 27 14" xfId="11482" xr:uid="{00000000-0005-0000-0000-0000A32C0000}"/>
    <cellStyle name="60% - Énfasis3 27 15" xfId="11483" xr:uid="{00000000-0005-0000-0000-0000A42C0000}"/>
    <cellStyle name="60% - Énfasis3 27 16" xfId="11484" xr:uid="{00000000-0005-0000-0000-0000A52C0000}"/>
    <cellStyle name="60% - Énfasis3 27 17" xfId="11485" xr:uid="{00000000-0005-0000-0000-0000A62C0000}"/>
    <cellStyle name="60% - Énfasis3 27 18" xfId="11486" xr:uid="{00000000-0005-0000-0000-0000A72C0000}"/>
    <cellStyle name="60% - Énfasis3 27 19" xfId="11487" xr:uid="{00000000-0005-0000-0000-0000A82C0000}"/>
    <cellStyle name="60% - Énfasis3 27 2" xfId="11488" xr:uid="{00000000-0005-0000-0000-0000A92C0000}"/>
    <cellStyle name="60% - Énfasis3 27 2 2" xfId="11489" xr:uid="{00000000-0005-0000-0000-0000AA2C0000}"/>
    <cellStyle name="60% - Énfasis3 27 3" xfId="11490" xr:uid="{00000000-0005-0000-0000-0000AB2C0000}"/>
    <cellStyle name="60% - Énfasis3 27 3 2" xfId="11491" xr:uid="{00000000-0005-0000-0000-0000AC2C0000}"/>
    <cellStyle name="60% - Énfasis3 27 4" xfId="11492" xr:uid="{00000000-0005-0000-0000-0000AD2C0000}"/>
    <cellStyle name="60% - Énfasis3 27 4 2" xfId="11493" xr:uid="{00000000-0005-0000-0000-0000AE2C0000}"/>
    <cellStyle name="60% - Énfasis3 27 5" xfId="11494" xr:uid="{00000000-0005-0000-0000-0000AF2C0000}"/>
    <cellStyle name="60% - Énfasis3 27 6" xfId="11495" xr:uid="{00000000-0005-0000-0000-0000B02C0000}"/>
    <cellStyle name="60% - Énfasis3 27 7" xfId="11496" xr:uid="{00000000-0005-0000-0000-0000B12C0000}"/>
    <cellStyle name="60% - Énfasis3 27 8" xfId="11497" xr:uid="{00000000-0005-0000-0000-0000B22C0000}"/>
    <cellStyle name="60% - Énfasis3 27 9" xfId="11498" xr:uid="{00000000-0005-0000-0000-0000B32C0000}"/>
    <cellStyle name="60% - Énfasis3 28 10" xfId="11499" xr:uid="{00000000-0005-0000-0000-0000B42C0000}"/>
    <cellStyle name="60% - Énfasis3 28 11" xfId="11500" xr:uid="{00000000-0005-0000-0000-0000B52C0000}"/>
    <cellStyle name="60% - Énfasis3 28 12" xfId="11501" xr:uid="{00000000-0005-0000-0000-0000B62C0000}"/>
    <cellStyle name="60% - Énfasis3 28 13" xfId="11502" xr:uid="{00000000-0005-0000-0000-0000B72C0000}"/>
    <cellStyle name="60% - Énfasis3 28 14" xfId="11503" xr:uid="{00000000-0005-0000-0000-0000B82C0000}"/>
    <cellStyle name="60% - Énfasis3 28 15" xfId="11504" xr:uid="{00000000-0005-0000-0000-0000B92C0000}"/>
    <cellStyle name="60% - Énfasis3 28 16" xfId="11505" xr:uid="{00000000-0005-0000-0000-0000BA2C0000}"/>
    <cellStyle name="60% - Énfasis3 28 17" xfId="11506" xr:uid="{00000000-0005-0000-0000-0000BB2C0000}"/>
    <cellStyle name="60% - Énfasis3 28 18" xfId="11507" xr:uid="{00000000-0005-0000-0000-0000BC2C0000}"/>
    <cellStyle name="60% - Énfasis3 28 19" xfId="11508" xr:uid="{00000000-0005-0000-0000-0000BD2C0000}"/>
    <cellStyle name="60% - Énfasis3 28 2" xfId="11509" xr:uid="{00000000-0005-0000-0000-0000BE2C0000}"/>
    <cellStyle name="60% - Énfasis3 28 2 2" xfId="11510" xr:uid="{00000000-0005-0000-0000-0000BF2C0000}"/>
    <cellStyle name="60% - Énfasis3 28 3" xfId="11511" xr:uid="{00000000-0005-0000-0000-0000C02C0000}"/>
    <cellStyle name="60% - Énfasis3 28 3 2" xfId="11512" xr:uid="{00000000-0005-0000-0000-0000C12C0000}"/>
    <cellStyle name="60% - Énfasis3 28 4" xfId="11513" xr:uid="{00000000-0005-0000-0000-0000C22C0000}"/>
    <cellStyle name="60% - Énfasis3 28 4 2" xfId="11514" xr:uid="{00000000-0005-0000-0000-0000C32C0000}"/>
    <cellStyle name="60% - Énfasis3 28 5" xfId="11515" xr:uid="{00000000-0005-0000-0000-0000C42C0000}"/>
    <cellStyle name="60% - Énfasis3 28 6" xfId="11516" xr:uid="{00000000-0005-0000-0000-0000C52C0000}"/>
    <cellStyle name="60% - Énfasis3 28 7" xfId="11517" xr:uid="{00000000-0005-0000-0000-0000C62C0000}"/>
    <cellStyle name="60% - Énfasis3 28 8" xfId="11518" xr:uid="{00000000-0005-0000-0000-0000C72C0000}"/>
    <cellStyle name="60% - Énfasis3 28 9" xfId="11519" xr:uid="{00000000-0005-0000-0000-0000C82C0000}"/>
    <cellStyle name="60% - Énfasis3 29 10" xfId="11520" xr:uid="{00000000-0005-0000-0000-0000C92C0000}"/>
    <cellStyle name="60% - Énfasis3 29 11" xfId="11521" xr:uid="{00000000-0005-0000-0000-0000CA2C0000}"/>
    <cellStyle name="60% - Énfasis3 29 12" xfId="11522" xr:uid="{00000000-0005-0000-0000-0000CB2C0000}"/>
    <cellStyle name="60% - Énfasis3 29 13" xfId="11523" xr:uid="{00000000-0005-0000-0000-0000CC2C0000}"/>
    <cellStyle name="60% - Énfasis3 29 14" xfId="11524" xr:uid="{00000000-0005-0000-0000-0000CD2C0000}"/>
    <cellStyle name="60% - Énfasis3 29 15" xfId="11525" xr:uid="{00000000-0005-0000-0000-0000CE2C0000}"/>
    <cellStyle name="60% - Énfasis3 29 16" xfId="11526" xr:uid="{00000000-0005-0000-0000-0000CF2C0000}"/>
    <cellStyle name="60% - Énfasis3 29 17" xfId="11527" xr:uid="{00000000-0005-0000-0000-0000D02C0000}"/>
    <cellStyle name="60% - Énfasis3 29 18" xfId="11528" xr:uid="{00000000-0005-0000-0000-0000D12C0000}"/>
    <cellStyle name="60% - Énfasis3 29 19" xfId="11529" xr:uid="{00000000-0005-0000-0000-0000D22C0000}"/>
    <cellStyle name="60% - Énfasis3 29 2" xfId="11530" xr:uid="{00000000-0005-0000-0000-0000D32C0000}"/>
    <cellStyle name="60% - Énfasis3 29 2 2" xfId="11531" xr:uid="{00000000-0005-0000-0000-0000D42C0000}"/>
    <cellStyle name="60% - Énfasis3 29 3" xfId="11532" xr:uid="{00000000-0005-0000-0000-0000D52C0000}"/>
    <cellStyle name="60% - Énfasis3 29 3 2" xfId="11533" xr:uid="{00000000-0005-0000-0000-0000D62C0000}"/>
    <cellStyle name="60% - Énfasis3 29 4" xfId="11534" xr:uid="{00000000-0005-0000-0000-0000D72C0000}"/>
    <cellStyle name="60% - Énfasis3 29 4 2" xfId="11535" xr:uid="{00000000-0005-0000-0000-0000D82C0000}"/>
    <cellStyle name="60% - Énfasis3 29 5" xfId="11536" xr:uid="{00000000-0005-0000-0000-0000D92C0000}"/>
    <cellStyle name="60% - Énfasis3 29 6" xfId="11537" xr:uid="{00000000-0005-0000-0000-0000DA2C0000}"/>
    <cellStyle name="60% - Énfasis3 29 7" xfId="11538" xr:uid="{00000000-0005-0000-0000-0000DB2C0000}"/>
    <cellStyle name="60% - Énfasis3 29 8" xfId="11539" xr:uid="{00000000-0005-0000-0000-0000DC2C0000}"/>
    <cellStyle name="60% - Énfasis3 29 9" xfId="11540" xr:uid="{00000000-0005-0000-0000-0000DD2C0000}"/>
    <cellStyle name="60% - Énfasis3 3 10" xfId="11541" xr:uid="{00000000-0005-0000-0000-0000DE2C0000}"/>
    <cellStyle name="60% - Énfasis3 3 11" xfId="11542" xr:uid="{00000000-0005-0000-0000-0000DF2C0000}"/>
    <cellStyle name="60% - Énfasis3 3 12" xfId="11543" xr:uid="{00000000-0005-0000-0000-0000E02C0000}"/>
    <cellStyle name="60% - Énfasis3 3 13" xfId="11544" xr:uid="{00000000-0005-0000-0000-0000E12C0000}"/>
    <cellStyle name="60% - Énfasis3 3 14" xfId="11545" xr:uid="{00000000-0005-0000-0000-0000E22C0000}"/>
    <cellStyle name="60% - Énfasis3 3 15" xfId="11546" xr:uid="{00000000-0005-0000-0000-0000E32C0000}"/>
    <cellStyle name="60% - Énfasis3 3 16" xfId="11547" xr:uid="{00000000-0005-0000-0000-0000E42C0000}"/>
    <cellStyle name="60% - Énfasis3 3 17" xfId="11548" xr:uid="{00000000-0005-0000-0000-0000E52C0000}"/>
    <cellStyle name="60% - Énfasis3 3 18" xfId="11549" xr:uid="{00000000-0005-0000-0000-0000E62C0000}"/>
    <cellStyle name="60% - Énfasis3 3 19" xfId="11550" xr:uid="{00000000-0005-0000-0000-0000E72C0000}"/>
    <cellStyle name="60% - Énfasis3 3 2" xfId="11551" xr:uid="{00000000-0005-0000-0000-0000E82C0000}"/>
    <cellStyle name="60% - Énfasis3 3 2 2" xfId="11552" xr:uid="{00000000-0005-0000-0000-0000E92C0000}"/>
    <cellStyle name="60% - Énfasis3 3 3" xfId="11553" xr:uid="{00000000-0005-0000-0000-0000EA2C0000}"/>
    <cellStyle name="60% - Énfasis3 3 3 2" xfId="11554" xr:uid="{00000000-0005-0000-0000-0000EB2C0000}"/>
    <cellStyle name="60% - Énfasis3 3 4" xfId="11555" xr:uid="{00000000-0005-0000-0000-0000EC2C0000}"/>
    <cellStyle name="60% - Énfasis3 3 4 2" xfId="11556" xr:uid="{00000000-0005-0000-0000-0000ED2C0000}"/>
    <cellStyle name="60% - Énfasis3 3 5" xfId="11557" xr:uid="{00000000-0005-0000-0000-0000EE2C0000}"/>
    <cellStyle name="60% - Énfasis3 3 6" xfId="11558" xr:uid="{00000000-0005-0000-0000-0000EF2C0000}"/>
    <cellStyle name="60% - Énfasis3 3 7" xfId="11559" xr:uid="{00000000-0005-0000-0000-0000F02C0000}"/>
    <cellStyle name="60% - Énfasis3 3 8" xfId="11560" xr:uid="{00000000-0005-0000-0000-0000F12C0000}"/>
    <cellStyle name="60% - Énfasis3 3 9" xfId="11561" xr:uid="{00000000-0005-0000-0000-0000F22C0000}"/>
    <cellStyle name="60% - Énfasis3 30 10" xfId="11562" xr:uid="{00000000-0005-0000-0000-0000F32C0000}"/>
    <cellStyle name="60% - Énfasis3 30 11" xfId="11563" xr:uid="{00000000-0005-0000-0000-0000F42C0000}"/>
    <cellStyle name="60% - Énfasis3 30 12" xfId="11564" xr:uid="{00000000-0005-0000-0000-0000F52C0000}"/>
    <cellStyle name="60% - Énfasis3 30 13" xfId="11565" xr:uid="{00000000-0005-0000-0000-0000F62C0000}"/>
    <cellStyle name="60% - Énfasis3 30 14" xfId="11566" xr:uid="{00000000-0005-0000-0000-0000F72C0000}"/>
    <cellStyle name="60% - Énfasis3 30 15" xfId="11567" xr:uid="{00000000-0005-0000-0000-0000F82C0000}"/>
    <cellStyle name="60% - Énfasis3 30 16" xfId="11568" xr:uid="{00000000-0005-0000-0000-0000F92C0000}"/>
    <cellStyle name="60% - Énfasis3 30 17" xfId="11569" xr:uid="{00000000-0005-0000-0000-0000FA2C0000}"/>
    <cellStyle name="60% - Énfasis3 30 18" xfId="11570" xr:uid="{00000000-0005-0000-0000-0000FB2C0000}"/>
    <cellStyle name="60% - Énfasis3 30 19" xfId="11571" xr:uid="{00000000-0005-0000-0000-0000FC2C0000}"/>
    <cellStyle name="60% - Énfasis3 30 2" xfId="11572" xr:uid="{00000000-0005-0000-0000-0000FD2C0000}"/>
    <cellStyle name="60% - Énfasis3 30 2 2" xfId="11573" xr:uid="{00000000-0005-0000-0000-0000FE2C0000}"/>
    <cellStyle name="60% - Énfasis3 30 3" xfId="11574" xr:uid="{00000000-0005-0000-0000-0000FF2C0000}"/>
    <cellStyle name="60% - Énfasis3 30 3 2" xfId="11575" xr:uid="{00000000-0005-0000-0000-0000002D0000}"/>
    <cellStyle name="60% - Énfasis3 30 4" xfId="11576" xr:uid="{00000000-0005-0000-0000-0000012D0000}"/>
    <cellStyle name="60% - Énfasis3 30 4 2" xfId="11577" xr:uid="{00000000-0005-0000-0000-0000022D0000}"/>
    <cellStyle name="60% - Énfasis3 30 5" xfId="11578" xr:uid="{00000000-0005-0000-0000-0000032D0000}"/>
    <cellStyle name="60% - Énfasis3 30 6" xfId="11579" xr:uid="{00000000-0005-0000-0000-0000042D0000}"/>
    <cellStyle name="60% - Énfasis3 30 7" xfId="11580" xr:uid="{00000000-0005-0000-0000-0000052D0000}"/>
    <cellStyle name="60% - Énfasis3 30 8" xfId="11581" xr:uid="{00000000-0005-0000-0000-0000062D0000}"/>
    <cellStyle name="60% - Énfasis3 30 9" xfId="11582" xr:uid="{00000000-0005-0000-0000-0000072D0000}"/>
    <cellStyle name="60% - Énfasis3 31 10" xfId="11583" xr:uid="{00000000-0005-0000-0000-0000082D0000}"/>
    <cellStyle name="60% - Énfasis3 31 11" xfId="11584" xr:uid="{00000000-0005-0000-0000-0000092D0000}"/>
    <cellStyle name="60% - Énfasis3 31 12" xfId="11585" xr:uid="{00000000-0005-0000-0000-00000A2D0000}"/>
    <cellStyle name="60% - Énfasis3 31 13" xfId="11586" xr:uid="{00000000-0005-0000-0000-00000B2D0000}"/>
    <cellStyle name="60% - Énfasis3 31 14" xfId="11587" xr:uid="{00000000-0005-0000-0000-00000C2D0000}"/>
    <cellStyle name="60% - Énfasis3 31 15" xfId="11588" xr:uid="{00000000-0005-0000-0000-00000D2D0000}"/>
    <cellStyle name="60% - Énfasis3 31 16" xfId="11589" xr:uid="{00000000-0005-0000-0000-00000E2D0000}"/>
    <cellStyle name="60% - Énfasis3 31 17" xfId="11590" xr:uid="{00000000-0005-0000-0000-00000F2D0000}"/>
    <cellStyle name="60% - Énfasis3 31 18" xfId="11591" xr:uid="{00000000-0005-0000-0000-0000102D0000}"/>
    <cellStyle name="60% - Énfasis3 31 19" xfId="11592" xr:uid="{00000000-0005-0000-0000-0000112D0000}"/>
    <cellStyle name="60% - Énfasis3 31 2" xfId="11593" xr:uid="{00000000-0005-0000-0000-0000122D0000}"/>
    <cellStyle name="60% - Énfasis3 31 2 2" xfId="11594" xr:uid="{00000000-0005-0000-0000-0000132D0000}"/>
    <cellStyle name="60% - Énfasis3 31 3" xfId="11595" xr:uid="{00000000-0005-0000-0000-0000142D0000}"/>
    <cellStyle name="60% - Énfasis3 31 3 2" xfId="11596" xr:uid="{00000000-0005-0000-0000-0000152D0000}"/>
    <cellStyle name="60% - Énfasis3 31 4" xfId="11597" xr:uid="{00000000-0005-0000-0000-0000162D0000}"/>
    <cellStyle name="60% - Énfasis3 31 4 2" xfId="11598" xr:uid="{00000000-0005-0000-0000-0000172D0000}"/>
    <cellStyle name="60% - Énfasis3 31 5" xfId="11599" xr:uid="{00000000-0005-0000-0000-0000182D0000}"/>
    <cellStyle name="60% - Énfasis3 31 6" xfId="11600" xr:uid="{00000000-0005-0000-0000-0000192D0000}"/>
    <cellStyle name="60% - Énfasis3 31 7" xfId="11601" xr:uid="{00000000-0005-0000-0000-00001A2D0000}"/>
    <cellStyle name="60% - Énfasis3 31 8" xfId="11602" xr:uid="{00000000-0005-0000-0000-00001B2D0000}"/>
    <cellStyle name="60% - Énfasis3 31 9" xfId="11603" xr:uid="{00000000-0005-0000-0000-00001C2D0000}"/>
    <cellStyle name="60% - Énfasis3 32 10" xfId="11604" xr:uid="{00000000-0005-0000-0000-00001D2D0000}"/>
    <cellStyle name="60% - Énfasis3 32 11" xfId="11605" xr:uid="{00000000-0005-0000-0000-00001E2D0000}"/>
    <cellStyle name="60% - Énfasis3 32 12" xfId="11606" xr:uid="{00000000-0005-0000-0000-00001F2D0000}"/>
    <cellStyle name="60% - Énfasis3 32 13" xfId="11607" xr:uid="{00000000-0005-0000-0000-0000202D0000}"/>
    <cellStyle name="60% - Énfasis3 32 14" xfId="11608" xr:uid="{00000000-0005-0000-0000-0000212D0000}"/>
    <cellStyle name="60% - Énfasis3 32 15" xfId="11609" xr:uid="{00000000-0005-0000-0000-0000222D0000}"/>
    <cellStyle name="60% - Énfasis3 32 16" xfId="11610" xr:uid="{00000000-0005-0000-0000-0000232D0000}"/>
    <cellStyle name="60% - Énfasis3 32 17" xfId="11611" xr:uid="{00000000-0005-0000-0000-0000242D0000}"/>
    <cellStyle name="60% - Énfasis3 32 18" xfId="11612" xr:uid="{00000000-0005-0000-0000-0000252D0000}"/>
    <cellStyle name="60% - Énfasis3 32 19" xfId="11613" xr:uid="{00000000-0005-0000-0000-0000262D0000}"/>
    <cellStyle name="60% - Énfasis3 32 2" xfId="11614" xr:uid="{00000000-0005-0000-0000-0000272D0000}"/>
    <cellStyle name="60% - Énfasis3 32 2 2" xfId="11615" xr:uid="{00000000-0005-0000-0000-0000282D0000}"/>
    <cellStyle name="60% - Énfasis3 32 3" xfId="11616" xr:uid="{00000000-0005-0000-0000-0000292D0000}"/>
    <cellStyle name="60% - Énfasis3 32 3 2" xfId="11617" xr:uid="{00000000-0005-0000-0000-00002A2D0000}"/>
    <cellStyle name="60% - Énfasis3 32 4" xfId="11618" xr:uid="{00000000-0005-0000-0000-00002B2D0000}"/>
    <cellStyle name="60% - Énfasis3 32 4 2" xfId="11619" xr:uid="{00000000-0005-0000-0000-00002C2D0000}"/>
    <cellStyle name="60% - Énfasis3 32 5" xfId="11620" xr:uid="{00000000-0005-0000-0000-00002D2D0000}"/>
    <cellStyle name="60% - Énfasis3 32 6" xfId="11621" xr:uid="{00000000-0005-0000-0000-00002E2D0000}"/>
    <cellStyle name="60% - Énfasis3 32 7" xfId="11622" xr:uid="{00000000-0005-0000-0000-00002F2D0000}"/>
    <cellStyle name="60% - Énfasis3 32 8" xfId="11623" xr:uid="{00000000-0005-0000-0000-0000302D0000}"/>
    <cellStyle name="60% - Énfasis3 32 9" xfId="11624" xr:uid="{00000000-0005-0000-0000-0000312D0000}"/>
    <cellStyle name="60% - Énfasis3 33 10" xfId="11625" xr:uid="{00000000-0005-0000-0000-0000322D0000}"/>
    <cellStyle name="60% - Énfasis3 33 11" xfId="11626" xr:uid="{00000000-0005-0000-0000-0000332D0000}"/>
    <cellStyle name="60% - Énfasis3 33 12" xfId="11627" xr:uid="{00000000-0005-0000-0000-0000342D0000}"/>
    <cellStyle name="60% - Énfasis3 33 13" xfId="11628" xr:uid="{00000000-0005-0000-0000-0000352D0000}"/>
    <cellStyle name="60% - Énfasis3 33 14" xfId="11629" xr:uid="{00000000-0005-0000-0000-0000362D0000}"/>
    <cellStyle name="60% - Énfasis3 33 15" xfId="11630" xr:uid="{00000000-0005-0000-0000-0000372D0000}"/>
    <cellStyle name="60% - Énfasis3 33 16" xfId="11631" xr:uid="{00000000-0005-0000-0000-0000382D0000}"/>
    <cellStyle name="60% - Énfasis3 33 17" xfId="11632" xr:uid="{00000000-0005-0000-0000-0000392D0000}"/>
    <cellStyle name="60% - Énfasis3 33 18" xfId="11633" xr:uid="{00000000-0005-0000-0000-00003A2D0000}"/>
    <cellStyle name="60% - Énfasis3 33 19" xfId="11634" xr:uid="{00000000-0005-0000-0000-00003B2D0000}"/>
    <cellStyle name="60% - Énfasis3 33 2" xfId="11635" xr:uid="{00000000-0005-0000-0000-00003C2D0000}"/>
    <cellStyle name="60% - Énfasis3 33 2 2" xfId="11636" xr:uid="{00000000-0005-0000-0000-00003D2D0000}"/>
    <cellStyle name="60% - Énfasis3 33 3" xfId="11637" xr:uid="{00000000-0005-0000-0000-00003E2D0000}"/>
    <cellStyle name="60% - Énfasis3 33 3 2" xfId="11638" xr:uid="{00000000-0005-0000-0000-00003F2D0000}"/>
    <cellStyle name="60% - Énfasis3 33 4" xfId="11639" xr:uid="{00000000-0005-0000-0000-0000402D0000}"/>
    <cellStyle name="60% - Énfasis3 33 4 2" xfId="11640" xr:uid="{00000000-0005-0000-0000-0000412D0000}"/>
    <cellStyle name="60% - Énfasis3 33 5" xfId="11641" xr:uid="{00000000-0005-0000-0000-0000422D0000}"/>
    <cellStyle name="60% - Énfasis3 33 6" xfId="11642" xr:uid="{00000000-0005-0000-0000-0000432D0000}"/>
    <cellStyle name="60% - Énfasis3 33 7" xfId="11643" xr:uid="{00000000-0005-0000-0000-0000442D0000}"/>
    <cellStyle name="60% - Énfasis3 33 8" xfId="11644" xr:uid="{00000000-0005-0000-0000-0000452D0000}"/>
    <cellStyle name="60% - Énfasis3 33 9" xfId="11645" xr:uid="{00000000-0005-0000-0000-0000462D0000}"/>
    <cellStyle name="60% - Énfasis3 34 10" xfId="11646" xr:uid="{00000000-0005-0000-0000-0000472D0000}"/>
    <cellStyle name="60% - Énfasis3 34 11" xfId="11647" xr:uid="{00000000-0005-0000-0000-0000482D0000}"/>
    <cellStyle name="60% - Énfasis3 34 12" xfId="11648" xr:uid="{00000000-0005-0000-0000-0000492D0000}"/>
    <cellStyle name="60% - Énfasis3 34 13" xfId="11649" xr:uid="{00000000-0005-0000-0000-00004A2D0000}"/>
    <cellStyle name="60% - Énfasis3 34 14" xfId="11650" xr:uid="{00000000-0005-0000-0000-00004B2D0000}"/>
    <cellStyle name="60% - Énfasis3 34 15" xfId="11651" xr:uid="{00000000-0005-0000-0000-00004C2D0000}"/>
    <cellStyle name="60% - Énfasis3 34 16" xfId="11652" xr:uid="{00000000-0005-0000-0000-00004D2D0000}"/>
    <cellStyle name="60% - Énfasis3 34 17" xfId="11653" xr:uid="{00000000-0005-0000-0000-00004E2D0000}"/>
    <cellStyle name="60% - Énfasis3 34 18" xfId="11654" xr:uid="{00000000-0005-0000-0000-00004F2D0000}"/>
    <cellStyle name="60% - Énfasis3 34 19" xfId="11655" xr:uid="{00000000-0005-0000-0000-0000502D0000}"/>
    <cellStyle name="60% - Énfasis3 34 2" xfId="11656" xr:uid="{00000000-0005-0000-0000-0000512D0000}"/>
    <cellStyle name="60% - Énfasis3 34 2 2" xfId="11657" xr:uid="{00000000-0005-0000-0000-0000522D0000}"/>
    <cellStyle name="60% - Énfasis3 34 3" xfId="11658" xr:uid="{00000000-0005-0000-0000-0000532D0000}"/>
    <cellStyle name="60% - Énfasis3 34 3 2" xfId="11659" xr:uid="{00000000-0005-0000-0000-0000542D0000}"/>
    <cellStyle name="60% - Énfasis3 34 4" xfId="11660" xr:uid="{00000000-0005-0000-0000-0000552D0000}"/>
    <cellStyle name="60% - Énfasis3 34 4 2" xfId="11661" xr:uid="{00000000-0005-0000-0000-0000562D0000}"/>
    <cellStyle name="60% - Énfasis3 34 5" xfId="11662" xr:uid="{00000000-0005-0000-0000-0000572D0000}"/>
    <cellStyle name="60% - Énfasis3 34 6" xfId="11663" xr:uid="{00000000-0005-0000-0000-0000582D0000}"/>
    <cellStyle name="60% - Énfasis3 34 7" xfId="11664" xr:uid="{00000000-0005-0000-0000-0000592D0000}"/>
    <cellStyle name="60% - Énfasis3 34 8" xfId="11665" xr:uid="{00000000-0005-0000-0000-00005A2D0000}"/>
    <cellStyle name="60% - Énfasis3 34 9" xfId="11666" xr:uid="{00000000-0005-0000-0000-00005B2D0000}"/>
    <cellStyle name="60% - Énfasis3 35 10" xfId="11667" xr:uid="{00000000-0005-0000-0000-00005C2D0000}"/>
    <cellStyle name="60% - Énfasis3 35 11" xfId="11668" xr:uid="{00000000-0005-0000-0000-00005D2D0000}"/>
    <cellStyle name="60% - Énfasis3 35 12" xfId="11669" xr:uid="{00000000-0005-0000-0000-00005E2D0000}"/>
    <cellStyle name="60% - Énfasis3 35 13" xfId="11670" xr:uid="{00000000-0005-0000-0000-00005F2D0000}"/>
    <cellStyle name="60% - Énfasis3 35 14" xfId="11671" xr:uid="{00000000-0005-0000-0000-0000602D0000}"/>
    <cellStyle name="60% - Énfasis3 35 15" xfId="11672" xr:uid="{00000000-0005-0000-0000-0000612D0000}"/>
    <cellStyle name="60% - Énfasis3 35 16" xfId="11673" xr:uid="{00000000-0005-0000-0000-0000622D0000}"/>
    <cellStyle name="60% - Énfasis3 35 17" xfId="11674" xr:uid="{00000000-0005-0000-0000-0000632D0000}"/>
    <cellStyle name="60% - Énfasis3 35 18" xfId="11675" xr:uid="{00000000-0005-0000-0000-0000642D0000}"/>
    <cellStyle name="60% - Énfasis3 35 19" xfId="11676" xr:uid="{00000000-0005-0000-0000-0000652D0000}"/>
    <cellStyle name="60% - Énfasis3 35 2" xfId="11677" xr:uid="{00000000-0005-0000-0000-0000662D0000}"/>
    <cellStyle name="60% - Énfasis3 35 2 2" xfId="11678" xr:uid="{00000000-0005-0000-0000-0000672D0000}"/>
    <cellStyle name="60% - Énfasis3 35 3" xfId="11679" xr:uid="{00000000-0005-0000-0000-0000682D0000}"/>
    <cellStyle name="60% - Énfasis3 35 3 2" xfId="11680" xr:uid="{00000000-0005-0000-0000-0000692D0000}"/>
    <cellStyle name="60% - Énfasis3 35 4" xfId="11681" xr:uid="{00000000-0005-0000-0000-00006A2D0000}"/>
    <cellStyle name="60% - Énfasis3 35 4 2" xfId="11682" xr:uid="{00000000-0005-0000-0000-00006B2D0000}"/>
    <cellStyle name="60% - Énfasis3 35 5" xfId="11683" xr:uid="{00000000-0005-0000-0000-00006C2D0000}"/>
    <cellStyle name="60% - Énfasis3 35 6" xfId="11684" xr:uid="{00000000-0005-0000-0000-00006D2D0000}"/>
    <cellStyle name="60% - Énfasis3 35 7" xfId="11685" xr:uid="{00000000-0005-0000-0000-00006E2D0000}"/>
    <cellStyle name="60% - Énfasis3 35 8" xfId="11686" xr:uid="{00000000-0005-0000-0000-00006F2D0000}"/>
    <cellStyle name="60% - Énfasis3 35 9" xfId="11687" xr:uid="{00000000-0005-0000-0000-0000702D0000}"/>
    <cellStyle name="60% - Énfasis3 36 10" xfId="11688" xr:uid="{00000000-0005-0000-0000-0000712D0000}"/>
    <cellStyle name="60% - Énfasis3 36 11" xfId="11689" xr:uid="{00000000-0005-0000-0000-0000722D0000}"/>
    <cellStyle name="60% - Énfasis3 36 12" xfId="11690" xr:uid="{00000000-0005-0000-0000-0000732D0000}"/>
    <cellStyle name="60% - Énfasis3 36 13" xfId="11691" xr:uid="{00000000-0005-0000-0000-0000742D0000}"/>
    <cellStyle name="60% - Énfasis3 36 14" xfId="11692" xr:uid="{00000000-0005-0000-0000-0000752D0000}"/>
    <cellStyle name="60% - Énfasis3 36 15" xfId="11693" xr:uid="{00000000-0005-0000-0000-0000762D0000}"/>
    <cellStyle name="60% - Énfasis3 36 16" xfId="11694" xr:uid="{00000000-0005-0000-0000-0000772D0000}"/>
    <cellStyle name="60% - Énfasis3 36 17" xfId="11695" xr:uid="{00000000-0005-0000-0000-0000782D0000}"/>
    <cellStyle name="60% - Énfasis3 36 18" xfId="11696" xr:uid="{00000000-0005-0000-0000-0000792D0000}"/>
    <cellStyle name="60% - Énfasis3 36 19" xfId="11697" xr:uid="{00000000-0005-0000-0000-00007A2D0000}"/>
    <cellStyle name="60% - Énfasis3 36 2" xfId="11698" xr:uid="{00000000-0005-0000-0000-00007B2D0000}"/>
    <cellStyle name="60% - Énfasis3 36 2 2" xfId="11699" xr:uid="{00000000-0005-0000-0000-00007C2D0000}"/>
    <cellStyle name="60% - Énfasis3 36 3" xfId="11700" xr:uid="{00000000-0005-0000-0000-00007D2D0000}"/>
    <cellStyle name="60% - Énfasis3 36 3 2" xfId="11701" xr:uid="{00000000-0005-0000-0000-00007E2D0000}"/>
    <cellStyle name="60% - Énfasis3 36 4" xfId="11702" xr:uid="{00000000-0005-0000-0000-00007F2D0000}"/>
    <cellStyle name="60% - Énfasis3 36 4 2" xfId="11703" xr:uid="{00000000-0005-0000-0000-0000802D0000}"/>
    <cellStyle name="60% - Énfasis3 36 5" xfId="11704" xr:uid="{00000000-0005-0000-0000-0000812D0000}"/>
    <cellStyle name="60% - Énfasis3 36 6" xfId="11705" xr:uid="{00000000-0005-0000-0000-0000822D0000}"/>
    <cellStyle name="60% - Énfasis3 36 7" xfId="11706" xr:uid="{00000000-0005-0000-0000-0000832D0000}"/>
    <cellStyle name="60% - Énfasis3 36 8" xfId="11707" xr:uid="{00000000-0005-0000-0000-0000842D0000}"/>
    <cellStyle name="60% - Énfasis3 36 9" xfId="11708" xr:uid="{00000000-0005-0000-0000-0000852D0000}"/>
    <cellStyle name="60% - Énfasis3 37 10" xfId="11709" xr:uid="{00000000-0005-0000-0000-0000862D0000}"/>
    <cellStyle name="60% - Énfasis3 37 11" xfId="11710" xr:uid="{00000000-0005-0000-0000-0000872D0000}"/>
    <cellStyle name="60% - Énfasis3 37 12" xfId="11711" xr:uid="{00000000-0005-0000-0000-0000882D0000}"/>
    <cellStyle name="60% - Énfasis3 37 13" xfId="11712" xr:uid="{00000000-0005-0000-0000-0000892D0000}"/>
    <cellStyle name="60% - Énfasis3 37 14" xfId="11713" xr:uid="{00000000-0005-0000-0000-00008A2D0000}"/>
    <cellStyle name="60% - Énfasis3 37 15" xfId="11714" xr:uid="{00000000-0005-0000-0000-00008B2D0000}"/>
    <cellStyle name="60% - Énfasis3 37 16" xfId="11715" xr:uid="{00000000-0005-0000-0000-00008C2D0000}"/>
    <cellStyle name="60% - Énfasis3 37 17" xfId="11716" xr:uid="{00000000-0005-0000-0000-00008D2D0000}"/>
    <cellStyle name="60% - Énfasis3 37 18" xfId="11717" xr:uid="{00000000-0005-0000-0000-00008E2D0000}"/>
    <cellStyle name="60% - Énfasis3 37 19" xfId="11718" xr:uid="{00000000-0005-0000-0000-00008F2D0000}"/>
    <cellStyle name="60% - Énfasis3 37 2" xfId="11719" xr:uid="{00000000-0005-0000-0000-0000902D0000}"/>
    <cellStyle name="60% - Énfasis3 37 2 2" xfId="11720" xr:uid="{00000000-0005-0000-0000-0000912D0000}"/>
    <cellStyle name="60% - Énfasis3 37 3" xfId="11721" xr:uid="{00000000-0005-0000-0000-0000922D0000}"/>
    <cellStyle name="60% - Énfasis3 37 3 2" xfId="11722" xr:uid="{00000000-0005-0000-0000-0000932D0000}"/>
    <cellStyle name="60% - Énfasis3 37 4" xfId="11723" xr:uid="{00000000-0005-0000-0000-0000942D0000}"/>
    <cellStyle name="60% - Énfasis3 37 4 2" xfId="11724" xr:uid="{00000000-0005-0000-0000-0000952D0000}"/>
    <cellStyle name="60% - Énfasis3 37 5" xfId="11725" xr:uid="{00000000-0005-0000-0000-0000962D0000}"/>
    <cellStyle name="60% - Énfasis3 37 6" xfId="11726" xr:uid="{00000000-0005-0000-0000-0000972D0000}"/>
    <cellStyle name="60% - Énfasis3 37 7" xfId="11727" xr:uid="{00000000-0005-0000-0000-0000982D0000}"/>
    <cellStyle name="60% - Énfasis3 37 8" xfId="11728" xr:uid="{00000000-0005-0000-0000-0000992D0000}"/>
    <cellStyle name="60% - Énfasis3 37 9" xfId="11729" xr:uid="{00000000-0005-0000-0000-00009A2D0000}"/>
    <cellStyle name="60% - Énfasis3 38 10" xfId="11730" xr:uid="{00000000-0005-0000-0000-00009B2D0000}"/>
    <cellStyle name="60% - Énfasis3 38 11" xfId="11731" xr:uid="{00000000-0005-0000-0000-00009C2D0000}"/>
    <cellStyle name="60% - Énfasis3 38 12" xfId="11732" xr:uid="{00000000-0005-0000-0000-00009D2D0000}"/>
    <cellStyle name="60% - Énfasis3 38 13" xfId="11733" xr:uid="{00000000-0005-0000-0000-00009E2D0000}"/>
    <cellStyle name="60% - Énfasis3 38 14" xfId="11734" xr:uid="{00000000-0005-0000-0000-00009F2D0000}"/>
    <cellStyle name="60% - Énfasis3 38 15" xfId="11735" xr:uid="{00000000-0005-0000-0000-0000A02D0000}"/>
    <cellStyle name="60% - Énfasis3 38 16" xfId="11736" xr:uid="{00000000-0005-0000-0000-0000A12D0000}"/>
    <cellStyle name="60% - Énfasis3 38 17" xfId="11737" xr:uid="{00000000-0005-0000-0000-0000A22D0000}"/>
    <cellStyle name="60% - Énfasis3 38 18" xfId="11738" xr:uid="{00000000-0005-0000-0000-0000A32D0000}"/>
    <cellStyle name="60% - Énfasis3 38 19" xfId="11739" xr:uid="{00000000-0005-0000-0000-0000A42D0000}"/>
    <cellStyle name="60% - Énfasis3 38 2" xfId="11740" xr:uid="{00000000-0005-0000-0000-0000A52D0000}"/>
    <cellStyle name="60% - Énfasis3 38 2 2" xfId="11741" xr:uid="{00000000-0005-0000-0000-0000A62D0000}"/>
    <cellStyle name="60% - Énfasis3 38 3" xfId="11742" xr:uid="{00000000-0005-0000-0000-0000A72D0000}"/>
    <cellStyle name="60% - Énfasis3 38 3 2" xfId="11743" xr:uid="{00000000-0005-0000-0000-0000A82D0000}"/>
    <cellStyle name="60% - Énfasis3 38 4" xfId="11744" xr:uid="{00000000-0005-0000-0000-0000A92D0000}"/>
    <cellStyle name="60% - Énfasis3 38 4 2" xfId="11745" xr:uid="{00000000-0005-0000-0000-0000AA2D0000}"/>
    <cellStyle name="60% - Énfasis3 38 5" xfId="11746" xr:uid="{00000000-0005-0000-0000-0000AB2D0000}"/>
    <cellStyle name="60% - Énfasis3 38 6" xfId="11747" xr:uid="{00000000-0005-0000-0000-0000AC2D0000}"/>
    <cellStyle name="60% - Énfasis3 38 7" xfId="11748" xr:uid="{00000000-0005-0000-0000-0000AD2D0000}"/>
    <cellStyle name="60% - Énfasis3 38 8" xfId="11749" xr:uid="{00000000-0005-0000-0000-0000AE2D0000}"/>
    <cellStyle name="60% - Énfasis3 38 9" xfId="11750" xr:uid="{00000000-0005-0000-0000-0000AF2D0000}"/>
    <cellStyle name="60% - Énfasis3 39" xfId="11751" xr:uid="{00000000-0005-0000-0000-0000B02D0000}"/>
    <cellStyle name="60% - Énfasis3 39 10" xfId="11752" xr:uid="{00000000-0005-0000-0000-0000B12D0000}"/>
    <cellStyle name="60% - Énfasis3 39 11" xfId="11753" xr:uid="{00000000-0005-0000-0000-0000B22D0000}"/>
    <cellStyle name="60% - Énfasis3 39 12" xfId="11754" xr:uid="{00000000-0005-0000-0000-0000B32D0000}"/>
    <cellStyle name="60% - Énfasis3 39 13" xfId="11755" xr:uid="{00000000-0005-0000-0000-0000B42D0000}"/>
    <cellStyle name="60% - Énfasis3 39 14" xfId="11756" xr:uid="{00000000-0005-0000-0000-0000B52D0000}"/>
    <cellStyle name="60% - Énfasis3 39 15" xfId="11757" xr:uid="{00000000-0005-0000-0000-0000B62D0000}"/>
    <cellStyle name="60% - Énfasis3 39 16" xfId="11758" xr:uid="{00000000-0005-0000-0000-0000B72D0000}"/>
    <cellStyle name="60% - Énfasis3 39 2" xfId="11759" xr:uid="{00000000-0005-0000-0000-0000B82D0000}"/>
    <cellStyle name="60% - Énfasis3 39 3" xfId="11760" xr:uid="{00000000-0005-0000-0000-0000B92D0000}"/>
    <cellStyle name="60% - Énfasis3 39 4" xfId="11761" xr:uid="{00000000-0005-0000-0000-0000BA2D0000}"/>
    <cellStyle name="60% - Énfasis3 39 5" xfId="11762" xr:uid="{00000000-0005-0000-0000-0000BB2D0000}"/>
    <cellStyle name="60% - Énfasis3 39 6" xfId="11763" xr:uid="{00000000-0005-0000-0000-0000BC2D0000}"/>
    <cellStyle name="60% - Énfasis3 39 7" xfId="11764" xr:uid="{00000000-0005-0000-0000-0000BD2D0000}"/>
    <cellStyle name="60% - Énfasis3 39 8" xfId="11765" xr:uid="{00000000-0005-0000-0000-0000BE2D0000}"/>
    <cellStyle name="60% - Énfasis3 39 9" xfId="11766" xr:uid="{00000000-0005-0000-0000-0000BF2D0000}"/>
    <cellStyle name="60% - Énfasis3 4 10" xfId="11767" xr:uid="{00000000-0005-0000-0000-0000C02D0000}"/>
    <cellStyle name="60% - Énfasis3 4 11" xfId="11768" xr:uid="{00000000-0005-0000-0000-0000C12D0000}"/>
    <cellStyle name="60% - Énfasis3 4 12" xfId="11769" xr:uid="{00000000-0005-0000-0000-0000C22D0000}"/>
    <cellStyle name="60% - Énfasis3 4 13" xfId="11770" xr:uid="{00000000-0005-0000-0000-0000C32D0000}"/>
    <cellStyle name="60% - Énfasis3 4 14" xfId="11771" xr:uid="{00000000-0005-0000-0000-0000C42D0000}"/>
    <cellStyle name="60% - Énfasis3 4 15" xfId="11772" xr:uid="{00000000-0005-0000-0000-0000C52D0000}"/>
    <cellStyle name="60% - Énfasis3 4 16" xfId="11773" xr:uid="{00000000-0005-0000-0000-0000C62D0000}"/>
    <cellStyle name="60% - Énfasis3 4 17" xfId="11774" xr:uid="{00000000-0005-0000-0000-0000C72D0000}"/>
    <cellStyle name="60% - Énfasis3 4 18" xfId="11775" xr:uid="{00000000-0005-0000-0000-0000C82D0000}"/>
    <cellStyle name="60% - Énfasis3 4 19" xfId="11776" xr:uid="{00000000-0005-0000-0000-0000C92D0000}"/>
    <cellStyle name="60% - Énfasis3 4 2" xfId="11777" xr:uid="{00000000-0005-0000-0000-0000CA2D0000}"/>
    <cellStyle name="60% - Énfasis3 4 2 2" xfId="11778" xr:uid="{00000000-0005-0000-0000-0000CB2D0000}"/>
    <cellStyle name="60% - Énfasis3 4 3" xfId="11779" xr:uid="{00000000-0005-0000-0000-0000CC2D0000}"/>
    <cellStyle name="60% - Énfasis3 4 3 2" xfId="11780" xr:uid="{00000000-0005-0000-0000-0000CD2D0000}"/>
    <cellStyle name="60% - Énfasis3 4 4" xfId="11781" xr:uid="{00000000-0005-0000-0000-0000CE2D0000}"/>
    <cellStyle name="60% - Énfasis3 4 4 2" xfId="11782" xr:uid="{00000000-0005-0000-0000-0000CF2D0000}"/>
    <cellStyle name="60% - Énfasis3 4 5" xfId="11783" xr:uid="{00000000-0005-0000-0000-0000D02D0000}"/>
    <cellStyle name="60% - Énfasis3 4 6" xfId="11784" xr:uid="{00000000-0005-0000-0000-0000D12D0000}"/>
    <cellStyle name="60% - Énfasis3 4 7" xfId="11785" xr:uid="{00000000-0005-0000-0000-0000D22D0000}"/>
    <cellStyle name="60% - Énfasis3 4 8" xfId="11786" xr:uid="{00000000-0005-0000-0000-0000D32D0000}"/>
    <cellStyle name="60% - Énfasis3 4 9" xfId="11787" xr:uid="{00000000-0005-0000-0000-0000D42D0000}"/>
    <cellStyle name="60% - Énfasis3 40" xfId="11788" xr:uid="{00000000-0005-0000-0000-0000D52D0000}"/>
    <cellStyle name="60% - Énfasis3 40 10" xfId="11789" xr:uid="{00000000-0005-0000-0000-0000D62D0000}"/>
    <cellStyle name="60% - Énfasis3 40 11" xfId="11790" xr:uid="{00000000-0005-0000-0000-0000D72D0000}"/>
    <cellStyle name="60% - Énfasis3 40 12" xfId="11791" xr:uid="{00000000-0005-0000-0000-0000D82D0000}"/>
    <cellStyle name="60% - Énfasis3 40 13" xfId="11792" xr:uid="{00000000-0005-0000-0000-0000D92D0000}"/>
    <cellStyle name="60% - Énfasis3 40 14" xfId="11793" xr:uid="{00000000-0005-0000-0000-0000DA2D0000}"/>
    <cellStyle name="60% - Énfasis3 40 15" xfId="11794" xr:uid="{00000000-0005-0000-0000-0000DB2D0000}"/>
    <cellStyle name="60% - Énfasis3 40 16" xfId="11795" xr:uid="{00000000-0005-0000-0000-0000DC2D0000}"/>
    <cellStyle name="60% - Énfasis3 40 2" xfId="11796" xr:uid="{00000000-0005-0000-0000-0000DD2D0000}"/>
    <cellStyle name="60% - Énfasis3 40 3" xfId="11797" xr:uid="{00000000-0005-0000-0000-0000DE2D0000}"/>
    <cellStyle name="60% - Énfasis3 40 4" xfId="11798" xr:uid="{00000000-0005-0000-0000-0000DF2D0000}"/>
    <cellStyle name="60% - Énfasis3 40 5" xfId="11799" xr:uid="{00000000-0005-0000-0000-0000E02D0000}"/>
    <cellStyle name="60% - Énfasis3 40 6" xfId="11800" xr:uid="{00000000-0005-0000-0000-0000E12D0000}"/>
    <cellStyle name="60% - Énfasis3 40 7" xfId="11801" xr:uid="{00000000-0005-0000-0000-0000E22D0000}"/>
    <cellStyle name="60% - Énfasis3 40 8" xfId="11802" xr:uid="{00000000-0005-0000-0000-0000E32D0000}"/>
    <cellStyle name="60% - Énfasis3 40 9" xfId="11803" xr:uid="{00000000-0005-0000-0000-0000E42D0000}"/>
    <cellStyle name="60% - Énfasis3 41" xfId="11804" xr:uid="{00000000-0005-0000-0000-0000E52D0000}"/>
    <cellStyle name="60% - Énfasis3 41 10" xfId="11805" xr:uid="{00000000-0005-0000-0000-0000E62D0000}"/>
    <cellStyle name="60% - Énfasis3 41 11" xfId="11806" xr:uid="{00000000-0005-0000-0000-0000E72D0000}"/>
    <cellStyle name="60% - Énfasis3 41 12" xfId="11807" xr:uid="{00000000-0005-0000-0000-0000E82D0000}"/>
    <cellStyle name="60% - Énfasis3 41 13" xfId="11808" xr:uid="{00000000-0005-0000-0000-0000E92D0000}"/>
    <cellStyle name="60% - Énfasis3 41 14" xfId="11809" xr:uid="{00000000-0005-0000-0000-0000EA2D0000}"/>
    <cellStyle name="60% - Énfasis3 41 15" xfId="11810" xr:uid="{00000000-0005-0000-0000-0000EB2D0000}"/>
    <cellStyle name="60% - Énfasis3 41 16" xfId="11811" xr:uid="{00000000-0005-0000-0000-0000EC2D0000}"/>
    <cellStyle name="60% - Énfasis3 41 2" xfId="11812" xr:uid="{00000000-0005-0000-0000-0000ED2D0000}"/>
    <cellStyle name="60% - Énfasis3 41 3" xfId="11813" xr:uid="{00000000-0005-0000-0000-0000EE2D0000}"/>
    <cellStyle name="60% - Énfasis3 41 4" xfId="11814" xr:uid="{00000000-0005-0000-0000-0000EF2D0000}"/>
    <cellStyle name="60% - Énfasis3 41 5" xfId="11815" xr:uid="{00000000-0005-0000-0000-0000F02D0000}"/>
    <cellStyle name="60% - Énfasis3 41 6" xfId="11816" xr:uid="{00000000-0005-0000-0000-0000F12D0000}"/>
    <cellStyle name="60% - Énfasis3 41 7" xfId="11817" xr:uid="{00000000-0005-0000-0000-0000F22D0000}"/>
    <cellStyle name="60% - Énfasis3 41 8" xfId="11818" xr:uid="{00000000-0005-0000-0000-0000F32D0000}"/>
    <cellStyle name="60% - Énfasis3 41 9" xfId="11819" xr:uid="{00000000-0005-0000-0000-0000F42D0000}"/>
    <cellStyle name="60% - Énfasis3 42" xfId="11820" xr:uid="{00000000-0005-0000-0000-0000F52D0000}"/>
    <cellStyle name="60% - Énfasis3 43" xfId="11821" xr:uid="{00000000-0005-0000-0000-0000F62D0000}"/>
    <cellStyle name="60% - Énfasis3 44" xfId="11822" xr:uid="{00000000-0005-0000-0000-0000F72D0000}"/>
    <cellStyle name="60% - Énfasis3 45" xfId="11823" xr:uid="{00000000-0005-0000-0000-0000F82D0000}"/>
    <cellStyle name="60% - Énfasis3 46" xfId="11824" xr:uid="{00000000-0005-0000-0000-0000F92D0000}"/>
    <cellStyle name="60% - Énfasis3 47" xfId="11825" xr:uid="{00000000-0005-0000-0000-0000FA2D0000}"/>
    <cellStyle name="60% - Énfasis3 48" xfId="11826" xr:uid="{00000000-0005-0000-0000-0000FB2D0000}"/>
    <cellStyle name="60% - Énfasis3 49" xfId="11827" xr:uid="{00000000-0005-0000-0000-0000FC2D0000}"/>
    <cellStyle name="60% - Énfasis3 5 10" xfId="11828" xr:uid="{00000000-0005-0000-0000-0000FD2D0000}"/>
    <cellStyle name="60% - Énfasis3 5 11" xfId="11829" xr:uid="{00000000-0005-0000-0000-0000FE2D0000}"/>
    <cellStyle name="60% - Énfasis3 5 12" xfId="11830" xr:uid="{00000000-0005-0000-0000-0000FF2D0000}"/>
    <cellStyle name="60% - Énfasis3 5 13" xfId="11831" xr:uid="{00000000-0005-0000-0000-0000002E0000}"/>
    <cellStyle name="60% - Énfasis3 5 14" xfId="11832" xr:uid="{00000000-0005-0000-0000-0000012E0000}"/>
    <cellStyle name="60% - Énfasis3 5 15" xfId="11833" xr:uid="{00000000-0005-0000-0000-0000022E0000}"/>
    <cellStyle name="60% - Énfasis3 5 16" xfId="11834" xr:uid="{00000000-0005-0000-0000-0000032E0000}"/>
    <cellStyle name="60% - Énfasis3 5 17" xfId="11835" xr:uid="{00000000-0005-0000-0000-0000042E0000}"/>
    <cellStyle name="60% - Énfasis3 5 18" xfId="11836" xr:uid="{00000000-0005-0000-0000-0000052E0000}"/>
    <cellStyle name="60% - Énfasis3 5 19" xfId="11837" xr:uid="{00000000-0005-0000-0000-0000062E0000}"/>
    <cellStyle name="60% - Énfasis3 5 2" xfId="11838" xr:uid="{00000000-0005-0000-0000-0000072E0000}"/>
    <cellStyle name="60% - Énfasis3 5 2 2" xfId="11839" xr:uid="{00000000-0005-0000-0000-0000082E0000}"/>
    <cellStyle name="60% - Énfasis3 5 3" xfId="11840" xr:uid="{00000000-0005-0000-0000-0000092E0000}"/>
    <cellStyle name="60% - Énfasis3 5 3 2" xfId="11841" xr:uid="{00000000-0005-0000-0000-00000A2E0000}"/>
    <cellStyle name="60% - Énfasis3 5 4" xfId="11842" xr:uid="{00000000-0005-0000-0000-00000B2E0000}"/>
    <cellStyle name="60% - Énfasis3 5 4 2" xfId="11843" xr:uid="{00000000-0005-0000-0000-00000C2E0000}"/>
    <cellStyle name="60% - Énfasis3 5 5" xfId="11844" xr:uid="{00000000-0005-0000-0000-00000D2E0000}"/>
    <cellStyle name="60% - Énfasis3 5 6" xfId="11845" xr:uid="{00000000-0005-0000-0000-00000E2E0000}"/>
    <cellStyle name="60% - Énfasis3 5 7" xfId="11846" xr:uid="{00000000-0005-0000-0000-00000F2E0000}"/>
    <cellStyle name="60% - Énfasis3 5 8" xfId="11847" xr:uid="{00000000-0005-0000-0000-0000102E0000}"/>
    <cellStyle name="60% - Énfasis3 5 9" xfId="11848" xr:uid="{00000000-0005-0000-0000-0000112E0000}"/>
    <cellStyle name="60% - Énfasis3 50" xfId="11849" xr:uid="{00000000-0005-0000-0000-0000122E0000}"/>
    <cellStyle name="60% - Énfasis3 51" xfId="11850" xr:uid="{00000000-0005-0000-0000-0000132E0000}"/>
    <cellStyle name="60% - Énfasis3 52" xfId="11851" xr:uid="{00000000-0005-0000-0000-0000142E0000}"/>
    <cellStyle name="60% - Énfasis3 53" xfId="11852" xr:uid="{00000000-0005-0000-0000-0000152E0000}"/>
    <cellStyle name="60% - Énfasis3 54" xfId="11853" xr:uid="{00000000-0005-0000-0000-0000162E0000}"/>
    <cellStyle name="60% - Énfasis3 55" xfId="11854" xr:uid="{00000000-0005-0000-0000-0000172E0000}"/>
    <cellStyle name="60% - Énfasis3 56" xfId="11855" xr:uid="{00000000-0005-0000-0000-0000182E0000}"/>
    <cellStyle name="60% - Énfasis3 57" xfId="11856" xr:uid="{00000000-0005-0000-0000-0000192E0000}"/>
    <cellStyle name="60% - Énfasis3 58" xfId="11857" xr:uid="{00000000-0005-0000-0000-00001A2E0000}"/>
    <cellStyle name="60% - Énfasis3 59" xfId="11858" xr:uid="{00000000-0005-0000-0000-00001B2E0000}"/>
    <cellStyle name="60% - Énfasis3 6 10" xfId="11859" xr:uid="{00000000-0005-0000-0000-00001C2E0000}"/>
    <cellStyle name="60% - Énfasis3 6 11" xfId="11860" xr:uid="{00000000-0005-0000-0000-00001D2E0000}"/>
    <cellStyle name="60% - Énfasis3 6 12" xfId="11861" xr:uid="{00000000-0005-0000-0000-00001E2E0000}"/>
    <cellStyle name="60% - Énfasis3 6 13" xfId="11862" xr:uid="{00000000-0005-0000-0000-00001F2E0000}"/>
    <cellStyle name="60% - Énfasis3 6 14" xfId="11863" xr:uid="{00000000-0005-0000-0000-0000202E0000}"/>
    <cellStyle name="60% - Énfasis3 6 15" xfId="11864" xr:uid="{00000000-0005-0000-0000-0000212E0000}"/>
    <cellStyle name="60% - Énfasis3 6 16" xfId="11865" xr:uid="{00000000-0005-0000-0000-0000222E0000}"/>
    <cellStyle name="60% - Énfasis3 6 17" xfId="11866" xr:uid="{00000000-0005-0000-0000-0000232E0000}"/>
    <cellStyle name="60% - Énfasis3 6 18" xfId="11867" xr:uid="{00000000-0005-0000-0000-0000242E0000}"/>
    <cellStyle name="60% - Énfasis3 6 19" xfId="11868" xr:uid="{00000000-0005-0000-0000-0000252E0000}"/>
    <cellStyle name="60% - Énfasis3 6 2" xfId="11869" xr:uid="{00000000-0005-0000-0000-0000262E0000}"/>
    <cellStyle name="60% - Énfasis3 6 2 2" xfId="11870" xr:uid="{00000000-0005-0000-0000-0000272E0000}"/>
    <cellStyle name="60% - Énfasis3 6 3" xfId="11871" xr:uid="{00000000-0005-0000-0000-0000282E0000}"/>
    <cellStyle name="60% - Énfasis3 6 3 2" xfId="11872" xr:uid="{00000000-0005-0000-0000-0000292E0000}"/>
    <cellStyle name="60% - Énfasis3 6 4" xfId="11873" xr:uid="{00000000-0005-0000-0000-00002A2E0000}"/>
    <cellStyle name="60% - Énfasis3 6 4 2" xfId="11874" xr:uid="{00000000-0005-0000-0000-00002B2E0000}"/>
    <cellStyle name="60% - Énfasis3 6 5" xfId="11875" xr:uid="{00000000-0005-0000-0000-00002C2E0000}"/>
    <cellStyle name="60% - Énfasis3 6 6" xfId="11876" xr:uid="{00000000-0005-0000-0000-00002D2E0000}"/>
    <cellStyle name="60% - Énfasis3 6 7" xfId="11877" xr:uid="{00000000-0005-0000-0000-00002E2E0000}"/>
    <cellStyle name="60% - Énfasis3 6 8" xfId="11878" xr:uid="{00000000-0005-0000-0000-00002F2E0000}"/>
    <cellStyle name="60% - Énfasis3 6 9" xfId="11879" xr:uid="{00000000-0005-0000-0000-0000302E0000}"/>
    <cellStyle name="60% - Énfasis3 60" xfId="11880" xr:uid="{00000000-0005-0000-0000-0000312E0000}"/>
    <cellStyle name="60% - Énfasis3 61" xfId="11881" xr:uid="{00000000-0005-0000-0000-0000322E0000}"/>
    <cellStyle name="60% - Énfasis3 62" xfId="11882" xr:uid="{00000000-0005-0000-0000-0000332E0000}"/>
    <cellStyle name="60% - Énfasis3 63" xfId="11883" xr:uid="{00000000-0005-0000-0000-0000342E0000}"/>
    <cellStyle name="60% - Énfasis3 64" xfId="11884" xr:uid="{00000000-0005-0000-0000-0000352E0000}"/>
    <cellStyle name="60% - Énfasis3 7 10" xfId="11885" xr:uid="{00000000-0005-0000-0000-0000362E0000}"/>
    <cellStyle name="60% - Énfasis3 7 11" xfId="11886" xr:uid="{00000000-0005-0000-0000-0000372E0000}"/>
    <cellStyle name="60% - Énfasis3 7 12" xfId="11887" xr:uid="{00000000-0005-0000-0000-0000382E0000}"/>
    <cellStyle name="60% - Énfasis3 7 13" xfId="11888" xr:uid="{00000000-0005-0000-0000-0000392E0000}"/>
    <cellStyle name="60% - Énfasis3 7 14" xfId="11889" xr:uid="{00000000-0005-0000-0000-00003A2E0000}"/>
    <cellStyle name="60% - Énfasis3 7 15" xfId="11890" xr:uid="{00000000-0005-0000-0000-00003B2E0000}"/>
    <cellStyle name="60% - Énfasis3 7 16" xfId="11891" xr:uid="{00000000-0005-0000-0000-00003C2E0000}"/>
    <cellStyle name="60% - Énfasis3 7 17" xfId="11892" xr:uid="{00000000-0005-0000-0000-00003D2E0000}"/>
    <cellStyle name="60% - Énfasis3 7 18" xfId="11893" xr:uid="{00000000-0005-0000-0000-00003E2E0000}"/>
    <cellStyle name="60% - Énfasis3 7 19" xfId="11894" xr:uid="{00000000-0005-0000-0000-00003F2E0000}"/>
    <cellStyle name="60% - Énfasis3 7 2" xfId="11895" xr:uid="{00000000-0005-0000-0000-0000402E0000}"/>
    <cellStyle name="60% - Énfasis3 7 2 2" xfId="11896" xr:uid="{00000000-0005-0000-0000-0000412E0000}"/>
    <cellStyle name="60% - Énfasis3 7 3" xfId="11897" xr:uid="{00000000-0005-0000-0000-0000422E0000}"/>
    <cellStyle name="60% - Énfasis3 7 3 2" xfId="11898" xr:uid="{00000000-0005-0000-0000-0000432E0000}"/>
    <cellStyle name="60% - Énfasis3 7 4" xfId="11899" xr:uid="{00000000-0005-0000-0000-0000442E0000}"/>
    <cellStyle name="60% - Énfasis3 7 4 2" xfId="11900" xr:uid="{00000000-0005-0000-0000-0000452E0000}"/>
    <cellStyle name="60% - Énfasis3 7 5" xfId="11901" xr:uid="{00000000-0005-0000-0000-0000462E0000}"/>
    <cellStyle name="60% - Énfasis3 7 6" xfId="11902" xr:uid="{00000000-0005-0000-0000-0000472E0000}"/>
    <cellStyle name="60% - Énfasis3 7 7" xfId="11903" xr:uid="{00000000-0005-0000-0000-0000482E0000}"/>
    <cellStyle name="60% - Énfasis3 7 8" xfId="11904" xr:uid="{00000000-0005-0000-0000-0000492E0000}"/>
    <cellStyle name="60% - Énfasis3 7 9" xfId="11905" xr:uid="{00000000-0005-0000-0000-00004A2E0000}"/>
    <cellStyle name="60% - Énfasis3 8 10" xfId="11906" xr:uid="{00000000-0005-0000-0000-00004B2E0000}"/>
    <cellStyle name="60% - Énfasis3 8 11" xfId="11907" xr:uid="{00000000-0005-0000-0000-00004C2E0000}"/>
    <cellStyle name="60% - Énfasis3 8 12" xfId="11908" xr:uid="{00000000-0005-0000-0000-00004D2E0000}"/>
    <cellStyle name="60% - Énfasis3 8 13" xfId="11909" xr:uid="{00000000-0005-0000-0000-00004E2E0000}"/>
    <cellStyle name="60% - Énfasis3 8 14" xfId="11910" xr:uid="{00000000-0005-0000-0000-00004F2E0000}"/>
    <cellStyle name="60% - Énfasis3 8 15" xfId="11911" xr:uid="{00000000-0005-0000-0000-0000502E0000}"/>
    <cellStyle name="60% - Énfasis3 8 16" xfId="11912" xr:uid="{00000000-0005-0000-0000-0000512E0000}"/>
    <cellStyle name="60% - Énfasis3 8 17" xfId="11913" xr:uid="{00000000-0005-0000-0000-0000522E0000}"/>
    <cellStyle name="60% - Énfasis3 8 18" xfId="11914" xr:uid="{00000000-0005-0000-0000-0000532E0000}"/>
    <cellStyle name="60% - Énfasis3 8 19" xfId="11915" xr:uid="{00000000-0005-0000-0000-0000542E0000}"/>
    <cellStyle name="60% - Énfasis3 8 2" xfId="11916" xr:uid="{00000000-0005-0000-0000-0000552E0000}"/>
    <cellStyle name="60% - Énfasis3 8 2 2" xfId="11917" xr:uid="{00000000-0005-0000-0000-0000562E0000}"/>
    <cellStyle name="60% - Énfasis3 8 3" xfId="11918" xr:uid="{00000000-0005-0000-0000-0000572E0000}"/>
    <cellStyle name="60% - Énfasis3 8 3 2" xfId="11919" xr:uid="{00000000-0005-0000-0000-0000582E0000}"/>
    <cellStyle name="60% - Énfasis3 8 4" xfId="11920" xr:uid="{00000000-0005-0000-0000-0000592E0000}"/>
    <cellStyle name="60% - Énfasis3 8 4 2" xfId="11921" xr:uid="{00000000-0005-0000-0000-00005A2E0000}"/>
    <cellStyle name="60% - Énfasis3 8 5" xfId="11922" xr:uid="{00000000-0005-0000-0000-00005B2E0000}"/>
    <cellStyle name="60% - Énfasis3 8 6" xfId="11923" xr:uid="{00000000-0005-0000-0000-00005C2E0000}"/>
    <cellStyle name="60% - Énfasis3 8 7" xfId="11924" xr:uid="{00000000-0005-0000-0000-00005D2E0000}"/>
    <cellStyle name="60% - Énfasis3 8 8" xfId="11925" xr:uid="{00000000-0005-0000-0000-00005E2E0000}"/>
    <cellStyle name="60% - Énfasis3 8 9" xfId="11926" xr:uid="{00000000-0005-0000-0000-00005F2E0000}"/>
    <cellStyle name="60% - Énfasis3 9 10" xfId="11927" xr:uid="{00000000-0005-0000-0000-0000602E0000}"/>
    <cellStyle name="60% - Énfasis3 9 11" xfId="11928" xr:uid="{00000000-0005-0000-0000-0000612E0000}"/>
    <cellStyle name="60% - Énfasis3 9 12" xfId="11929" xr:uid="{00000000-0005-0000-0000-0000622E0000}"/>
    <cellStyle name="60% - Énfasis3 9 13" xfId="11930" xr:uid="{00000000-0005-0000-0000-0000632E0000}"/>
    <cellStyle name="60% - Énfasis3 9 14" xfId="11931" xr:uid="{00000000-0005-0000-0000-0000642E0000}"/>
    <cellStyle name="60% - Énfasis3 9 15" xfId="11932" xr:uid="{00000000-0005-0000-0000-0000652E0000}"/>
    <cellStyle name="60% - Énfasis3 9 16" xfId="11933" xr:uid="{00000000-0005-0000-0000-0000662E0000}"/>
    <cellStyle name="60% - Énfasis3 9 17" xfId="11934" xr:uid="{00000000-0005-0000-0000-0000672E0000}"/>
    <cellStyle name="60% - Énfasis3 9 18" xfId="11935" xr:uid="{00000000-0005-0000-0000-0000682E0000}"/>
    <cellStyle name="60% - Énfasis3 9 19" xfId="11936" xr:uid="{00000000-0005-0000-0000-0000692E0000}"/>
    <cellStyle name="60% - Énfasis3 9 2" xfId="11937" xr:uid="{00000000-0005-0000-0000-00006A2E0000}"/>
    <cellStyle name="60% - Énfasis3 9 2 2" xfId="11938" xr:uid="{00000000-0005-0000-0000-00006B2E0000}"/>
    <cellStyle name="60% - Énfasis3 9 3" xfId="11939" xr:uid="{00000000-0005-0000-0000-00006C2E0000}"/>
    <cellStyle name="60% - Énfasis3 9 3 2" xfId="11940" xr:uid="{00000000-0005-0000-0000-00006D2E0000}"/>
    <cellStyle name="60% - Énfasis3 9 4" xfId="11941" xr:uid="{00000000-0005-0000-0000-00006E2E0000}"/>
    <cellStyle name="60% - Énfasis3 9 4 2" xfId="11942" xr:uid="{00000000-0005-0000-0000-00006F2E0000}"/>
    <cellStyle name="60% - Énfasis3 9 5" xfId="11943" xr:uid="{00000000-0005-0000-0000-0000702E0000}"/>
    <cellStyle name="60% - Énfasis3 9 6" xfId="11944" xr:uid="{00000000-0005-0000-0000-0000712E0000}"/>
    <cellStyle name="60% - Énfasis3 9 7" xfId="11945" xr:uid="{00000000-0005-0000-0000-0000722E0000}"/>
    <cellStyle name="60% - Énfasis3 9 8" xfId="11946" xr:uid="{00000000-0005-0000-0000-0000732E0000}"/>
    <cellStyle name="60% - Énfasis3 9 9" xfId="11947" xr:uid="{00000000-0005-0000-0000-0000742E0000}"/>
    <cellStyle name="60% - Énfasis4" xfId="32543" builtinId="44" customBuiltin="1"/>
    <cellStyle name="60% - Énfasis4 10 10" xfId="11948" xr:uid="{00000000-0005-0000-0000-0000762E0000}"/>
    <cellStyle name="60% - Énfasis4 10 11" xfId="11949" xr:uid="{00000000-0005-0000-0000-0000772E0000}"/>
    <cellStyle name="60% - Énfasis4 10 12" xfId="11950" xr:uid="{00000000-0005-0000-0000-0000782E0000}"/>
    <cellStyle name="60% - Énfasis4 10 13" xfId="11951" xr:uid="{00000000-0005-0000-0000-0000792E0000}"/>
    <cellStyle name="60% - Énfasis4 10 14" xfId="11952" xr:uid="{00000000-0005-0000-0000-00007A2E0000}"/>
    <cellStyle name="60% - Énfasis4 10 15" xfId="11953" xr:uid="{00000000-0005-0000-0000-00007B2E0000}"/>
    <cellStyle name="60% - Énfasis4 10 16" xfId="11954" xr:uid="{00000000-0005-0000-0000-00007C2E0000}"/>
    <cellStyle name="60% - Énfasis4 10 17" xfId="11955" xr:uid="{00000000-0005-0000-0000-00007D2E0000}"/>
    <cellStyle name="60% - Énfasis4 10 18" xfId="11956" xr:uid="{00000000-0005-0000-0000-00007E2E0000}"/>
    <cellStyle name="60% - Énfasis4 10 19" xfId="11957" xr:uid="{00000000-0005-0000-0000-00007F2E0000}"/>
    <cellStyle name="60% - Énfasis4 10 2" xfId="11958" xr:uid="{00000000-0005-0000-0000-0000802E0000}"/>
    <cellStyle name="60% - Énfasis4 10 2 2" xfId="11959" xr:uid="{00000000-0005-0000-0000-0000812E0000}"/>
    <cellStyle name="60% - Énfasis4 10 3" xfId="11960" xr:uid="{00000000-0005-0000-0000-0000822E0000}"/>
    <cellStyle name="60% - Énfasis4 10 3 2" xfId="11961" xr:uid="{00000000-0005-0000-0000-0000832E0000}"/>
    <cellStyle name="60% - Énfasis4 10 4" xfId="11962" xr:uid="{00000000-0005-0000-0000-0000842E0000}"/>
    <cellStyle name="60% - Énfasis4 10 4 2" xfId="11963" xr:uid="{00000000-0005-0000-0000-0000852E0000}"/>
    <cellStyle name="60% - Énfasis4 10 5" xfId="11964" xr:uid="{00000000-0005-0000-0000-0000862E0000}"/>
    <cellStyle name="60% - Énfasis4 10 6" xfId="11965" xr:uid="{00000000-0005-0000-0000-0000872E0000}"/>
    <cellStyle name="60% - Énfasis4 10 7" xfId="11966" xr:uid="{00000000-0005-0000-0000-0000882E0000}"/>
    <cellStyle name="60% - Énfasis4 10 8" xfId="11967" xr:uid="{00000000-0005-0000-0000-0000892E0000}"/>
    <cellStyle name="60% - Énfasis4 10 9" xfId="11968" xr:uid="{00000000-0005-0000-0000-00008A2E0000}"/>
    <cellStyle name="60% - Énfasis4 11 10" xfId="11969" xr:uid="{00000000-0005-0000-0000-00008B2E0000}"/>
    <cellStyle name="60% - Énfasis4 11 11" xfId="11970" xr:uid="{00000000-0005-0000-0000-00008C2E0000}"/>
    <cellStyle name="60% - Énfasis4 11 12" xfId="11971" xr:uid="{00000000-0005-0000-0000-00008D2E0000}"/>
    <cellStyle name="60% - Énfasis4 11 13" xfId="11972" xr:uid="{00000000-0005-0000-0000-00008E2E0000}"/>
    <cellStyle name="60% - Énfasis4 11 14" xfId="11973" xr:uid="{00000000-0005-0000-0000-00008F2E0000}"/>
    <cellStyle name="60% - Énfasis4 11 15" xfId="11974" xr:uid="{00000000-0005-0000-0000-0000902E0000}"/>
    <cellStyle name="60% - Énfasis4 11 16" xfId="11975" xr:uid="{00000000-0005-0000-0000-0000912E0000}"/>
    <cellStyle name="60% - Énfasis4 11 17" xfId="11976" xr:uid="{00000000-0005-0000-0000-0000922E0000}"/>
    <cellStyle name="60% - Énfasis4 11 18" xfId="11977" xr:uid="{00000000-0005-0000-0000-0000932E0000}"/>
    <cellStyle name="60% - Énfasis4 11 19" xfId="11978" xr:uid="{00000000-0005-0000-0000-0000942E0000}"/>
    <cellStyle name="60% - Énfasis4 11 2" xfId="11979" xr:uid="{00000000-0005-0000-0000-0000952E0000}"/>
    <cellStyle name="60% - Énfasis4 11 2 2" xfId="11980" xr:uid="{00000000-0005-0000-0000-0000962E0000}"/>
    <cellStyle name="60% - Énfasis4 11 3" xfId="11981" xr:uid="{00000000-0005-0000-0000-0000972E0000}"/>
    <cellStyle name="60% - Énfasis4 11 3 2" xfId="11982" xr:uid="{00000000-0005-0000-0000-0000982E0000}"/>
    <cellStyle name="60% - Énfasis4 11 4" xfId="11983" xr:uid="{00000000-0005-0000-0000-0000992E0000}"/>
    <cellStyle name="60% - Énfasis4 11 4 2" xfId="11984" xr:uid="{00000000-0005-0000-0000-00009A2E0000}"/>
    <cellStyle name="60% - Énfasis4 11 5" xfId="11985" xr:uid="{00000000-0005-0000-0000-00009B2E0000}"/>
    <cellStyle name="60% - Énfasis4 11 6" xfId="11986" xr:uid="{00000000-0005-0000-0000-00009C2E0000}"/>
    <cellStyle name="60% - Énfasis4 11 7" xfId="11987" xr:uid="{00000000-0005-0000-0000-00009D2E0000}"/>
    <cellStyle name="60% - Énfasis4 11 8" xfId="11988" xr:uid="{00000000-0005-0000-0000-00009E2E0000}"/>
    <cellStyle name="60% - Énfasis4 11 9" xfId="11989" xr:uid="{00000000-0005-0000-0000-00009F2E0000}"/>
    <cellStyle name="60% - Énfasis4 12 10" xfId="11990" xr:uid="{00000000-0005-0000-0000-0000A02E0000}"/>
    <cellStyle name="60% - Énfasis4 12 11" xfId="11991" xr:uid="{00000000-0005-0000-0000-0000A12E0000}"/>
    <cellStyle name="60% - Énfasis4 12 12" xfId="11992" xr:uid="{00000000-0005-0000-0000-0000A22E0000}"/>
    <cellStyle name="60% - Énfasis4 12 13" xfId="11993" xr:uid="{00000000-0005-0000-0000-0000A32E0000}"/>
    <cellStyle name="60% - Énfasis4 12 14" xfId="11994" xr:uid="{00000000-0005-0000-0000-0000A42E0000}"/>
    <cellStyle name="60% - Énfasis4 12 15" xfId="11995" xr:uid="{00000000-0005-0000-0000-0000A52E0000}"/>
    <cellStyle name="60% - Énfasis4 12 16" xfId="11996" xr:uid="{00000000-0005-0000-0000-0000A62E0000}"/>
    <cellStyle name="60% - Énfasis4 12 17" xfId="11997" xr:uid="{00000000-0005-0000-0000-0000A72E0000}"/>
    <cellStyle name="60% - Énfasis4 12 18" xfId="11998" xr:uid="{00000000-0005-0000-0000-0000A82E0000}"/>
    <cellStyle name="60% - Énfasis4 12 19" xfId="11999" xr:uid="{00000000-0005-0000-0000-0000A92E0000}"/>
    <cellStyle name="60% - Énfasis4 12 2" xfId="12000" xr:uid="{00000000-0005-0000-0000-0000AA2E0000}"/>
    <cellStyle name="60% - Énfasis4 12 2 2" xfId="12001" xr:uid="{00000000-0005-0000-0000-0000AB2E0000}"/>
    <cellStyle name="60% - Énfasis4 12 3" xfId="12002" xr:uid="{00000000-0005-0000-0000-0000AC2E0000}"/>
    <cellStyle name="60% - Énfasis4 12 3 2" xfId="12003" xr:uid="{00000000-0005-0000-0000-0000AD2E0000}"/>
    <cellStyle name="60% - Énfasis4 12 4" xfId="12004" xr:uid="{00000000-0005-0000-0000-0000AE2E0000}"/>
    <cellStyle name="60% - Énfasis4 12 4 2" xfId="12005" xr:uid="{00000000-0005-0000-0000-0000AF2E0000}"/>
    <cellStyle name="60% - Énfasis4 12 5" xfId="12006" xr:uid="{00000000-0005-0000-0000-0000B02E0000}"/>
    <cellStyle name="60% - Énfasis4 12 6" xfId="12007" xr:uid="{00000000-0005-0000-0000-0000B12E0000}"/>
    <cellStyle name="60% - Énfasis4 12 7" xfId="12008" xr:uid="{00000000-0005-0000-0000-0000B22E0000}"/>
    <cellStyle name="60% - Énfasis4 12 8" xfId="12009" xr:uid="{00000000-0005-0000-0000-0000B32E0000}"/>
    <cellStyle name="60% - Énfasis4 12 9" xfId="12010" xr:uid="{00000000-0005-0000-0000-0000B42E0000}"/>
    <cellStyle name="60% - Énfasis4 13 10" xfId="12011" xr:uid="{00000000-0005-0000-0000-0000B52E0000}"/>
    <cellStyle name="60% - Énfasis4 13 11" xfId="12012" xr:uid="{00000000-0005-0000-0000-0000B62E0000}"/>
    <cellStyle name="60% - Énfasis4 13 12" xfId="12013" xr:uid="{00000000-0005-0000-0000-0000B72E0000}"/>
    <cellStyle name="60% - Énfasis4 13 13" xfId="12014" xr:uid="{00000000-0005-0000-0000-0000B82E0000}"/>
    <cellStyle name="60% - Énfasis4 13 14" xfId="12015" xr:uid="{00000000-0005-0000-0000-0000B92E0000}"/>
    <cellStyle name="60% - Énfasis4 13 15" xfId="12016" xr:uid="{00000000-0005-0000-0000-0000BA2E0000}"/>
    <cellStyle name="60% - Énfasis4 13 16" xfId="12017" xr:uid="{00000000-0005-0000-0000-0000BB2E0000}"/>
    <cellStyle name="60% - Énfasis4 13 17" xfId="12018" xr:uid="{00000000-0005-0000-0000-0000BC2E0000}"/>
    <cellStyle name="60% - Énfasis4 13 18" xfId="12019" xr:uid="{00000000-0005-0000-0000-0000BD2E0000}"/>
    <cellStyle name="60% - Énfasis4 13 19" xfId="12020" xr:uid="{00000000-0005-0000-0000-0000BE2E0000}"/>
    <cellStyle name="60% - Énfasis4 13 2" xfId="12021" xr:uid="{00000000-0005-0000-0000-0000BF2E0000}"/>
    <cellStyle name="60% - Énfasis4 13 2 2" xfId="12022" xr:uid="{00000000-0005-0000-0000-0000C02E0000}"/>
    <cellStyle name="60% - Énfasis4 13 3" xfId="12023" xr:uid="{00000000-0005-0000-0000-0000C12E0000}"/>
    <cellStyle name="60% - Énfasis4 13 3 2" xfId="12024" xr:uid="{00000000-0005-0000-0000-0000C22E0000}"/>
    <cellStyle name="60% - Énfasis4 13 4" xfId="12025" xr:uid="{00000000-0005-0000-0000-0000C32E0000}"/>
    <cellStyle name="60% - Énfasis4 13 4 2" xfId="12026" xr:uid="{00000000-0005-0000-0000-0000C42E0000}"/>
    <cellStyle name="60% - Énfasis4 13 5" xfId="12027" xr:uid="{00000000-0005-0000-0000-0000C52E0000}"/>
    <cellStyle name="60% - Énfasis4 13 6" xfId="12028" xr:uid="{00000000-0005-0000-0000-0000C62E0000}"/>
    <cellStyle name="60% - Énfasis4 13 7" xfId="12029" xr:uid="{00000000-0005-0000-0000-0000C72E0000}"/>
    <cellStyle name="60% - Énfasis4 13 8" xfId="12030" xr:uid="{00000000-0005-0000-0000-0000C82E0000}"/>
    <cellStyle name="60% - Énfasis4 13 9" xfId="12031" xr:uid="{00000000-0005-0000-0000-0000C92E0000}"/>
    <cellStyle name="60% - Énfasis4 14 10" xfId="12032" xr:uid="{00000000-0005-0000-0000-0000CA2E0000}"/>
    <cellStyle name="60% - Énfasis4 14 11" xfId="12033" xr:uid="{00000000-0005-0000-0000-0000CB2E0000}"/>
    <cellStyle name="60% - Énfasis4 14 12" xfId="12034" xr:uid="{00000000-0005-0000-0000-0000CC2E0000}"/>
    <cellStyle name="60% - Énfasis4 14 13" xfId="12035" xr:uid="{00000000-0005-0000-0000-0000CD2E0000}"/>
    <cellStyle name="60% - Énfasis4 14 14" xfId="12036" xr:uid="{00000000-0005-0000-0000-0000CE2E0000}"/>
    <cellStyle name="60% - Énfasis4 14 15" xfId="12037" xr:uid="{00000000-0005-0000-0000-0000CF2E0000}"/>
    <cellStyle name="60% - Énfasis4 14 16" xfId="12038" xr:uid="{00000000-0005-0000-0000-0000D02E0000}"/>
    <cellStyle name="60% - Énfasis4 14 17" xfId="12039" xr:uid="{00000000-0005-0000-0000-0000D12E0000}"/>
    <cellStyle name="60% - Énfasis4 14 18" xfId="12040" xr:uid="{00000000-0005-0000-0000-0000D22E0000}"/>
    <cellStyle name="60% - Énfasis4 14 19" xfId="12041" xr:uid="{00000000-0005-0000-0000-0000D32E0000}"/>
    <cellStyle name="60% - Énfasis4 14 2" xfId="12042" xr:uid="{00000000-0005-0000-0000-0000D42E0000}"/>
    <cellStyle name="60% - Énfasis4 14 2 2" xfId="12043" xr:uid="{00000000-0005-0000-0000-0000D52E0000}"/>
    <cellStyle name="60% - Énfasis4 14 3" xfId="12044" xr:uid="{00000000-0005-0000-0000-0000D62E0000}"/>
    <cellStyle name="60% - Énfasis4 14 3 2" xfId="12045" xr:uid="{00000000-0005-0000-0000-0000D72E0000}"/>
    <cellStyle name="60% - Énfasis4 14 4" xfId="12046" xr:uid="{00000000-0005-0000-0000-0000D82E0000}"/>
    <cellStyle name="60% - Énfasis4 14 4 2" xfId="12047" xr:uid="{00000000-0005-0000-0000-0000D92E0000}"/>
    <cellStyle name="60% - Énfasis4 14 5" xfId="12048" xr:uid="{00000000-0005-0000-0000-0000DA2E0000}"/>
    <cellStyle name="60% - Énfasis4 14 6" xfId="12049" xr:uid="{00000000-0005-0000-0000-0000DB2E0000}"/>
    <cellStyle name="60% - Énfasis4 14 7" xfId="12050" xr:uid="{00000000-0005-0000-0000-0000DC2E0000}"/>
    <cellStyle name="60% - Énfasis4 14 8" xfId="12051" xr:uid="{00000000-0005-0000-0000-0000DD2E0000}"/>
    <cellStyle name="60% - Énfasis4 14 9" xfId="12052" xr:uid="{00000000-0005-0000-0000-0000DE2E0000}"/>
    <cellStyle name="60% - Énfasis4 15 10" xfId="12053" xr:uid="{00000000-0005-0000-0000-0000DF2E0000}"/>
    <cellStyle name="60% - Énfasis4 15 11" xfId="12054" xr:uid="{00000000-0005-0000-0000-0000E02E0000}"/>
    <cellStyle name="60% - Énfasis4 15 12" xfId="12055" xr:uid="{00000000-0005-0000-0000-0000E12E0000}"/>
    <cellStyle name="60% - Énfasis4 15 13" xfId="12056" xr:uid="{00000000-0005-0000-0000-0000E22E0000}"/>
    <cellStyle name="60% - Énfasis4 15 14" xfId="12057" xr:uid="{00000000-0005-0000-0000-0000E32E0000}"/>
    <cellStyle name="60% - Énfasis4 15 15" xfId="12058" xr:uid="{00000000-0005-0000-0000-0000E42E0000}"/>
    <cellStyle name="60% - Énfasis4 15 16" xfId="12059" xr:uid="{00000000-0005-0000-0000-0000E52E0000}"/>
    <cellStyle name="60% - Énfasis4 15 17" xfId="12060" xr:uid="{00000000-0005-0000-0000-0000E62E0000}"/>
    <cellStyle name="60% - Énfasis4 15 18" xfId="12061" xr:uid="{00000000-0005-0000-0000-0000E72E0000}"/>
    <cellStyle name="60% - Énfasis4 15 19" xfId="12062" xr:uid="{00000000-0005-0000-0000-0000E82E0000}"/>
    <cellStyle name="60% - Énfasis4 15 2" xfId="12063" xr:uid="{00000000-0005-0000-0000-0000E92E0000}"/>
    <cellStyle name="60% - Énfasis4 15 2 2" xfId="12064" xr:uid="{00000000-0005-0000-0000-0000EA2E0000}"/>
    <cellStyle name="60% - Énfasis4 15 3" xfId="12065" xr:uid="{00000000-0005-0000-0000-0000EB2E0000}"/>
    <cellStyle name="60% - Énfasis4 15 3 2" xfId="12066" xr:uid="{00000000-0005-0000-0000-0000EC2E0000}"/>
    <cellStyle name="60% - Énfasis4 15 4" xfId="12067" xr:uid="{00000000-0005-0000-0000-0000ED2E0000}"/>
    <cellStyle name="60% - Énfasis4 15 4 2" xfId="12068" xr:uid="{00000000-0005-0000-0000-0000EE2E0000}"/>
    <cellStyle name="60% - Énfasis4 15 5" xfId="12069" xr:uid="{00000000-0005-0000-0000-0000EF2E0000}"/>
    <cellStyle name="60% - Énfasis4 15 6" xfId="12070" xr:uid="{00000000-0005-0000-0000-0000F02E0000}"/>
    <cellStyle name="60% - Énfasis4 15 7" xfId="12071" xr:uid="{00000000-0005-0000-0000-0000F12E0000}"/>
    <cellStyle name="60% - Énfasis4 15 8" xfId="12072" xr:uid="{00000000-0005-0000-0000-0000F22E0000}"/>
    <cellStyle name="60% - Énfasis4 15 9" xfId="12073" xr:uid="{00000000-0005-0000-0000-0000F32E0000}"/>
    <cellStyle name="60% - Énfasis4 16 10" xfId="12074" xr:uid="{00000000-0005-0000-0000-0000F42E0000}"/>
    <cellStyle name="60% - Énfasis4 16 11" xfId="12075" xr:uid="{00000000-0005-0000-0000-0000F52E0000}"/>
    <cellStyle name="60% - Énfasis4 16 12" xfId="12076" xr:uid="{00000000-0005-0000-0000-0000F62E0000}"/>
    <cellStyle name="60% - Énfasis4 16 13" xfId="12077" xr:uid="{00000000-0005-0000-0000-0000F72E0000}"/>
    <cellStyle name="60% - Énfasis4 16 14" xfId="12078" xr:uid="{00000000-0005-0000-0000-0000F82E0000}"/>
    <cellStyle name="60% - Énfasis4 16 15" xfId="12079" xr:uid="{00000000-0005-0000-0000-0000F92E0000}"/>
    <cellStyle name="60% - Énfasis4 16 16" xfId="12080" xr:uid="{00000000-0005-0000-0000-0000FA2E0000}"/>
    <cellStyle name="60% - Énfasis4 16 17" xfId="12081" xr:uid="{00000000-0005-0000-0000-0000FB2E0000}"/>
    <cellStyle name="60% - Énfasis4 16 18" xfId="12082" xr:uid="{00000000-0005-0000-0000-0000FC2E0000}"/>
    <cellStyle name="60% - Énfasis4 16 19" xfId="12083" xr:uid="{00000000-0005-0000-0000-0000FD2E0000}"/>
    <cellStyle name="60% - Énfasis4 16 2" xfId="12084" xr:uid="{00000000-0005-0000-0000-0000FE2E0000}"/>
    <cellStyle name="60% - Énfasis4 16 2 2" xfId="12085" xr:uid="{00000000-0005-0000-0000-0000FF2E0000}"/>
    <cellStyle name="60% - Énfasis4 16 3" xfId="12086" xr:uid="{00000000-0005-0000-0000-0000002F0000}"/>
    <cellStyle name="60% - Énfasis4 16 3 2" xfId="12087" xr:uid="{00000000-0005-0000-0000-0000012F0000}"/>
    <cellStyle name="60% - Énfasis4 16 4" xfId="12088" xr:uid="{00000000-0005-0000-0000-0000022F0000}"/>
    <cellStyle name="60% - Énfasis4 16 4 2" xfId="12089" xr:uid="{00000000-0005-0000-0000-0000032F0000}"/>
    <cellStyle name="60% - Énfasis4 16 5" xfId="12090" xr:uid="{00000000-0005-0000-0000-0000042F0000}"/>
    <cellStyle name="60% - Énfasis4 16 6" xfId="12091" xr:uid="{00000000-0005-0000-0000-0000052F0000}"/>
    <cellStyle name="60% - Énfasis4 16 7" xfId="12092" xr:uid="{00000000-0005-0000-0000-0000062F0000}"/>
    <cellStyle name="60% - Énfasis4 16 8" xfId="12093" xr:uid="{00000000-0005-0000-0000-0000072F0000}"/>
    <cellStyle name="60% - Énfasis4 16 9" xfId="12094" xr:uid="{00000000-0005-0000-0000-0000082F0000}"/>
    <cellStyle name="60% - Énfasis4 17 10" xfId="12095" xr:uid="{00000000-0005-0000-0000-0000092F0000}"/>
    <cellStyle name="60% - Énfasis4 17 11" xfId="12096" xr:uid="{00000000-0005-0000-0000-00000A2F0000}"/>
    <cellStyle name="60% - Énfasis4 17 12" xfId="12097" xr:uid="{00000000-0005-0000-0000-00000B2F0000}"/>
    <cellStyle name="60% - Énfasis4 17 13" xfId="12098" xr:uid="{00000000-0005-0000-0000-00000C2F0000}"/>
    <cellStyle name="60% - Énfasis4 17 14" xfId="12099" xr:uid="{00000000-0005-0000-0000-00000D2F0000}"/>
    <cellStyle name="60% - Énfasis4 17 15" xfId="12100" xr:uid="{00000000-0005-0000-0000-00000E2F0000}"/>
    <cellStyle name="60% - Énfasis4 17 16" xfId="12101" xr:uid="{00000000-0005-0000-0000-00000F2F0000}"/>
    <cellStyle name="60% - Énfasis4 17 17" xfId="12102" xr:uid="{00000000-0005-0000-0000-0000102F0000}"/>
    <cellStyle name="60% - Énfasis4 17 18" xfId="12103" xr:uid="{00000000-0005-0000-0000-0000112F0000}"/>
    <cellStyle name="60% - Énfasis4 17 19" xfId="12104" xr:uid="{00000000-0005-0000-0000-0000122F0000}"/>
    <cellStyle name="60% - Énfasis4 17 2" xfId="12105" xr:uid="{00000000-0005-0000-0000-0000132F0000}"/>
    <cellStyle name="60% - Énfasis4 17 2 2" xfId="12106" xr:uid="{00000000-0005-0000-0000-0000142F0000}"/>
    <cellStyle name="60% - Énfasis4 17 3" xfId="12107" xr:uid="{00000000-0005-0000-0000-0000152F0000}"/>
    <cellStyle name="60% - Énfasis4 17 3 2" xfId="12108" xr:uid="{00000000-0005-0000-0000-0000162F0000}"/>
    <cellStyle name="60% - Énfasis4 17 4" xfId="12109" xr:uid="{00000000-0005-0000-0000-0000172F0000}"/>
    <cellStyle name="60% - Énfasis4 17 4 2" xfId="12110" xr:uid="{00000000-0005-0000-0000-0000182F0000}"/>
    <cellStyle name="60% - Énfasis4 17 5" xfId="12111" xr:uid="{00000000-0005-0000-0000-0000192F0000}"/>
    <cellStyle name="60% - Énfasis4 17 6" xfId="12112" xr:uid="{00000000-0005-0000-0000-00001A2F0000}"/>
    <cellStyle name="60% - Énfasis4 17 7" xfId="12113" xr:uid="{00000000-0005-0000-0000-00001B2F0000}"/>
    <cellStyle name="60% - Énfasis4 17 8" xfId="12114" xr:uid="{00000000-0005-0000-0000-00001C2F0000}"/>
    <cellStyle name="60% - Énfasis4 17 9" xfId="12115" xr:uid="{00000000-0005-0000-0000-00001D2F0000}"/>
    <cellStyle name="60% - Énfasis4 18 10" xfId="12116" xr:uid="{00000000-0005-0000-0000-00001E2F0000}"/>
    <cellStyle name="60% - Énfasis4 18 11" xfId="12117" xr:uid="{00000000-0005-0000-0000-00001F2F0000}"/>
    <cellStyle name="60% - Énfasis4 18 12" xfId="12118" xr:uid="{00000000-0005-0000-0000-0000202F0000}"/>
    <cellStyle name="60% - Énfasis4 18 13" xfId="12119" xr:uid="{00000000-0005-0000-0000-0000212F0000}"/>
    <cellStyle name="60% - Énfasis4 18 14" xfId="12120" xr:uid="{00000000-0005-0000-0000-0000222F0000}"/>
    <cellStyle name="60% - Énfasis4 18 15" xfId="12121" xr:uid="{00000000-0005-0000-0000-0000232F0000}"/>
    <cellStyle name="60% - Énfasis4 18 16" xfId="12122" xr:uid="{00000000-0005-0000-0000-0000242F0000}"/>
    <cellStyle name="60% - Énfasis4 18 17" xfId="12123" xr:uid="{00000000-0005-0000-0000-0000252F0000}"/>
    <cellStyle name="60% - Énfasis4 18 18" xfId="12124" xr:uid="{00000000-0005-0000-0000-0000262F0000}"/>
    <cellStyle name="60% - Énfasis4 18 19" xfId="12125" xr:uid="{00000000-0005-0000-0000-0000272F0000}"/>
    <cellStyle name="60% - Énfasis4 18 2" xfId="12126" xr:uid="{00000000-0005-0000-0000-0000282F0000}"/>
    <cellStyle name="60% - Énfasis4 18 2 2" xfId="12127" xr:uid="{00000000-0005-0000-0000-0000292F0000}"/>
    <cellStyle name="60% - Énfasis4 18 3" xfId="12128" xr:uid="{00000000-0005-0000-0000-00002A2F0000}"/>
    <cellStyle name="60% - Énfasis4 18 3 2" xfId="12129" xr:uid="{00000000-0005-0000-0000-00002B2F0000}"/>
    <cellStyle name="60% - Énfasis4 18 4" xfId="12130" xr:uid="{00000000-0005-0000-0000-00002C2F0000}"/>
    <cellStyle name="60% - Énfasis4 18 4 2" xfId="12131" xr:uid="{00000000-0005-0000-0000-00002D2F0000}"/>
    <cellStyle name="60% - Énfasis4 18 5" xfId="12132" xr:uid="{00000000-0005-0000-0000-00002E2F0000}"/>
    <cellStyle name="60% - Énfasis4 18 6" xfId="12133" xr:uid="{00000000-0005-0000-0000-00002F2F0000}"/>
    <cellStyle name="60% - Énfasis4 18 7" xfId="12134" xr:uid="{00000000-0005-0000-0000-0000302F0000}"/>
    <cellStyle name="60% - Énfasis4 18 8" xfId="12135" xr:uid="{00000000-0005-0000-0000-0000312F0000}"/>
    <cellStyle name="60% - Énfasis4 18 9" xfId="12136" xr:uid="{00000000-0005-0000-0000-0000322F0000}"/>
    <cellStyle name="60% - Énfasis4 19 10" xfId="12137" xr:uid="{00000000-0005-0000-0000-0000332F0000}"/>
    <cellStyle name="60% - Énfasis4 19 11" xfId="12138" xr:uid="{00000000-0005-0000-0000-0000342F0000}"/>
    <cellStyle name="60% - Énfasis4 19 12" xfId="12139" xr:uid="{00000000-0005-0000-0000-0000352F0000}"/>
    <cellStyle name="60% - Énfasis4 19 13" xfId="12140" xr:uid="{00000000-0005-0000-0000-0000362F0000}"/>
    <cellStyle name="60% - Énfasis4 19 14" xfId="12141" xr:uid="{00000000-0005-0000-0000-0000372F0000}"/>
    <cellStyle name="60% - Énfasis4 19 15" xfId="12142" xr:uid="{00000000-0005-0000-0000-0000382F0000}"/>
    <cellStyle name="60% - Énfasis4 19 16" xfId="12143" xr:uid="{00000000-0005-0000-0000-0000392F0000}"/>
    <cellStyle name="60% - Énfasis4 19 17" xfId="12144" xr:uid="{00000000-0005-0000-0000-00003A2F0000}"/>
    <cellStyle name="60% - Énfasis4 19 18" xfId="12145" xr:uid="{00000000-0005-0000-0000-00003B2F0000}"/>
    <cellStyle name="60% - Énfasis4 19 19" xfId="12146" xr:uid="{00000000-0005-0000-0000-00003C2F0000}"/>
    <cellStyle name="60% - Énfasis4 19 2" xfId="12147" xr:uid="{00000000-0005-0000-0000-00003D2F0000}"/>
    <cellStyle name="60% - Énfasis4 19 2 2" xfId="12148" xr:uid="{00000000-0005-0000-0000-00003E2F0000}"/>
    <cellStyle name="60% - Énfasis4 19 3" xfId="12149" xr:uid="{00000000-0005-0000-0000-00003F2F0000}"/>
    <cellStyle name="60% - Énfasis4 19 3 2" xfId="12150" xr:uid="{00000000-0005-0000-0000-0000402F0000}"/>
    <cellStyle name="60% - Énfasis4 19 4" xfId="12151" xr:uid="{00000000-0005-0000-0000-0000412F0000}"/>
    <cellStyle name="60% - Énfasis4 19 4 2" xfId="12152" xr:uid="{00000000-0005-0000-0000-0000422F0000}"/>
    <cellStyle name="60% - Énfasis4 19 5" xfId="12153" xr:uid="{00000000-0005-0000-0000-0000432F0000}"/>
    <cellStyle name="60% - Énfasis4 19 6" xfId="12154" xr:uid="{00000000-0005-0000-0000-0000442F0000}"/>
    <cellStyle name="60% - Énfasis4 19 7" xfId="12155" xr:uid="{00000000-0005-0000-0000-0000452F0000}"/>
    <cellStyle name="60% - Énfasis4 19 8" xfId="12156" xr:uid="{00000000-0005-0000-0000-0000462F0000}"/>
    <cellStyle name="60% - Énfasis4 19 9" xfId="12157" xr:uid="{00000000-0005-0000-0000-0000472F0000}"/>
    <cellStyle name="60% - Énfasis4 2 10" xfId="12158" xr:uid="{00000000-0005-0000-0000-0000482F0000}"/>
    <cellStyle name="60% - Énfasis4 2 11" xfId="12159" xr:uid="{00000000-0005-0000-0000-0000492F0000}"/>
    <cellStyle name="60% - Énfasis4 2 12" xfId="12160" xr:uid="{00000000-0005-0000-0000-00004A2F0000}"/>
    <cellStyle name="60% - Énfasis4 2 13" xfId="12161" xr:uid="{00000000-0005-0000-0000-00004B2F0000}"/>
    <cellStyle name="60% - Énfasis4 2 14" xfId="12162" xr:uid="{00000000-0005-0000-0000-00004C2F0000}"/>
    <cellStyle name="60% - Énfasis4 2 15" xfId="12163" xr:uid="{00000000-0005-0000-0000-00004D2F0000}"/>
    <cellStyle name="60% - Énfasis4 2 16" xfId="12164" xr:uid="{00000000-0005-0000-0000-00004E2F0000}"/>
    <cellStyle name="60% - Énfasis4 2 17" xfId="12165" xr:uid="{00000000-0005-0000-0000-00004F2F0000}"/>
    <cellStyle name="60% - Énfasis4 2 18" xfId="12166" xr:uid="{00000000-0005-0000-0000-0000502F0000}"/>
    <cellStyle name="60% - Énfasis4 2 19" xfId="12167" xr:uid="{00000000-0005-0000-0000-0000512F0000}"/>
    <cellStyle name="60% - Énfasis4 2 2" xfId="12168" xr:uid="{00000000-0005-0000-0000-0000522F0000}"/>
    <cellStyle name="60% - Énfasis4 2 2 2" xfId="12169" xr:uid="{00000000-0005-0000-0000-0000532F0000}"/>
    <cellStyle name="60% - Énfasis4 2 3" xfId="12170" xr:uid="{00000000-0005-0000-0000-0000542F0000}"/>
    <cellStyle name="60% - Énfasis4 2 3 2" xfId="12171" xr:uid="{00000000-0005-0000-0000-0000552F0000}"/>
    <cellStyle name="60% - Énfasis4 2 4" xfId="12172" xr:uid="{00000000-0005-0000-0000-0000562F0000}"/>
    <cellStyle name="60% - Énfasis4 2 4 2" xfId="12173" xr:uid="{00000000-0005-0000-0000-0000572F0000}"/>
    <cellStyle name="60% - Énfasis4 2 5" xfId="12174" xr:uid="{00000000-0005-0000-0000-0000582F0000}"/>
    <cellStyle name="60% - Énfasis4 2 6" xfId="12175" xr:uid="{00000000-0005-0000-0000-0000592F0000}"/>
    <cellStyle name="60% - Énfasis4 2 7" xfId="12176" xr:uid="{00000000-0005-0000-0000-00005A2F0000}"/>
    <cellStyle name="60% - Énfasis4 2 8" xfId="12177" xr:uid="{00000000-0005-0000-0000-00005B2F0000}"/>
    <cellStyle name="60% - Énfasis4 2 9" xfId="12178" xr:uid="{00000000-0005-0000-0000-00005C2F0000}"/>
    <cellStyle name="60% - Énfasis4 20 10" xfId="12179" xr:uid="{00000000-0005-0000-0000-00005D2F0000}"/>
    <cellStyle name="60% - Énfasis4 20 11" xfId="12180" xr:uid="{00000000-0005-0000-0000-00005E2F0000}"/>
    <cellStyle name="60% - Énfasis4 20 12" xfId="12181" xr:uid="{00000000-0005-0000-0000-00005F2F0000}"/>
    <cellStyle name="60% - Énfasis4 20 13" xfId="12182" xr:uid="{00000000-0005-0000-0000-0000602F0000}"/>
    <cellStyle name="60% - Énfasis4 20 14" xfId="12183" xr:uid="{00000000-0005-0000-0000-0000612F0000}"/>
    <cellStyle name="60% - Énfasis4 20 15" xfId="12184" xr:uid="{00000000-0005-0000-0000-0000622F0000}"/>
    <cellStyle name="60% - Énfasis4 20 16" xfId="12185" xr:uid="{00000000-0005-0000-0000-0000632F0000}"/>
    <cellStyle name="60% - Énfasis4 20 17" xfId="12186" xr:uid="{00000000-0005-0000-0000-0000642F0000}"/>
    <cellStyle name="60% - Énfasis4 20 18" xfId="12187" xr:uid="{00000000-0005-0000-0000-0000652F0000}"/>
    <cellStyle name="60% - Énfasis4 20 19" xfId="12188" xr:uid="{00000000-0005-0000-0000-0000662F0000}"/>
    <cellStyle name="60% - Énfasis4 20 2" xfId="12189" xr:uid="{00000000-0005-0000-0000-0000672F0000}"/>
    <cellStyle name="60% - Énfasis4 20 2 2" xfId="12190" xr:uid="{00000000-0005-0000-0000-0000682F0000}"/>
    <cellStyle name="60% - Énfasis4 20 3" xfId="12191" xr:uid="{00000000-0005-0000-0000-0000692F0000}"/>
    <cellStyle name="60% - Énfasis4 20 3 2" xfId="12192" xr:uid="{00000000-0005-0000-0000-00006A2F0000}"/>
    <cellStyle name="60% - Énfasis4 20 4" xfId="12193" xr:uid="{00000000-0005-0000-0000-00006B2F0000}"/>
    <cellStyle name="60% - Énfasis4 20 4 2" xfId="12194" xr:uid="{00000000-0005-0000-0000-00006C2F0000}"/>
    <cellStyle name="60% - Énfasis4 20 5" xfId="12195" xr:uid="{00000000-0005-0000-0000-00006D2F0000}"/>
    <cellStyle name="60% - Énfasis4 20 6" xfId="12196" xr:uid="{00000000-0005-0000-0000-00006E2F0000}"/>
    <cellStyle name="60% - Énfasis4 20 7" xfId="12197" xr:uid="{00000000-0005-0000-0000-00006F2F0000}"/>
    <cellStyle name="60% - Énfasis4 20 8" xfId="12198" xr:uid="{00000000-0005-0000-0000-0000702F0000}"/>
    <cellStyle name="60% - Énfasis4 20 9" xfId="12199" xr:uid="{00000000-0005-0000-0000-0000712F0000}"/>
    <cellStyle name="60% - Énfasis4 21 10" xfId="12200" xr:uid="{00000000-0005-0000-0000-0000722F0000}"/>
    <cellStyle name="60% - Énfasis4 21 11" xfId="12201" xr:uid="{00000000-0005-0000-0000-0000732F0000}"/>
    <cellStyle name="60% - Énfasis4 21 12" xfId="12202" xr:uid="{00000000-0005-0000-0000-0000742F0000}"/>
    <cellStyle name="60% - Énfasis4 21 13" xfId="12203" xr:uid="{00000000-0005-0000-0000-0000752F0000}"/>
    <cellStyle name="60% - Énfasis4 21 14" xfId="12204" xr:uid="{00000000-0005-0000-0000-0000762F0000}"/>
    <cellStyle name="60% - Énfasis4 21 15" xfId="12205" xr:uid="{00000000-0005-0000-0000-0000772F0000}"/>
    <cellStyle name="60% - Énfasis4 21 16" xfId="12206" xr:uid="{00000000-0005-0000-0000-0000782F0000}"/>
    <cellStyle name="60% - Énfasis4 21 17" xfId="12207" xr:uid="{00000000-0005-0000-0000-0000792F0000}"/>
    <cellStyle name="60% - Énfasis4 21 18" xfId="12208" xr:uid="{00000000-0005-0000-0000-00007A2F0000}"/>
    <cellStyle name="60% - Énfasis4 21 19" xfId="12209" xr:uid="{00000000-0005-0000-0000-00007B2F0000}"/>
    <cellStyle name="60% - Énfasis4 21 2" xfId="12210" xr:uid="{00000000-0005-0000-0000-00007C2F0000}"/>
    <cellStyle name="60% - Énfasis4 21 2 2" xfId="12211" xr:uid="{00000000-0005-0000-0000-00007D2F0000}"/>
    <cellStyle name="60% - Énfasis4 21 3" xfId="12212" xr:uid="{00000000-0005-0000-0000-00007E2F0000}"/>
    <cellStyle name="60% - Énfasis4 21 3 2" xfId="12213" xr:uid="{00000000-0005-0000-0000-00007F2F0000}"/>
    <cellStyle name="60% - Énfasis4 21 4" xfId="12214" xr:uid="{00000000-0005-0000-0000-0000802F0000}"/>
    <cellStyle name="60% - Énfasis4 21 4 2" xfId="12215" xr:uid="{00000000-0005-0000-0000-0000812F0000}"/>
    <cellStyle name="60% - Énfasis4 21 5" xfId="12216" xr:uid="{00000000-0005-0000-0000-0000822F0000}"/>
    <cellStyle name="60% - Énfasis4 21 6" xfId="12217" xr:uid="{00000000-0005-0000-0000-0000832F0000}"/>
    <cellStyle name="60% - Énfasis4 21 7" xfId="12218" xr:uid="{00000000-0005-0000-0000-0000842F0000}"/>
    <cellStyle name="60% - Énfasis4 21 8" xfId="12219" xr:uid="{00000000-0005-0000-0000-0000852F0000}"/>
    <cellStyle name="60% - Énfasis4 21 9" xfId="12220" xr:uid="{00000000-0005-0000-0000-0000862F0000}"/>
    <cellStyle name="60% - Énfasis4 22 10" xfId="12221" xr:uid="{00000000-0005-0000-0000-0000872F0000}"/>
    <cellStyle name="60% - Énfasis4 22 11" xfId="12222" xr:uid="{00000000-0005-0000-0000-0000882F0000}"/>
    <cellStyle name="60% - Énfasis4 22 12" xfId="12223" xr:uid="{00000000-0005-0000-0000-0000892F0000}"/>
    <cellStyle name="60% - Énfasis4 22 13" xfId="12224" xr:uid="{00000000-0005-0000-0000-00008A2F0000}"/>
    <cellStyle name="60% - Énfasis4 22 14" xfId="12225" xr:uid="{00000000-0005-0000-0000-00008B2F0000}"/>
    <cellStyle name="60% - Énfasis4 22 15" xfId="12226" xr:uid="{00000000-0005-0000-0000-00008C2F0000}"/>
    <cellStyle name="60% - Énfasis4 22 16" xfId="12227" xr:uid="{00000000-0005-0000-0000-00008D2F0000}"/>
    <cellStyle name="60% - Énfasis4 22 17" xfId="12228" xr:uid="{00000000-0005-0000-0000-00008E2F0000}"/>
    <cellStyle name="60% - Énfasis4 22 18" xfId="12229" xr:uid="{00000000-0005-0000-0000-00008F2F0000}"/>
    <cellStyle name="60% - Énfasis4 22 19" xfId="12230" xr:uid="{00000000-0005-0000-0000-0000902F0000}"/>
    <cellStyle name="60% - Énfasis4 22 2" xfId="12231" xr:uid="{00000000-0005-0000-0000-0000912F0000}"/>
    <cellStyle name="60% - Énfasis4 22 2 2" xfId="12232" xr:uid="{00000000-0005-0000-0000-0000922F0000}"/>
    <cellStyle name="60% - Énfasis4 22 3" xfId="12233" xr:uid="{00000000-0005-0000-0000-0000932F0000}"/>
    <cellStyle name="60% - Énfasis4 22 3 2" xfId="12234" xr:uid="{00000000-0005-0000-0000-0000942F0000}"/>
    <cellStyle name="60% - Énfasis4 22 4" xfId="12235" xr:uid="{00000000-0005-0000-0000-0000952F0000}"/>
    <cellStyle name="60% - Énfasis4 22 4 2" xfId="12236" xr:uid="{00000000-0005-0000-0000-0000962F0000}"/>
    <cellStyle name="60% - Énfasis4 22 5" xfId="12237" xr:uid="{00000000-0005-0000-0000-0000972F0000}"/>
    <cellStyle name="60% - Énfasis4 22 6" xfId="12238" xr:uid="{00000000-0005-0000-0000-0000982F0000}"/>
    <cellStyle name="60% - Énfasis4 22 7" xfId="12239" xr:uid="{00000000-0005-0000-0000-0000992F0000}"/>
    <cellStyle name="60% - Énfasis4 22 8" xfId="12240" xr:uid="{00000000-0005-0000-0000-00009A2F0000}"/>
    <cellStyle name="60% - Énfasis4 22 9" xfId="12241" xr:uid="{00000000-0005-0000-0000-00009B2F0000}"/>
    <cellStyle name="60% - Énfasis4 23 10" xfId="12242" xr:uid="{00000000-0005-0000-0000-00009C2F0000}"/>
    <cellStyle name="60% - Énfasis4 23 11" xfId="12243" xr:uid="{00000000-0005-0000-0000-00009D2F0000}"/>
    <cellStyle name="60% - Énfasis4 23 12" xfId="12244" xr:uid="{00000000-0005-0000-0000-00009E2F0000}"/>
    <cellStyle name="60% - Énfasis4 23 13" xfId="12245" xr:uid="{00000000-0005-0000-0000-00009F2F0000}"/>
    <cellStyle name="60% - Énfasis4 23 14" xfId="12246" xr:uid="{00000000-0005-0000-0000-0000A02F0000}"/>
    <cellStyle name="60% - Énfasis4 23 15" xfId="12247" xr:uid="{00000000-0005-0000-0000-0000A12F0000}"/>
    <cellStyle name="60% - Énfasis4 23 16" xfId="12248" xr:uid="{00000000-0005-0000-0000-0000A22F0000}"/>
    <cellStyle name="60% - Énfasis4 23 17" xfId="12249" xr:uid="{00000000-0005-0000-0000-0000A32F0000}"/>
    <cellStyle name="60% - Énfasis4 23 18" xfId="12250" xr:uid="{00000000-0005-0000-0000-0000A42F0000}"/>
    <cellStyle name="60% - Énfasis4 23 19" xfId="12251" xr:uid="{00000000-0005-0000-0000-0000A52F0000}"/>
    <cellStyle name="60% - Énfasis4 23 2" xfId="12252" xr:uid="{00000000-0005-0000-0000-0000A62F0000}"/>
    <cellStyle name="60% - Énfasis4 23 2 2" xfId="12253" xr:uid="{00000000-0005-0000-0000-0000A72F0000}"/>
    <cellStyle name="60% - Énfasis4 23 3" xfId="12254" xr:uid="{00000000-0005-0000-0000-0000A82F0000}"/>
    <cellStyle name="60% - Énfasis4 23 3 2" xfId="12255" xr:uid="{00000000-0005-0000-0000-0000A92F0000}"/>
    <cellStyle name="60% - Énfasis4 23 4" xfId="12256" xr:uid="{00000000-0005-0000-0000-0000AA2F0000}"/>
    <cellStyle name="60% - Énfasis4 23 4 2" xfId="12257" xr:uid="{00000000-0005-0000-0000-0000AB2F0000}"/>
    <cellStyle name="60% - Énfasis4 23 5" xfId="12258" xr:uid="{00000000-0005-0000-0000-0000AC2F0000}"/>
    <cellStyle name="60% - Énfasis4 23 6" xfId="12259" xr:uid="{00000000-0005-0000-0000-0000AD2F0000}"/>
    <cellStyle name="60% - Énfasis4 23 7" xfId="12260" xr:uid="{00000000-0005-0000-0000-0000AE2F0000}"/>
    <cellStyle name="60% - Énfasis4 23 8" xfId="12261" xr:uid="{00000000-0005-0000-0000-0000AF2F0000}"/>
    <cellStyle name="60% - Énfasis4 23 9" xfId="12262" xr:uid="{00000000-0005-0000-0000-0000B02F0000}"/>
    <cellStyle name="60% - Énfasis4 24 10" xfId="12263" xr:uid="{00000000-0005-0000-0000-0000B12F0000}"/>
    <cellStyle name="60% - Énfasis4 24 11" xfId="12264" xr:uid="{00000000-0005-0000-0000-0000B22F0000}"/>
    <cellStyle name="60% - Énfasis4 24 12" xfId="12265" xr:uid="{00000000-0005-0000-0000-0000B32F0000}"/>
    <cellStyle name="60% - Énfasis4 24 13" xfId="12266" xr:uid="{00000000-0005-0000-0000-0000B42F0000}"/>
    <cellStyle name="60% - Énfasis4 24 14" xfId="12267" xr:uid="{00000000-0005-0000-0000-0000B52F0000}"/>
    <cellStyle name="60% - Énfasis4 24 15" xfId="12268" xr:uid="{00000000-0005-0000-0000-0000B62F0000}"/>
    <cellStyle name="60% - Énfasis4 24 16" xfId="12269" xr:uid="{00000000-0005-0000-0000-0000B72F0000}"/>
    <cellStyle name="60% - Énfasis4 24 17" xfId="12270" xr:uid="{00000000-0005-0000-0000-0000B82F0000}"/>
    <cellStyle name="60% - Énfasis4 24 18" xfId="12271" xr:uid="{00000000-0005-0000-0000-0000B92F0000}"/>
    <cellStyle name="60% - Énfasis4 24 19" xfId="12272" xr:uid="{00000000-0005-0000-0000-0000BA2F0000}"/>
    <cellStyle name="60% - Énfasis4 24 2" xfId="12273" xr:uid="{00000000-0005-0000-0000-0000BB2F0000}"/>
    <cellStyle name="60% - Énfasis4 24 2 2" xfId="12274" xr:uid="{00000000-0005-0000-0000-0000BC2F0000}"/>
    <cellStyle name="60% - Énfasis4 24 3" xfId="12275" xr:uid="{00000000-0005-0000-0000-0000BD2F0000}"/>
    <cellStyle name="60% - Énfasis4 24 3 2" xfId="12276" xr:uid="{00000000-0005-0000-0000-0000BE2F0000}"/>
    <cellStyle name="60% - Énfasis4 24 4" xfId="12277" xr:uid="{00000000-0005-0000-0000-0000BF2F0000}"/>
    <cellStyle name="60% - Énfasis4 24 4 2" xfId="12278" xr:uid="{00000000-0005-0000-0000-0000C02F0000}"/>
    <cellStyle name="60% - Énfasis4 24 5" xfId="12279" xr:uid="{00000000-0005-0000-0000-0000C12F0000}"/>
    <cellStyle name="60% - Énfasis4 24 6" xfId="12280" xr:uid="{00000000-0005-0000-0000-0000C22F0000}"/>
    <cellStyle name="60% - Énfasis4 24 7" xfId="12281" xr:uid="{00000000-0005-0000-0000-0000C32F0000}"/>
    <cellStyle name="60% - Énfasis4 24 8" xfId="12282" xr:uid="{00000000-0005-0000-0000-0000C42F0000}"/>
    <cellStyle name="60% - Énfasis4 24 9" xfId="12283" xr:uid="{00000000-0005-0000-0000-0000C52F0000}"/>
    <cellStyle name="60% - Énfasis4 25 10" xfId="12284" xr:uid="{00000000-0005-0000-0000-0000C62F0000}"/>
    <cellStyle name="60% - Énfasis4 25 11" xfId="12285" xr:uid="{00000000-0005-0000-0000-0000C72F0000}"/>
    <cellStyle name="60% - Énfasis4 25 12" xfId="12286" xr:uid="{00000000-0005-0000-0000-0000C82F0000}"/>
    <cellStyle name="60% - Énfasis4 25 13" xfId="12287" xr:uid="{00000000-0005-0000-0000-0000C92F0000}"/>
    <cellStyle name="60% - Énfasis4 25 14" xfId="12288" xr:uid="{00000000-0005-0000-0000-0000CA2F0000}"/>
    <cellStyle name="60% - Énfasis4 25 15" xfId="12289" xr:uid="{00000000-0005-0000-0000-0000CB2F0000}"/>
    <cellStyle name="60% - Énfasis4 25 16" xfId="12290" xr:uid="{00000000-0005-0000-0000-0000CC2F0000}"/>
    <cellStyle name="60% - Énfasis4 25 17" xfId="12291" xr:uid="{00000000-0005-0000-0000-0000CD2F0000}"/>
    <cellStyle name="60% - Énfasis4 25 18" xfId="12292" xr:uid="{00000000-0005-0000-0000-0000CE2F0000}"/>
    <cellStyle name="60% - Énfasis4 25 19" xfId="12293" xr:uid="{00000000-0005-0000-0000-0000CF2F0000}"/>
    <cellStyle name="60% - Énfasis4 25 2" xfId="12294" xr:uid="{00000000-0005-0000-0000-0000D02F0000}"/>
    <cellStyle name="60% - Énfasis4 25 2 2" xfId="12295" xr:uid="{00000000-0005-0000-0000-0000D12F0000}"/>
    <cellStyle name="60% - Énfasis4 25 3" xfId="12296" xr:uid="{00000000-0005-0000-0000-0000D22F0000}"/>
    <cellStyle name="60% - Énfasis4 25 3 2" xfId="12297" xr:uid="{00000000-0005-0000-0000-0000D32F0000}"/>
    <cellStyle name="60% - Énfasis4 25 4" xfId="12298" xr:uid="{00000000-0005-0000-0000-0000D42F0000}"/>
    <cellStyle name="60% - Énfasis4 25 4 2" xfId="12299" xr:uid="{00000000-0005-0000-0000-0000D52F0000}"/>
    <cellStyle name="60% - Énfasis4 25 5" xfId="12300" xr:uid="{00000000-0005-0000-0000-0000D62F0000}"/>
    <cellStyle name="60% - Énfasis4 25 6" xfId="12301" xr:uid="{00000000-0005-0000-0000-0000D72F0000}"/>
    <cellStyle name="60% - Énfasis4 25 7" xfId="12302" xr:uid="{00000000-0005-0000-0000-0000D82F0000}"/>
    <cellStyle name="60% - Énfasis4 25 8" xfId="12303" xr:uid="{00000000-0005-0000-0000-0000D92F0000}"/>
    <cellStyle name="60% - Énfasis4 25 9" xfId="12304" xr:uid="{00000000-0005-0000-0000-0000DA2F0000}"/>
    <cellStyle name="60% - Énfasis4 26 10" xfId="12305" xr:uid="{00000000-0005-0000-0000-0000DB2F0000}"/>
    <cellStyle name="60% - Énfasis4 26 11" xfId="12306" xr:uid="{00000000-0005-0000-0000-0000DC2F0000}"/>
    <cellStyle name="60% - Énfasis4 26 12" xfId="12307" xr:uid="{00000000-0005-0000-0000-0000DD2F0000}"/>
    <cellStyle name="60% - Énfasis4 26 13" xfId="12308" xr:uid="{00000000-0005-0000-0000-0000DE2F0000}"/>
    <cellStyle name="60% - Énfasis4 26 14" xfId="12309" xr:uid="{00000000-0005-0000-0000-0000DF2F0000}"/>
    <cellStyle name="60% - Énfasis4 26 15" xfId="12310" xr:uid="{00000000-0005-0000-0000-0000E02F0000}"/>
    <cellStyle name="60% - Énfasis4 26 16" xfId="12311" xr:uid="{00000000-0005-0000-0000-0000E12F0000}"/>
    <cellStyle name="60% - Énfasis4 26 17" xfId="12312" xr:uid="{00000000-0005-0000-0000-0000E22F0000}"/>
    <cellStyle name="60% - Énfasis4 26 18" xfId="12313" xr:uid="{00000000-0005-0000-0000-0000E32F0000}"/>
    <cellStyle name="60% - Énfasis4 26 19" xfId="12314" xr:uid="{00000000-0005-0000-0000-0000E42F0000}"/>
    <cellStyle name="60% - Énfasis4 26 2" xfId="12315" xr:uid="{00000000-0005-0000-0000-0000E52F0000}"/>
    <cellStyle name="60% - Énfasis4 26 2 2" xfId="12316" xr:uid="{00000000-0005-0000-0000-0000E62F0000}"/>
    <cellStyle name="60% - Énfasis4 26 3" xfId="12317" xr:uid="{00000000-0005-0000-0000-0000E72F0000}"/>
    <cellStyle name="60% - Énfasis4 26 3 2" xfId="12318" xr:uid="{00000000-0005-0000-0000-0000E82F0000}"/>
    <cellStyle name="60% - Énfasis4 26 4" xfId="12319" xr:uid="{00000000-0005-0000-0000-0000E92F0000}"/>
    <cellStyle name="60% - Énfasis4 26 4 2" xfId="12320" xr:uid="{00000000-0005-0000-0000-0000EA2F0000}"/>
    <cellStyle name="60% - Énfasis4 26 5" xfId="12321" xr:uid="{00000000-0005-0000-0000-0000EB2F0000}"/>
    <cellStyle name="60% - Énfasis4 26 6" xfId="12322" xr:uid="{00000000-0005-0000-0000-0000EC2F0000}"/>
    <cellStyle name="60% - Énfasis4 26 7" xfId="12323" xr:uid="{00000000-0005-0000-0000-0000ED2F0000}"/>
    <cellStyle name="60% - Énfasis4 26 8" xfId="12324" xr:uid="{00000000-0005-0000-0000-0000EE2F0000}"/>
    <cellStyle name="60% - Énfasis4 26 9" xfId="12325" xr:uid="{00000000-0005-0000-0000-0000EF2F0000}"/>
    <cellStyle name="60% - Énfasis4 27 10" xfId="12326" xr:uid="{00000000-0005-0000-0000-0000F02F0000}"/>
    <cellStyle name="60% - Énfasis4 27 11" xfId="12327" xr:uid="{00000000-0005-0000-0000-0000F12F0000}"/>
    <cellStyle name="60% - Énfasis4 27 12" xfId="12328" xr:uid="{00000000-0005-0000-0000-0000F22F0000}"/>
    <cellStyle name="60% - Énfasis4 27 13" xfId="12329" xr:uid="{00000000-0005-0000-0000-0000F32F0000}"/>
    <cellStyle name="60% - Énfasis4 27 14" xfId="12330" xr:uid="{00000000-0005-0000-0000-0000F42F0000}"/>
    <cellStyle name="60% - Énfasis4 27 15" xfId="12331" xr:uid="{00000000-0005-0000-0000-0000F52F0000}"/>
    <cellStyle name="60% - Énfasis4 27 16" xfId="12332" xr:uid="{00000000-0005-0000-0000-0000F62F0000}"/>
    <cellStyle name="60% - Énfasis4 27 17" xfId="12333" xr:uid="{00000000-0005-0000-0000-0000F72F0000}"/>
    <cellStyle name="60% - Énfasis4 27 18" xfId="12334" xr:uid="{00000000-0005-0000-0000-0000F82F0000}"/>
    <cellStyle name="60% - Énfasis4 27 19" xfId="12335" xr:uid="{00000000-0005-0000-0000-0000F92F0000}"/>
    <cellStyle name="60% - Énfasis4 27 2" xfId="12336" xr:uid="{00000000-0005-0000-0000-0000FA2F0000}"/>
    <cellStyle name="60% - Énfasis4 27 2 2" xfId="12337" xr:uid="{00000000-0005-0000-0000-0000FB2F0000}"/>
    <cellStyle name="60% - Énfasis4 27 3" xfId="12338" xr:uid="{00000000-0005-0000-0000-0000FC2F0000}"/>
    <cellStyle name="60% - Énfasis4 27 3 2" xfId="12339" xr:uid="{00000000-0005-0000-0000-0000FD2F0000}"/>
    <cellStyle name="60% - Énfasis4 27 4" xfId="12340" xr:uid="{00000000-0005-0000-0000-0000FE2F0000}"/>
    <cellStyle name="60% - Énfasis4 27 4 2" xfId="12341" xr:uid="{00000000-0005-0000-0000-0000FF2F0000}"/>
    <cellStyle name="60% - Énfasis4 27 5" xfId="12342" xr:uid="{00000000-0005-0000-0000-000000300000}"/>
    <cellStyle name="60% - Énfasis4 27 6" xfId="12343" xr:uid="{00000000-0005-0000-0000-000001300000}"/>
    <cellStyle name="60% - Énfasis4 27 7" xfId="12344" xr:uid="{00000000-0005-0000-0000-000002300000}"/>
    <cellStyle name="60% - Énfasis4 27 8" xfId="12345" xr:uid="{00000000-0005-0000-0000-000003300000}"/>
    <cellStyle name="60% - Énfasis4 27 9" xfId="12346" xr:uid="{00000000-0005-0000-0000-000004300000}"/>
    <cellStyle name="60% - Énfasis4 28 10" xfId="12347" xr:uid="{00000000-0005-0000-0000-000005300000}"/>
    <cellStyle name="60% - Énfasis4 28 11" xfId="12348" xr:uid="{00000000-0005-0000-0000-000006300000}"/>
    <cellStyle name="60% - Énfasis4 28 12" xfId="12349" xr:uid="{00000000-0005-0000-0000-000007300000}"/>
    <cellStyle name="60% - Énfasis4 28 13" xfId="12350" xr:uid="{00000000-0005-0000-0000-000008300000}"/>
    <cellStyle name="60% - Énfasis4 28 14" xfId="12351" xr:uid="{00000000-0005-0000-0000-000009300000}"/>
    <cellStyle name="60% - Énfasis4 28 15" xfId="12352" xr:uid="{00000000-0005-0000-0000-00000A300000}"/>
    <cellStyle name="60% - Énfasis4 28 16" xfId="12353" xr:uid="{00000000-0005-0000-0000-00000B300000}"/>
    <cellStyle name="60% - Énfasis4 28 17" xfId="12354" xr:uid="{00000000-0005-0000-0000-00000C300000}"/>
    <cellStyle name="60% - Énfasis4 28 18" xfId="12355" xr:uid="{00000000-0005-0000-0000-00000D300000}"/>
    <cellStyle name="60% - Énfasis4 28 19" xfId="12356" xr:uid="{00000000-0005-0000-0000-00000E300000}"/>
    <cellStyle name="60% - Énfasis4 28 2" xfId="12357" xr:uid="{00000000-0005-0000-0000-00000F300000}"/>
    <cellStyle name="60% - Énfasis4 28 2 2" xfId="12358" xr:uid="{00000000-0005-0000-0000-000010300000}"/>
    <cellStyle name="60% - Énfasis4 28 3" xfId="12359" xr:uid="{00000000-0005-0000-0000-000011300000}"/>
    <cellStyle name="60% - Énfasis4 28 3 2" xfId="12360" xr:uid="{00000000-0005-0000-0000-000012300000}"/>
    <cellStyle name="60% - Énfasis4 28 4" xfId="12361" xr:uid="{00000000-0005-0000-0000-000013300000}"/>
    <cellStyle name="60% - Énfasis4 28 4 2" xfId="12362" xr:uid="{00000000-0005-0000-0000-000014300000}"/>
    <cellStyle name="60% - Énfasis4 28 5" xfId="12363" xr:uid="{00000000-0005-0000-0000-000015300000}"/>
    <cellStyle name="60% - Énfasis4 28 6" xfId="12364" xr:uid="{00000000-0005-0000-0000-000016300000}"/>
    <cellStyle name="60% - Énfasis4 28 7" xfId="12365" xr:uid="{00000000-0005-0000-0000-000017300000}"/>
    <cellStyle name="60% - Énfasis4 28 8" xfId="12366" xr:uid="{00000000-0005-0000-0000-000018300000}"/>
    <cellStyle name="60% - Énfasis4 28 9" xfId="12367" xr:uid="{00000000-0005-0000-0000-000019300000}"/>
    <cellStyle name="60% - Énfasis4 29 10" xfId="12368" xr:uid="{00000000-0005-0000-0000-00001A300000}"/>
    <cellStyle name="60% - Énfasis4 29 11" xfId="12369" xr:uid="{00000000-0005-0000-0000-00001B300000}"/>
    <cellStyle name="60% - Énfasis4 29 12" xfId="12370" xr:uid="{00000000-0005-0000-0000-00001C300000}"/>
    <cellStyle name="60% - Énfasis4 29 13" xfId="12371" xr:uid="{00000000-0005-0000-0000-00001D300000}"/>
    <cellStyle name="60% - Énfasis4 29 14" xfId="12372" xr:uid="{00000000-0005-0000-0000-00001E300000}"/>
    <cellStyle name="60% - Énfasis4 29 15" xfId="12373" xr:uid="{00000000-0005-0000-0000-00001F300000}"/>
    <cellStyle name="60% - Énfasis4 29 16" xfId="12374" xr:uid="{00000000-0005-0000-0000-000020300000}"/>
    <cellStyle name="60% - Énfasis4 29 17" xfId="12375" xr:uid="{00000000-0005-0000-0000-000021300000}"/>
    <cellStyle name="60% - Énfasis4 29 18" xfId="12376" xr:uid="{00000000-0005-0000-0000-000022300000}"/>
    <cellStyle name="60% - Énfasis4 29 19" xfId="12377" xr:uid="{00000000-0005-0000-0000-000023300000}"/>
    <cellStyle name="60% - Énfasis4 29 2" xfId="12378" xr:uid="{00000000-0005-0000-0000-000024300000}"/>
    <cellStyle name="60% - Énfasis4 29 2 2" xfId="12379" xr:uid="{00000000-0005-0000-0000-000025300000}"/>
    <cellStyle name="60% - Énfasis4 29 3" xfId="12380" xr:uid="{00000000-0005-0000-0000-000026300000}"/>
    <cellStyle name="60% - Énfasis4 29 3 2" xfId="12381" xr:uid="{00000000-0005-0000-0000-000027300000}"/>
    <cellStyle name="60% - Énfasis4 29 4" xfId="12382" xr:uid="{00000000-0005-0000-0000-000028300000}"/>
    <cellStyle name="60% - Énfasis4 29 4 2" xfId="12383" xr:uid="{00000000-0005-0000-0000-000029300000}"/>
    <cellStyle name="60% - Énfasis4 29 5" xfId="12384" xr:uid="{00000000-0005-0000-0000-00002A300000}"/>
    <cellStyle name="60% - Énfasis4 29 6" xfId="12385" xr:uid="{00000000-0005-0000-0000-00002B300000}"/>
    <cellStyle name="60% - Énfasis4 29 7" xfId="12386" xr:uid="{00000000-0005-0000-0000-00002C300000}"/>
    <cellStyle name="60% - Énfasis4 29 8" xfId="12387" xr:uid="{00000000-0005-0000-0000-00002D300000}"/>
    <cellStyle name="60% - Énfasis4 29 9" xfId="12388" xr:uid="{00000000-0005-0000-0000-00002E300000}"/>
    <cellStyle name="60% - Énfasis4 3 10" xfId="12389" xr:uid="{00000000-0005-0000-0000-00002F300000}"/>
    <cellStyle name="60% - Énfasis4 3 11" xfId="12390" xr:uid="{00000000-0005-0000-0000-000030300000}"/>
    <cellStyle name="60% - Énfasis4 3 12" xfId="12391" xr:uid="{00000000-0005-0000-0000-000031300000}"/>
    <cellStyle name="60% - Énfasis4 3 13" xfId="12392" xr:uid="{00000000-0005-0000-0000-000032300000}"/>
    <cellStyle name="60% - Énfasis4 3 14" xfId="12393" xr:uid="{00000000-0005-0000-0000-000033300000}"/>
    <cellStyle name="60% - Énfasis4 3 15" xfId="12394" xr:uid="{00000000-0005-0000-0000-000034300000}"/>
    <cellStyle name="60% - Énfasis4 3 16" xfId="12395" xr:uid="{00000000-0005-0000-0000-000035300000}"/>
    <cellStyle name="60% - Énfasis4 3 17" xfId="12396" xr:uid="{00000000-0005-0000-0000-000036300000}"/>
    <cellStyle name="60% - Énfasis4 3 18" xfId="12397" xr:uid="{00000000-0005-0000-0000-000037300000}"/>
    <cellStyle name="60% - Énfasis4 3 19" xfId="12398" xr:uid="{00000000-0005-0000-0000-000038300000}"/>
    <cellStyle name="60% - Énfasis4 3 2" xfId="12399" xr:uid="{00000000-0005-0000-0000-000039300000}"/>
    <cellStyle name="60% - Énfasis4 3 2 2" xfId="12400" xr:uid="{00000000-0005-0000-0000-00003A300000}"/>
    <cellStyle name="60% - Énfasis4 3 3" xfId="12401" xr:uid="{00000000-0005-0000-0000-00003B300000}"/>
    <cellStyle name="60% - Énfasis4 3 3 2" xfId="12402" xr:uid="{00000000-0005-0000-0000-00003C300000}"/>
    <cellStyle name="60% - Énfasis4 3 4" xfId="12403" xr:uid="{00000000-0005-0000-0000-00003D300000}"/>
    <cellStyle name="60% - Énfasis4 3 4 2" xfId="12404" xr:uid="{00000000-0005-0000-0000-00003E300000}"/>
    <cellStyle name="60% - Énfasis4 3 5" xfId="12405" xr:uid="{00000000-0005-0000-0000-00003F300000}"/>
    <cellStyle name="60% - Énfasis4 3 6" xfId="12406" xr:uid="{00000000-0005-0000-0000-000040300000}"/>
    <cellStyle name="60% - Énfasis4 3 7" xfId="12407" xr:uid="{00000000-0005-0000-0000-000041300000}"/>
    <cellStyle name="60% - Énfasis4 3 8" xfId="12408" xr:uid="{00000000-0005-0000-0000-000042300000}"/>
    <cellStyle name="60% - Énfasis4 3 9" xfId="12409" xr:uid="{00000000-0005-0000-0000-000043300000}"/>
    <cellStyle name="60% - Énfasis4 30 10" xfId="12410" xr:uid="{00000000-0005-0000-0000-000044300000}"/>
    <cellStyle name="60% - Énfasis4 30 11" xfId="12411" xr:uid="{00000000-0005-0000-0000-000045300000}"/>
    <cellStyle name="60% - Énfasis4 30 12" xfId="12412" xr:uid="{00000000-0005-0000-0000-000046300000}"/>
    <cellStyle name="60% - Énfasis4 30 13" xfId="12413" xr:uid="{00000000-0005-0000-0000-000047300000}"/>
    <cellStyle name="60% - Énfasis4 30 14" xfId="12414" xr:uid="{00000000-0005-0000-0000-000048300000}"/>
    <cellStyle name="60% - Énfasis4 30 15" xfId="12415" xr:uid="{00000000-0005-0000-0000-000049300000}"/>
    <cellStyle name="60% - Énfasis4 30 16" xfId="12416" xr:uid="{00000000-0005-0000-0000-00004A300000}"/>
    <cellStyle name="60% - Énfasis4 30 17" xfId="12417" xr:uid="{00000000-0005-0000-0000-00004B300000}"/>
    <cellStyle name="60% - Énfasis4 30 18" xfId="12418" xr:uid="{00000000-0005-0000-0000-00004C300000}"/>
    <cellStyle name="60% - Énfasis4 30 19" xfId="12419" xr:uid="{00000000-0005-0000-0000-00004D300000}"/>
    <cellStyle name="60% - Énfasis4 30 2" xfId="12420" xr:uid="{00000000-0005-0000-0000-00004E300000}"/>
    <cellStyle name="60% - Énfasis4 30 2 2" xfId="12421" xr:uid="{00000000-0005-0000-0000-00004F300000}"/>
    <cellStyle name="60% - Énfasis4 30 3" xfId="12422" xr:uid="{00000000-0005-0000-0000-000050300000}"/>
    <cellStyle name="60% - Énfasis4 30 3 2" xfId="12423" xr:uid="{00000000-0005-0000-0000-000051300000}"/>
    <cellStyle name="60% - Énfasis4 30 4" xfId="12424" xr:uid="{00000000-0005-0000-0000-000052300000}"/>
    <cellStyle name="60% - Énfasis4 30 4 2" xfId="12425" xr:uid="{00000000-0005-0000-0000-000053300000}"/>
    <cellStyle name="60% - Énfasis4 30 5" xfId="12426" xr:uid="{00000000-0005-0000-0000-000054300000}"/>
    <cellStyle name="60% - Énfasis4 30 6" xfId="12427" xr:uid="{00000000-0005-0000-0000-000055300000}"/>
    <cellStyle name="60% - Énfasis4 30 7" xfId="12428" xr:uid="{00000000-0005-0000-0000-000056300000}"/>
    <cellStyle name="60% - Énfasis4 30 8" xfId="12429" xr:uid="{00000000-0005-0000-0000-000057300000}"/>
    <cellStyle name="60% - Énfasis4 30 9" xfId="12430" xr:uid="{00000000-0005-0000-0000-000058300000}"/>
    <cellStyle name="60% - Énfasis4 31 10" xfId="12431" xr:uid="{00000000-0005-0000-0000-000059300000}"/>
    <cellStyle name="60% - Énfasis4 31 11" xfId="12432" xr:uid="{00000000-0005-0000-0000-00005A300000}"/>
    <cellStyle name="60% - Énfasis4 31 12" xfId="12433" xr:uid="{00000000-0005-0000-0000-00005B300000}"/>
    <cellStyle name="60% - Énfasis4 31 13" xfId="12434" xr:uid="{00000000-0005-0000-0000-00005C300000}"/>
    <cellStyle name="60% - Énfasis4 31 14" xfId="12435" xr:uid="{00000000-0005-0000-0000-00005D300000}"/>
    <cellStyle name="60% - Énfasis4 31 15" xfId="12436" xr:uid="{00000000-0005-0000-0000-00005E300000}"/>
    <cellStyle name="60% - Énfasis4 31 16" xfId="12437" xr:uid="{00000000-0005-0000-0000-00005F300000}"/>
    <cellStyle name="60% - Énfasis4 31 17" xfId="12438" xr:uid="{00000000-0005-0000-0000-000060300000}"/>
    <cellStyle name="60% - Énfasis4 31 18" xfId="12439" xr:uid="{00000000-0005-0000-0000-000061300000}"/>
    <cellStyle name="60% - Énfasis4 31 19" xfId="12440" xr:uid="{00000000-0005-0000-0000-000062300000}"/>
    <cellStyle name="60% - Énfasis4 31 2" xfId="12441" xr:uid="{00000000-0005-0000-0000-000063300000}"/>
    <cellStyle name="60% - Énfasis4 31 2 2" xfId="12442" xr:uid="{00000000-0005-0000-0000-000064300000}"/>
    <cellStyle name="60% - Énfasis4 31 3" xfId="12443" xr:uid="{00000000-0005-0000-0000-000065300000}"/>
    <cellStyle name="60% - Énfasis4 31 3 2" xfId="12444" xr:uid="{00000000-0005-0000-0000-000066300000}"/>
    <cellStyle name="60% - Énfasis4 31 4" xfId="12445" xr:uid="{00000000-0005-0000-0000-000067300000}"/>
    <cellStyle name="60% - Énfasis4 31 4 2" xfId="12446" xr:uid="{00000000-0005-0000-0000-000068300000}"/>
    <cellStyle name="60% - Énfasis4 31 5" xfId="12447" xr:uid="{00000000-0005-0000-0000-000069300000}"/>
    <cellStyle name="60% - Énfasis4 31 6" xfId="12448" xr:uid="{00000000-0005-0000-0000-00006A300000}"/>
    <cellStyle name="60% - Énfasis4 31 7" xfId="12449" xr:uid="{00000000-0005-0000-0000-00006B300000}"/>
    <cellStyle name="60% - Énfasis4 31 8" xfId="12450" xr:uid="{00000000-0005-0000-0000-00006C300000}"/>
    <cellStyle name="60% - Énfasis4 31 9" xfId="12451" xr:uid="{00000000-0005-0000-0000-00006D300000}"/>
    <cellStyle name="60% - Énfasis4 32 10" xfId="12452" xr:uid="{00000000-0005-0000-0000-00006E300000}"/>
    <cellStyle name="60% - Énfasis4 32 11" xfId="12453" xr:uid="{00000000-0005-0000-0000-00006F300000}"/>
    <cellStyle name="60% - Énfasis4 32 12" xfId="12454" xr:uid="{00000000-0005-0000-0000-000070300000}"/>
    <cellStyle name="60% - Énfasis4 32 13" xfId="12455" xr:uid="{00000000-0005-0000-0000-000071300000}"/>
    <cellStyle name="60% - Énfasis4 32 14" xfId="12456" xr:uid="{00000000-0005-0000-0000-000072300000}"/>
    <cellStyle name="60% - Énfasis4 32 15" xfId="12457" xr:uid="{00000000-0005-0000-0000-000073300000}"/>
    <cellStyle name="60% - Énfasis4 32 16" xfId="12458" xr:uid="{00000000-0005-0000-0000-000074300000}"/>
    <cellStyle name="60% - Énfasis4 32 17" xfId="12459" xr:uid="{00000000-0005-0000-0000-000075300000}"/>
    <cellStyle name="60% - Énfasis4 32 18" xfId="12460" xr:uid="{00000000-0005-0000-0000-000076300000}"/>
    <cellStyle name="60% - Énfasis4 32 19" xfId="12461" xr:uid="{00000000-0005-0000-0000-000077300000}"/>
    <cellStyle name="60% - Énfasis4 32 2" xfId="12462" xr:uid="{00000000-0005-0000-0000-000078300000}"/>
    <cellStyle name="60% - Énfasis4 32 2 2" xfId="12463" xr:uid="{00000000-0005-0000-0000-000079300000}"/>
    <cellStyle name="60% - Énfasis4 32 3" xfId="12464" xr:uid="{00000000-0005-0000-0000-00007A300000}"/>
    <cellStyle name="60% - Énfasis4 32 3 2" xfId="12465" xr:uid="{00000000-0005-0000-0000-00007B300000}"/>
    <cellStyle name="60% - Énfasis4 32 4" xfId="12466" xr:uid="{00000000-0005-0000-0000-00007C300000}"/>
    <cellStyle name="60% - Énfasis4 32 4 2" xfId="12467" xr:uid="{00000000-0005-0000-0000-00007D300000}"/>
    <cellStyle name="60% - Énfasis4 32 5" xfId="12468" xr:uid="{00000000-0005-0000-0000-00007E300000}"/>
    <cellStyle name="60% - Énfasis4 32 6" xfId="12469" xr:uid="{00000000-0005-0000-0000-00007F300000}"/>
    <cellStyle name="60% - Énfasis4 32 7" xfId="12470" xr:uid="{00000000-0005-0000-0000-000080300000}"/>
    <cellStyle name="60% - Énfasis4 32 8" xfId="12471" xr:uid="{00000000-0005-0000-0000-000081300000}"/>
    <cellStyle name="60% - Énfasis4 32 9" xfId="12472" xr:uid="{00000000-0005-0000-0000-000082300000}"/>
    <cellStyle name="60% - Énfasis4 33 10" xfId="12473" xr:uid="{00000000-0005-0000-0000-000083300000}"/>
    <cellStyle name="60% - Énfasis4 33 11" xfId="12474" xr:uid="{00000000-0005-0000-0000-000084300000}"/>
    <cellStyle name="60% - Énfasis4 33 12" xfId="12475" xr:uid="{00000000-0005-0000-0000-000085300000}"/>
    <cellStyle name="60% - Énfasis4 33 13" xfId="12476" xr:uid="{00000000-0005-0000-0000-000086300000}"/>
    <cellStyle name="60% - Énfasis4 33 14" xfId="12477" xr:uid="{00000000-0005-0000-0000-000087300000}"/>
    <cellStyle name="60% - Énfasis4 33 15" xfId="12478" xr:uid="{00000000-0005-0000-0000-000088300000}"/>
    <cellStyle name="60% - Énfasis4 33 16" xfId="12479" xr:uid="{00000000-0005-0000-0000-000089300000}"/>
    <cellStyle name="60% - Énfasis4 33 17" xfId="12480" xr:uid="{00000000-0005-0000-0000-00008A300000}"/>
    <cellStyle name="60% - Énfasis4 33 18" xfId="12481" xr:uid="{00000000-0005-0000-0000-00008B300000}"/>
    <cellStyle name="60% - Énfasis4 33 19" xfId="12482" xr:uid="{00000000-0005-0000-0000-00008C300000}"/>
    <cellStyle name="60% - Énfasis4 33 2" xfId="12483" xr:uid="{00000000-0005-0000-0000-00008D300000}"/>
    <cellStyle name="60% - Énfasis4 33 2 2" xfId="12484" xr:uid="{00000000-0005-0000-0000-00008E300000}"/>
    <cellStyle name="60% - Énfasis4 33 3" xfId="12485" xr:uid="{00000000-0005-0000-0000-00008F300000}"/>
    <cellStyle name="60% - Énfasis4 33 3 2" xfId="12486" xr:uid="{00000000-0005-0000-0000-000090300000}"/>
    <cellStyle name="60% - Énfasis4 33 4" xfId="12487" xr:uid="{00000000-0005-0000-0000-000091300000}"/>
    <cellStyle name="60% - Énfasis4 33 4 2" xfId="12488" xr:uid="{00000000-0005-0000-0000-000092300000}"/>
    <cellStyle name="60% - Énfasis4 33 5" xfId="12489" xr:uid="{00000000-0005-0000-0000-000093300000}"/>
    <cellStyle name="60% - Énfasis4 33 6" xfId="12490" xr:uid="{00000000-0005-0000-0000-000094300000}"/>
    <cellStyle name="60% - Énfasis4 33 7" xfId="12491" xr:uid="{00000000-0005-0000-0000-000095300000}"/>
    <cellStyle name="60% - Énfasis4 33 8" xfId="12492" xr:uid="{00000000-0005-0000-0000-000096300000}"/>
    <cellStyle name="60% - Énfasis4 33 9" xfId="12493" xr:uid="{00000000-0005-0000-0000-000097300000}"/>
    <cellStyle name="60% - Énfasis4 34 10" xfId="12494" xr:uid="{00000000-0005-0000-0000-000098300000}"/>
    <cellStyle name="60% - Énfasis4 34 11" xfId="12495" xr:uid="{00000000-0005-0000-0000-000099300000}"/>
    <cellStyle name="60% - Énfasis4 34 12" xfId="12496" xr:uid="{00000000-0005-0000-0000-00009A300000}"/>
    <cellStyle name="60% - Énfasis4 34 13" xfId="12497" xr:uid="{00000000-0005-0000-0000-00009B300000}"/>
    <cellStyle name="60% - Énfasis4 34 14" xfId="12498" xr:uid="{00000000-0005-0000-0000-00009C300000}"/>
    <cellStyle name="60% - Énfasis4 34 15" xfId="12499" xr:uid="{00000000-0005-0000-0000-00009D300000}"/>
    <cellStyle name="60% - Énfasis4 34 16" xfId="12500" xr:uid="{00000000-0005-0000-0000-00009E300000}"/>
    <cellStyle name="60% - Énfasis4 34 17" xfId="12501" xr:uid="{00000000-0005-0000-0000-00009F300000}"/>
    <cellStyle name="60% - Énfasis4 34 18" xfId="12502" xr:uid="{00000000-0005-0000-0000-0000A0300000}"/>
    <cellStyle name="60% - Énfasis4 34 19" xfId="12503" xr:uid="{00000000-0005-0000-0000-0000A1300000}"/>
    <cellStyle name="60% - Énfasis4 34 2" xfId="12504" xr:uid="{00000000-0005-0000-0000-0000A2300000}"/>
    <cellStyle name="60% - Énfasis4 34 2 2" xfId="12505" xr:uid="{00000000-0005-0000-0000-0000A3300000}"/>
    <cellStyle name="60% - Énfasis4 34 3" xfId="12506" xr:uid="{00000000-0005-0000-0000-0000A4300000}"/>
    <cellStyle name="60% - Énfasis4 34 3 2" xfId="12507" xr:uid="{00000000-0005-0000-0000-0000A5300000}"/>
    <cellStyle name="60% - Énfasis4 34 4" xfId="12508" xr:uid="{00000000-0005-0000-0000-0000A6300000}"/>
    <cellStyle name="60% - Énfasis4 34 4 2" xfId="12509" xr:uid="{00000000-0005-0000-0000-0000A7300000}"/>
    <cellStyle name="60% - Énfasis4 34 5" xfId="12510" xr:uid="{00000000-0005-0000-0000-0000A8300000}"/>
    <cellStyle name="60% - Énfasis4 34 6" xfId="12511" xr:uid="{00000000-0005-0000-0000-0000A9300000}"/>
    <cellStyle name="60% - Énfasis4 34 7" xfId="12512" xr:uid="{00000000-0005-0000-0000-0000AA300000}"/>
    <cellStyle name="60% - Énfasis4 34 8" xfId="12513" xr:uid="{00000000-0005-0000-0000-0000AB300000}"/>
    <cellStyle name="60% - Énfasis4 34 9" xfId="12514" xr:uid="{00000000-0005-0000-0000-0000AC300000}"/>
    <cellStyle name="60% - Énfasis4 35 10" xfId="12515" xr:uid="{00000000-0005-0000-0000-0000AD300000}"/>
    <cellStyle name="60% - Énfasis4 35 11" xfId="12516" xr:uid="{00000000-0005-0000-0000-0000AE300000}"/>
    <cellStyle name="60% - Énfasis4 35 12" xfId="12517" xr:uid="{00000000-0005-0000-0000-0000AF300000}"/>
    <cellStyle name="60% - Énfasis4 35 13" xfId="12518" xr:uid="{00000000-0005-0000-0000-0000B0300000}"/>
    <cellStyle name="60% - Énfasis4 35 14" xfId="12519" xr:uid="{00000000-0005-0000-0000-0000B1300000}"/>
    <cellStyle name="60% - Énfasis4 35 15" xfId="12520" xr:uid="{00000000-0005-0000-0000-0000B2300000}"/>
    <cellStyle name="60% - Énfasis4 35 16" xfId="12521" xr:uid="{00000000-0005-0000-0000-0000B3300000}"/>
    <cellStyle name="60% - Énfasis4 35 17" xfId="12522" xr:uid="{00000000-0005-0000-0000-0000B4300000}"/>
    <cellStyle name="60% - Énfasis4 35 18" xfId="12523" xr:uid="{00000000-0005-0000-0000-0000B5300000}"/>
    <cellStyle name="60% - Énfasis4 35 19" xfId="12524" xr:uid="{00000000-0005-0000-0000-0000B6300000}"/>
    <cellStyle name="60% - Énfasis4 35 2" xfId="12525" xr:uid="{00000000-0005-0000-0000-0000B7300000}"/>
    <cellStyle name="60% - Énfasis4 35 2 2" xfId="12526" xr:uid="{00000000-0005-0000-0000-0000B8300000}"/>
    <cellStyle name="60% - Énfasis4 35 3" xfId="12527" xr:uid="{00000000-0005-0000-0000-0000B9300000}"/>
    <cellStyle name="60% - Énfasis4 35 3 2" xfId="12528" xr:uid="{00000000-0005-0000-0000-0000BA300000}"/>
    <cellStyle name="60% - Énfasis4 35 4" xfId="12529" xr:uid="{00000000-0005-0000-0000-0000BB300000}"/>
    <cellStyle name="60% - Énfasis4 35 4 2" xfId="12530" xr:uid="{00000000-0005-0000-0000-0000BC300000}"/>
    <cellStyle name="60% - Énfasis4 35 5" xfId="12531" xr:uid="{00000000-0005-0000-0000-0000BD300000}"/>
    <cellStyle name="60% - Énfasis4 35 6" xfId="12532" xr:uid="{00000000-0005-0000-0000-0000BE300000}"/>
    <cellStyle name="60% - Énfasis4 35 7" xfId="12533" xr:uid="{00000000-0005-0000-0000-0000BF300000}"/>
    <cellStyle name="60% - Énfasis4 35 8" xfId="12534" xr:uid="{00000000-0005-0000-0000-0000C0300000}"/>
    <cellStyle name="60% - Énfasis4 35 9" xfId="12535" xr:uid="{00000000-0005-0000-0000-0000C1300000}"/>
    <cellStyle name="60% - Énfasis4 36 10" xfId="12536" xr:uid="{00000000-0005-0000-0000-0000C2300000}"/>
    <cellStyle name="60% - Énfasis4 36 11" xfId="12537" xr:uid="{00000000-0005-0000-0000-0000C3300000}"/>
    <cellStyle name="60% - Énfasis4 36 12" xfId="12538" xr:uid="{00000000-0005-0000-0000-0000C4300000}"/>
    <cellStyle name="60% - Énfasis4 36 13" xfId="12539" xr:uid="{00000000-0005-0000-0000-0000C5300000}"/>
    <cellStyle name="60% - Énfasis4 36 14" xfId="12540" xr:uid="{00000000-0005-0000-0000-0000C6300000}"/>
    <cellStyle name="60% - Énfasis4 36 15" xfId="12541" xr:uid="{00000000-0005-0000-0000-0000C7300000}"/>
    <cellStyle name="60% - Énfasis4 36 16" xfId="12542" xr:uid="{00000000-0005-0000-0000-0000C8300000}"/>
    <cellStyle name="60% - Énfasis4 36 17" xfId="12543" xr:uid="{00000000-0005-0000-0000-0000C9300000}"/>
    <cellStyle name="60% - Énfasis4 36 18" xfId="12544" xr:uid="{00000000-0005-0000-0000-0000CA300000}"/>
    <cellStyle name="60% - Énfasis4 36 19" xfId="12545" xr:uid="{00000000-0005-0000-0000-0000CB300000}"/>
    <cellStyle name="60% - Énfasis4 36 2" xfId="12546" xr:uid="{00000000-0005-0000-0000-0000CC300000}"/>
    <cellStyle name="60% - Énfasis4 36 2 2" xfId="12547" xr:uid="{00000000-0005-0000-0000-0000CD300000}"/>
    <cellStyle name="60% - Énfasis4 36 3" xfId="12548" xr:uid="{00000000-0005-0000-0000-0000CE300000}"/>
    <cellStyle name="60% - Énfasis4 36 3 2" xfId="12549" xr:uid="{00000000-0005-0000-0000-0000CF300000}"/>
    <cellStyle name="60% - Énfasis4 36 4" xfId="12550" xr:uid="{00000000-0005-0000-0000-0000D0300000}"/>
    <cellStyle name="60% - Énfasis4 36 4 2" xfId="12551" xr:uid="{00000000-0005-0000-0000-0000D1300000}"/>
    <cellStyle name="60% - Énfasis4 36 5" xfId="12552" xr:uid="{00000000-0005-0000-0000-0000D2300000}"/>
    <cellStyle name="60% - Énfasis4 36 6" xfId="12553" xr:uid="{00000000-0005-0000-0000-0000D3300000}"/>
    <cellStyle name="60% - Énfasis4 36 7" xfId="12554" xr:uid="{00000000-0005-0000-0000-0000D4300000}"/>
    <cellStyle name="60% - Énfasis4 36 8" xfId="12555" xr:uid="{00000000-0005-0000-0000-0000D5300000}"/>
    <cellStyle name="60% - Énfasis4 36 9" xfId="12556" xr:uid="{00000000-0005-0000-0000-0000D6300000}"/>
    <cellStyle name="60% - Énfasis4 37 10" xfId="12557" xr:uid="{00000000-0005-0000-0000-0000D7300000}"/>
    <cellStyle name="60% - Énfasis4 37 11" xfId="12558" xr:uid="{00000000-0005-0000-0000-0000D8300000}"/>
    <cellStyle name="60% - Énfasis4 37 12" xfId="12559" xr:uid="{00000000-0005-0000-0000-0000D9300000}"/>
    <cellStyle name="60% - Énfasis4 37 13" xfId="12560" xr:uid="{00000000-0005-0000-0000-0000DA300000}"/>
    <cellStyle name="60% - Énfasis4 37 14" xfId="12561" xr:uid="{00000000-0005-0000-0000-0000DB300000}"/>
    <cellStyle name="60% - Énfasis4 37 15" xfId="12562" xr:uid="{00000000-0005-0000-0000-0000DC300000}"/>
    <cellStyle name="60% - Énfasis4 37 16" xfId="12563" xr:uid="{00000000-0005-0000-0000-0000DD300000}"/>
    <cellStyle name="60% - Énfasis4 37 17" xfId="12564" xr:uid="{00000000-0005-0000-0000-0000DE300000}"/>
    <cellStyle name="60% - Énfasis4 37 18" xfId="12565" xr:uid="{00000000-0005-0000-0000-0000DF300000}"/>
    <cellStyle name="60% - Énfasis4 37 19" xfId="12566" xr:uid="{00000000-0005-0000-0000-0000E0300000}"/>
    <cellStyle name="60% - Énfasis4 37 2" xfId="12567" xr:uid="{00000000-0005-0000-0000-0000E1300000}"/>
    <cellStyle name="60% - Énfasis4 37 2 2" xfId="12568" xr:uid="{00000000-0005-0000-0000-0000E2300000}"/>
    <cellStyle name="60% - Énfasis4 37 3" xfId="12569" xr:uid="{00000000-0005-0000-0000-0000E3300000}"/>
    <cellStyle name="60% - Énfasis4 37 3 2" xfId="12570" xr:uid="{00000000-0005-0000-0000-0000E4300000}"/>
    <cellStyle name="60% - Énfasis4 37 4" xfId="12571" xr:uid="{00000000-0005-0000-0000-0000E5300000}"/>
    <cellStyle name="60% - Énfasis4 37 4 2" xfId="12572" xr:uid="{00000000-0005-0000-0000-0000E6300000}"/>
    <cellStyle name="60% - Énfasis4 37 5" xfId="12573" xr:uid="{00000000-0005-0000-0000-0000E7300000}"/>
    <cellStyle name="60% - Énfasis4 37 6" xfId="12574" xr:uid="{00000000-0005-0000-0000-0000E8300000}"/>
    <cellStyle name="60% - Énfasis4 37 7" xfId="12575" xr:uid="{00000000-0005-0000-0000-0000E9300000}"/>
    <cellStyle name="60% - Énfasis4 37 8" xfId="12576" xr:uid="{00000000-0005-0000-0000-0000EA300000}"/>
    <cellStyle name="60% - Énfasis4 37 9" xfId="12577" xr:uid="{00000000-0005-0000-0000-0000EB300000}"/>
    <cellStyle name="60% - Énfasis4 38 10" xfId="12578" xr:uid="{00000000-0005-0000-0000-0000EC300000}"/>
    <cellStyle name="60% - Énfasis4 38 11" xfId="12579" xr:uid="{00000000-0005-0000-0000-0000ED300000}"/>
    <cellStyle name="60% - Énfasis4 38 12" xfId="12580" xr:uid="{00000000-0005-0000-0000-0000EE300000}"/>
    <cellStyle name="60% - Énfasis4 38 13" xfId="12581" xr:uid="{00000000-0005-0000-0000-0000EF300000}"/>
    <cellStyle name="60% - Énfasis4 38 14" xfId="12582" xr:uid="{00000000-0005-0000-0000-0000F0300000}"/>
    <cellStyle name="60% - Énfasis4 38 15" xfId="12583" xr:uid="{00000000-0005-0000-0000-0000F1300000}"/>
    <cellStyle name="60% - Énfasis4 38 16" xfId="12584" xr:uid="{00000000-0005-0000-0000-0000F2300000}"/>
    <cellStyle name="60% - Énfasis4 38 17" xfId="12585" xr:uid="{00000000-0005-0000-0000-0000F3300000}"/>
    <cellStyle name="60% - Énfasis4 38 18" xfId="12586" xr:uid="{00000000-0005-0000-0000-0000F4300000}"/>
    <cellStyle name="60% - Énfasis4 38 19" xfId="12587" xr:uid="{00000000-0005-0000-0000-0000F5300000}"/>
    <cellStyle name="60% - Énfasis4 38 2" xfId="12588" xr:uid="{00000000-0005-0000-0000-0000F6300000}"/>
    <cellStyle name="60% - Énfasis4 38 2 2" xfId="12589" xr:uid="{00000000-0005-0000-0000-0000F7300000}"/>
    <cellStyle name="60% - Énfasis4 38 3" xfId="12590" xr:uid="{00000000-0005-0000-0000-0000F8300000}"/>
    <cellStyle name="60% - Énfasis4 38 3 2" xfId="12591" xr:uid="{00000000-0005-0000-0000-0000F9300000}"/>
    <cellStyle name="60% - Énfasis4 38 4" xfId="12592" xr:uid="{00000000-0005-0000-0000-0000FA300000}"/>
    <cellStyle name="60% - Énfasis4 38 4 2" xfId="12593" xr:uid="{00000000-0005-0000-0000-0000FB300000}"/>
    <cellStyle name="60% - Énfasis4 38 5" xfId="12594" xr:uid="{00000000-0005-0000-0000-0000FC300000}"/>
    <cellStyle name="60% - Énfasis4 38 6" xfId="12595" xr:uid="{00000000-0005-0000-0000-0000FD300000}"/>
    <cellStyle name="60% - Énfasis4 38 7" xfId="12596" xr:uid="{00000000-0005-0000-0000-0000FE300000}"/>
    <cellStyle name="60% - Énfasis4 38 8" xfId="12597" xr:uid="{00000000-0005-0000-0000-0000FF300000}"/>
    <cellStyle name="60% - Énfasis4 38 9" xfId="12598" xr:uid="{00000000-0005-0000-0000-000000310000}"/>
    <cellStyle name="60% - Énfasis4 39" xfId="12599" xr:uid="{00000000-0005-0000-0000-000001310000}"/>
    <cellStyle name="60% - Énfasis4 39 10" xfId="12600" xr:uid="{00000000-0005-0000-0000-000002310000}"/>
    <cellStyle name="60% - Énfasis4 39 11" xfId="12601" xr:uid="{00000000-0005-0000-0000-000003310000}"/>
    <cellStyle name="60% - Énfasis4 39 12" xfId="12602" xr:uid="{00000000-0005-0000-0000-000004310000}"/>
    <cellStyle name="60% - Énfasis4 39 13" xfId="12603" xr:uid="{00000000-0005-0000-0000-000005310000}"/>
    <cellStyle name="60% - Énfasis4 39 14" xfId="12604" xr:uid="{00000000-0005-0000-0000-000006310000}"/>
    <cellStyle name="60% - Énfasis4 39 15" xfId="12605" xr:uid="{00000000-0005-0000-0000-000007310000}"/>
    <cellStyle name="60% - Énfasis4 39 16" xfId="12606" xr:uid="{00000000-0005-0000-0000-000008310000}"/>
    <cellStyle name="60% - Énfasis4 39 2" xfId="12607" xr:uid="{00000000-0005-0000-0000-000009310000}"/>
    <cellStyle name="60% - Énfasis4 39 3" xfId="12608" xr:uid="{00000000-0005-0000-0000-00000A310000}"/>
    <cellStyle name="60% - Énfasis4 39 4" xfId="12609" xr:uid="{00000000-0005-0000-0000-00000B310000}"/>
    <cellStyle name="60% - Énfasis4 39 5" xfId="12610" xr:uid="{00000000-0005-0000-0000-00000C310000}"/>
    <cellStyle name="60% - Énfasis4 39 6" xfId="12611" xr:uid="{00000000-0005-0000-0000-00000D310000}"/>
    <cellStyle name="60% - Énfasis4 39 7" xfId="12612" xr:uid="{00000000-0005-0000-0000-00000E310000}"/>
    <cellStyle name="60% - Énfasis4 39 8" xfId="12613" xr:uid="{00000000-0005-0000-0000-00000F310000}"/>
    <cellStyle name="60% - Énfasis4 39 9" xfId="12614" xr:uid="{00000000-0005-0000-0000-000010310000}"/>
    <cellStyle name="60% - Énfasis4 4 10" xfId="12615" xr:uid="{00000000-0005-0000-0000-000011310000}"/>
    <cellStyle name="60% - Énfasis4 4 11" xfId="12616" xr:uid="{00000000-0005-0000-0000-000012310000}"/>
    <cellStyle name="60% - Énfasis4 4 12" xfId="12617" xr:uid="{00000000-0005-0000-0000-000013310000}"/>
    <cellStyle name="60% - Énfasis4 4 13" xfId="12618" xr:uid="{00000000-0005-0000-0000-000014310000}"/>
    <cellStyle name="60% - Énfasis4 4 14" xfId="12619" xr:uid="{00000000-0005-0000-0000-000015310000}"/>
    <cellStyle name="60% - Énfasis4 4 15" xfId="12620" xr:uid="{00000000-0005-0000-0000-000016310000}"/>
    <cellStyle name="60% - Énfasis4 4 16" xfId="12621" xr:uid="{00000000-0005-0000-0000-000017310000}"/>
    <cellStyle name="60% - Énfasis4 4 17" xfId="12622" xr:uid="{00000000-0005-0000-0000-000018310000}"/>
    <cellStyle name="60% - Énfasis4 4 18" xfId="12623" xr:uid="{00000000-0005-0000-0000-000019310000}"/>
    <cellStyle name="60% - Énfasis4 4 19" xfId="12624" xr:uid="{00000000-0005-0000-0000-00001A310000}"/>
    <cellStyle name="60% - Énfasis4 4 2" xfId="12625" xr:uid="{00000000-0005-0000-0000-00001B310000}"/>
    <cellStyle name="60% - Énfasis4 4 2 2" xfId="12626" xr:uid="{00000000-0005-0000-0000-00001C310000}"/>
    <cellStyle name="60% - Énfasis4 4 3" xfId="12627" xr:uid="{00000000-0005-0000-0000-00001D310000}"/>
    <cellStyle name="60% - Énfasis4 4 3 2" xfId="12628" xr:uid="{00000000-0005-0000-0000-00001E310000}"/>
    <cellStyle name="60% - Énfasis4 4 4" xfId="12629" xr:uid="{00000000-0005-0000-0000-00001F310000}"/>
    <cellStyle name="60% - Énfasis4 4 4 2" xfId="12630" xr:uid="{00000000-0005-0000-0000-000020310000}"/>
    <cellStyle name="60% - Énfasis4 4 5" xfId="12631" xr:uid="{00000000-0005-0000-0000-000021310000}"/>
    <cellStyle name="60% - Énfasis4 4 6" xfId="12632" xr:uid="{00000000-0005-0000-0000-000022310000}"/>
    <cellStyle name="60% - Énfasis4 4 7" xfId="12633" xr:uid="{00000000-0005-0000-0000-000023310000}"/>
    <cellStyle name="60% - Énfasis4 4 8" xfId="12634" xr:uid="{00000000-0005-0000-0000-000024310000}"/>
    <cellStyle name="60% - Énfasis4 4 9" xfId="12635" xr:uid="{00000000-0005-0000-0000-000025310000}"/>
    <cellStyle name="60% - Énfasis4 40" xfId="12636" xr:uid="{00000000-0005-0000-0000-000026310000}"/>
    <cellStyle name="60% - Énfasis4 40 10" xfId="12637" xr:uid="{00000000-0005-0000-0000-000027310000}"/>
    <cellStyle name="60% - Énfasis4 40 11" xfId="12638" xr:uid="{00000000-0005-0000-0000-000028310000}"/>
    <cellStyle name="60% - Énfasis4 40 12" xfId="12639" xr:uid="{00000000-0005-0000-0000-000029310000}"/>
    <cellStyle name="60% - Énfasis4 40 13" xfId="12640" xr:uid="{00000000-0005-0000-0000-00002A310000}"/>
    <cellStyle name="60% - Énfasis4 40 14" xfId="12641" xr:uid="{00000000-0005-0000-0000-00002B310000}"/>
    <cellStyle name="60% - Énfasis4 40 15" xfId="12642" xr:uid="{00000000-0005-0000-0000-00002C310000}"/>
    <cellStyle name="60% - Énfasis4 40 16" xfId="12643" xr:uid="{00000000-0005-0000-0000-00002D310000}"/>
    <cellStyle name="60% - Énfasis4 40 2" xfId="12644" xr:uid="{00000000-0005-0000-0000-00002E310000}"/>
    <cellStyle name="60% - Énfasis4 40 3" xfId="12645" xr:uid="{00000000-0005-0000-0000-00002F310000}"/>
    <cellStyle name="60% - Énfasis4 40 4" xfId="12646" xr:uid="{00000000-0005-0000-0000-000030310000}"/>
    <cellStyle name="60% - Énfasis4 40 5" xfId="12647" xr:uid="{00000000-0005-0000-0000-000031310000}"/>
    <cellStyle name="60% - Énfasis4 40 6" xfId="12648" xr:uid="{00000000-0005-0000-0000-000032310000}"/>
    <cellStyle name="60% - Énfasis4 40 7" xfId="12649" xr:uid="{00000000-0005-0000-0000-000033310000}"/>
    <cellStyle name="60% - Énfasis4 40 8" xfId="12650" xr:uid="{00000000-0005-0000-0000-000034310000}"/>
    <cellStyle name="60% - Énfasis4 40 9" xfId="12651" xr:uid="{00000000-0005-0000-0000-000035310000}"/>
    <cellStyle name="60% - Énfasis4 41" xfId="12652" xr:uid="{00000000-0005-0000-0000-000036310000}"/>
    <cellStyle name="60% - Énfasis4 41 10" xfId="12653" xr:uid="{00000000-0005-0000-0000-000037310000}"/>
    <cellStyle name="60% - Énfasis4 41 11" xfId="12654" xr:uid="{00000000-0005-0000-0000-000038310000}"/>
    <cellStyle name="60% - Énfasis4 41 12" xfId="12655" xr:uid="{00000000-0005-0000-0000-000039310000}"/>
    <cellStyle name="60% - Énfasis4 41 13" xfId="12656" xr:uid="{00000000-0005-0000-0000-00003A310000}"/>
    <cellStyle name="60% - Énfasis4 41 14" xfId="12657" xr:uid="{00000000-0005-0000-0000-00003B310000}"/>
    <cellStyle name="60% - Énfasis4 41 15" xfId="12658" xr:uid="{00000000-0005-0000-0000-00003C310000}"/>
    <cellStyle name="60% - Énfasis4 41 16" xfId="12659" xr:uid="{00000000-0005-0000-0000-00003D310000}"/>
    <cellStyle name="60% - Énfasis4 41 2" xfId="12660" xr:uid="{00000000-0005-0000-0000-00003E310000}"/>
    <cellStyle name="60% - Énfasis4 41 3" xfId="12661" xr:uid="{00000000-0005-0000-0000-00003F310000}"/>
    <cellStyle name="60% - Énfasis4 41 4" xfId="12662" xr:uid="{00000000-0005-0000-0000-000040310000}"/>
    <cellStyle name="60% - Énfasis4 41 5" xfId="12663" xr:uid="{00000000-0005-0000-0000-000041310000}"/>
    <cellStyle name="60% - Énfasis4 41 6" xfId="12664" xr:uid="{00000000-0005-0000-0000-000042310000}"/>
    <cellStyle name="60% - Énfasis4 41 7" xfId="12665" xr:uid="{00000000-0005-0000-0000-000043310000}"/>
    <cellStyle name="60% - Énfasis4 41 8" xfId="12666" xr:uid="{00000000-0005-0000-0000-000044310000}"/>
    <cellStyle name="60% - Énfasis4 41 9" xfId="12667" xr:uid="{00000000-0005-0000-0000-000045310000}"/>
    <cellStyle name="60% - Énfasis4 42" xfId="12668" xr:uid="{00000000-0005-0000-0000-000046310000}"/>
    <cellStyle name="60% - Énfasis4 43" xfId="12669" xr:uid="{00000000-0005-0000-0000-000047310000}"/>
    <cellStyle name="60% - Énfasis4 44" xfId="12670" xr:uid="{00000000-0005-0000-0000-000048310000}"/>
    <cellStyle name="60% - Énfasis4 45" xfId="12671" xr:uid="{00000000-0005-0000-0000-000049310000}"/>
    <cellStyle name="60% - Énfasis4 46" xfId="12672" xr:uid="{00000000-0005-0000-0000-00004A310000}"/>
    <cellStyle name="60% - Énfasis4 47" xfId="12673" xr:uid="{00000000-0005-0000-0000-00004B310000}"/>
    <cellStyle name="60% - Énfasis4 48" xfId="12674" xr:uid="{00000000-0005-0000-0000-00004C310000}"/>
    <cellStyle name="60% - Énfasis4 49" xfId="12675" xr:uid="{00000000-0005-0000-0000-00004D310000}"/>
    <cellStyle name="60% - Énfasis4 5 10" xfId="12676" xr:uid="{00000000-0005-0000-0000-00004E310000}"/>
    <cellStyle name="60% - Énfasis4 5 11" xfId="12677" xr:uid="{00000000-0005-0000-0000-00004F310000}"/>
    <cellStyle name="60% - Énfasis4 5 12" xfId="12678" xr:uid="{00000000-0005-0000-0000-000050310000}"/>
    <cellStyle name="60% - Énfasis4 5 13" xfId="12679" xr:uid="{00000000-0005-0000-0000-000051310000}"/>
    <cellStyle name="60% - Énfasis4 5 14" xfId="12680" xr:uid="{00000000-0005-0000-0000-000052310000}"/>
    <cellStyle name="60% - Énfasis4 5 15" xfId="12681" xr:uid="{00000000-0005-0000-0000-000053310000}"/>
    <cellStyle name="60% - Énfasis4 5 16" xfId="12682" xr:uid="{00000000-0005-0000-0000-000054310000}"/>
    <cellStyle name="60% - Énfasis4 5 17" xfId="12683" xr:uid="{00000000-0005-0000-0000-000055310000}"/>
    <cellStyle name="60% - Énfasis4 5 18" xfId="12684" xr:uid="{00000000-0005-0000-0000-000056310000}"/>
    <cellStyle name="60% - Énfasis4 5 19" xfId="12685" xr:uid="{00000000-0005-0000-0000-000057310000}"/>
    <cellStyle name="60% - Énfasis4 5 2" xfId="12686" xr:uid="{00000000-0005-0000-0000-000058310000}"/>
    <cellStyle name="60% - Énfasis4 5 2 2" xfId="12687" xr:uid="{00000000-0005-0000-0000-000059310000}"/>
    <cellStyle name="60% - Énfasis4 5 3" xfId="12688" xr:uid="{00000000-0005-0000-0000-00005A310000}"/>
    <cellStyle name="60% - Énfasis4 5 3 2" xfId="12689" xr:uid="{00000000-0005-0000-0000-00005B310000}"/>
    <cellStyle name="60% - Énfasis4 5 4" xfId="12690" xr:uid="{00000000-0005-0000-0000-00005C310000}"/>
    <cellStyle name="60% - Énfasis4 5 4 2" xfId="12691" xr:uid="{00000000-0005-0000-0000-00005D310000}"/>
    <cellStyle name="60% - Énfasis4 5 5" xfId="12692" xr:uid="{00000000-0005-0000-0000-00005E310000}"/>
    <cellStyle name="60% - Énfasis4 5 6" xfId="12693" xr:uid="{00000000-0005-0000-0000-00005F310000}"/>
    <cellStyle name="60% - Énfasis4 5 7" xfId="12694" xr:uid="{00000000-0005-0000-0000-000060310000}"/>
    <cellStyle name="60% - Énfasis4 5 8" xfId="12695" xr:uid="{00000000-0005-0000-0000-000061310000}"/>
    <cellStyle name="60% - Énfasis4 5 9" xfId="12696" xr:uid="{00000000-0005-0000-0000-000062310000}"/>
    <cellStyle name="60% - Énfasis4 50" xfId="12697" xr:uid="{00000000-0005-0000-0000-000063310000}"/>
    <cellStyle name="60% - Énfasis4 51" xfId="12698" xr:uid="{00000000-0005-0000-0000-000064310000}"/>
    <cellStyle name="60% - Énfasis4 52" xfId="12699" xr:uid="{00000000-0005-0000-0000-000065310000}"/>
    <cellStyle name="60% - Énfasis4 53" xfId="12700" xr:uid="{00000000-0005-0000-0000-000066310000}"/>
    <cellStyle name="60% - Énfasis4 54" xfId="12701" xr:uid="{00000000-0005-0000-0000-000067310000}"/>
    <cellStyle name="60% - Énfasis4 55" xfId="12702" xr:uid="{00000000-0005-0000-0000-000068310000}"/>
    <cellStyle name="60% - Énfasis4 56" xfId="12703" xr:uid="{00000000-0005-0000-0000-000069310000}"/>
    <cellStyle name="60% - Énfasis4 57" xfId="12704" xr:uid="{00000000-0005-0000-0000-00006A310000}"/>
    <cellStyle name="60% - Énfasis4 58" xfId="12705" xr:uid="{00000000-0005-0000-0000-00006B310000}"/>
    <cellStyle name="60% - Énfasis4 59" xfId="12706" xr:uid="{00000000-0005-0000-0000-00006C310000}"/>
    <cellStyle name="60% - Énfasis4 6 10" xfId="12707" xr:uid="{00000000-0005-0000-0000-00006D310000}"/>
    <cellStyle name="60% - Énfasis4 6 11" xfId="12708" xr:uid="{00000000-0005-0000-0000-00006E310000}"/>
    <cellStyle name="60% - Énfasis4 6 12" xfId="12709" xr:uid="{00000000-0005-0000-0000-00006F310000}"/>
    <cellStyle name="60% - Énfasis4 6 13" xfId="12710" xr:uid="{00000000-0005-0000-0000-000070310000}"/>
    <cellStyle name="60% - Énfasis4 6 14" xfId="12711" xr:uid="{00000000-0005-0000-0000-000071310000}"/>
    <cellStyle name="60% - Énfasis4 6 15" xfId="12712" xr:uid="{00000000-0005-0000-0000-000072310000}"/>
    <cellStyle name="60% - Énfasis4 6 16" xfId="12713" xr:uid="{00000000-0005-0000-0000-000073310000}"/>
    <cellStyle name="60% - Énfasis4 6 17" xfId="12714" xr:uid="{00000000-0005-0000-0000-000074310000}"/>
    <cellStyle name="60% - Énfasis4 6 18" xfId="12715" xr:uid="{00000000-0005-0000-0000-000075310000}"/>
    <cellStyle name="60% - Énfasis4 6 19" xfId="12716" xr:uid="{00000000-0005-0000-0000-000076310000}"/>
    <cellStyle name="60% - Énfasis4 6 2" xfId="12717" xr:uid="{00000000-0005-0000-0000-000077310000}"/>
    <cellStyle name="60% - Énfasis4 6 2 2" xfId="12718" xr:uid="{00000000-0005-0000-0000-000078310000}"/>
    <cellStyle name="60% - Énfasis4 6 3" xfId="12719" xr:uid="{00000000-0005-0000-0000-000079310000}"/>
    <cellStyle name="60% - Énfasis4 6 3 2" xfId="12720" xr:uid="{00000000-0005-0000-0000-00007A310000}"/>
    <cellStyle name="60% - Énfasis4 6 4" xfId="12721" xr:uid="{00000000-0005-0000-0000-00007B310000}"/>
    <cellStyle name="60% - Énfasis4 6 4 2" xfId="12722" xr:uid="{00000000-0005-0000-0000-00007C310000}"/>
    <cellStyle name="60% - Énfasis4 6 5" xfId="12723" xr:uid="{00000000-0005-0000-0000-00007D310000}"/>
    <cellStyle name="60% - Énfasis4 6 6" xfId="12724" xr:uid="{00000000-0005-0000-0000-00007E310000}"/>
    <cellStyle name="60% - Énfasis4 6 7" xfId="12725" xr:uid="{00000000-0005-0000-0000-00007F310000}"/>
    <cellStyle name="60% - Énfasis4 6 8" xfId="12726" xr:uid="{00000000-0005-0000-0000-000080310000}"/>
    <cellStyle name="60% - Énfasis4 6 9" xfId="12727" xr:uid="{00000000-0005-0000-0000-000081310000}"/>
    <cellStyle name="60% - Énfasis4 60" xfId="12728" xr:uid="{00000000-0005-0000-0000-000082310000}"/>
    <cellStyle name="60% - Énfasis4 61" xfId="12729" xr:uid="{00000000-0005-0000-0000-000083310000}"/>
    <cellStyle name="60% - Énfasis4 62" xfId="12730" xr:uid="{00000000-0005-0000-0000-000084310000}"/>
    <cellStyle name="60% - Énfasis4 63" xfId="12731" xr:uid="{00000000-0005-0000-0000-000085310000}"/>
    <cellStyle name="60% - Énfasis4 64" xfId="12732" xr:uid="{00000000-0005-0000-0000-000086310000}"/>
    <cellStyle name="60% - Énfasis4 7 10" xfId="12733" xr:uid="{00000000-0005-0000-0000-000087310000}"/>
    <cellStyle name="60% - Énfasis4 7 11" xfId="12734" xr:uid="{00000000-0005-0000-0000-000088310000}"/>
    <cellStyle name="60% - Énfasis4 7 12" xfId="12735" xr:uid="{00000000-0005-0000-0000-000089310000}"/>
    <cellStyle name="60% - Énfasis4 7 13" xfId="12736" xr:uid="{00000000-0005-0000-0000-00008A310000}"/>
    <cellStyle name="60% - Énfasis4 7 14" xfId="12737" xr:uid="{00000000-0005-0000-0000-00008B310000}"/>
    <cellStyle name="60% - Énfasis4 7 15" xfId="12738" xr:uid="{00000000-0005-0000-0000-00008C310000}"/>
    <cellStyle name="60% - Énfasis4 7 16" xfId="12739" xr:uid="{00000000-0005-0000-0000-00008D310000}"/>
    <cellStyle name="60% - Énfasis4 7 17" xfId="12740" xr:uid="{00000000-0005-0000-0000-00008E310000}"/>
    <cellStyle name="60% - Énfasis4 7 18" xfId="12741" xr:uid="{00000000-0005-0000-0000-00008F310000}"/>
    <cellStyle name="60% - Énfasis4 7 19" xfId="12742" xr:uid="{00000000-0005-0000-0000-000090310000}"/>
    <cellStyle name="60% - Énfasis4 7 2" xfId="12743" xr:uid="{00000000-0005-0000-0000-000091310000}"/>
    <cellStyle name="60% - Énfasis4 7 2 2" xfId="12744" xr:uid="{00000000-0005-0000-0000-000092310000}"/>
    <cellStyle name="60% - Énfasis4 7 3" xfId="12745" xr:uid="{00000000-0005-0000-0000-000093310000}"/>
    <cellStyle name="60% - Énfasis4 7 3 2" xfId="12746" xr:uid="{00000000-0005-0000-0000-000094310000}"/>
    <cellStyle name="60% - Énfasis4 7 4" xfId="12747" xr:uid="{00000000-0005-0000-0000-000095310000}"/>
    <cellStyle name="60% - Énfasis4 7 4 2" xfId="12748" xr:uid="{00000000-0005-0000-0000-000096310000}"/>
    <cellStyle name="60% - Énfasis4 7 5" xfId="12749" xr:uid="{00000000-0005-0000-0000-000097310000}"/>
    <cellStyle name="60% - Énfasis4 7 6" xfId="12750" xr:uid="{00000000-0005-0000-0000-000098310000}"/>
    <cellStyle name="60% - Énfasis4 7 7" xfId="12751" xr:uid="{00000000-0005-0000-0000-000099310000}"/>
    <cellStyle name="60% - Énfasis4 7 8" xfId="12752" xr:uid="{00000000-0005-0000-0000-00009A310000}"/>
    <cellStyle name="60% - Énfasis4 7 9" xfId="12753" xr:uid="{00000000-0005-0000-0000-00009B310000}"/>
    <cellStyle name="60% - Énfasis4 8 10" xfId="12754" xr:uid="{00000000-0005-0000-0000-00009C310000}"/>
    <cellStyle name="60% - Énfasis4 8 11" xfId="12755" xr:uid="{00000000-0005-0000-0000-00009D310000}"/>
    <cellStyle name="60% - Énfasis4 8 12" xfId="12756" xr:uid="{00000000-0005-0000-0000-00009E310000}"/>
    <cellStyle name="60% - Énfasis4 8 13" xfId="12757" xr:uid="{00000000-0005-0000-0000-00009F310000}"/>
    <cellStyle name="60% - Énfasis4 8 14" xfId="12758" xr:uid="{00000000-0005-0000-0000-0000A0310000}"/>
    <cellStyle name="60% - Énfasis4 8 15" xfId="12759" xr:uid="{00000000-0005-0000-0000-0000A1310000}"/>
    <cellStyle name="60% - Énfasis4 8 16" xfId="12760" xr:uid="{00000000-0005-0000-0000-0000A2310000}"/>
    <cellStyle name="60% - Énfasis4 8 17" xfId="12761" xr:uid="{00000000-0005-0000-0000-0000A3310000}"/>
    <cellStyle name="60% - Énfasis4 8 18" xfId="12762" xr:uid="{00000000-0005-0000-0000-0000A4310000}"/>
    <cellStyle name="60% - Énfasis4 8 19" xfId="12763" xr:uid="{00000000-0005-0000-0000-0000A5310000}"/>
    <cellStyle name="60% - Énfasis4 8 2" xfId="12764" xr:uid="{00000000-0005-0000-0000-0000A6310000}"/>
    <cellStyle name="60% - Énfasis4 8 2 2" xfId="12765" xr:uid="{00000000-0005-0000-0000-0000A7310000}"/>
    <cellStyle name="60% - Énfasis4 8 3" xfId="12766" xr:uid="{00000000-0005-0000-0000-0000A8310000}"/>
    <cellStyle name="60% - Énfasis4 8 3 2" xfId="12767" xr:uid="{00000000-0005-0000-0000-0000A9310000}"/>
    <cellStyle name="60% - Énfasis4 8 4" xfId="12768" xr:uid="{00000000-0005-0000-0000-0000AA310000}"/>
    <cellStyle name="60% - Énfasis4 8 4 2" xfId="12769" xr:uid="{00000000-0005-0000-0000-0000AB310000}"/>
    <cellStyle name="60% - Énfasis4 8 5" xfId="12770" xr:uid="{00000000-0005-0000-0000-0000AC310000}"/>
    <cellStyle name="60% - Énfasis4 8 6" xfId="12771" xr:uid="{00000000-0005-0000-0000-0000AD310000}"/>
    <cellStyle name="60% - Énfasis4 8 7" xfId="12772" xr:uid="{00000000-0005-0000-0000-0000AE310000}"/>
    <cellStyle name="60% - Énfasis4 8 8" xfId="12773" xr:uid="{00000000-0005-0000-0000-0000AF310000}"/>
    <cellStyle name="60% - Énfasis4 8 9" xfId="12774" xr:uid="{00000000-0005-0000-0000-0000B0310000}"/>
    <cellStyle name="60% - Énfasis4 9 10" xfId="12775" xr:uid="{00000000-0005-0000-0000-0000B1310000}"/>
    <cellStyle name="60% - Énfasis4 9 11" xfId="12776" xr:uid="{00000000-0005-0000-0000-0000B2310000}"/>
    <cellStyle name="60% - Énfasis4 9 12" xfId="12777" xr:uid="{00000000-0005-0000-0000-0000B3310000}"/>
    <cellStyle name="60% - Énfasis4 9 13" xfId="12778" xr:uid="{00000000-0005-0000-0000-0000B4310000}"/>
    <cellStyle name="60% - Énfasis4 9 14" xfId="12779" xr:uid="{00000000-0005-0000-0000-0000B5310000}"/>
    <cellStyle name="60% - Énfasis4 9 15" xfId="12780" xr:uid="{00000000-0005-0000-0000-0000B6310000}"/>
    <cellStyle name="60% - Énfasis4 9 16" xfId="12781" xr:uid="{00000000-0005-0000-0000-0000B7310000}"/>
    <cellStyle name="60% - Énfasis4 9 17" xfId="12782" xr:uid="{00000000-0005-0000-0000-0000B8310000}"/>
    <cellStyle name="60% - Énfasis4 9 18" xfId="12783" xr:uid="{00000000-0005-0000-0000-0000B9310000}"/>
    <cellStyle name="60% - Énfasis4 9 19" xfId="12784" xr:uid="{00000000-0005-0000-0000-0000BA310000}"/>
    <cellStyle name="60% - Énfasis4 9 2" xfId="12785" xr:uid="{00000000-0005-0000-0000-0000BB310000}"/>
    <cellStyle name="60% - Énfasis4 9 2 2" xfId="12786" xr:uid="{00000000-0005-0000-0000-0000BC310000}"/>
    <cellStyle name="60% - Énfasis4 9 3" xfId="12787" xr:uid="{00000000-0005-0000-0000-0000BD310000}"/>
    <cellStyle name="60% - Énfasis4 9 3 2" xfId="12788" xr:uid="{00000000-0005-0000-0000-0000BE310000}"/>
    <cellStyle name="60% - Énfasis4 9 4" xfId="12789" xr:uid="{00000000-0005-0000-0000-0000BF310000}"/>
    <cellStyle name="60% - Énfasis4 9 4 2" xfId="12790" xr:uid="{00000000-0005-0000-0000-0000C0310000}"/>
    <cellStyle name="60% - Énfasis4 9 5" xfId="12791" xr:uid="{00000000-0005-0000-0000-0000C1310000}"/>
    <cellStyle name="60% - Énfasis4 9 6" xfId="12792" xr:uid="{00000000-0005-0000-0000-0000C2310000}"/>
    <cellStyle name="60% - Énfasis4 9 7" xfId="12793" xr:uid="{00000000-0005-0000-0000-0000C3310000}"/>
    <cellStyle name="60% - Énfasis4 9 8" xfId="12794" xr:uid="{00000000-0005-0000-0000-0000C4310000}"/>
    <cellStyle name="60% - Énfasis4 9 9" xfId="12795" xr:uid="{00000000-0005-0000-0000-0000C5310000}"/>
    <cellStyle name="60% - Énfasis5" xfId="32547" builtinId="48" customBuiltin="1"/>
    <cellStyle name="60% - Énfasis5 10 10" xfId="12796" xr:uid="{00000000-0005-0000-0000-0000C7310000}"/>
    <cellStyle name="60% - Énfasis5 10 11" xfId="12797" xr:uid="{00000000-0005-0000-0000-0000C8310000}"/>
    <cellStyle name="60% - Énfasis5 10 12" xfId="12798" xr:uid="{00000000-0005-0000-0000-0000C9310000}"/>
    <cellStyle name="60% - Énfasis5 10 13" xfId="12799" xr:uid="{00000000-0005-0000-0000-0000CA310000}"/>
    <cellStyle name="60% - Énfasis5 10 14" xfId="12800" xr:uid="{00000000-0005-0000-0000-0000CB310000}"/>
    <cellStyle name="60% - Énfasis5 10 15" xfId="12801" xr:uid="{00000000-0005-0000-0000-0000CC310000}"/>
    <cellStyle name="60% - Énfasis5 10 16" xfId="12802" xr:uid="{00000000-0005-0000-0000-0000CD310000}"/>
    <cellStyle name="60% - Énfasis5 10 17" xfId="12803" xr:uid="{00000000-0005-0000-0000-0000CE310000}"/>
    <cellStyle name="60% - Énfasis5 10 18" xfId="12804" xr:uid="{00000000-0005-0000-0000-0000CF310000}"/>
    <cellStyle name="60% - Énfasis5 10 19" xfId="12805" xr:uid="{00000000-0005-0000-0000-0000D0310000}"/>
    <cellStyle name="60% - Énfasis5 10 2" xfId="12806" xr:uid="{00000000-0005-0000-0000-0000D1310000}"/>
    <cellStyle name="60% - Énfasis5 10 2 2" xfId="12807" xr:uid="{00000000-0005-0000-0000-0000D2310000}"/>
    <cellStyle name="60% - Énfasis5 10 3" xfId="12808" xr:uid="{00000000-0005-0000-0000-0000D3310000}"/>
    <cellStyle name="60% - Énfasis5 10 3 2" xfId="12809" xr:uid="{00000000-0005-0000-0000-0000D4310000}"/>
    <cellStyle name="60% - Énfasis5 10 4" xfId="12810" xr:uid="{00000000-0005-0000-0000-0000D5310000}"/>
    <cellStyle name="60% - Énfasis5 10 4 2" xfId="12811" xr:uid="{00000000-0005-0000-0000-0000D6310000}"/>
    <cellStyle name="60% - Énfasis5 10 5" xfId="12812" xr:uid="{00000000-0005-0000-0000-0000D7310000}"/>
    <cellStyle name="60% - Énfasis5 10 6" xfId="12813" xr:uid="{00000000-0005-0000-0000-0000D8310000}"/>
    <cellStyle name="60% - Énfasis5 10 7" xfId="12814" xr:uid="{00000000-0005-0000-0000-0000D9310000}"/>
    <cellStyle name="60% - Énfasis5 10 8" xfId="12815" xr:uid="{00000000-0005-0000-0000-0000DA310000}"/>
    <cellStyle name="60% - Énfasis5 10 9" xfId="12816" xr:uid="{00000000-0005-0000-0000-0000DB310000}"/>
    <cellStyle name="60% - Énfasis5 11 10" xfId="12817" xr:uid="{00000000-0005-0000-0000-0000DC310000}"/>
    <cellStyle name="60% - Énfasis5 11 11" xfId="12818" xr:uid="{00000000-0005-0000-0000-0000DD310000}"/>
    <cellStyle name="60% - Énfasis5 11 12" xfId="12819" xr:uid="{00000000-0005-0000-0000-0000DE310000}"/>
    <cellStyle name="60% - Énfasis5 11 13" xfId="12820" xr:uid="{00000000-0005-0000-0000-0000DF310000}"/>
    <cellStyle name="60% - Énfasis5 11 14" xfId="12821" xr:uid="{00000000-0005-0000-0000-0000E0310000}"/>
    <cellStyle name="60% - Énfasis5 11 15" xfId="12822" xr:uid="{00000000-0005-0000-0000-0000E1310000}"/>
    <cellStyle name="60% - Énfasis5 11 16" xfId="12823" xr:uid="{00000000-0005-0000-0000-0000E2310000}"/>
    <cellStyle name="60% - Énfasis5 11 17" xfId="12824" xr:uid="{00000000-0005-0000-0000-0000E3310000}"/>
    <cellStyle name="60% - Énfasis5 11 18" xfId="12825" xr:uid="{00000000-0005-0000-0000-0000E4310000}"/>
    <cellStyle name="60% - Énfasis5 11 19" xfId="12826" xr:uid="{00000000-0005-0000-0000-0000E5310000}"/>
    <cellStyle name="60% - Énfasis5 11 2" xfId="12827" xr:uid="{00000000-0005-0000-0000-0000E6310000}"/>
    <cellStyle name="60% - Énfasis5 11 2 2" xfId="12828" xr:uid="{00000000-0005-0000-0000-0000E7310000}"/>
    <cellStyle name="60% - Énfasis5 11 3" xfId="12829" xr:uid="{00000000-0005-0000-0000-0000E8310000}"/>
    <cellStyle name="60% - Énfasis5 11 3 2" xfId="12830" xr:uid="{00000000-0005-0000-0000-0000E9310000}"/>
    <cellStyle name="60% - Énfasis5 11 4" xfId="12831" xr:uid="{00000000-0005-0000-0000-0000EA310000}"/>
    <cellStyle name="60% - Énfasis5 11 4 2" xfId="12832" xr:uid="{00000000-0005-0000-0000-0000EB310000}"/>
    <cellStyle name="60% - Énfasis5 11 5" xfId="12833" xr:uid="{00000000-0005-0000-0000-0000EC310000}"/>
    <cellStyle name="60% - Énfasis5 11 6" xfId="12834" xr:uid="{00000000-0005-0000-0000-0000ED310000}"/>
    <cellStyle name="60% - Énfasis5 11 7" xfId="12835" xr:uid="{00000000-0005-0000-0000-0000EE310000}"/>
    <cellStyle name="60% - Énfasis5 11 8" xfId="12836" xr:uid="{00000000-0005-0000-0000-0000EF310000}"/>
    <cellStyle name="60% - Énfasis5 11 9" xfId="12837" xr:uid="{00000000-0005-0000-0000-0000F0310000}"/>
    <cellStyle name="60% - Énfasis5 12 10" xfId="12838" xr:uid="{00000000-0005-0000-0000-0000F1310000}"/>
    <cellStyle name="60% - Énfasis5 12 11" xfId="12839" xr:uid="{00000000-0005-0000-0000-0000F2310000}"/>
    <cellStyle name="60% - Énfasis5 12 12" xfId="12840" xr:uid="{00000000-0005-0000-0000-0000F3310000}"/>
    <cellStyle name="60% - Énfasis5 12 13" xfId="12841" xr:uid="{00000000-0005-0000-0000-0000F4310000}"/>
    <cellStyle name="60% - Énfasis5 12 14" xfId="12842" xr:uid="{00000000-0005-0000-0000-0000F5310000}"/>
    <cellStyle name="60% - Énfasis5 12 15" xfId="12843" xr:uid="{00000000-0005-0000-0000-0000F6310000}"/>
    <cellStyle name="60% - Énfasis5 12 16" xfId="12844" xr:uid="{00000000-0005-0000-0000-0000F7310000}"/>
    <cellStyle name="60% - Énfasis5 12 17" xfId="12845" xr:uid="{00000000-0005-0000-0000-0000F8310000}"/>
    <cellStyle name="60% - Énfasis5 12 18" xfId="12846" xr:uid="{00000000-0005-0000-0000-0000F9310000}"/>
    <cellStyle name="60% - Énfasis5 12 19" xfId="12847" xr:uid="{00000000-0005-0000-0000-0000FA310000}"/>
    <cellStyle name="60% - Énfasis5 12 2" xfId="12848" xr:uid="{00000000-0005-0000-0000-0000FB310000}"/>
    <cellStyle name="60% - Énfasis5 12 2 2" xfId="12849" xr:uid="{00000000-0005-0000-0000-0000FC310000}"/>
    <cellStyle name="60% - Énfasis5 12 3" xfId="12850" xr:uid="{00000000-0005-0000-0000-0000FD310000}"/>
    <cellStyle name="60% - Énfasis5 12 3 2" xfId="12851" xr:uid="{00000000-0005-0000-0000-0000FE310000}"/>
    <cellStyle name="60% - Énfasis5 12 4" xfId="12852" xr:uid="{00000000-0005-0000-0000-0000FF310000}"/>
    <cellStyle name="60% - Énfasis5 12 4 2" xfId="12853" xr:uid="{00000000-0005-0000-0000-000000320000}"/>
    <cellStyle name="60% - Énfasis5 12 5" xfId="12854" xr:uid="{00000000-0005-0000-0000-000001320000}"/>
    <cellStyle name="60% - Énfasis5 12 6" xfId="12855" xr:uid="{00000000-0005-0000-0000-000002320000}"/>
    <cellStyle name="60% - Énfasis5 12 7" xfId="12856" xr:uid="{00000000-0005-0000-0000-000003320000}"/>
    <cellStyle name="60% - Énfasis5 12 8" xfId="12857" xr:uid="{00000000-0005-0000-0000-000004320000}"/>
    <cellStyle name="60% - Énfasis5 12 9" xfId="12858" xr:uid="{00000000-0005-0000-0000-000005320000}"/>
    <cellStyle name="60% - Énfasis5 13 10" xfId="12859" xr:uid="{00000000-0005-0000-0000-000006320000}"/>
    <cellStyle name="60% - Énfasis5 13 11" xfId="12860" xr:uid="{00000000-0005-0000-0000-000007320000}"/>
    <cellStyle name="60% - Énfasis5 13 12" xfId="12861" xr:uid="{00000000-0005-0000-0000-000008320000}"/>
    <cellStyle name="60% - Énfasis5 13 13" xfId="12862" xr:uid="{00000000-0005-0000-0000-000009320000}"/>
    <cellStyle name="60% - Énfasis5 13 14" xfId="12863" xr:uid="{00000000-0005-0000-0000-00000A320000}"/>
    <cellStyle name="60% - Énfasis5 13 15" xfId="12864" xr:uid="{00000000-0005-0000-0000-00000B320000}"/>
    <cellStyle name="60% - Énfasis5 13 16" xfId="12865" xr:uid="{00000000-0005-0000-0000-00000C320000}"/>
    <cellStyle name="60% - Énfasis5 13 17" xfId="12866" xr:uid="{00000000-0005-0000-0000-00000D320000}"/>
    <cellStyle name="60% - Énfasis5 13 18" xfId="12867" xr:uid="{00000000-0005-0000-0000-00000E320000}"/>
    <cellStyle name="60% - Énfasis5 13 19" xfId="12868" xr:uid="{00000000-0005-0000-0000-00000F320000}"/>
    <cellStyle name="60% - Énfasis5 13 2" xfId="12869" xr:uid="{00000000-0005-0000-0000-000010320000}"/>
    <cellStyle name="60% - Énfasis5 13 2 2" xfId="12870" xr:uid="{00000000-0005-0000-0000-000011320000}"/>
    <cellStyle name="60% - Énfasis5 13 3" xfId="12871" xr:uid="{00000000-0005-0000-0000-000012320000}"/>
    <cellStyle name="60% - Énfasis5 13 3 2" xfId="12872" xr:uid="{00000000-0005-0000-0000-000013320000}"/>
    <cellStyle name="60% - Énfasis5 13 4" xfId="12873" xr:uid="{00000000-0005-0000-0000-000014320000}"/>
    <cellStyle name="60% - Énfasis5 13 4 2" xfId="12874" xr:uid="{00000000-0005-0000-0000-000015320000}"/>
    <cellStyle name="60% - Énfasis5 13 5" xfId="12875" xr:uid="{00000000-0005-0000-0000-000016320000}"/>
    <cellStyle name="60% - Énfasis5 13 6" xfId="12876" xr:uid="{00000000-0005-0000-0000-000017320000}"/>
    <cellStyle name="60% - Énfasis5 13 7" xfId="12877" xr:uid="{00000000-0005-0000-0000-000018320000}"/>
    <cellStyle name="60% - Énfasis5 13 8" xfId="12878" xr:uid="{00000000-0005-0000-0000-000019320000}"/>
    <cellStyle name="60% - Énfasis5 13 9" xfId="12879" xr:uid="{00000000-0005-0000-0000-00001A320000}"/>
    <cellStyle name="60% - Énfasis5 14 10" xfId="12880" xr:uid="{00000000-0005-0000-0000-00001B320000}"/>
    <cellStyle name="60% - Énfasis5 14 11" xfId="12881" xr:uid="{00000000-0005-0000-0000-00001C320000}"/>
    <cellStyle name="60% - Énfasis5 14 12" xfId="12882" xr:uid="{00000000-0005-0000-0000-00001D320000}"/>
    <cellStyle name="60% - Énfasis5 14 13" xfId="12883" xr:uid="{00000000-0005-0000-0000-00001E320000}"/>
    <cellStyle name="60% - Énfasis5 14 14" xfId="12884" xr:uid="{00000000-0005-0000-0000-00001F320000}"/>
    <cellStyle name="60% - Énfasis5 14 15" xfId="12885" xr:uid="{00000000-0005-0000-0000-000020320000}"/>
    <cellStyle name="60% - Énfasis5 14 16" xfId="12886" xr:uid="{00000000-0005-0000-0000-000021320000}"/>
    <cellStyle name="60% - Énfasis5 14 17" xfId="12887" xr:uid="{00000000-0005-0000-0000-000022320000}"/>
    <cellStyle name="60% - Énfasis5 14 18" xfId="12888" xr:uid="{00000000-0005-0000-0000-000023320000}"/>
    <cellStyle name="60% - Énfasis5 14 19" xfId="12889" xr:uid="{00000000-0005-0000-0000-000024320000}"/>
    <cellStyle name="60% - Énfasis5 14 2" xfId="12890" xr:uid="{00000000-0005-0000-0000-000025320000}"/>
    <cellStyle name="60% - Énfasis5 14 2 2" xfId="12891" xr:uid="{00000000-0005-0000-0000-000026320000}"/>
    <cellStyle name="60% - Énfasis5 14 3" xfId="12892" xr:uid="{00000000-0005-0000-0000-000027320000}"/>
    <cellStyle name="60% - Énfasis5 14 3 2" xfId="12893" xr:uid="{00000000-0005-0000-0000-000028320000}"/>
    <cellStyle name="60% - Énfasis5 14 4" xfId="12894" xr:uid="{00000000-0005-0000-0000-000029320000}"/>
    <cellStyle name="60% - Énfasis5 14 4 2" xfId="12895" xr:uid="{00000000-0005-0000-0000-00002A320000}"/>
    <cellStyle name="60% - Énfasis5 14 5" xfId="12896" xr:uid="{00000000-0005-0000-0000-00002B320000}"/>
    <cellStyle name="60% - Énfasis5 14 6" xfId="12897" xr:uid="{00000000-0005-0000-0000-00002C320000}"/>
    <cellStyle name="60% - Énfasis5 14 7" xfId="12898" xr:uid="{00000000-0005-0000-0000-00002D320000}"/>
    <cellStyle name="60% - Énfasis5 14 8" xfId="12899" xr:uid="{00000000-0005-0000-0000-00002E320000}"/>
    <cellStyle name="60% - Énfasis5 14 9" xfId="12900" xr:uid="{00000000-0005-0000-0000-00002F320000}"/>
    <cellStyle name="60% - Énfasis5 15 10" xfId="12901" xr:uid="{00000000-0005-0000-0000-000030320000}"/>
    <cellStyle name="60% - Énfasis5 15 11" xfId="12902" xr:uid="{00000000-0005-0000-0000-000031320000}"/>
    <cellStyle name="60% - Énfasis5 15 12" xfId="12903" xr:uid="{00000000-0005-0000-0000-000032320000}"/>
    <cellStyle name="60% - Énfasis5 15 13" xfId="12904" xr:uid="{00000000-0005-0000-0000-000033320000}"/>
    <cellStyle name="60% - Énfasis5 15 14" xfId="12905" xr:uid="{00000000-0005-0000-0000-000034320000}"/>
    <cellStyle name="60% - Énfasis5 15 15" xfId="12906" xr:uid="{00000000-0005-0000-0000-000035320000}"/>
    <cellStyle name="60% - Énfasis5 15 16" xfId="12907" xr:uid="{00000000-0005-0000-0000-000036320000}"/>
    <cellStyle name="60% - Énfasis5 15 17" xfId="12908" xr:uid="{00000000-0005-0000-0000-000037320000}"/>
    <cellStyle name="60% - Énfasis5 15 18" xfId="12909" xr:uid="{00000000-0005-0000-0000-000038320000}"/>
    <cellStyle name="60% - Énfasis5 15 19" xfId="12910" xr:uid="{00000000-0005-0000-0000-000039320000}"/>
    <cellStyle name="60% - Énfasis5 15 2" xfId="12911" xr:uid="{00000000-0005-0000-0000-00003A320000}"/>
    <cellStyle name="60% - Énfasis5 15 2 2" xfId="12912" xr:uid="{00000000-0005-0000-0000-00003B320000}"/>
    <cellStyle name="60% - Énfasis5 15 3" xfId="12913" xr:uid="{00000000-0005-0000-0000-00003C320000}"/>
    <cellStyle name="60% - Énfasis5 15 3 2" xfId="12914" xr:uid="{00000000-0005-0000-0000-00003D320000}"/>
    <cellStyle name="60% - Énfasis5 15 4" xfId="12915" xr:uid="{00000000-0005-0000-0000-00003E320000}"/>
    <cellStyle name="60% - Énfasis5 15 4 2" xfId="12916" xr:uid="{00000000-0005-0000-0000-00003F320000}"/>
    <cellStyle name="60% - Énfasis5 15 5" xfId="12917" xr:uid="{00000000-0005-0000-0000-000040320000}"/>
    <cellStyle name="60% - Énfasis5 15 6" xfId="12918" xr:uid="{00000000-0005-0000-0000-000041320000}"/>
    <cellStyle name="60% - Énfasis5 15 7" xfId="12919" xr:uid="{00000000-0005-0000-0000-000042320000}"/>
    <cellStyle name="60% - Énfasis5 15 8" xfId="12920" xr:uid="{00000000-0005-0000-0000-000043320000}"/>
    <cellStyle name="60% - Énfasis5 15 9" xfId="12921" xr:uid="{00000000-0005-0000-0000-000044320000}"/>
    <cellStyle name="60% - Énfasis5 16 10" xfId="12922" xr:uid="{00000000-0005-0000-0000-000045320000}"/>
    <cellStyle name="60% - Énfasis5 16 11" xfId="12923" xr:uid="{00000000-0005-0000-0000-000046320000}"/>
    <cellStyle name="60% - Énfasis5 16 12" xfId="12924" xr:uid="{00000000-0005-0000-0000-000047320000}"/>
    <cellStyle name="60% - Énfasis5 16 13" xfId="12925" xr:uid="{00000000-0005-0000-0000-000048320000}"/>
    <cellStyle name="60% - Énfasis5 16 14" xfId="12926" xr:uid="{00000000-0005-0000-0000-000049320000}"/>
    <cellStyle name="60% - Énfasis5 16 15" xfId="12927" xr:uid="{00000000-0005-0000-0000-00004A320000}"/>
    <cellStyle name="60% - Énfasis5 16 16" xfId="12928" xr:uid="{00000000-0005-0000-0000-00004B320000}"/>
    <cellStyle name="60% - Énfasis5 16 17" xfId="12929" xr:uid="{00000000-0005-0000-0000-00004C320000}"/>
    <cellStyle name="60% - Énfasis5 16 18" xfId="12930" xr:uid="{00000000-0005-0000-0000-00004D320000}"/>
    <cellStyle name="60% - Énfasis5 16 19" xfId="12931" xr:uid="{00000000-0005-0000-0000-00004E320000}"/>
    <cellStyle name="60% - Énfasis5 16 2" xfId="12932" xr:uid="{00000000-0005-0000-0000-00004F320000}"/>
    <cellStyle name="60% - Énfasis5 16 2 2" xfId="12933" xr:uid="{00000000-0005-0000-0000-000050320000}"/>
    <cellStyle name="60% - Énfasis5 16 3" xfId="12934" xr:uid="{00000000-0005-0000-0000-000051320000}"/>
    <cellStyle name="60% - Énfasis5 16 3 2" xfId="12935" xr:uid="{00000000-0005-0000-0000-000052320000}"/>
    <cellStyle name="60% - Énfasis5 16 4" xfId="12936" xr:uid="{00000000-0005-0000-0000-000053320000}"/>
    <cellStyle name="60% - Énfasis5 16 4 2" xfId="12937" xr:uid="{00000000-0005-0000-0000-000054320000}"/>
    <cellStyle name="60% - Énfasis5 16 5" xfId="12938" xr:uid="{00000000-0005-0000-0000-000055320000}"/>
    <cellStyle name="60% - Énfasis5 16 6" xfId="12939" xr:uid="{00000000-0005-0000-0000-000056320000}"/>
    <cellStyle name="60% - Énfasis5 16 7" xfId="12940" xr:uid="{00000000-0005-0000-0000-000057320000}"/>
    <cellStyle name="60% - Énfasis5 16 8" xfId="12941" xr:uid="{00000000-0005-0000-0000-000058320000}"/>
    <cellStyle name="60% - Énfasis5 16 9" xfId="12942" xr:uid="{00000000-0005-0000-0000-000059320000}"/>
    <cellStyle name="60% - Énfasis5 17 10" xfId="12943" xr:uid="{00000000-0005-0000-0000-00005A320000}"/>
    <cellStyle name="60% - Énfasis5 17 11" xfId="12944" xr:uid="{00000000-0005-0000-0000-00005B320000}"/>
    <cellStyle name="60% - Énfasis5 17 12" xfId="12945" xr:uid="{00000000-0005-0000-0000-00005C320000}"/>
    <cellStyle name="60% - Énfasis5 17 13" xfId="12946" xr:uid="{00000000-0005-0000-0000-00005D320000}"/>
    <cellStyle name="60% - Énfasis5 17 14" xfId="12947" xr:uid="{00000000-0005-0000-0000-00005E320000}"/>
    <cellStyle name="60% - Énfasis5 17 15" xfId="12948" xr:uid="{00000000-0005-0000-0000-00005F320000}"/>
    <cellStyle name="60% - Énfasis5 17 16" xfId="12949" xr:uid="{00000000-0005-0000-0000-000060320000}"/>
    <cellStyle name="60% - Énfasis5 17 17" xfId="12950" xr:uid="{00000000-0005-0000-0000-000061320000}"/>
    <cellStyle name="60% - Énfasis5 17 18" xfId="12951" xr:uid="{00000000-0005-0000-0000-000062320000}"/>
    <cellStyle name="60% - Énfasis5 17 19" xfId="12952" xr:uid="{00000000-0005-0000-0000-000063320000}"/>
    <cellStyle name="60% - Énfasis5 17 2" xfId="12953" xr:uid="{00000000-0005-0000-0000-000064320000}"/>
    <cellStyle name="60% - Énfasis5 17 2 2" xfId="12954" xr:uid="{00000000-0005-0000-0000-000065320000}"/>
    <cellStyle name="60% - Énfasis5 17 3" xfId="12955" xr:uid="{00000000-0005-0000-0000-000066320000}"/>
    <cellStyle name="60% - Énfasis5 17 3 2" xfId="12956" xr:uid="{00000000-0005-0000-0000-000067320000}"/>
    <cellStyle name="60% - Énfasis5 17 4" xfId="12957" xr:uid="{00000000-0005-0000-0000-000068320000}"/>
    <cellStyle name="60% - Énfasis5 17 4 2" xfId="12958" xr:uid="{00000000-0005-0000-0000-000069320000}"/>
    <cellStyle name="60% - Énfasis5 17 5" xfId="12959" xr:uid="{00000000-0005-0000-0000-00006A320000}"/>
    <cellStyle name="60% - Énfasis5 17 6" xfId="12960" xr:uid="{00000000-0005-0000-0000-00006B320000}"/>
    <cellStyle name="60% - Énfasis5 17 7" xfId="12961" xr:uid="{00000000-0005-0000-0000-00006C320000}"/>
    <cellStyle name="60% - Énfasis5 17 8" xfId="12962" xr:uid="{00000000-0005-0000-0000-00006D320000}"/>
    <cellStyle name="60% - Énfasis5 17 9" xfId="12963" xr:uid="{00000000-0005-0000-0000-00006E320000}"/>
    <cellStyle name="60% - Énfasis5 18 10" xfId="12964" xr:uid="{00000000-0005-0000-0000-00006F320000}"/>
    <cellStyle name="60% - Énfasis5 18 11" xfId="12965" xr:uid="{00000000-0005-0000-0000-000070320000}"/>
    <cellStyle name="60% - Énfasis5 18 12" xfId="12966" xr:uid="{00000000-0005-0000-0000-000071320000}"/>
    <cellStyle name="60% - Énfasis5 18 13" xfId="12967" xr:uid="{00000000-0005-0000-0000-000072320000}"/>
    <cellStyle name="60% - Énfasis5 18 14" xfId="12968" xr:uid="{00000000-0005-0000-0000-000073320000}"/>
    <cellStyle name="60% - Énfasis5 18 15" xfId="12969" xr:uid="{00000000-0005-0000-0000-000074320000}"/>
    <cellStyle name="60% - Énfasis5 18 16" xfId="12970" xr:uid="{00000000-0005-0000-0000-000075320000}"/>
    <cellStyle name="60% - Énfasis5 18 17" xfId="12971" xr:uid="{00000000-0005-0000-0000-000076320000}"/>
    <cellStyle name="60% - Énfasis5 18 18" xfId="12972" xr:uid="{00000000-0005-0000-0000-000077320000}"/>
    <cellStyle name="60% - Énfasis5 18 19" xfId="12973" xr:uid="{00000000-0005-0000-0000-000078320000}"/>
    <cellStyle name="60% - Énfasis5 18 2" xfId="12974" xr:uid="{00000000-0005-0000-0000-000079320000}"/>
    <cellStyle name="60% - Énfasis5 18 2 2" xfId="12975" xr:uid="{00000000-0005-0000-0000-00007A320000}"/>
    <cellStyle name="60% - Énfasis5 18 3" xfId="12976" xr:uid="{00000000-0005-0000-0000-00007B320000}"/>
    <cellStyle name="60% - Énfasis5 18 3 2" xfId="12977" xr:uid="{00000000-0005-0000-0000-00007C320000}"/>
    <cellStyle name="60% - Énfasis5 18 4" xfId="12978" xr:uid="{00000000-0005-0000-0000-00007D320000}"/>
    <cellStyle name="60% - Énfasis5 18 4 2" xfId="12979" xr:uid="{00000000-0005-0000-0000-00007E320000}"/>
    <cellStyle name="60% - Énfasis5 18 5" xfId="12980" xr:uid="{00000000-0005-0000-0000-00007F320000}"/>
    <cellStyle name="60% - Énfasis5 18 6" xfId="12981" xr:uid="{00000000-0005-0000-0000-000080320000}"/>
    <cellStyle name="60% - Énfasis5 18 7" xfId="12982" xr:uid="{00000000-0005-0000-0000-000081320000}"/>
    <cellStyle name="60% - Énfasis5 18 8" xfId="12983" xr:uid="{00000000-0005-0000-0000-000082320000}"/>
    <cellStyle name="60% - Énfasis5 18 9" xfId="12984" xr:uid="{00000000-0005-0000-0000-000083320000}"/>
    <cellStyle name="60% - Énfasis5 19 10" xfId="12985" xr:uid="{00000000-0005-0000-0000-000084320000}"/>
    <cellStyle name="60% - Énfasis5 19 11" xfId="12986" xr:uid="{00000000-0005-0000-0000-000085320000}"/>
    <cellStyle name="60% - Énfasis5 19 12" xfId="12987" xr:uid="{00000000-0005-0000-0000-000086320000}"/>
    <cellStyle name="60% - Énfasis5 19 13" xfId="12988" xr:uid="{00000000-0005-0000-0000-000087320000}"/>
    <cellStyle name="60% - Énfasis5 19 14" xfId="12989" xr:uid="{00000000-0005-0000-0000-000088320000}"/>
    <cellStyle name="60% - Énfasis5 19 15" xfId="12990" xr:uid="{00000000-0005-0000-0000-000089320000}"/>
    <cellStyle name="60% - Énfasis5 19 16" xfId="12991" xr:uid="{00000000-0005-0000-0000-00008A320000}"/>
    <cellStyle name="60% - Énfasis5 19 17" xfId="12992" xr:uid="{00000000-0005-0000-0000-00008B320000}"/>
    <cellStyle name="60% - Énfasis5 19 18" xfId="12993" xr:uid="{00000000-0005-0000-0000-00008C320000}"/>
    <cellStyle name="60% - Énfasis5 19 19" xfId="12994" xr:uid="{00000000-0005-0000-0000-00008D320000}"/>
    <cellStyle name="60% - Énfasis5 19 2" xfId="12995" xr:uid="{00000000-0005-0000-0000-00008E320000}"/>
    <cellStyle name="60% - Énfasis5 19 2 2" xfId="12996" xr:uid="{00000000-0005-0000-0000-00008F320000}"/>
    <cellStyle name="60% - Énfasis5 19 3" xfId="12997" xr:uid="{00000000-0005-0000-0000-000090320000}"/>
    <cellStyle name="60% - Énfasis5 19 3 2" xfId="12998" xr:uid="{00000000-0005-0000-0000-000091320000}"/>
    <cellStyle name="60% - Énfasis5 19 4" xfId="12999" xr:uid="{00000000-0005-0000-0000-000092320000}"/>
    <cellStyle name="60% - Énfasis5 19 4 2" xfId="13000" xr:uid="{00000000-0005-0000-0000-000093320000}"/>
    <cellStyle name="60% - Énfasis5 19 5" xfId="13001" xr:uid="{00000000-0005-0000-0000-000094320000}"/>
    <cellStyle name="60% - Énfasis5 19 6" xfId="13002" xr:uid="{00000000-0005-0000-0000-000095320000}"/>
    <cellStyle name="60% - Énfasis5 19 7" xfId="13003" xr:uid="{00000000-0005-0000-0000-000096320000}"/>
    <cellStyle name="60% - Énfasis5 19 8" xfId="13004" xr:uid="{00000000-0005-0000-0000-000097320000}"/>
    <cellStyle name="60% - Énfasis5 19 9" xfId="13005" xr:uid="{00000000-0005-0000-0000-000098320000}"/>
    <cellStyle name="60% - Énfasis5 2 10" xfId="13006" xr:uid="{00000000-0005-0000-0000-000099320000}"/>
    <cellStyle name="60% - Énfasis5 2 11" xfId="13007" xr:uid="{00000000-0005-0000-0000-00009A320000}"/>
    <cellStyle name="60% - Énfasis5 2 12" xfId="13008" xr:uid="{00000000-0005-0000-0000-00009B320000}"/>
    <cellStyle name="60% - Énfasis5 2 13" xfId="13009" xr:uid="{00000000-0005-0000-0000-00009C320000}"/>
    <cellStyle name="60% - Énfasis5 2 14" xfId="13010" xr:uid="{00000000-0005-0000-0000-00009D320000}"/>
    <cellStyle name="60% - Énfasis5 2 15" xfId="13011" xr:uid="{00000000-0005-0000-0000-00009E320000}"/>
    <cellStyle name="60% - Énfasis5 2 16" xfId="13012" xr:uid="{00000000-0005-0000-0000-00009F320000}"/>
    <cellStyle name="60% - Énfasis5 2 17" xfId="13013" xr:uid="{00000000-0005-0000-0000-0000A0320000}"/>
    <cellStyle name="60% - Énfasis5 2 18" xfId="13014" xr:uid="{00000000-0005-0000-0000-0000A1320000}"/>
    <cellStyle name="60% - Énfasis5 2 19" xfId="13015" xr:uid="{00000000-0005-0000-0000-0000A2320000}"/>
    <cellStyle name="60% - Énfasis5 2 2" xfId="13016" xr:uid="{00000000-0005-0000-0000-0000A3320000}"/>
    <cellStyle name="60% - Énfasis5 2 2 2" xfId="13017" xr:uid="{00000000-0005-0000-0000-0000A4320000}"/>
    <cellStyle name="60% - Énfasis5 2 3" xfId="13018" xr:uid="{00000000-0005-0000-0000-0000A5320000}"/>
    <cellStyle name="60% - Énfasis5 2 3 2" xfId="13019" xr:uid="{00000000-0005-0000-0000-0000A6320000}"/>
    <cellStyle name="60% - Énfasis5 2 4" xfId="13020" xr:uid="{00000000-0005-0000-0000-0000A7320000}"/>
    <cellStyle name="60% - Énfasis5 2 4 2" xfId="13021" xr:uid="{00000000-0005-0000-0000-0000A8320000}"/>
    <cellStyle name="60% - Énfasis5 2 5" xfId="13022" xr:uid="{00000000-0005-0000-0000-0000A9320000}"/>
    <cellStyle name="60% - Énfasis5 2 6" xfId="13023" xr:uid="{00000000-0005-0000-0000-0000AA320000}"/>
    <cellStyle name="60% - Énfasis5 2 7" xfId="13024" xr:uid="{00000000-0005-0000-0000-0000AB320000}"/>
    <cellStyle name="60% - Énfasis5 2 8" xfId="13025" xr:uid="{00000000-0005-0000-0000-0000AC320000}"/>
    <cellStyle name="60% - Énfasis5 2 9" xfId="13026" xr:uid="{00000000-0005-0000-0000-0000AD320000}"/>
    <cellStyle name="60% - Énfasis5 20 10" xfId="13027" xr:uid="{00000000-0005-0000-0000-0000AE320000}"/>
    <cellStyle name="60% - Énfasis5 20 11" xfId="13028" xr:uid="{00000000-0005-0000-0000-0000AF320000}"/>
    <cellStyle name="60% - Énfasis5 20 12" xfId="13029" xr:uid="{00000000-0005-0000-0000-0000B0320000}"/>
    <cellStyle name="60% - Énfasis5 20 13" xfId="13030" xr:uid="{00000000-0005-0000-0000-0000B1320000}"/>
    <cellStyle name="60% - Énfasis5 20 14" xfId="13031" xr:uid="{00000000-0005-0000-0000-0000B2320000}"/>
    <cellStyle name="60% - Énfasis5 20 15" xfId="13032" xr:uid="{00000000-0005-0000-0000-0000B3320000}"/>
    <cellStyle name="60% - Énfasis5 20 16" xfId="13033" xr:uid="{00000000-0005-0000-0000-0000B4320000}"/>
    <cellStyle name="60% - Énfasis5 20 17" xfId="13034" xr:uid="{00000000-0005-0000-0000-0000B5320000}"/>
    <cellStyle name="60% - Énfasis5 20 18" xfId="13035" xr:uid="{00000000-0005-0000-0000-0000B6320000}"/>
    <cellStyle name="60% - Énfasis5 20 19" xfId="13036" xr:uid="{00000000-0005-0000-0000-0000B7320000}"/>
    <cellStyle name="60% - Énfasis5 20 2" xfId="13037" xr:uid="{00000000-0005-0000-0000-0000B8320000}"/>
    <cellStyle name="60% - Énfasis5 20 2 2" xfId="13038" xr:uid="{00000000-0005-0000-0000-0000B9320000}"/>
    <cellStyle name="60% - Énfasis5 20 3" xfId="13039" xr:uid="{00000000-0005-0000-0000-0000BA320000}"/>
    <cellStyle name="60% - Énfasis5 20 3 2" xfId="13040" xr:uid="{00000000-0005-0000-0000-0000BB320000}"/>
    <cellStyle name="60% - Énfasis5 20 4" xfId="13041" xr:uid="{00000000-0005-0000-0000-0000BC320000}"/>
    <cellStyle name="60% - Énfasis5 20 4 2" xfId="13042" xr:uid="{00000000-0005-0000-0000-0000BD320000}"/>
    <cellStyle name="60% - Énfasis5 20 5" xfId="13043" xr:uid="{00000000-0005-0000-0000-0000BE320000}"/>
    <cellStyle name="60% - Énfasis5 20 6" xfId="13044" xr:uid="{00000000-0005-0000-0000-0000BF320000}"/>
    <cellStyle name="60% - Énfasis5 20 7" xfId="13045" xr:uid="{00000000-0005-0000-0000-0000C0320000}"/>
    <cellStyle name="60% - Énfasis5 20 8" xfId="13046" xr:uid="{00000000-0005-0000-0000-0000C1320000}"/>
    <cellStyle name="60% - Énfasis5 20 9" xfId="13047" xr:uid="{00000000-0005-0000-0000-0000C2320000}"/>
    <cellStyle name="60% - Énfasis5 21 10" xfId="13048" xr:uid="{00000000-0005-0000-0000-0000C3320000}"/>
    <cellStyle name="60% - Énfasis5 21 11" xfId="13049" xr:uid="{00000000-0005-0000-0000-0000C4320000}"/>
    <cellStyle name="60% - Énfasis5 21 12" xfId="13050" xr:uid="{00000000-0005-0000-0000-0000C5320000}"/>
    <cellStyle name="60% - Énfasis5 21 13" xfId="13051" xr:uid="{00000000-0005-0000-0000-0000C6320000}"/>
    <cellStyle name="60% - Énfasis5 21 14" xfId="13052" xr:uid="{00000000-0005-0000-0000-0000C7320000}"/>
    <cellStyle name="60% - Énfasis5 21 15" xfId="13053" xr:uid="{00000000-0005-0000-0000-0000C8320000}"/>
    <cellStyle name="60% - Énfasis5 21 16" xfId="13054" xr:uid="{00000000-0005-0000-0000-0000C9320000}"/>
    <cellStyle name="60% - Énfasis5 21 17" xfId="13055" xr:uid="{00000000-0005-0000-0000-0000CA320000}"/>
    <cellStyle name="60% - Énfasis5 21 18" xfId="13056" xr:uid="{00000000-0005-0000-0000-0000CB320000}"/>
    <cellStyle name="60% - Énfasis5 21 19" xfId="13057" xr:uid="{00000000-0005-0000-0000-0000CC320000}"/>
    <cellStyle name="60% - Énfasis5 21 2" xfId="13058" xr:uid="{00000000-0005-0000-0000-0000CD320000}"/>
    <cellStyle name="60% - Énfasis5 21 2 2" xfId="13059" xr:uid="{00000000-0005-0000-0000-0000CE320000}"/>
    <cellStyle name="60% - Énfasis5 21 3" xfId="13060" xr:uid="{00000000-0005-0000-0000-0000CF320000}"/>
    <cellStyle name="60% - Énfasis5 21 3 2" xfId="13061" xr:uid="{00000000-0005-0000-0000-0000D0320000}"/>
    <cellStyle name="60% - Énfasis5 21 4" xfId="13062" xr:uid="{00000000-0005-0000-0000-0000D1320000}"/>
    <cellStyle name="60% - Énfasis5 21 4 2" xfId="13063" xr:uid="{00000000-0005-0000-0000-0000D2320000}"/>
    <cellStyle name="60% - Énfasis5 21 5" xfId="13064" xr:uid="{00000000-0005-0000-0000-0000D3320000}"/>
    <cellStyle name="60% - Énfasis5 21 6" xfId="13065" xr:uid="{00000000-0005-0000-0000-0000D4320000}"/>
    <cellStyle name="60% - Énfasis5 21 7" xfId="13066" xr:uid="{00000000-0005-0000-0000-0000D5320000}"/>
    <cellStyle name="60% - Énfasis5 21 8" xfId="13067" xr:uid="{00000000-0005-0000-0000-0000D6320000}"/>
    <cellStyle name="60% - Énfasis5 21 9" xfId="13068" xr:uid="{00000000-0005-0000-0000-0000D7320000}"/>
    <cellStyle name="60% - Énfasis5 22 10" xfId="13069" xr:uid="{00000000-0005-0000-0000-0000D8320000}"/>
    <cellStyle name="60% - Énfasis5 22 11" xfId="13070" xr:uid="{00000000-0005-0000-0000-0000D9320000}"/>
    <cellStyle name="60% - Énfasis5 22 12" xfId="13071" xr:uid="{00000000-0005-0000-0000-0000DA320000}"/>
    <cellStyle name="60% - Énfasis5 22 13" xfId="13072" xr:uid="{00000000-0005-0000-0000-0000DB320000}"/>
    <cellStyle name="60% - Énfasis5 22 14" xfId="13073" xr:uid="{00000000-0005-0000-0000-0000DC320000}"/>
    <cellStyle name="60% - Énfasis5 22 15" xfId="13074" xr:uid="{00000000-0005-0000-0000-0000DD320000}"/>
    <cellStyle name="60% - Énfasis5 22 16" xfId="13075" xr:uid="{00000000-0005-0000-0000-0000DE320000}"/>
    <cellStyle name="60% - Énfasis5 22 17" xfId="13076" xr:uid="{00000000-0005-0000-0000-0000DF320000}"/>
    <cellStyle name="60% - Énfasis5 22 18" xfId="13077" xr:uid="{00000000-0005-0000-0000-0000E0320000}"/>
    <cellStyle name="60% - Énfasis5 22 19" xfId="13078" xr:uid="{00000000-0005-0000-0000-0000E1320000}"/>
    <cellStyle name="60% - Énfasis5 22 2" xfId="13079" xr:uid="{00000000-0005-0000-0000-0000E2320000}"/>
    <cellStyle name="60% - Énfasis5 22 2 2" xfId="13080" xr:uid="{00000000-0005-0000-0000-0000E3320000}"/>
    <cellStyle name="60% - Énfasis5 22 3" xfId="13081" xr:uid="{00000000-0005-0000-0000-0000E4320000}"/>
    <cellStyle name="60% - Énfasis5 22 3 2" xfId="13082" xr:uid="{00000000-0005-0000-0000-0000E5320000}"/>
    <cellStyle name="60% - Énfasis5 22 4" xfId="13083" xr:uid="{00000000-0005-0000-0000-0000E6320000}"/>
    <cellStyle name="60% - Énfasis5 22 4 2" xfId="13084" xr:uid="{00000000-0005-0000-0000-0000E7320000}"/>
    <cellStyle name="60% - Énfasis5 22 5" xfId="13085" xr:uid="{00000000-0005-0000-0000-0000E8320000}"/>
    <cellStyle name="60% - Énfasis5 22 6" xfId="13086" xr:uid="{00000000-0005-0000-0000-0000E9320000}"/>
    <cellStyle name="60% - Énfasis5 22 7" xfId="13087" xr:uid="{00000000-0005-0000-0000-0000EA320000}"/>
    <cellStyle name="60% - Énfasis5 22 8" xfId="13088" xr:uid="{00000000-0005-0000-0000-0000EB320000}"/>
    <cellStyle name="60% - Énfasis5 22 9" xfId="13089" xr:uid="{00000000-0005-0000-0000-0000EC320000}"/>
    <cellStyle name="60% - Énfasis5 23 10" xfId="13090" xr:uid="{00000000-0005-0000-0000-0000ED320000}"/>
    <cellStyle name="60% - Énfasis5 23 11" xfId="13091" xr:uid="{00000000-0005-0000-0000-0000EE320000}"/>
    <cellStyle name="60% - Énfasis5 23 12" xfId="13092" xr:uid="{00000000-0005-0000-0000-0000EF320000}"/>
    <cellStyle name="60% - Énfasis5 23 13" xfId="13093" xr:uid="{00000000-0005-0000-0000-0000F0320000}"/>
    <cellStyle name="60% - Énfasis5 23 14" xfId="13094" xr:uid="{00000000-0005-0000-0000-0000F1320000}"/>
    <cellStyle name="60% - Énfasis5 23 15" xfId="13095" xr:uid="{00000000-0005-0000-0000-0000F2320000}"/>
    <cellStyle name="60% - Énfasis5 23 16" xfId="13096" xr:uid="{00000000-0005-0000-0000-0000F3320000}"/>
    <cellStyle name="60% - Énfasis5 23 17" xfId="13097" xr:uid="{00000000-0005-0000-0000-0000F4320000}"/>
    <cellStyle name="60% - Énfasis5 23 18" xfId="13098" xr:uid="{00000000-0005-0000-0000-0000F5320000}"/>
    <cellStyle name="60% - Énfasis5 23 19" xfId="13099" xr:uid="{00000000-0005-0000-0000-0000F6320000}"/>
    <cellStyle name="60% - Énfasis5 23 2" xfId="13100" xr:uid="{00000000-0005-0000-0000-0000F7320000}"/>
    <cellStyle name="60% - Énfasis5 23 2 2" xfId="13101" xr:uid="{00000000-0005-0000-0000-0000F8320000}"/>
    <cellStyle name="60% - Énfasis5 23 3" xfId="13102" xr:uid="{00000000-0005-0000-0000-0000F9320000}"/>
    <cellStyle name="60% - Énfasis5 23 3 2" xfId="13103" xr:uid="{00000000-0005-0000-0000-0000FA320000}"/>
    <cellStyle name="60% - Énfasis5 23 4" xfId="13104" xr:uid="{00000000-0005-0000-0000-0000FB320000}"/>
    <cellStyle name="60% - Énfasis5 23 4 2" xfId="13105" xr:uid="{00000000-0005-0000-0000-0000FC320000}"/>
    <cellStyle name="60% - Énfasis5 23 5" xfId="13106" xr:uid="{00000000-0005-0000-0000-0000FD320000}"/>
    <cellStyle name="60% - Énfasis5 23 6" xfId="13107" xr:uid="{00000000-0005-0000-0000-0000FE320000}"/>
    <cellStyle name="60% - Énfasis5 23 7" xfId="13108" xr:uid="{00000000-0005-0000-0000-0000FF320000}"/>
    <cellStyle name="60% - Énfasis5 23 8" xfId="13109" xr:uid="{00000000-0005-0000-0000-000000330000}"/>
    <cellStyle name="60% - Énfasis5 23 9" xfId="13110" xr:uid="{00000000-0005-0000-0000-000001330000}"/>
    <cellStyle name="60% - Énfasis5 24 10" xfId="13111" xr:uid="{00000000-0005-0000-0000-000002330000}"/>
    <cellStyle name="60% - Énfasis5 24 11" xfId="13112" xr:uid="{00000000-0005-0000-0000-000003330000}"/>
    <cellStyle name="60% - Énfasis5 24 12" xfId="13113" xr:uid="{00000000-0005-0000-0000-000004330000}"/>
    <cellStyle name="60% - Énfasis5 24 13" xfId="13114" xr:uid="{00000000-0005-0000-0000-000005330000}"/>
    <cellStyle name="60% - Énfasis5 24 14" xfId="13115" xr:uid="{00000000-0005-0000-0000-000006330000}"/>
    <cellStyle name="60% - Énfasis5 24 15" xfId="13116" xr:uid="{00000000-0005-0000-0000-000007330000}"/>
    <cellStyle name="60% - Énfasis5 24 16" xfId="13117" xr:uid="{00000000-0005-0000-0000-000008330000}"/>
    <cellStyle name="60% - Énfasis5 24 17" xfId="13118" xr:uid="{00000000-0005-0000-0000-000009330000}"/>
    <cellStyle name="60% - Énfasis5 24 18" xfId="13119" xr:uid="{00000000-0005-0000-0000-00000A330000}"/>
    <cellStyle name="60% - Énfasis5 24 19" xfId="13120" xr:uid="{00000000-0005-0000-0000-00000B330000}"/>
    <cellStyle name="60% - Énfasis5 24 2" xfId="13121" xr:uid="{00000000-0005-0000-0000-00000C330000}"/>
    <cellStyle name="60% - Énfasis5 24 2 2" xfId="13122" xr:uid="{00000000-0005-0000-0000-00000D330000}"/>
    <cellStyle name="60% - Énfasis5 24 3" xfId="13123" xr:uid="{00000000-0005-0000-0000-00000E330000}"/>
    <cellStyle name="60% - Énfasis5 24 3 2" xfId="13124" xr:uid="{00000000-0005-0000-0000-00000F330000}"/>
    <cellStyle name="60% - Énfasis5 24 4" xfId="13125" xr:uid="{00000000-0005-0000-0000-000010330000}"/>
    <cellStyle name="60% - Énfasis5 24 4 2" xfId="13126" xr:uid="{00000000-0005-0000-0000-000011330000}"/>
    <cellStyle name="60% - Énfasis5 24 5" xfId="13127" xr:uid="{00000000-0005-0000-0000-000012330000}"/>
    <cellStyle name="60% - Énfasis5 24 6" xfId="13128" xr:uid="{00000000-0005-0000-0000-000013330000}"/>
    <cellStyle name="60% - Énfasis5 24 7" xfId="13129" xr:uid="{00000000-0005-0000-0000-000014330000}"/>
    <cellStyle name="60% - Énfasis5 24 8" xfId="13130" xr:uid="{00000000-0005-0000-0000-000015330000}"/>
    <cellStyle name="60% - Énfasis5 24 9" xfId="13131" xr:uid="{00000000-0005-0000-0000-000016330000}"/>
    <cellStyle name="60% - Énfasis5 25 10" xfId="13132" xr:uid="{00000000-0005-0000-0000-000017330000}"/>
    <cellStyle name="60% - Énfasis5 25 11" xfId="13133" xr:uid="{00000000-0005-0000-0000-000018330000}"/>
    <cellStyle name="60% - Énfasis5 25 12" xfId="13134" xr:uid="{00000000-0005-0000-0000-000019330000}"/>
    <cellStyle name="60% - Énfasis5 25 13" xfId="13135" xr:uid="{00000000-0005-0000-0000-00001A330000}"/>
    <cellStyle name="60% - Énfasis5 25 14" xfId="13136" xr:uid="{00000000-0005-0000-0000-00001B330000}"/>
    <cellStyle name="60% - Énfasis5 25 15" xfId="13137" xr:uid="{00000000-0005-0000-0000-00001C330000}"/>
    <cellStyle name="60% - Énfasis5 25 16" xfId="13138" xr:uid="{00000000-0005-0000-0000-00001D330000}"/>
    <cellStyle name="60% - Énfasis5 25 17" xfId="13139" xr:uid="{00000000-0005-0000-0000-00001E330000}"/>
    <cellStyle name="60% - Énfasis5 25 18" xfId="13140" xr:uid="{00000000-0005-0000-0000-00001F330000}"/>
    <cellStyle name="60% - Énfasis5 25 19" xfId="13141" xr:uid="{00000000-0005-0000-0000-000020330000}"/>
    <cellStyle name="60% - Énfasis5 25 2" xfId="13142" xr:uid="{00000000-0005-0000-0000-000021330000}"/>
    <cellStyle name="60% - Énfasis5 25 2 2" xfId="13143" xr:uid="{00000000-0005-0000-0000-000022330000}"/>
    <cellStyle name="60% - Énfasis5 25 3" xfId="13144" xr:uid="{00000000-0005-0000-0000-000023330000}"/>
    <cellStyle name="60% - Énfasis5 25 3 2" xfId="13145" xr:uid="{00000000-0005-0000-0000-000024330000}"/>
    <cellStyle name="60% - Énfasis5 25 4" xfId="13146" xr:uid="{00000000-0005-0000-0000-000025330000}"/>
    <cellStyle name="60% - Énfasis5 25 4 2" xfId="13147" xr:uid="{00000000-0005-0000-0000-000026330000}"/>
    <cellStyle name="60% - Énfasis5 25 5" xfId="13148" xr:uid="{00000000-0005-0000-0000-000027330000}"/>
    <cellStyle name="60% - Énfasis5 25 6" xfId="13149" xr:uid="{00000000-0005-0000-0000-000028330000}"/>
    <cellStyle name="60% - Énfasis5 25 7" xfId="13150" xr:uid="{00000000-0005-0000-0000-000029330000}"/>
    <cellStyle name="60% - Énfasis5 25 8" xfId="13151" xr:uid="{00000000-0005-0000-0000-00002A330000}"/>
    <cellStyle name="60% - Énfasis5 25 9" xfId="13152" xr:uid="{00000000-0005-0000-0000-00002B330000}"/>
    <cellStyle name="60% - Énfasis5 26 10" xfId="13153" xr:uid="{00000000-0005-0000-0000-00002C330000}"/>
    <cellStyle name="60% - Énfasis5 26 11" xfId="13154" xr:uid="{00000000-0005-0000-0000-00002D330000}"/>
    <cellStyle name="60% - Énfasis5 26 12" xfId="13155" xr:uid="{00000000-0005-0000-0000-00002E330000}"/>
    <cellStyle name="60% - Énfasis5 26 13" xfId="13156" xr:uid="{00000000-0005-0000-0000-00002F330000}"/>
    <cellStyle name="60% - Énfasis5 26 14" xfId="13157" xr:uid="{00000000-0005-0000-0000-000030330000}"/>
    <cellStyle name="60% - Énfasis5 26 15" xfId="13158" xr:uid="{00000000-0005-0000-0000-000031330000}"/>
    <cellStyle name="60% - Énfasis5 26 16" xfId="13159" xr:uid="{00000000-0005-0000-0000-000032330000}"/>
    <cellStyle name="60% - Énfasis5 26 17" xfId="13160" xr:uid="{00000000-0005-0000-0000-000033330000}"/>
    <cellStyle name="60% - Énfasis5 26 18" xfId="13161" xr:uid="{00000000-0005-0000-0000-000034330000}"/>
    <cellStyle name="60% - Énfasis5 26 19" xfId="13162" xr:uid="{00000000-0005-0000-0000-000035330000}"/>
    <cellStyle name="60% - Énfasis5 26 2" xfId="13163" xr:uid="{00000000-0005-0000-0000-000036330000}"/>
    <cellStyle name="60% - Énfasis5 26 2 2" xfId="13164" xr:uid="{00000000-0005-0000-0000-000037330000}"/>
    <cellStyle name="60% - Énfasis5 26 3" xfId="13165" xr:uid="{00000000-0005-0000-0000-000038330000}"/>
    <cellStyle name="60% - Énfasis5 26 3 2" xfId="13166" xr:uid="{00000000-0005-0000-0000-000039330000}"/>
    <cellStyle name="60% - Énfasis5 26 4" xfId="13167" xr:uid="{00000000-0005-0000-0000-00003A330000}"/>
    <cellStyle name="60% - Énfasis5 26 4 2" xfId="13168" xr:uid="{00000000-0005-0000-0000-00003B330000}"/>
    <cellStyle name="60% - Énfasis5 26 5" xfId="13169" xr:uid="{00000000-0005-0000-0000-00003C330000}"/>
    <cellStyle name="60% - Énfasis5 26 6" xfId="13170" xr:uid="{00000000-0005-0000-0000-00003D330000}"/>
    <cellStyle name="60% - Énfasis5 26 7" xfId="13171" xr:uid="{00000000-0005-0000-0000-00003E330000}"/>
    <cellStyle name="60% - Énfasis5 26 8" xfId="13172" xr:uid="{00000000-0005-0000-0000-00003F330000}"/>
    <cellStyle name="60% - Énfasis5 26 9" xfId="13173" xr:uid="{00000000-0005-0000-0000-000040330000}"/>
    <cellStyle name="60% - Énfasis5 27 10" xfId="13174" xr:uid="{00000000-0005-0000-0000-000041330000}"/>
    <cellStyle name="60% - Énfasis5 27 11" xfId="13175" xr:uid="{00000000-0005-0000-0000-000042330000}"/>
    <cellStyle name="60% - Énfasis5 27 12" xfId="13176" xr:uid="{00000000-0005-0000-0000-000043330000}"/>
    <cellStyle name="60% - Énfasis5 27 13" xfId="13177" xr:uid="{00000000-0005-0000-0000-000044330000}"/>
    <cellStyle name="60% - Énfasis5 27 14" xfId="13178" xr:uid="{00000000-0005-0000-0000-000045330000}"/>
    <cellStyle name="60% - Énfasis5 27 15" xfId="13179" xr:uid="{00000000-0005-0000-0000-000046330000}"/>
    <cellStyle name="60% - Énfasis5 27 16" xfId="13180" xr:uid="{00000000-0005-0000-0000-000047330000}"/>
    <cellStyle name="60% - Énfasis5 27 17" xfId="13181" xr:uid="{00000000-0005-0000-0000-000048330000}"/>
    <cellStyle name="60% - Énfasis5 27 18" xfId="13182" xr:uid="{00000000-0005-0000-0000-000049330000}"/>
    <cellStyle name="60% - Énfasis5 27 19" xfId="13183" xr:uid="{00000000-0005-0000-0000-00004A330000}"/>
    <cellStyle name="60% - Énfasis5 27 2" xfId="13184" xr:uid="{00000000-0005-0000-0000-00004B330000}"/>
    <cellStyle name="60% - Énfasis5 27 2 2" xfId="13185" xr:uid="{00000000-0005-0000-0000-00004C330000}"/>
    <cellStyle name="60% - Énfasis5 27 3" xfId="13186" xr:uid="{00000000-0005-0000-0000-00004D330000}"/>
    <cellStyle name="60% - Énfasis5 27 3 2" xfId="13187" xr:uid="{00000000-0005-0000-0000-00004E330000}"/>
    <cellStyle name="60% - Énfasis5 27 4" xfId="13188" xr:uid="{00000000-0005-0000-0000-00004F330000}"/>
    <cellStyle name="60% - Énfasis5 27 4 2" xfId="13189" xr:uid="{00000000-0005-0000-0000-000050330000}"/>
    <cellStyle name="60% - Énfasis5 27 5" xfId="13190" xr:uid="{00000000-0005-0000-0000-000051330000}"/>
    <cellStyle name="60% - Énfasis5 27 6" xfId="13191" xr:uid="{00000000-0005-0000-0000-000052330000}"/>
    <cellStyle name="60% - Énfasis5 27 7" xfId="13192" xr:uid="{00000000-0005-0000-0000-000053330000}"/>
    <cellStyle name="60% - Énfasis5 27 8" xfId="13193" xr:uid="{00000000-0005-0000-0000-000054330000}"/>
    <cellStyle name="60% - Énfasis5 27 9" xfId="13194" xr:uid="{00000000-0005-0000-0000-000055330000}"/>
    <cellStyle name="60% - Énfasis5 28 10" xfId="13195" xr:uid="{00000000-0005-0000-0000-000056330000}"/>
    <cellStyle name="60% - Énfasis5 28 11" xfId="13196" xr:uid="{00000000-0005-0000-0000-000057330000}"/>
    <cellStyle name="60% - Énfasis5 28 12" xfId="13197" xr:uid="{00000000-0005-0000-0000-000058330000}"/>
    <cellStyle name="60% - Énfasis5 28 13" xfId="13198" xr:uid="{00000000-0005-0000-0000-000059330000}"/>
    <cellStyle name="60% - Énfasis5 28 14" xfId="13199" xr:uid="{00000000-0005-0000-0000-00005A330000}"/>
    <cellStyle name="60% - Énfasis5 28 15" xfId="13200" xr:uid="{00000000-0005-0000-0000-00005B330000}"/>
    <cellStyle name="60% - Énfasis5 28 16" xfId="13201" xr:uid="{00000000-0005-0000-0000-00005C330000}"/>
    <cellStyle name="60% - Énfasis5 28 17" xfId="13202" xr:uid="{00000000-0005-0000-0000-00005D330000}"/>
    <cellStyle name="60% - Énfasis5 28 18" xfId="13203" xr:uid="{00000000-0005-0000-0000-00005E330000}"/>
    <cellStyle name="60% - Énfasis5 28 19" xfId="13204" xr:uid="{00000000-0005-0000-0000-00005F330000}"/>
    <cellStyle name="60% - Énfasis5 28 2" xfId="13205" xr:uid="{00000000-0005-0000-0000-000060330000}"/>
    <cellStyle name="60% - Énfasis5 28 2 2" xfId="13206" xr:uid="{00000000-0005-0000-0000-000061330000}"/>
    <cellStyle name="60% - Énfasis5 28 3" xfId="13207" xr:uid="{00000000-0005-0000-0000-000062330000}"/>
    <cellStyle name="60% - Énfasis5 28 3 2" xfId="13208" xr:uid="{00000000-0005-0000-0000-000063330000}"/>
    <cellStyle name="60% - Énfasis5 28 4" xfId="13209" xr:uid="{00000000-0005-0000-0000-000064330000}"/>
    <cellStyle name="60% - Énfasis5 28 4 2" xfId="13210" xr:uid="{00000000-0005-0000-0000-000065330000}"/>
    <cellStyle name="60% - Énfasis5 28 5" xfId="13211" xr:uid="{00000000-0005-0000-0000-000066330000}"/>
    <cellStyle name="60% - Énfasis5 28 6" xfId="13212" xr:uid="{00000000-0005-0000-0000-000067330000}"/>
    <cellStyle name="60% - Énfasis5 28 7" xfId="13213" xr:uid="{00000000-0005-0000-0000-000068330000}"/>
    <cellStyle name="60% - Énfasis5 28 8" xfId="13214" xr:uid="{00000000-0005-0000-0000-000069330000}"/>
    <cellStyle name="60% - Énfasis5 28 9" xfId="13215" xr:uid="{00000000-0005-0000-0000-00006A330000}"/>
    <cellStyle name="60% - Énfasis5 29 10" xfId="13216" xr:uid="{00000000-0005-0000-0000-00006B330000}"/>
    <cellStyle name="60% - Énfasis5 29 11" xfId="13217" xr:uid="{00000000-0005-0000-0000-00006C330000}"/>
    <cellStyle name="60% - Énfasis5 29 12" xfId="13218" xr:uid="{00000000-0005-0000-0000-00006D330000}"/>
    <cellStyle name="60% - Énfasis5 29 13" xfId="13219" xr:uid="{00000000-0005-0000-0000-00006E330000}"/>
    <cellStyle name="60% - Énfasis5 29 14" xfId="13220" xr:uid="{00000000-0005-0000-0000-00006F330000}"/>
    <cellStyle name="60% - Énfasis5 29 15" xfId="13221" xr:uid="{00000000-0005-0000-0000-000070330000}"/>
    <cellStyle name="60% - Énfasis5 29 16" xfId="13222" xr:uid="{00000000-0005-0000-0000-000071330000}"/>
    <cellStyle name="60% - Énfasis5 29 17" xfId="13223" xr:uid="{00000000-0005-0000-0000-000072330000}"/>
    <cellStyle name="60% - Énfasis5 29 18" xfId="13224" xr:uid="{00000000-0005-0000-0000-000073330000}"/>
    <cellStyle name="60% - Énfasis5 29 19" xfId="13225" xr:uid="{00000000-0005-0000-0000-000074330000}"/>
    <cellStyle name="60% - Énfasis5 29 2" xfId="13226" xr:uid="{00000000-0005-0000-0000-000075330000}"/>
    <cellStyle name="60% - Énfasis5 29 2 2" xfId="13227" xr:uid="{00000000-0005-0000-0000-000076330000}"/>
    <cellStyle name="60% - Énfasis5 29 3" xfId="13228" xr:uid="{00000000-0005-0000-0000-000077330000}"/>
    <cellStyle name="60% - Énfasis5 29 3 2" xfId="13229" xr:uid="{00000000-0005-0000-0000-000078330000}"/>
    <cellStyle name="60% - Énfasis5 29 4" xfId="13230" xr:uid="{00000000-0005-0000-0000-000079330000}"/>
    <cellStyle name="60% - Énfasis5 29 4 2" xfId="13231" xr:uid="{00000000-0005-0000-0000-00007A330000}"/>
    <cellStyle name="60% - Énfasis5 29 5" xfId="13232" xr:uid="{00000000-0005-0000-0000-00007B330000}"/>
    <cellStyle name="60% - Énfasis5 29 6" xfId="13233" xr:uid="{00000000-0005-0000-0000-00007C330000}"/>
    <cellStyle name="60% - Énfasis5 29 7" xfId="13234" xr:uid="{00000000-0005-0000-0000-00007D330000}"/>
    <cellStyle name="60% - Énfasis5 29 8" xfId="13235" xr:uid="{00000000-0005-0000-0000-00007E330000}"/>
    <cellStyle name="60% - Énfasis5 29 9" xfId="13236" xr:uid="{00000000-0005-0000-0000-00007F330000}"/>
    <cellStyle name="60% - Énfasis5 3 10" xfId="13237" xr:uid="{00000000-0005-0000-0000-000080330000}"/>
    <cellStyle name="60% - Énfasis5 3 11" xfId="13238" xr:uid="{00000000-0005-0000-0000-000081330000}"/>
    <cellStyle name="60% - Énfasis5 3 12" xfId="13239" xr:uid="{00000000-0005-0000-0000-000082330000}"/>
    <cellStyle name="60% - Énfasis5 3 13" xfId="13240" xr:uid="{00000000-0005-0000-0000-000083330000}"/>
    <cellStyle name="60% - Énfasis5 3 14" xfId="13241" xr:uid="{00000000-0005-0000-0000-000084330000}"/>
    <cellStyle name="60% - Énfasis5 3 15" xfId="13242" xr:uid="{00000000-0005-0000-0000-000085330000}"/>
    <cellStyle name="60% - Énfasis5 3 16" xfId="13243" xr:uid="{00000000-0005-0000-0000-000086330000}"/>
    <cellStyle name="60% - Énfasis5 3 17" xfId="13244" xr:uid="{00000000-0005-0000-0000-000087330000}"/>
    <cellStyle name="60% - Énfasis5 3 18" xfId="13245" xr:uid="{00000000-0005-0000-0000-000088330000}"/>
    <cellStyle name="60% - Énfasis5 3 19" xfId="13246" xr:uid="{00000000-0005-0000-0000-000089330000}"/>
    <cellStyle name="60% - Énfasis5 3 2" xfId="13247" xr:uid="{00000000-0005-0000-0000-00008A330000}"/>
    <cellStyle name="60% - Énfasis5 3 2 2" xfId="13248" xr:uid="{00000000-0005-0000-0000-00008B330000}"/>
    <cellStyle name="60% - Énfasis5 3 3" xfId="13249" xr:uid="{00000000-0005-0000-0000-00008C330000}"/>
    <cellStyle name="60% - Énfasis5 3 3 2" xfId="13250" xr:uid="{00000000-0005-0000-0000-00008D330000}"/>
    <cellStyle name="60% - Énfasis5 3 4" xfId="13251" xr:uid="{00000000-0005-0000-0000-00008E330000}"/>
    <cellStyle name="60% - Énfasis5 3 4 2" xfId="13252" xr:uid="{00000000-0005-0000-0000-00008F330000}"/>
    <cellStyle name="60% - Énfasis5 3 5" xfId="13253" xr:uid="{00000000-0005-0000-0000-000090330000}"/>
    <cellStyle name="60% - Énfasis5 3 6" xfId="13254" xr:uid="{00000000-0005-0000-0000-000091330000}"/>
    <cellStyle name="60% - Énfasis5 3 7" xfId="13255" xr:uid="{00000000-0005-0000-0000-000092330000}"/>
    <cellStyle name="60% - Énfasis5 3 8" xfId="13256" xr:uid="{00000000-0005-0000-0000-000093330000}"/>
    <cellStyle name="60% - Énfasis5 3 9" xfId="13257" xr:uid="{00000000-0005-0000-0000-000094330000}"/>
    <cellStyle name="60% - Énfasis5 30 10" xfId="13258" xr:uid="{00000000-0005-0000-0000-000095330000}"/>
    <cellStyle name="60% - Énfasis5 30 11" xfId="13259" xr:uid="{00000000-0005-0000-0000-000096330000}"/>
    <cellStyle name="60% - Énfasis5 30 12" xfId="13260" xr:uid="{00000000-0005-0000-0000-000097330000}"/>
    <cellStyle name="60% - Énfasis5 30 13" xfId="13261" xr:uid="{00000000-0005-0000-0000-000098330000}"/>
    <cellStyle name="60% - Énfasis5 30 14" xfId="13262" xr:uid="{00000000-0005-0000-0000-000099330000}"/>
    <cellStyle name="60% - Énfasis5 30 15" xfId="13263" xr:uid="{00000000-0005-0000-0000-00009A330000}"/>
    <cellStyle name="60% - Énfasis5 30 16" xfId="13264" xr:uid="{00000000-0005-0000-0000-00009B330000}"/>
    <cellStyle name="60% - Énfasis5 30 17" xfId="13265" xr:uid="{00000000-0005-0000-0000-00009C330000}"/>
    <cellStyle name="60% - Énfasis5 30 18" xfId="13266" xr:uid="{00000000-0005-0000-0000-00009D330000}"/>
    <cellStyle name="60% - Énfasis5 30 19" xfId="13267" xr:uid="{00000000-0005-0000-0000-00009E330000}"/>
    <cellStyle name="60% - Énfasis5 30 2" xfId="13268" xr:uid="{00000000-0005-0000-0000-00009F330000}"/>
    <cellStyle name="60% - Énfasis5 30 2 2" xfId="13269" xr:uid="{00000000-0005-0000-0000-0000A0330000}"/>
    <cellStyle name="60% - Énfasis5 30 3" xfId="13270" xr:uid="{00000000-0005-0000-0000-0000A1330000}"/>
    <cellStyle name="60% - Énfasis5 30 3 2" xfId="13271" xr:uid="{00000000-0005-0000-0000-0000A2330000}"/>
    <cellStyle name="60% - Énfasis5 30 4" xfId="13272" xr:uid="{00000000-0005-0000-0000-0000A3330000}"/>
    <cellStyle name="60% - Énfasis5 30 4 2" xfId="13273" xr:uid="{00000000-0005-0000-0000-0000A4330000}"/>
    <cellStyle name="60% - Énfasis5 30 5" xfId="13274" xr:uid="{00000000-0005-0000-0000-0000A5330000}"/>
    <cellStyle name="60% - Énfasis5 30 6" xfId="13275" xr:uid="{00000000-0005-0000-0000-0000A6330000}"/>
    <cellStyle name="60% - Énfasis5 30 7" xfId="13276" xr:uid="{00000000-0005-0000-0000-0000A7330000}"/>
    <cellStyle name="60% - Énfasis5 30 8" xfId="13277" xr:uid="{00000000-0005-0000-0000-0000A8330000}"/>
    <cellStyle name="60% - Énfasis5 30 9" xfId="13278" xr:uid="{00000000-0005-0000-0000-0000A9330000}"/>
    <cellStyle name="60% - Énfasis5 31 10" xfId="13279" xr:uid="{00000000-0005-0000-0000-0000AA330000}"/>
    <cellStyle name="60% - Énfasis5 31 11" xfId="13280" xr:uid="{00000000-0005-0000-0000-0000AB330000}"/>
    <cellStyle name="60% - Énfasis5 31 12" xfId="13281" xr:uid="{00000000-0005-0000-0000-0000AC330000}"/>
    <cellStyle name="60% - Énfasis5 31 13" xfId="13282" xr:uid="{00000000-0005-0000-0000-0000AD330000}"/>
    <cellStyle name="60% - Énfasis5 31 14" xfId="13283" xr:uid="{00000000-0005-0000-0000-0000AE330000}"/>
    <cellStyle name="60% - Énfasis5 31 15" xfId="13284" xr:uid="{00000000-0005-0000-0000-0000AF330000}"/>
    <cellStyle name="60% - Énfasis5 31 16" xfId="13285" xr:uid="{00000000-0005-0000-0000-0000B0330000}"/>
    <cellStyle name="60% - Énfasis5 31 17" xfId="13286" xr:uid="{00000000-0005-0000-0000-0000B1330000}"/>
    <cellStyle name="60% - Énfasis5 31 18" xfId="13287" xr:uid="{00000000-0005-0000-0000-0000B2330000}"/>
    <cellStyle name="60% - Énfasis5 31 19" xfId="13288" xr:uid="{00000000-0005-0000-0000-0000B3330000}"/>
    <cellStyle name="60% - Énfasis5 31 2" xfId="13289" xr:uid="{00000000-0005-0000-0000-0000B4330000}"/>
    <cellStyle name="60% - Énfasis5 31 2 2" xfId="13290" xr:uid="{00000000-0005-0000-0000-0000B5330000}"/>
    <cellStyle name="60% - Énfasis5 31 3" xfId="13291" xr:uid="{00000000-0005-0000-0000-0000B6330000}"/>
    <cellStyle name="60% - Énfasis5 31 3 2" xfId="13292" xr:uid="{00000000-0005-0000-0000-0000B7330000}"/>
    <cellStyle name="60% - Énfasis5 31 4" xfId="13293" xr:uid="{00000000-0005-0000-0000-0000B8330000}"/>
    <cellStyle name="60% - Énfasis5 31 4 2" xfId="13294" xr:uid="{00000000-0005-0000-0000-0000B9330000}"/>
    <cellStyle name="60% - Énfasis5 31 5" xfId="13295" xr:uid="{00000000-0005-0000-0000-0000BA330000}"/>
    <cellStyle name="60% - Énfasis5 31 6" xfId="13296" xr:uid="{00000000-0005-0000-0000-0000BB330000}"/>
    <cellStyle name="60% - Énfasis5 31 7" xfId="13297" xr:uid="{00000000-0005-0000-0000-0000BC330000}"/>
    <cellStyle name="60% - Énfasis5 31 8" xfId="13298" xr:uid="{00000000-0005-0000-0000-0000BD330000}"/>
    <cellStyle name="60% - Énfasis5 31 9" xfId="13299" xr:uid="{00000000-0005-0000-0000-0000BE330000}"/>
    <cellStyle name="60% - Énfasis5 32 10" xfId="13300" xr:uid="{00000000-0005-0000-0000-0000BF330000}"/>
    <cellStyle name="60% - Énfasis5 32 11" xfId="13301" xr:uid="{00000000-0005-0000-0000-0000C0330000}"/>
    <cellStyle name="60% - Énfasis5 32 12" xfId="13302" xr:uid="{00000000-0005-0000-0000-0000C1330000}"/>
    <cellStyle name="60% - Énfasis5 32 13" xfId="13303" xr:uid="{00000000-0005-0000-0000-0000C2330000}"/>
    <cellStyle name="60% - Énfasis5 32 14" xfId="13304" xr:uid="{00000000-0005-0000-0000-0000C3330000}"/>
    <cellStyle name="60% - Énfasis5 32 15" xfId="13305" xr:uid="{00000000-0005-0000-0000-0000C4330000}"/>
    <cellStyle name="60% - Énfasis5 32 16" xfId="13306" xr:uid="{00000000-0005-0000-0000-0000C5330000}"/>
    <cellStyle name="60% - Énfasis5 32 17" xfId="13307" xr:uid="{00000000-0005-0000-0000-0000C6330000}"/>
    <cellStyle name="60% - Énfasis5 32 18" xfId="13308" xr:uid="{00000000-0005-0000-0000-0000C7330000}"/>
    <cellStyle name="60% - Énfasis5 32 19" xfId="13309" xr:uid="{00000000-0005-0000-0000-0000C8330000}"/>
    <cellStyle name="60% - Énfasis5 32 2" xfId="13310" xr:uid="{00000000-0005-0000-0000-0000C9330000}"/>
    <cellStyle name="60% - Énfasis5 32 2 2" xfId="13311" xr:uid="{00000000-0005-0000-0000-0000CA330000}"/>
    <cellStyle name="60% - Énfasis5 32 3" xfId="13312" xr:uid="{00000000-0005-0000-0000-0000CB330000}"/>
    <cellStyle name="60% - Énfasis5 32 3 2" xfId="13313" xr:uid="{00000000-0005-0000-0000-0000CC330000}"/>
    <cellStyle name="60% - Énfasis5 32 4" xfId="13314" xr:uid="{00000000-0005-0000-0000-0000CD330000}"/>
    <cellStyle name="60% - Énfasis5 32 4 2" xfId="13315" xr:uid="{00000000-0005-0000-0000-0000CE330000}"/>
    <cellStyle name="60% - Énfasis5 32 5" xfId="13316" xr:uid="{00000000-0005-0000-0000-0000CF330000}"/>
    <cellStyle name="60% - Énfasis5 32 6" xfId="13317" xr:uid="{00000000-0005-0000-0000-0000D0330000}"/>
    <cellStyle name="60% - Énfasis5 32 7" xfId="13318" xr:uid="{00000000-0005-0000-0000-0000D1330000}"/>
    <cellStyle name="60% - Énfasis5 32 8" xfId="13319" xr:uid="{00000000-0005-0000-0000-0000D2330000}"/>
    <cellStyle name="60% - Énfasis5 32 9" xfId="13320" xr:uid="{00000000-0005-0000-0000-0000D3330000}"/>
    <cellStyle name="60% - Énfasis5 33 10" xfId="13321" xr:uid="{00000000-0005-0000-0000-0000D4330000}"/>
    <cellStyle name="60% - Énfasis5 33 11" xfId="13322" xr:uid="{00000000-0005-0000-0000-0000D5330000}"/>
    <cellStyle name="60% - Énfasis5 33 12" xfId="13323" xr:uid="{00000000-0005-0000-0000-0000D6330000}"/>
    <cellStyle name="60% - Énfasis5 33 13" xfId="13324" xr:uid="{00000000-0005-0000-0000-0000D7330000}"/>
    <cellStyle name="60% - Énfasis5 33 14" xfId="13325" xr:uid="{00000000-0005-0000-0000-0000D8330000}"/>
    <cellStyle name="60% - Énfasis5 33 15" xfId="13326" xr:uid="{00000000-0005-0000-0000-0000D9330000}"/>
    <cellStyle name="60% - Énfasis5 33 16" xfId="13327" xr:uid="{00000000-0005-0000-0000-0000DA330000}"/>
    <cellStyle name="60% - Énfasis5 33 17" xfId="13328" xr:uid="{00000000-0005-0000-0000-0000DB330000}"/>
    <cellStyle name="60% - Énfasis5 33 18" xfId="13329" xr:uid="{00000000-0005-0000-0000-0000DC330000}"/>
    <cellStyle name="60% - Énfasis5 33 19" xfId="13330" xr:uid="{00000000-0005-0000-0000-0000DD330000}"/>
    <cellStyle name="60% - Énfasis5 33 2" xfId="13331" xr:uid="{00000000-0005-0000-0000-0000DE330000}"/>
    <cellStyle name="60% - Énfasis5 33 2 2" xfId="13332" xr:uid="{00000000-0005-0000-0000-0000DF330000}"/>
    <cellStyle name="60% - Énfasis5 33 3" xfId="13333" xr:uid="{00000000-0005-0000-0000-0000E0330000}"/>
    <cellStyle name="60% - Énfasis5 33 3 2" xfId="13334" xr:uid="{00000000-0005-0000-0000-0000E1330000}"/>
    <cellStyle name="60% - Énfasis5 33 4" xfId="13335" xr:uid="{00000000-0005-0000-0000-0000E2330000}"/>
    <cellStyle name="60% - Énfasis5 33 4 2" xfId="13336" xr:uid="{00000000-0005-0000-0000-0000E3330000}"/>
    <cellStyle name="60% - Énfasis5 33 5" xfId="13337" xr:uid="{00000000-0005-0000-0000-0000E4330000}"/>
    <cellStyle name="60% - Énfasis5 33 6" xfId="13338" xr:uid="{00000000-0005-0000-0000-0000E5330000}"/>
    <cellStyle name="60% - Énfasis5 33 7" xfId="13339" xr:uid="{00000000-0005-0000-0000-0000E6330000}"/>
    <cellStyle name="60% - Énfasis5 33 8" xfId="13340" xr:uid="{00000000-0005-0000-0000-0000E7330000}"/>
    <cellStyle name="60% - Énfasis5 33 9" xfId="13341" xr:uid="{00000000-0005-0000-0000-0000E8330000}"/>
    <cellStyle name="60% - Énfasis5 34 10" xfId="13342" xr:uid="{00000000-0005-0000-0000-0000E9330000}"/>
    <cellStyle name="60% - Énfasis5 34 11" xfId="13343" xr:uid="{00000000-0005-0000-0000-0000EA330000}"/>
    <cellStyle name="60% - Énfasis5 34 12" xfId="13344" xr:uid="{00000000-0005-0000-0000-0000EB330000}"/>
    <cellStyle name="60% - Énfasis5 34 13" xfId="13345" xr:uid="{00000000-0005-0000-0000-0000EC330000}"/>
    <cellStyle name="60% - Énfasis5 34 14" xfId="13346" xr:uid="{00000000-0005-0000-0000-0000ED330000}"/>
    <cellStyle name="60% - Énfasis5 34 15" xfId="13347" xr:uid="{00000000-0005-0000-0000-0000EE330000}"/>
    <cellStyle name="60% - Énfasis5 34 16" xfId="13348" xr:uid="{00000000-0005-0000-0000-0000EF330000}"/>
    <cellStyle name="60% - Énfasis5 34 17" xfId="13349" xr:uid="{00000000-0005-0000-0000-0000F0330000}"/>
    <cellStyle name="60% - Énfasis5 34 18" xfId="13350" xr:uid="{00000000-0005-0000-0000-0000F1330000}"/>
    <cellStyle name="60% - Énfasis5 34 19" xfId="13351" xr:uid="{00000000-0005-0000-0000-0000F2330000}"/>
    <cellStyle name="60% - Énfasis5 34 2" xfId="13352" xr:uid="{00000000-0005-0000-0000-0000F3330000}"/>
    <cellStyle name="60% - Énfasis5 34 2 2" xfId="13353" xr:uid="{00000000-0005-0000-0000-0000F4330000}"/>
    <cellStyle name="60% - Énfasis5 34 3" xfId="13354" xr:uid="{00000000-0005-0000-0000-0000F5330000}"/>
    <cellStyle name="60% - Énfasis5 34 3 2" xfId="13355" xr:uid="{00000000-0005-0000-0000-0000F6330000}"/>
    <cellStyle name="60% - Énfasis5 34 4" xfId="13356" xr:uid="{00000000-0005-0000-0000-0000F7330000}"/>
    <cellStyle name="60% - Énfasis5 34 4 2" xfId="13357" xr:uid="{00000000-0005-0000-0000-0000F8330000}"/>
    <cellStyle name="60% - Énfasis5 34 5" xfId="13358" xr:uid="{00000000-0005-0000-0000-0000F9330000}"/>
    <cellStyle name="60% - Énfasis5 34 6" xfId="13359" xr:uid="{00000000-0005-0000-0000-0000FA330000}"/>
    <cellStyle name="60% - Énfasis5 34 7" xfId="13360" xr:uid="{00000000-0005-0000-0000-0000FB330000}"/>
    <cellStyle name="60% - Énfasis5 34 8" xfId="13361" xr:uid="{00000000-0005-0000-0000-0000FC330000}"/>
    <cellStyle name="60% - Énfasis5 34 9" xfId="13362" xr:uid="{00000000-0005-0000-0000-0000FD330000}"/>
    <cellStyle name="60% - Énfasis5 35 10" xfId="13363" xr:uid="{00000000-0005-0000-0000-0000FE330000}"/>
    <cellStyle name="60% - Énfasis5 35 11" xfId="13364" xr:uid="{00000000-0005-0000-0000-0000FF330000}"/>
    <cellStyle name="60% - Énfasis5 35 12" xfId="13365" xr:uid="{00000000-0005-0000-0000-000000340000}"/>
    <cellStyle name="60% - Énfasis5 35 13" xfId="13366" xr:uid="{00000000-0005-0000-0000-000001340000}"/>
    <cellStyle name="60% - Énfasis5 35 14" xfId="13367" xr:uid="{00000000-0005-0000-0000-000002340000}"/>
    <cellStyle name="60% - Énfasis5 35 15" xfId="13368" xr:uid="{00000000-0005-0000-0000-000003340000}"/>
    <cellStyle name="60% - Énfasis5 35 16" xfId="13369" xr:uid="{00000000-0005-0000-0000-000004340000}"/>
    <cellStyle name="60% - Énfasis5 35 17" xfId="13370" xr:uid="{00000000-0005-0000-0000-000005340000}"/>
    <cellStyle name="60% - Énfasis5 35 18" xfId="13371" xr:uid="{00000000-0005-0000-0000-000006340000}"/>
    <cellStyle name="60% - Énfasis5 35 19" xfId="13372" xr:uid="{00000000-0005-0000-0000-000007340000}"/>
    <cellStyle name="60% - Énfasis5 35 2" xfId="13373" xr:uid="{00000000-0005-0000-0000-000008340000}"/>
    <cellStyle name="60% - Énfasis5 35 2 2" xfId="13374" xr:uid="{00000000-0005-0000-0000-000009340000}"/>
    <cellStyle name="60% - Énfasis5 35 3" xfId="13375" xr:uid="{00000000-0005-0000-0000-00000A340000}"/>
    <cellStyle name="60% - Énfasis5 35 3 2" xfId="13376" xr:uid="{00000000-0005-0000-0000-00000B340000}"/>
    <cellStyle name="60% - Énfasis5 35 4" xfId="13377" xr:uid="{00000000-0005-0000-0000-00000C340000}"/>
    <cellStyle name="60% - Énfasis5 35 4 2" xfId="13378" xr:uid="{00000000-0005-0000-0000-00000D340000}"/>
    <cellStyle name="60% - Énfasis5 35 5" xfId="13379" xr:uid="{00000000-0005-0000-0000-00000E340000}"/>
    <cellStyle name="60% - Énfasis5 35 6" xfId="13380" xr:uid="{00000000-0005-0000-0000-00000F340000}"/>
    <cellStyle name="60% - Énfasis5 35 7" xfId="13381" xr:uid="{00000000-0005-0000-0000-000010340000}"/>
    <cellStyle name="60% - Énfasis5 35 8" xfId="13382" xr:uid="{00000000-0005-0000-0000-000011340000}"/>
    <cellStyle name="60% - Énfasis5 35 9" xfId="13383" xr:uid="{00000000-0005-0000-0000-000012340000}"/>
    <cellStyle name="60% - Énfasis5 36 10" xfId="13384" xr:uid="{00000000-0005-0000-0000-000013340000}"/>
    <cellStyle name="60% - Énfasis5 36 11" xfId="13385" xr:uid="{00000000-0005-0000-0000-000014340000}"/>
    <cellStyle name="60% - Énfasis5 36 12" xfId="13386" xr:uid="{00000000-0005-0000-0000-000015340000}"/>
    <cellStyle name="60% - Énfasis5 36 13" xfId="13387" xr:uid="{00000000-0005-0000-0000-000016340000}"/>
    <cellStyle name="60% - Énfasis5 36 14" xfId="13388" xr:uid="{00000000-0005-0000-0000-000017340000}"/>
    <cellStyle name="60% - Énfasis5 36 15" xfId="13389" xr:uid="{00000000-0005-0000-0000-000018340000}"/>
    <cellStyle name="60% - Énfasis5 36 16" xfId="13390" xr:uid="{00000000-0005-0000-0000-000019340000}"/>
    <cellStyle name="60% - Énfasis5 36 17" xfId="13391" xr:uid="{00000000-0005-0000-0000-00001A340000}"/>
    <cellStyle name="60% - Énfasis5 36 18" xfId="13392" xr:uid="{00000000-0005-0000-0000-00001B340000}"/>
    <cellStyle name="60% - Énfasis5 36 19" xfId="13393" xr:uid="{00000000-0005-0000-0000-00001C340000}"/>
    <cellStyle name="60% - Énfasis5 36 2" xfId="13394" xr:uid="{00000000-0005-0000-0000-00001D340000}"/>
    <cellStyle name="60% - Énfasis5 36 2 2" xfId="13395" xr:uid="{00000000-0005-0000-0000-00001E340000}"/>
    <cellStyle name="60% - Énfasis5 36 3" xfId="13396" xr:uid="{00000000-0005-0000-0000-00001F340000}"/>
    <cellStyle name="60% - Énfasis5 36 3 2" xfId="13397" xr:uid="{00000000-0005-0000-0000-000020340000}"/>
    <cellStyle name="60% - Énfasis5 36 4" xfId="13398" xr:uid="{00000000-0005-0000-0000-000021340000}"/>
    <cellStyle name="60% - Énfasis5 36 4 2" xfId="13399" xr:uid="{00000000-0005-0000-0000-000022340000}"/>
    <cellStyle name="60% - Énfasis5 36 5" xfId="13400" xr:uid="{00000000-0005-0000-0000-000023340000}"/>
    <cellStyle name="60% - Énfasis5 36 6" xfId="13401" xr:uid="{00000000-0005-0000-0000-000024340000}"/>
    <cellStyle name="60% - Énfasis5 36 7" xfId="13402" xr:uid="{00000000-0005-0000-0000-000025340000}"/>
    <cellStyle name="60% - Énfasis5 36 8" xfId="13403" xr:uid="{00000000-0005-0000-0000-000026340000}"/>
    <cellStyle name="60% - Énfasis5 36 9" xfId="13404" xr:uid="{00000000-0005-0000-0000-000027340000}"/>
    <cellStyle name="60% - Énfasis5 37 10" xfId="13405" xr:uid="{00000000-0005-0000-0000-000028340000}"/>
    <cellStyle name="60% - Énfasis5 37 11" xfId="13406" xr:uid="{00000000-0005-0000-0000-000029340000}"/>
    <cellStyle name="60% - Énfasis5 37 12" xfId="13407" xr:uid="{00000000-0005-0000-0000-00002A340000}"/>
    <cellStyle name="60% - Énfasis5 37 13" xfId="13408" xr:uid="{00000000-0005-0000-0000-00002B340000}"/>
    <cellStyle name="60% - Énfasis5 37 14" xfId="13409" xr:uid="{00000000-0005-0000-0000-00002C340000}"/>
    <cellStyle name="60% - Énfasis5 37 15" xfId="13410" xr:uid="{00000000-0005-0000-0000-00002D340000}"/>
    <cellStyle name="60% - Énfasis5 37 16" xfId="13411" xr:uid="{00000000-0005-0000-0000-00002E340000}"/>
    <cellStyle name="60% - Énfasis5 37 17" xfId="13412" xr:uid="{00000000-0005-0000-0000-00002F340000}"/>
    <cellStyle name="60% - Énfasis5 37 18" xfId="13413" xr:uid="{00000000-0005-0000-0000-000030340000}"/>
    <cellStyle name="60% - Énfasis5 37 19" xfId="13414" xr:uid="{00000000-0005-0000-0000-000031340000}"/>
    <cellStyle name="60% - Énfasis5 37 2" xfId="13415" xr:uid="{00000000-0005-0000-0000-000032340000}"/>
    <cellStyle name="60% - Énfasis5 37 2 2" xfId="13416" xr:uid="{00000000-0005-0000-0000-000033340000}"/>
    <cellStyle name="60% - Énfasis5 37 3" xfId="13417" xr:uid="{00000000-0005-0000-0000-000034340000}"/>
    <cellStyle name="60% - Énfasis5 37 3 2" xfId="13418" xr:uid="{00000000-0005-0000-0000-000035340000}"/>
    <cellStyle name="60% - Énfasis5 37 4" xfId="13419" xr:uid="{00000000-0005-0000-0000-000036340000}"/>
    <cellStyle name="60% - Énfasis5 37 4 2" xfId="13420" xr:uid="{00000000-0005-0000-0000-000037340000}"/>
    <cellStyle name="60% - Énfasis5 37 5" xfId="13421" xr:uid="{00000000-0005-0000-0000-000038340000}"/>
    <cellStyle name="60% - Énfasis5 37 6" xfId="13422" xr:uid="{00000000-0005-0000-0000-000039340000}"/>
    <cellStyle name="60% - Énfasis5 37 7" xfId="13423" xr:uid="{00000000-0005-0000-0000-00003A340000}"/>
    <cellStyle name="60% - Énfasis5 37 8" xfId="13424" xr:uid="{00000000-0005-0000-0000-00003B340000}"/>
    <cellStyle name="60% - Énfasis5 37 9" xfId="13425" xr:uid="{00000000-0005-0000-0000-00003C340000}"/>
    <cellStyle name="60% - Énfasis5 38 10" xfId="13426" xr:uid="{00000000-0005-0000-0000-00003D340000}"/>
    <cellStyle name="60% - Énfasis5 38 11" xfId="13427" xr:uid="{00000000-0005-0000-0000-00003E340000}"/>
    <cellStyle name="60% - Énfasis5 38 12" xfId="13428" xr:uid="{00000000-0005-0000-0000-00003F340000}"/>
    <cellStyle name="60% - Énfasis5 38 13" xfId="13429" xr:uid="{00000000-0005-0000-0000-000040340000}"/>
    <cellStyle name="60% - Énfasis5 38 14" xfId="13430" xr:uid="{00000000-0005-0000-0000-000041340000}"/>
    <cellStyle name="60% - Énfasis5 38 15" xfId="13431" xr:uid="{00000000-0005-0000-0000-000042340000}"/>
    <cellStyle name="60% - Énfasis5 38 16" xfId="13432" xr:uid="{00000000-0005-0000-0000-000043340000}"/>
    <cellStyle name="60% - Énfasis5 38 17" xfId="13433" xr:uid="{00000000-0005-0000-0000-000044340000}"/>
    <cellStyle name="60% - Énfasis5 38 18" xfId="13434" xr:uid="{00000000-0005-0000-0000-000045340000}"/>
    <cellStyle name="60% - Énfasis5 38 19" xfId="13435" xr:uid="{00000000-0005-0000-0000-000046340000}"/>
    <cellStyle name="60% - Énfasis5 38 2" xfId="13436" xr:uid="{00000000-0005-0000-0000-000047340000}"/>
    <cellStyle name="60% - Énfasis5 38 2 2" xfId="13437" xr:uid="{00000000-0005-0000-0000-000048340000}"/>
    <cellStyle name="60% - Énfasis5 38 3" xfId="13438" xr:uid="{00000000-0005-0000-0000-000049340000}"/>
    <cellStyle name="60% - Énfasis5 38 3 2" xfId="13439" xr:uid="{00000000-0005-0000-0000-00004A340000}"/>
    <cellStyle name="60% - Énfasis5 38 4" xfId="13440" xr:uid="{00000000-0005-0000-0000-00004B340000}"/>
    <cellStyle name="60% - Énfasis5 38 4 2" xfId="13441" xr:uid="{00000000-0005-0000-0000-00004C340000}"/>
    <cellStyle name="60% - Énfasis5 38 5" xfId="13442" xr:uid="{00000000-0005-0000-0000-00004D340000}"/>
    <cellStyle name="60% - Énfasis5 38 6" xfId="13443" xr:uid="{00000000-0005-0000-0000-00004E340000}"/>
    <cellStyle name="60% - Énfasis5 38 7" xfId="13444" xr:uid="{00000000-0005-0000-0000-00004F340000}"/>
    <cellStyle name="60% - Énfasis5 38 8" xfId="13445" xr:uid="{00000000-0005-0000-0000-000050340000}"/>
    <cellStyle name="60% - Énfasis5 38 9" xfId="13446" xr:uid="{00000000-0005-0000-0000-000051340000}"/>
    <cellStyle name="60% - Énfasis5 39" xfId="13447" xr:uid="{00000000-0005-0000-0000-000052340000}"/>
    <cellStyle name="60% - Énfasis5 39 10" xfId="13448" xr:uid="{00000000-0005-0000-0000-000053340000}"/>
    <cellStyle name="60% - Énfasis5 39 11" xfId="13449" xr:uid="{00000000-0005-0000-0000-000054340000}"/>
    <cellStyle name="60% - Énfasis5 39 12" xfId="13450" xr:uid="{00000000-0005-0000-0000-000055340000}"/>
    <cellStyle name="60% - Énfasis5 39 13" xfId="13451" xr:uid="{00000000-0005-0000-0000-000056340000}"/>
    <cellStyle name="60% - Énfasis5 39 14" xfId="13452" xr:uid="{00000000-0005-0000-0000-000057340000}"/>
    <cellStyle name="60% - Énfasis5 39 15" xfId="13453" xr:uid="{00000000-0005-0000-0000-000058340000}"/>
    <cellStyle name="60% - Énfasis5 39 16" xfId="13454" xr:uid="{00000000-0005-0000-0000-000059340000}"/>
    <cellStyle name="60% - Énfasis5 39 2" xfId="13455" xr:uid="{00000000-0005-0000-0000-00005A340000}"/>
    <cellStyle name="60% - Énfasis5 39 3" xfId="13456" xr:uid="{00000000-0005-0000-0000-00005B340000}"/>
    <cellStyle name="60% - Énfasis5 39 4" xfId="13457" xr:uid="{00000000-0005-0000-0000-00005C340000}"/>
    <cellStyle name="60% - Énfasis5 39 5" xfId="13458" xr:uid="{00000000-0005-0000-0000-00005D340000}"/>
    <cellStyle name="60% - Énfasis5 39 6" xfId="13459" xr:uid="{00000000-0005-0000-0000-00005E340000}"/>
    <cellStyle name="60% - Énfasis5 39 7" xfId="13460" xr:uid="{00000000-0005-0000-0000-00005F340000}"/>
    <cellStyle name="60% - Énfasis5 39 8" xfId="13461" xr:uid="{00000000-0005-0000-0000-000060340000}"/>
    <cellStyle name="60% - Énfasis5 39 9" xfId="13462" xr:uid="{00000000-0005-0000-0000-000061340000}"/>
    <cellStyle name="60% - Énfasis5 4 10" xfId="13463" xr:uid="{00000000-0005-0000-0000-000062340000}"/>
    <cellStyle name="60% - Énfasis5 4 11" xfId="13464" xr:uid="{00000000-0005-0000-0000-000063340000}"/>
    <cellStyle name="60% - Énfasis5 4 12" xfId="13465" xr:uid="{00000000-0005-0000-0000-000064340000}"/>
    <cellStyle name="60% - Énfasis5 4 13" xfId="13466" xr:uid="{00000000-0005-0000-0000-000065340000}"/>
    <cellStyle name="60% - Énfasis5 4 14" xfId="13467" xr:uid="{00000000-0005-0000-0000-000066340000}"/>
    <cellStyle name="60% - Énfasis5 4 15" xfId="13468" xr:uid="{00000000-0005-0000-0000-000067340000}"/>
    <cellStyle name="60% - Énfasis5 4 16" xfId="13469" xr:uid="{00000000-0005-0000-0000-000068340000}"/>
    <cellStyle name="60% - Énfasis5 4 17" xfId="13470" xr:uid="{00000000-0005-0000-0000-000069340000}"/>
    <cellStyle name="60% - Énfasis5 4 18" xfId="13471" xr:uid="{00000000-0005-0000-0000-00006A340000}"/>
    <cellStyle name="60% - Énfasis5 4 19" xfId="13472" xr:uid="{00000000-0005-0000-0000-00006B340000}"/>
    <cellStyle name="60% - Énfasis5 4 2" xfId="13473" xr:uid="{00000000-0005-0000-0000-00006C340000}"/>
    <cellStyle name="60% - Énfasis5 4 2 2" xfId="13474" xr:uid="{00000000-0005-0000-0000-00006D340000}"/>
    <cellStyle name="60% - Énfasis5 4 3" xfId="13475" xr:uid="{00000000-0005-0000-0000-00006E340000}"/>
    <cellStyle name="60% - Énfasis5 4 3 2" xfId="13476" xr:uid="{00000000-0005-0000-0000-00006F340000}"/>
    <cellStyle name="60% - Énfasis5 4 4" xfId="13477" xr:uid="{00000000-0005-0000-0000-000070340000}"/>
    <cellStyle name="60% - Énfasis5 4 4 2" xfId="13478" xr:uid="{00000000-0005-0000-0000-000071340000}"/>
    <cellStyle name="60% - Énfasis5 4 5" xfId="13479" xr:uid="{00000000-0005-0000-0000-000072340000}"/>
    <cellStyle name="60% - Énfasis5 4 6" xfId="13480" xr:uid="{00000000-0005-0000-0000-000073340000}"/>
    <cellStyle name="60% - Énfasis5 4 7" xfId="13481" xr:uid="{00000000-0005-0000-0000-000074340000}"/>
    <cellStyle name="60% - Énfasis5 4 8" xfId="13482" xr:uid="{00000000-0005-0000-0000-000075340000}"/>
    <cellStyle name="60% - Énfasis5 4 9" xfId="13483" xr:uid="{00000000-0005-0000-0000-000076340000}"/>
    <cellStyle name="60% - Énfasis5 40" xfId="13484" xr:uid="{00000000-0005-0000-0000-000077340000}"/>
    <cellStyle name="60% - Énfasis5 40 10" xfId="13485" xr:uid="{00000000-0005-0000-0000-000078340000}"/>
    <cellStyle name="60% - Énfasis5 40 11" xfId="13486" xr:uid="{00000000-0005-0000-0000-000079340000}"/>
    <cellStyle name="60% - Énfasis5 40 12" xfId="13487" xr:uid="{00000000-0005-0000-0000-00007A340000}"/>
    <cellStyle name="60% - Énfasis5 40 13" xfId="13488" xr:uid="{00000000-0005-0000-0000-00007B340000}"/>
    <cellStyle name="60% - Énfasis5 40 14" xfId="13489" xr:uid="{00000000-0005-0000-0000-00007C340000}"/>
    <cellStyle name="60% - Énfasis5 40 15" xfId="13490" xr:uid="{00000000-0005-0000-0000-00007D340000}"/>
    <cellStyle name="60% - Énfasis5 40 16" xfId="13491" xr:uid="{00000000-0005-0000-0000-00007E340000}"/>
    <cellStyle name="60% - Énfasis5 40 2" xfId="13492" xr:uid="{00000000-0005-0000-0000-00007F340000}"/>
    <cellStyle name="60% - Énfasis5 40 3" xfId="13493" xr:uid="{00000000-0005-0000-0000-000080340000}"/>
    <cellStyle name="60% - Énfasis5 40 4" xfId="13494" xr:uid="{00000000-0005-0000-0000-000081340000}"/>
    <cellStyle name="60% - Énfasis5 40 5" xfId="13495" xr:uid="{00000000-0005-0000-0000-000082340000}"/>
    <cellStyle name="60% - Énfasis5 40 6" xfId="13496" xr:uid="{00000000-0005-0000-0000-000083340000}"/>
    <cellStyle name="60% - Énfasis5 40 7" xfId="13497" xr:uid="{00000000-0005-0000-0000-000084340000}"/>
    <cellStyle name="60% - Énfasis5 40 8" xfId="13498" xr:uid="{00000000-0005-0000-0000-000085340000}"/>
    <cellStyle name="60% - Énfasis5 40 9" xfId="13499" xr:uid="{00000000-0005-0000-0000-000086340000}"/>
    <cellStyle name="60% - Énfasis5 41" xfId="13500" xr:uid="{00000000-0005-0000-0000-000087340000}"/>
    <cellStyle name="60% - Énfasis5 41 10" xfId="13501" xr:uid="{00000000-0005-0000-0000-000088340000}"/>
    <cellStyle name="60% - Énfasis5 41 11" xfId="13502" xr:uid="{00000000-0005-0000-0000-000089340000}"/>
    <cellStyle name="60% - Énfasis5 41 12" xfId="13503" xr:uid="{00000000-0005-0000-0000-00008A340000}"/>
    <cellStyle name="60% - Énfasis5 41 13" xfId="13504" xr:uid="{00000000-0005-0000-0000-00008B340000}"/>
    <cellStyle name="60% - Énfasis5 41 14" xfId="13505" xr:uid="{00000000-0005-0000-0000-00008C340000}"/>
    <cellStyle name="60% - Énfasis5 41 15" xfId="13506" xr:uid="{00000000-0005-0000-0000-00008D340000}"/>
    <cellStyle name="60% - Énfasis5 41 16" xfId="13507" xr:uid="{00000000-0005-0000-0000-00008E340000}"/>
    <cellStyle name="60% - Énfasis5 41 2" xfId="13508" xr:uid="{00000000-0005-0000-0000-00008F340000}"/>
    <cellStyle name="60% - Énfasis5 41 3" xfId="13509" xr:uid="{00000000-0005-0000-0000-000090340000}"/>
    <cellStyle name="60% - Énfasis5 41 4" xfId="13510" xr:uid="{00000000-0005-0000-0000-000091340000}"/>
    <cellStyle name="60% - Énfasis5 41 5" xfId="13511" xr:uid="{00000000-0005-0000-0000-000092340000}"/>
    <cellStyle name="60% - Énfasis5 41 6" xfId="13512" xr:uid="{00000000-0005-0000-0000-000093340000}"/>
    <cellStyle name="60% - Énfasis5 41 7" xfId="13513" xr:uid="{00000000-0005-0000-0000-000094340000}"/>
    <cellStyle name="60% - Énfasis5 41 8" xfId="13514" xr:uid="{00000000-0005-0000-0000-000095340000}"/>
    <cellStyle name="60% - Énfasis5 41 9" xfId="13515" xr:uid="{00000000-0005-0000-0000-000096340000}"/>
    <cellStyle name="60% - Énfasis5 42" xfId="13516" xr:uid="{00000000-0005-0000-0000-000097340000}"/>
    <cellStyle name="60% - Énfasis5 43" xfId="13517" xr:uid="{00000000-0005-0000-0000-000098340000}"/>
    <cellStyle name="60% - Énfasis5 44" xfId="13518" xr:uid="{00000000-0005-0000-0000-000099340000}"/>
    <cellStyle name="60% - Énfasis5 45" xfId="13519" xr:uid="{00000000-0005-0000-0000-00009A340000}"/>
    <cellStyle name="60% - Énfasis5 46" xfId="13520" xr:uid="{00000000-0005-0000-0000-00009B340000}"/>
    <cellStyle name="60% - Énfasis5 47" xfId="13521" xr:uid="{00000000-0005-0000-0000-00009C340000}"/>
    <cellStyle name="60% - Énfasis5 48" xfId="13522" xr:uid="{00000000-0005-0000-0000-00009D340000}"/>
    <cellStyle name="60% - Énfasis5 49" xfId="13523" xr:uid="{00000000-0005-0000-0000-00009E340000}"/>
    <cellStyle name="60% - Énfasis5 5 10" xfId="13524" xr:uid="{00000000-0005-0000-0000-00009F340000}"/>
    <cellStyle name="60% - Énfasis5 5 11" xfId="13525" xr:uid="{00000000-0005-0000-0000-0000A0340000}"/>
    <cellStyle name="60% - Énfasis5 5 12" xfId="13526" xr:uid="{00000000-0005-0000-0000-0000A1340000}"/>
    <cellStyle name="60% - Énfasis5 5 13" xfId="13527" xr:uid="{00000000-0005-0000-0000-0000A2340000}"/>
    <cellStyle name="60% - Énfasis5 5 14" xfId="13528" xr:uid="{00000000-0005-0000-0000-0000A3340000}"/>
    <cellStyle name="60% - Énfasis5 5 15" xfId="13529" xr:uid="{00000000-0005-0000-0000-0000A4340000}"/>
    <cellStyle name="60% - Énfasis5 5 16" xfId="13530" xr:uid="{00000000-0005-0000-0000-0000A5340000}"/>
    <cellStyle name="60% - Énfasis5 5 17" xfId="13531" xr:uid="{00000000-0005-0000-0000-0000A6340000}"/>
    <cellStyle name="60% - Énfasis5 5 18" xfId="13532" xr:uid="{00000000-0005-0000-0000-0000A7340000}"/>
    <cellStyle name="60% - Énfasis5 5 19" xfId="13533" xr:uid="{00000000-0005-0000-0000-0000A8340000}"/>
    <cellStyle name="60% - Énfasis5 5 2" xfId="13534" xr:uid="{00000000-0005-0000-0000-0000A9340000}"/>
    <cellStyle name="60% - Énfasis5 5 2 2" xfId="13535" xr:uid="{00000000-0005-0000-0000-0000AA340000}"/>
    <cellStyle name="60% - Énfasis5 5 3" xfId="13536" xr:uid="{00000000-0005-0000-0000-0000AB340000}"/>
    <cellStyle name="60% - Énfasis5 5 3 2" xfId="13537" xr:uid="{00000000-0005-0000-0000-0000AC340000}"/>
    <cellStyle name="60% - Énfasis5 5 4" xfId="13538" xr:uid="{00000000-0005-0000-0000-0000AD340000}"/>
    <cellStyle name="60% - Énfasis5 5 4 2" xfId="13539" xr:uid="{00000000-0005-0000-0000-0000AE340000}"/>
    <cellStyle name="60% - Énfasis5 5 5" xfId="13540" xr:uid="{00000000-0005-0000-0000-0000AF340000}"/>
    <cellStyle name="60% - Énfasis5 5 6" xfId="13541" xr:uid="{00000000-0005-0000-0000-0000B0340000}"/>
    <cellStyle name="60% - Énfasis5 5 7" xfId="13542" xr:uid="{00000000-0005-0000-0000-0000B1340000}"/>
    <cellStyle name="60% - Énfasis5 5 8" xfId="13543" xr:uid="{00000000-0005-0000-0000-0000B2340000}"/>
    <cellStyle name="60% - Énfasis5 5 9" xfId="13544" xr:uid="{00000000-0005-0000-0000-0000B3340000}"/>
    <cellStyle name="60% - Énfasis5 50" xfId="13545" xr:uid="{00000000-0005-0000-0000-0000B4340000}"/>
    <cellStyle name="60% - Énfasis5 51" xfId="13546" xr:uid="{00000000-0005-0000-0000-0000B5340000}"/>
    <cellStyle name="60% - Énfasis5 52" xfId="13547" xr:uid="{00000000-0005-0000-0000-0000B6340000}"/>
    <cellStyle name="60% - Énfasis5 53" xfId="13548" xr:uid="{00000000-0005-0000-0000-0000B7340000}"/>
    <cellStyle name="60% - Énfasis5 54" xfId="13549" xr:uid="{00000000-0005-0000-0000-0000B8340000}"/>
    <cellStyle name="60% - Énfasis5 55" xfId="13550" xr:uid="{00000000-0005-0000-0000-0000B9340000}"/>
    <cellStyle name="60% - Énfasis5 56" xfId="13551" xr:uid="{00000000-0005-0000-0000-0000BA340000}"/>
    <cellStyle name="60% - Énfasis5 57" xfId="13552" xr:uid="{00000000-0005-0000-0000-0000BB340000}"/>
    <cellStyle name="60% - Énfasis5 58" xfId="13553" xr:uid="{00000000-0005-0000-0000-0000BC340000}"/>
    <cellStyle name="60% - Énfasis5 59" xfId="13554" xr:uid="{00000000-0005-0000-0000-0000BD340000}"/>
    <cellStyle name="60% - Énfasis5 6 10" xfId="13555" xr:uid="{00000000-0005-0000-0000-0000BE340000}"/>
    <cellStyle name="60% - Énfasis5 6 11" xfId="13556" xr:uid="{00000000-0005-0000-0000-0000BF340000}"/>
    <cellStyle name="60% - Énfasis5 6 12" xfId="13557" xr:uid="{00000000-0005-0000-0000-0000C0340000}"/>
    <cellStyle name="60% - Énfasis5 6 13" xfId="13558" xr:uid="{00000000-0005-0000-0000-0000C1340000}"/>
    <cellStyle name="60% - Énfasis5 6 14" xfId="13559" xr:uid="{00000000-0005-0000-0000-0000C2340000}"/>
    <cellStyle name="60% - Énfasis5 6 15" xfId="13560" xr:uid="{00000000-0005-0000-0000-0000C3340000}"/>
    <cellStyle name="60% - Énfasis5 6 16" xfId="13561" xr:uid="{00000000-0005-0000-0000-0000C4340000}"/>
    <cellStyle name="60% - Énfasis5 6 17" xfId="13562" xr:uid="{00000000-0005-0000-0000-0000C5340000}"/>
    <cellStyle name="60% - Énfasis5 6 18" xfId="13563" xr:uid="{00000000-0005-0000-0000-0000C6340000}"/>
    <cellStyle name="60% - Énfasis5 6 19" xfId="13564" xr:uid="{00000000-0005-0000-0000-0000C7340000}"/>
    <cellStyle name="60% - Énfasis5 6 2" xfId="13565" xr:uid="{00000000-0005-0000-0000-0000C8340000}"/>
    <cellStyle name="60% - Énfasis5 6 2 2" xfId="13566" xr:uid="{00000000-0005-0000-0000-0000C9340000}"/>
    <cellStyle name="60% - Énfasis5 6 3" xfId="13567" xr:uid="{00000000-0005-0000-0000-0000CA340000}"/>
    <cellStyle name="60% - Énfasis5 6 3 2" xfId="13568" xr:uid="{00000000-0005-0000-0000-0000CB340000}"/>
    <cellStyle name="60% - Énfasis5 6 4" xfId="13569" xr:uid="{00000000-0005-0000-0000-0000CC340000}"/>
    <cellStyle name="60% - Énfasis5 6 4 2" xfId="13570" xr:uid="{00000000-0005-0000-0000-0000CD340000}"/>
    <cellStyle name="60% - Énfasis5 6 5" xfId="13571" xr:uid="{00000000-0005-0000-0000-0000CE340000}"/>
    <cellStyle name="60% - Énfasis5 6 6" xfId="13572" xr:uid="{00000000-0005-0000-0000-0000CF340000}"/>
    <cellStyle name="60% - Énfasis5 6 7" xfId="13573" xr:uid="{00000000-0005-0000-0000-0000D0340000}"/>
    <cellStyle name="60% - Énfasis5 6 8" xfId="13574" xr:uid="{00000000-0005-0000-0000-0000D1340000}"/>
    <cellStyle name="60% - Énfasis5 6 9" xfId="13575" xr:uid="{00000000-0005-0000-0000-0000D2340000}"/>
    <cellStyle name="60% - Énfasis5 60" xfId="13576" xr:uid="{00000000-0005-0000-0000-0000D3340000}"/>
    <cellStyle name="60% - Énfasis5 61" xfId="13577" xr:uid="{00000000-0005-0000-0000-0000D4340000}"/>
    <cellStyle name="60% - Énfasis5 62" xfId="13578" xr:uid="{00000000-0005-0000-0000-0000D5340000}"/>
    <cellStyle name="60% - Énfasis5 63" xfId="13579" xr:uid="{00000000-0005-0000-0000-0000D6340000}"/>
    <cellStyle name="60% - Énfasis5 64" xfId="13580" xr:uid="{00000000-0005-0000-0000-0000D7340000}"/>
    <cellStyle name="60% - Énfasis5 7 10" xfId="13581" xr:uid="{00000000-0005-0000-0000-0000D8340000}"/>
    <cellStyle name="60% - Énfasis5 7 11" xfId="13582" xr:uid="{00000000-0005-0000-0000-0000D9340000}"/>
    <cellStyle name="60% - Énfasis5 7 12" xfId="13583" xr:uid="{00000000-0005-0000-0000-0000DA340000}"/>
    <cellStyle name="60% - Énfasis5 7 13" xfId="13584" xr:uid="{00000000-0005-0000-0000-0000DB340000}"/>
    <cellStyle name="60% - Énfasis5 7 14" xfId="13585" xr:uid="{00000000-0005-0000-0000-0000DC340000}"/>
    <cellStyle name="60% - Énfasis5 7 15" xfId="13586" xr:uid="{00000000-0005-0000-0000-0000DD340000}"/>
    <cellStyle name="60% - Énfasis5 7 16" xfId="13587" xr:uid="{00000000-0005-0000-0000-0000DE340000}"/>
    <cellStyle name="60% - Énfasis5 7 17" xfId="13588" xr:uid="{00000000-0005-0000-0000-0000DF340000}"/>
    <cellStyle name="60% - Énfasis5 7 18" xfId="13589" xr:uid="{00000000-0005-0000-0000-0000E0340000}"/>
    <cellStyle name="60% - Énfasis5 7 19" xfId="13590" xr:uid="{00000000-0005-0000-0000-0000E1340000}"/>
    <cellStyle name="60% - Énfasis5 7 2" xfId="13591" xr:uid="{00000000-0005-0000-0000-0000E2340000}"/>
    <cellStyle name="60% - Énfasis5 7 2 2" xfId="13592" xr:uid="{00000000-0005-0000-0000-0000E3340000}"/>
    <cellStyle name="60% - Énfasis5 7 3" xfId="13593" xr:uid="{00000000-0005-0000-0000-0000E4340000}"/>
    <cellStyle name="60% - Énfasis5 7 3 2" xfId="13594" xr:uid="{00000000-0005-0000-0000-0000E5340000}"/>
    <cellStyle name="60% - Énfasis5 7 4" xfId="13595" xr:uid="{00000000-0005-0000-0000-0000E6340000}"/>
    <cellStyle name="60% - Énfasis5 7 4 2" xfId="13596" xr:uid="{00000000-0005-0000-0000-0000E7340000}"/>
    <cellStyle name="60% - Énfasis5 7 5" xfId="13597" xr:uid="{00000000-0005-0000-0000-0000E8340000}"/>
    <cellStyle name="60% - Énfasis5 7 6" xfId="13598" xr:uid="{00000000-0005-0000-0000-0000E9340000}"/>
    <cellStyle name="60% - Énfasis5 7 7" xfId="13599" xr:uid="{00000000-0005-0000-0000-0000EA340000}"/>
    <cellStyle name="60% - Énfasis5 7 8" xfId="13600" xr:uid="{00000000-0005-0000-0000-0000EB340000}"/>
    <cellStyle name="60% - Énfasis5 7 9" xfId="13601" xr:uid="{00000000-0005-0000-0000-0000EC340000}"/>
    <cellStyle name="60% - Énfasis5 8 10" xfId="13602" xr:uid="{00000000-0005-0000-0000-0000ED340000}"/>
    <cellStyle name="60% - Énfasis5 8 11" xfId="13603" xr:uid="{00000000-0005-0000-0000-0000EE340000}"/>
    <cellStyle name="60% - Énfasis5 8 12" xfId="13604" xr:uid="{00000000-0005-0000-0000-0000EF340000}"/>
    <cellStyle name="60% - Énfasis5 8 13" xfId="13605" xr:uid="{00000000-0005-0000-0000-0000F0340000}"/>
    <cellStyle name="60% - Énfasis5 8 14" xfId="13606" xr:uid="{00000000-0005-0000-0000-0000F1340000}"/>
    <cellStyle name="60% - Énfasis5 8 15" xfId="13607" xr:uid="{00000000-0005-0000-0000-0000F2340000}"/>
    <cellStyle name="60% - Énfasis5 8 16" xfId="13608" xr:uid="{00000000-0005-0000-0000-0000F3340000}"/>
    <cellStyle name="60% - Énfasis5 8 17" xfId="13609" xr:uid="{00000000-0005-0000-0000-0000F4340000}"/>
    <cellStyle name="60% - Énfasis5 8 18" xfId="13610" xr:uid="{00000000-0005-0000-0000-0000F5340000}"/>
    <cellStyle name="60% - Énfasis5 8 19" xfId="13611" xr:uid="{00000000-0005-0000-0000-0000F6340000}"/>
    <cellStyle name="60% - Énfasis5 8 2" xfId="13612" xr:uid="{00000000-0005-0000-0000-0000F7340000}"/>
    <cellStyle name="60% - Énfasis5 8 2 2" xfId="13613" xr:uid="{00000000-0005-0000-0000-0000F8340000}"/>
    <cellStyle name="60% - Énfasis5 8 3" xfId="13614" xr:uid="{00000000-0005-0000-0000-0000F9340000}"/>
    <cellStyle name="60% - Énfasis5 8 3 2" xfId="13615" xr:uid="{00000000-0005-0000-0000-0000FA340000}"/>
    <cellStyle name="60% - Énfasis5 8 4" xfId="13616" xr:uid="{00000000-0005-0000-0000-0000FB340000}"/>
    <cellStyle name="60% - Énfasis5 8 4 2" xfId="13617" xr:uid="{00000000-0005-0000-0000-0000FC340000}"/>
    <cellStyle name="60% - Énfasis5 8 5" xfId="13618" xr:uid="{00000000-0005-0000-0000-0000FD340000}"/>
    <cellStyle name="60% - Énfasis5 8 6" xfId="13619" xr:uid="{00000000-0005-0000-0000-0000FE340000}"/>
    <cellStyle name="60% - Énfasis5 8 7" xfId="13620" xr:uid="{00000000-0005-0000-0000-0000FF340000}"/>
    <cellStyle name="60% - Énfasis5 8 8" xfId="13621" xr:uid="{00000000-0005-0000-0000-000000350000}"/>
    <cellStyle name="60% - Énfasis5 8 9" xfId="13622" xr:uid="{00000000-0005-0000-0000-000001350000}"/>
    <cellStyle name="60% - Énfasis5 9 10" xfId="13623" xr:uid="{00000000-0005-0000-0000-000002350000}"/>
    <cellStyle name="60% - Énfasis5 9 11" xfId="13624" xr:uid="{00000000-0005-0000-0000-000003350000}"/>
    <cellStyle name="60% - Énfasis5 9 12" xfId="13625" xr:uid="{00000000-0005-0000-0000-000004350000}"/>
    <cellStyle name="60% - Énfasis5 9 13" xfId="13626" xr:uid="{00000000-0005-0000-0000-000005350000}"/>
    <cellStyle name="60% - Énfasis5 9 14" xfId="13627" xr:uid="{00000000-0005-0000-0000-000006350000}"/>
    <cellStyle name="60% - Énfasis5 9 15" xfId="13628" xr:uid="{00000000-0005-0000-0000-000007350000}"/>
    <cellStyle name="60% - Énfasis5 9 16" xfId="13629" xr:uid="{00000000-0005-0000-0000-000008350000}"/>
    <cellStyle name="60% - Énfasis5 9 17" xfId="13630" xr:uid="{00000000-0005-0000-0000-000009350000}"/>
    <cellStyle name="60% - Énfasis5 9 18" xfId="13631" xr:uid="{00000000-0005-0000-0000-00000A350000}"/>
    <cellStyle name="60% - Énfasis5 9 19" xfId="13632" xr:uid="{00000000-0005-0000-0000-00000B350000}"/>
    <cellStyle name="60% - Énfasis5 9 2" xfId="13633" xr:uid="{00000000-0005-0000-0000-00000C350000}"/>
    <cellStyle name="60% - Énfasis5 9 2 2" xfId="13634" xr:uid="{00000000-0005-0000-0000-00000D350000}"/>
    <cellStyle name="60% - Énfasis5 9 3" xfId="13635" xr:uid="{00000000-0005-0000-0000-00000E350000}"/>
    <cellStyle name="60% - Énfasis5 9 3 2" xfId="13636" xr:uid="{00000000-0005-0000-0000-00000F350000}"/>
    <cellStyle name="60% - Énfasis5 9 4" xfId="13637" xr:uid="{00000000-0005-0000-0000-000010350000}"/>
    <cellStyle name="60% - Énfasis5 9 4 2" xfId="13638" xr:uid="{00000000-0005-0000-0000-000011350000}"/>
    <cellStyle name="60% - Énfasis5 9 5" xfId="13639" xr:uid="{00000000-0005-0000-0000-000012350000}"/>
    <cellStyle name="60% - Énfasis5 9 6" xfId="13640" xr:uid="{00000000-0005-0000-0000-000013350000}"/>
    <cellStyle name="60% - Énfasis5 9 7" xfId="13641" xr:uid="{00000000-0005-0000-0000-000014350000}"/>
    <cellStyle name="60% - Énfasis5 9 8" xfId="13642" xr:uid="{00000000-0005-0000-0000-000015350000}"/>
    <cellStyle name="60% - Énfasis5 9 9" xfId="13643" xr:uid="{00000000-0005-0000-0000-000016350000}"/>
    <cellStyle name="60% - Énfasis6" xfId="32551" builtinId="52" customBuiltin="1"/>
    <cellStyle name="60% - Énfasis6 10 10" xfId="13644" xr:uid="{00000000-0005-0000-0000-000018350000}"/>
    <cellStyle name="60% - Énfasis6 10 11" xfId="13645" xr:uid="{00000000-0005-0000-0000-000019350000}"/>
    <cellStyle name="60% - Énfasis6 10 12" xfId="13646" xr:uid="{00000000-0005-0000-0000-00001A350000}"/>
    <cellStyle name="60% - Énfasis6 10 13" xfId="13647" xr:uid="{00000000-0005-0000-0000-00001B350000}"/>
    <cellStyle name="60% - Énfasis6 10 14" xfId="13648" xr:uid="{00000000-0005-0000-0000-00001C350000}"/>
    <cellStyle name="60% - Énfasis6 10 15" xfId="13649" xr:uid="{00000000-0005-0000-0000-00001D350000}"/>
    <cellStyle name="60% - Énfasis6 10 16" xfId="13650" xr:uid="{00000000-0005-0000-0000-00001E350000}"/>
    <cellStyle name="60% - Énfasis6 10 17" xfId="13651" xr:uid="{00000000-0005-0000-0000-00001F350000}"/>
    <cellStyle name="60% - Énfasis6 10 18" xfId="13652" xr:uid="{00000000-0005-0000-0000-000020350000}"/>
    <cellStyle name="60% - Énfasis6 10 19" xfId="13653" xr:uid="{00000000-0005-0000-0000-000021350000}"/>
    <cellStyle name="60% - Énfasis6 10 2" xfId="13654" xr:uid="{00000000-0005-0000-0000-000022350000}"/>
    <cellStyle name="60% - Énfasis6 10 2 2" xfId="13655" xr:uid="{00000000-0005-0000-0000-000023350000}"/>
    <cellStyle name="60% - Énfasis6 10 3" xfId="13656" xr:uid="{00000000-0005-0000-0000-000024350000}"/>
    <cellStyle name="60% - Énfasis6 10 3 2" xfId="13657" xr:uid="{00000000-0005-0000-0000-000025350000}"/>
    <cellStyle name="60% - Énfasis6 10 4" xfId="13658" xr:uid="{00000000-0005-0000-0000-000026350000}"/>
    <cellStyle name="60% - Énfasis6 10 4 2" xfId="13659" xr:uid="{00000000-0005-0000-0000-000027350000}"/>
    <cellStyle name="60% - Énfasis6 10 5" xfId="13660" xr:uid="{00000000-0005-0000-0000-000028350000}"/>
    <cellStyle name="60% - Énfasis6 10 6" xfId="13661" xr:uid="{00000000-0005-0000-0000-000029350000}"/>
    <cellStyle name="60% - Énfasis6 10 7" xfId="13662" xr:uid="{00000000-0005-0000-0000-00002A350000}"/>
    <cellStyle name="60% - Énfasis6 10 8" xfId="13663" xr:uid="{00000000-0005-0000-0000-00002B350000}"/>
    <cellStyle name="60% - Énfasis6 10 9" xfId="13664" xr:uid="{00000000-0005-0000-0000-00002C350000}"/>
    <cellStyle name="60% - Énfasis6 11 10" xfId="13665" xr:uid="{00000000-0005-0000-0000-00002D350000}"/>
    <cellStyle name="60% - Énfasis6 11 11" xfId="13666" xr:uid="{00000000-0005-0000-0000-00002E350000}"/>
    <cellStyle name="60% - Énfasis6 11 12" xfId="13667" xr:uid="{00000000-0005-0000-0000-00002F350000}"/>
    <cellStyle name="60% - Énfasis6 11 13" xfId="13668" xr:uid="{00000000-0005-0000-0000-000030350000}"/>
    <cellStyle name="60% - Énfasis6 11 14" xfId="13669" xr:uid="{00000000-0005-0000-0000-000031350000}"/>
    <cellStyle name="60% - Énfasis6 11 15" xfId="13670" xr:uid="{00000000-0005-0000-0000-000032350000}"/>
    <cellStyle name="60% - Énfasis6 11 16" xfId="13671" xr:uid="{00000000-0005-0000-0000-000033350000}"/>
    <cellStyle name="60% - Énfasis6 11 17" xfId="13672" xr:uid="{00000000-0005-0000-0000-000034350000}"/>
    <cellStyle name="60% - Énfasis6 11 18" xfId="13673" xr:uid="{00000000-0005-0000-0000-000035350000}"/>
    <cellStyle name="60% - Énfasis6 11 19" xfId="13674" xr:uid="{00000000-0005-0000-0000-000036350000}"/>
    <cellStyle name="60% - Énfasis6 11 2" xfId="13675" xr:uid="{00000000-0005-0000-0000-000037350000}"/>
    <cellStyle name="60% - Énfasis6 11 2 2" xfId="13676" xr:uid="{00000000-0005-0000-0000-000038350000}"/>
    <cellStyle name="60% - Énfasis6 11 3" xfId="13677" xr:uid="{00000000-0005-0000-0000-000039350000}"/>
    <cellStyle name="60% - Énfasis6 11 3 2" xfId="13678" xr:uid="{00000000-0005-0000-0000-00003A350000}"/>
    <cellStyle name="60% - Énfasis6 11 4" xfId="13679" xr:uid="{00000000-0005-0000-0000-00003B350000}"/>
    <cellStyle name="60% - Énfasis6 11 4 2" xfId="13680" xr:uid="{00000000-0005-0000-0000-00003C350000}"/>
    <cellStyle name="60% - Énfasis6 11 5" xfId="13681" xr:uid="{00000000-0005-0000-0000-00003D350000}"/>
    <cellStyle name="60% - Énfasis6 11 6" xfId="13682" xr:uid="{00000000-0005-0000-0000-00003E350000}"/>
    <cellStyle name="60% - Énfasis6 11 7" xfId="13683" xr:uid="{00000000-0005-0000-0000-00003F350000}"/>
    <cellStyle name="60% - Énfasis6 11 8" xfId="13684" xr:uid="{00000000-0005-0000-0000-000040350000}"/>
    <cellStyle name="60% - Énfasis6 11 9" xfId="13685" xr:uid="{00000000-0005-0000-0000-000041350000}"/>
    <cellStyle name="60% - Énfasis6 12 10" xfId="13686" xr:uid="{00000000-0005-0000-0000-000042350000}"/>
    <cellStyle name="60% - Énfasis6 12 11" xfId="13687" xr:uid="{00000000-0005-0000-0000-000043350000}"/>
    <cellStyle name="60% - Énfasis6 12 12" xfId="13688" xr:uid="{00000000-0005-0000-0000-000044350000}"/>
    <cellStyle name="60% - Énfasis6 12 13" xfId="13689" xr:uid="{00000000-0005-0000-0000-000045350000}"/>
    <cellStyle name="60% - Énfasis6 12 14" xfId="13690" xr:uid="{00000000-0005-0000-0000-000046350000}"/>
    <cellStyle name="60% - Énfasis6 12 15" xfId="13691" xr:uid="{00000000-0005-0000-0000-000047350000}"/>
    <cellStyle name="60% - Énfasis6 12 16" xfId="13692" xr:uid="{00000000-0005-0000-0000-000048350000}"/>
    <cellStyle name="60% - Énfasis6 12 17" xfId="13693" xr:uid="{00000000-0005-0000-0000-000049350000}"/>
    <cellStyle name="60% - Énfasis6 12 18" xfId="13694" xr:uid="{00000000-0005-0000-0000-00004A350000}"/>
    <cellStyle name="60% - Énfasis6 12 19" xfId="13695" xr:uid="{00000000-0005-0000-0000-00004B350000}"/>
    <cellStyle name="60% - Énfasis6 12 2" xfId="13696" xr:uid="{00000000-0005-0000-0000-00004C350000}"/>
    <cellStyle name="60% - Énfasis6 12 2 2" xfId="13697" xr:uid="{00000000-0005-0000-0000-00004D350000}"/>
    <cellStyle name="60% - Énfasis6 12 3" xfId="13698" xr:uid="{00000000-0005-0000-0000-00004E350000}"/>
    <cellStyle name="60% - Énfasis6 12 3 2" xfId="13699" xr:uid="{00000000-0005-0000-0000-00004F350000}"/>
    <cellStyle name="60% - Énfasis6 12 4" xfId="13700" xr:uid="{00000000-0005-0000-0000-000050350000}"/>
    <cellStyle name="60% - Énfasis6 12 4 2" xfId="13701" xr:uid="{00000000-0005-0000-0000-000051350000}"/>
    <cellStyle name="60% - Énfasis6 12 5" xfId="13702" xr:uid="{00000000-0005-0000-0000-000052350000}"/>
    <cellStyle name="60% - Énfasis6 12 6" xfId="13703" xr:uid="{00000000-0005-0000-0000-000053350000}"/>
    <cellStyle name="60% - Énfasis6 12 7" xfId="13704" xr:uid="{00000000-0005-0000-0000-000054350000}"/>
    <cellStyle name="60% - Énfasis6 12 8" xfId="13705" xr:uid="{00000000-0005-0000-0000-000055350000}"/>
    <cellStyle name="60% - Énfasis6 12 9" xfId="13706" xr:uid="{00000000-0005-0000-0000-000056350000}"/>
    <cellStyle name="60% - Énfasis6 13 10" xfId="13707" xr:uid="{00000000-0005-0000-0000-000057350000}"/>
    <cellStyle name="60% - Énfasis6 13 11" xfId="13708" xr:uid="{00000000-0005-0000-0000-000058350000}"/>
    <cellStyle name="60% - Énfasis6 13 12" xfId="13709" xr:uid="{00000000-0005-0000-0000-000059350000}"/>
    <cellStyle name="60% - Énfasis6 13 13" xfId="13710" xr:uid="{00000000-0005-0000-0000-00005A350000}"/>
    <cellStyle name="60% - Énfasis6 13 14" xfId="13711" xr:uid="{00000000-0005-0000-0000-00005B350000}"/>
    <cellStyle name="60% - Énfasis6 13 15" xfId="13712" xr:uid="{00000000-0005-0000-0000-00005C350000}"/>
    <cellStyle name="60% - Énfasis6 13 16" xfId="13713" xr:uid="{00000000-0005-0000-0000-00005D350000}"/>
    <cellStyle name="60% - Énfasis6 13 17" xfId="13714" xr:uid="{00000000-0005-0000-0000-00005E350000}"/>
    <cellStyle name="60% - Énfasis6 13 18" xfId="13715" xr:uid="{00000000-0005-0000-0000-00005F350000}"/>
    <cellStyle name="60% - Énfasis6 13 19" xfId="13716" xr:uid="{00000000-0005-0000-0000-000060350000}"/>
    <cellStyle name="60% - Énfasis6 13 2" xfId="13717" xr:uid="{00000000-0005-0000-0000-000061350000}"/>
    <cellStyle name="60% - Énfasis6 13 2 2" xfId="13718" xr:uid="{00000000-0005-0000-0000-000062350000}"/>
    <cellStyle name="60% - Énfasis6 13 3" xfId="13719" xr:uid="{00000000-0005-0000-0000-000063350000}"/>
    <cellStyle name="60% - Énfasis6 13 3 2" xfId="13720" xr:uid="{00000000-0005-0000-0000-000064350000}"/>
    <cellStyle name="60% - Énfasis6 13 4" xfId="13721" xr:uid="{00000000-0005-0000-0000-000065350000}"/>
    <cellStyle name="60% - Énfasis6 13 4 2" xfId="13722" xr:uid="{00000000-0005-0000-0000-000066350000}"/>
    <cellStyle name="60% - Énfasis6 13 5" xfId="13723" xr:uid="{00000000-0005-0000-0000-000067350000}"/>
    <cellStyle name="60% - Énfasis6 13 6" xfId="13724" xr:uid="{00000000-0005-0000-0000-000068350000}"/>
    <cellStyle name="60% - Énfasis6 13 7" xfId="13725" xr:uid="{00000000-0005-0000-0000-000069350000}"/>
    <cellStyle name="60% - Énfasis6 13 8" xfId="13726" xr:uid="{00000000-0005-0000-0000-00006A350000}"/>
    <cellStyle name="60% - Énfasis6 13 9" xfId="13727" xr:uid="{00000000-0005-0000-0000-00006B350000}"/>
    <cellStyle name="60% - Énfasis6 14 10" xfId="13728" xr:uid="{00000000-0005-0000-0000-00006C350000}"/>
    <cellStyle name="60% - Énfasis6 14 11" xfId="13729" xr:uid="{00000000-0005-0000-0000-00006D350000}"/>
    <cellStyle name="60% - Énfasis6 14 12" xfId="13730" xr:uid="{00000000-0005-0000-0000-00006E350000}"/>
    <cellStyle name="60% - Énfasis6 14 13" xfId="13731" xr:uid="{00000000-0005-0000-0000-00006F350000}"/>
    <cellStyle name="60% - Énfasis6 14 14" xfId="13732" xr:uid="{00000000-0005-0000-0000-000070350000}"/>
    <cellStyle name="60% - Énfasis6 14 15" xfId="13733" xr:uid="{00000000-0005-0000-0000-000071350000}"/>
    <cellStyle name="60% - Énfasis6 14 16" xfId="13734" xr:uid="{00000000-0005-0000-0000-000072350000}"/>
    <cellStyle name="60% - Énfasis6 14 17" xfId="13735" xr:uid="{00000000-0005-0000-0000-000073350000}"/>
    <cellStyle name="60% - Énfasis6 14 18" xfId="13736" xr:uid="{00000000-0005-0000-0000-000074350000}"/>
    <cellStyle name="60% - Énfasis6 14 19" xfId="13737" xr:uid="{00000000-0005-0000-0000-000075350000}"/>
    <cellStyle name="60% - Énfasis6 14 2" xfId="13738" xr:uid="{00000000-0005-0000-0000-000076350000}"/>
    <cellStyle name="60% - Énfasis6 14 2 2" xfId="13739" xr:uid="{00000000-0005-0000-0000-000077350000}"/>
    <cellStyle name="60% - Énfasis6 14 3" xfId="13740" xr:uid="{00000000-0005-0000-0000-000078350000}"/>
    <cellStyle name="60% - Énfasis6 14 3 2" xfId="13741" xr:uid="{00000000-0005-0000-0000-000079350000}"/>
    <cellStyle name="60% - Énfasis6 14 4" xfId="13742" xr:uid="{00000000-0005-0000-0000-00007A350000}"/>
    <cellStyle name="60% - Énfasis6 14 4 2" xfId="13743" xr:uid="{00000000-0005-0000-0000-00007B350000}"/>
    <cellStyle name="60% - Énfasis6 14 5" xfId="13744" xr:uid="{00000000-0005-0000-0000-00007C350000}"/>
    <cellStyle name="60% - Énfasis6 14 6" xfId="13745" xr:uid="{00000000-0005-0000-0000-00007D350000}"/>
    <cellStyle name="60% - Énfasis6 14 7" xfId="13746" xr:uid="{00000000-0005-0000-0000-00007E350000}"/>
    <cellStyle name="60% - Énfasis6 14 8" xfId="13747" xr:uid="{00000000-0005-0000-0000-00007F350000}"/>
    <cellStyle name="60% - Énfasis6 14 9" xfId="13748" xr:uid="{00000000-0005-0000-0000-000080350000}"/>
    <cellStyle name="60% - Énfasis6 15 10" xfId="13749" xr:uid="{00000000-0005-0000-0000-000081350000}"/>
    <cellStyle name="60% - Énfasis6 15 11" xfId="13750" xr:uid="{00000000-0005-0000-0000-000082350000}"/>
    <cellStyle name="60% - Énfasis6 15 12" xfId="13751" xr:uid="{00000000-0005-0000-0000-000083350000}"/>
    <cellStyle name="60% - Énfasis6 15 13" xfId="13752" xr:uid="{00000000-0005-0000-0000-000084350000}"/>
    <cellStyle name="60% - Énfasis6 15 14" xfId="13753" xr:uid="{00000000-0005-0000-0000-000085350000}"/>
    <cellStyle name="60% - Énfasis6 15 15" xfId="13754" xr:uid="{00000000-0005-0000-0000-000086350000}"/>
    <cellStyle name="60% - Énfasis6 15 16" xfId="13755" xr:uid="{00000000-0005-0000-0000-000087350000}"/>
    <cellStyle name="60% - Énfasis6 15 17" xfId="13756" xr:uid="{00000000-0005-0000-0000-000088350000}"/>
    <cellStyle name="60% - Énfasis6 15 18" xfId="13757" xr:uid="{00000000-0005-0000-0000-000089350000}"/>
    <cellStyle name="60% - Énfasis6 15 19" xfId="13758" xr:uid="{00000000-0005-0000-0000-00008A350000}"/>
    <cellStyle name="60% - Énfasis6 15 2" xfId="13759" xr:uid="{00000000-0005-0000-0000-00008B350000}"/>
    <cellStyle name="60% - Énfasis6 15 2 2" xfId="13760" xr:uid="{00000000-0005-0000-0000-00008C350000}"/>
    <cellStyle name="60% - Énfasis6 15 3" xfId="13761" xr:uid="{00000000-0005-0000-0000-00008D350000}"/>
    <cellStyle name="60% - Énfasis6 15 3 2" xfId="13762" xr:uid="{00000000-0005-0000-0000-00008E350000}"/>
    <cellStyle name="60% - Énfasis6 15 4" xfId="13763" xr:uid="{00000000-0005-0000-0000-00008F350000}"/>
    <cellStyle name="60% - Énfasis6 15 4 2" xfId="13764" xr:uid="{00000000-0005-0000-0000-000090350000}"/>
    <cellStyle name="60% - Énfasis6 15 5" xfId="13765" xr:uid="{00000000-0005-0000-0000-000091350000}"/>
    <cellStyle name="60% - Énfasis6 15 6" xfId="13766" xr:uid="{00000000-0005-0000-0000-000092350000}"/>
    <cellStyle name="60% - Énfasis6 15 7" xfId="13767" xr:uid="{00000000-0005-0000-0000-000093350000}"/>
    <cellStyle name="60% - Énfasis6 15 8" xfId="13768" xr:uid="{00000000-0005-0000-0000-000094350000}"/>
    <cellStyle name="60% - Énfasis6 15 9" xfId="13769" xr:uid="{00000000-0005-0000-0000-000095350000}"/>
    <cellStyle name="60% - Énfasis6 16 10" xfId="13770" xr:uid="{00000000-0005-0000-0000-000096350000}"/>
    <cellStyle name="60% - Énfasis6 16 11" xfId="13771" xr:uid="{00000000-0005-0000-0000-000097350000}"/>
    <cellStyle name="60% - Énfasis6 16 12" xfId="13772" xr:uid="{00000000-0005-0000-0000-000098350000}"/>
    <cellStyle name="60% - Énfasis6 16 13" xfId="13773" xr:uid="{00000000-0005-0000-0000-000099350000}"/>
    <cellStyle name="60% - Énfasis6 16 14" xfId="13774" xr:uid="{00000000-0005-0000-0000-00009A350000}"/>
    <cellStyle name="60% - Énfasis6 16 15" xfId="13775" xr:uid="{00000000-0005-0000-0000-00009B350000}"/>
    <cellStyle name="60% - Énfasis6 16 16" xfId="13776" xr:uid="{00000000-0005-0000-0000-00009C350000}"/>
    <cellStyle name="60% - Énfasis6 16 17" xfId="13777" xr:uid="{00000000-0005-0000-0000-00009D350000}"/>
    <cellStyle name="60% - Énfasis6 16 18" xfId="13778" xr:uid="{00000000-0005-0000-0000-00009E350000}"/>
    <cellStyle name="60% - Énfasis6 16 19" xfId="13779" xr:uid="{00000000-0005-0000-0000-00009F350000}"/>
    <cellStyle name="60% - Énfasis6 16 2" xfId="13780" xr:uid="{00000000-0005-0000-0000-0000A0350000}"/>
    <cellStyle name="60% - Énfasis6 16 2 2" xfId="13781" xr:uid="{00000000-0005-0000-0000-0000A1350000}"/>
    <cellStyle name="60% - Énfasis6 16 3" xfId="13782" xr:uid="{00000000-0005-0000-0000-0000A2350000}"/>
    <cellStyle name="60% - Énfasis6 16 3 2" xfId="13783" xr:uid="{00000000-0005-0000-0000-0000A3350000}"/>
    <cellStyle name="60% - Énfasis6 16 4" xfId="13784" xr:uid="{00000000-0005-0000-0000-0000A4350000}"/>
    <cellStyle name="60% - Énfasis6 16 4 2" xfId="13785" xr:uid="{00000000-0005-0000-0000-0000A5350000}"/>
    <cellStyle name="60% - Énfasis6 16 5" xfId="13786" xr:uid="{00000000-0005-0000-0000-0000A6350000}"/>
    <cellStyle name="60% - Énfasis6 16 6" xfId="13787" xr:uid="{00000000-0005-0000-0000-0000A7350000}"/>
    <cellStyle name="60% - Énfasis6 16 7" xfId="13788" xr:uid="{00000000-0005-0000-0000-0000A8350000}"/>
    <cellStyle name="60% - Énfasis6 16 8" xfId="13789" xr:uid="{00000000-0005-0000-0000-0000A9350000}"/>
    <cellStyle name="60% - Énfasis6 16 9" xfId="13790" xr:uid="{00000000-0005-0000-0000-0000AA350000}"/>
    <cellStyle name="60% - Énfasis6 17 10" xfId="13791" xr:uid="{00000000-0005-0000-0000-0000AB350000}"/>
    <cellStyle name="60% - Énfasis6 17 11" xfId="13792" xr:uid="{00000000-0005-0000-0000-0000AC350000}"/>
    <cellStyle name="60% - Énfasis6 17 12" xfId="13793" xr:uid="{00000000-0005-0000-0000-0000AD350000}"/>
    <cellStyle name="60% - Énfasis6 17 13" xfId="13794" xr:uid="{00000000-0005-0000-0000-0000AE350000}"/>
    <cellStyle name="60% - Énfasis6 17 14" xfId="13795" xr:uid="{00000000-0005-0000-0000-0000AF350000}"/>
    <cellStyle name="60% - Énfasis6 17 15" xfId="13796" xr:uid="{00000000-0005-0000-0000-0000B0350000}"/>
    <cellStyle name="60% - Énfasis6 17 16" xfId="13797" xr:uid="{00000000-0005-0000-0000-0000B1350000}"/>
    <cellStyle name="60% - Énfasis6 17 17" xfId="13798" xr:uid="{00000000-0005-0000-0000-0000B2350000}"/>
    <cellStyle name="60% - Énfasis6 17 18" xfId="13799" xr:uid="{00000000-0005-0000-0000-0000B3350000}"/>
    <cellStyle name="60% - Énfasis6 17 19" xfId="13800" xr:uid="{00000000-0005-0000-0000-0000B4350000}"/>
    <cellStyle name="60% - Énfasis6 17 2" xfId="13801" xr:uid="{00000000-0005-0000-0000-0000B5350000}"/>
    <cellStyle name="60% - Énfasis6 17 2 2" xfId="13802" xr:uid="{00000000-0005-0000-0000-0000B6350000}"/>
    <cellStyle name="60% - Énfasis6 17 3" xfId="13803" xr:uid="{00000000-0005-0000-0000-0000B7350000}"/>
    <cellStyle name="60% - Énfasis6 17 3 2" xfId="13804" xr:uid="{00000000-0005-0000-0000-0000B8350000}"/>
    <cellStyle name="60% - Énfasis6 17 4" xfId="13805" xr:uid="{00000000-0005-0000-0000-0000B9350000}"/>
    <cellStyle name="60% - Énfasis6 17 4 2" xfId="13806" xr:uid="{00000000-0005-0000-0000-0000BA350000}"/>
    <cellStyle name="60% - Énfasis6 17 5" xfId="13807" xr:uid="{00000000-0005-0000-0000-0000BB350000}"/>
    <cellStyle name="60% - Énfasis6 17 6" xfId="13808" xr:uid="{00000000-0005-0000-0000-0000BC350000}"/>
    <cellStyle name="60% - Énfasis6 17 7" xfId="13809" xr:uid="{00000000-0005-0000-0000-0000BD350000}"/>
    <cellStyle name="60% - Énfasis6 17 8" xfId="13810" xr:uid="{00000000-0005-0000-0000-0000BE350000}"/>
    <cellStyle name="60% - Énfasis6 17 9" xfId="13811" xr:uid="{00000000-0005-0000-0000-0000BF350000}"/>
    <cellStyle name="60% - Énfasis6 18 10" xfId="13812" xr:uid="{00000000-0005-0000-0000-0000C0350000}"/>
    <cellStyle name="60% - Énfasis6 18 11" xfId="13813" xr:uid="{00000000-0005-0000-0000-0000C1350000}"/>
    <cellStyle name="60% - Énfasis6 18 12" xfId="13814" xr:uid="{00000000-0005-0000-0000-0000C2350000}"/>
    <cellStyle name="60% - Énfasis6 18 13" xfId="13815" xr:uid="{00000000-0005-0000-0000-0000C3350000}"/>
    <cellStyle name="60% - Énfasis6 18 14" xfId="13816" xr:uid="{00000000-0005-0000-0000-0000C4350000}"/>
    <cellStyle name="60% - Énfasis6 18 15" xfId="13817" xr:uid="{00000000-0005-0000-0000-0000C5350000}"/>
    <cellStyle name="60% - Énfasis6 18 16" xfId="13818" xr:uid="{00000000-0005-0000-0000-0000C6350000}"/>
    <cellStyle name="60% - Énfasis6 18 17" xfId="13819" xr:uid="{00000000-0005-0000-0000-0000C7350000}"/>
    <cellStyle name="60% - Énfasis6 18 18" xfId="13820" xr:uid="{00000000-0005-0000-0000-0000C8350000}"/>
    <cellStyle name="60% - Énfasis6 18 19" xfId="13821" xr:uid="{00000000-0005-0000-0000-0000C9350000}"/>
    <cellStyle name="60% - Énfasis6 18 2" xfId="13822" xr:uid="{00000000-0005-0000-0000-0000CA350000}"/>
    <cellStyle name="60% - Énfasis6 18 2 2" xfId="13823" xr:uid="{00000000-0005-0000-0000-0000CB350000}"/>
    <cellStyle name="60% - Énfasis6 18 3" xfId="13824" xr:uid="{00000000-0005-0000-0000-0000CC350000}"/>
    <cellStyle name="60% - Énfasis6 18 3 2" xfId="13825" xr:uid="{00000000-0005-0000-0000-0000CD350000}"/>
    <cellStyle name="60% - Énfasis6 18 4" xfId="13826" xr:uid="{00000000-0005-0000-0000-0000CE350000}"/>
    <cellStyle name="60% - Énfasis6 18 4 2" xfId="13827" xr:uid="{00000000-0005-0000-0000-0000CF350000}"/>
    <cellStyle name="60% - Énfasis6 18 5" xfId="13828" xr:uid="{00000000-0005-0000-0000-0000D0350000}"/>
    <cellStyle name="60% - Énfasis6 18 6" xfId="13829" xr:uid="{00000000-0005-0000-0000-0000D1350000}"/>
    <cellStyle name="60% - Énfasis6 18 7" xfId="13830" xr:uid="{00000000-0005-0000-0000-0000D2350000}"/>
    <cellStyle name="60% - Énfasis6 18 8" xfId="13831" xr:uid="{00000000-0005-0000-0000-0000D3350000}"/>
    <cellStyle name="60% - Énfasis6 18 9" xfId="13832" xr:uid="{00000000-0005-0000-0000-0000D4350000}"/>
    <cellStyle name="60% - Énfasis6 19 10" xfId="13833" xr:uid="{00000000-0005-0000-0000-0000D5350000}"/>
    <cellStyle name="60% - Énfasis6 19 11" xfId="13834" xr:uid="{00000000-0005-0000-0000-0000D6350000}"/>
    <cellStyle name="60% - Énfasis6 19 12" xfId="13835" xr:uid="{00000000-0005-0000-0000-0000D7350000}"/>
    <cellStyle name="60% - Énfasis6 19 13" xfId="13836" xr:uid="{00000000-0005-0000-0000-0000D8350000}"/>
    <cellStyle name="60% - Énfasis6 19 14" xfId="13837" xr:uid="{00000000-0005-0000-0000-0000D9350000}"/>
    <cellStyle name="60% - Énfasis6 19 15" xfId="13838" xr:uid="{00000000-0005-0000-0000-0000DA350000}"/>
    <cellStyle name="60% - Énfasis6 19 16" xfId="13839" xr:uid="{00000000-0005-0000-0000-0000DB350000}"/>
    <cellStyle name="60% - Énfasis6 19 17" xfId="13840" xr:uid="{00000000-0005-0000-0000-0000DC350000}"/>
    <cellStyle name="60% - Énfasis6 19 18" xfId="13841" xr:uid="{00000000-0005-0000-0000-0000DD350000}"/>
    <cellStyle name="60% - Énfasis6 19 19" xfId="13842" xr:uid="{00000000-0005-0000-0000-0000DE350000}"/>
    <cellStyle name="60% - Énfasis6 19 2" xfId="13843" xr:uid="{00000000-0005-0000-0000-0000DF350000}"/>
    <cellStyle name="60% - Énfasis6 19 2 2" xfId="13844" xr:uid="{00000000-0005-0000-0000-0000E0350000}"/>
    <cellStyle name="60% - Énfasis6 19 3" xfId="13845" xr:uid="{00000000-0005-0000-0000-0000E1350000}"/>
    <cellStyle name="60% - Énfasis6 19 3 2" xfId="13846" xr:uid="{00000000-0005-0000-0000-0000E2350000}"/>
    <cellStyle name="60% - Énfasis6 19 4" xfId="13847" xr:uid="{00000000-0005-0000-0000-0000E3350000}"/>
    <cellStyle name="60% - Énfasis6 19 4 2" xfId="13848" xr:uid="{00000000-0005-0000-0000-0000E4350000}"/>
    <cellStyle name="60% - Énfasis6 19 5" xfId="13849" xr:uid="{00000000-0005-0000-0000-0000E5350000}"/>
    <cellStyle name="60% - Énfasis6 19 6" xfId="13850" xr:uid="{00000000-0005-0000-0000-0000E6350000}"/>
    <cellStyle name="60% - Énfasis6 19 7" xfId="13851" xr:uid="{00000000-0005-0000-0000-0000E7350000}"/>
    <cellStyle name="60% - Énfasis6 19 8" xfId="13852" xr:uid="{00000000-0005-0000-0000-0000E8350000}"/>
    <cellStyle name="60% - Énfasis6 19 9" xfId="13853" xr:uid="{00000000-0005-0000-0000-0000E9350000}"/>
    <cellStyle name="60% - Énfasis6 2 10" xfId="13854" xr:uid="{00000000-0005-0000-0000-0000EA350000}"/>
    <cellStyle name="60% - Énfasis6 2 11" xfId="13855" xr:uid="{00000000-0005-0000-0000-0000EB350000}"/>
    <cellStyle name="60% - Énfasis6 2 12" xfId="13856" xr:uid="{00000000-0005-0000-0000-0000EC350000}"/>
    <cellStyle name="60% - Énfasis6 2 13" xfId="13857" xr:uid="{00000000-0005-0000-0000-0000ED350000}"/>
    <cellStyle name="60% - Énfasis6 2 14" xfId="13858" xr:uid="{00000000-0005-0000-0000-0000EE350000}"/>
    <cellStyle name="60% - Énfasis6 2 15" xfId="13859" xr:uid="{00000000-0005-0000-0000-0000EF350000}"/>
    <cellStyle name="60% - Énfasis6 2 16" xfId="13860" xr:uid="{00000000-0005-0000-0000-0000F0350000}"/>
    <cellStyle name="60% - Énfasis6 2 17" xfId="13861" xr:uid="{00000000-0005-0000-0000-0000F1350000}"/>
    <cellStyle name="60% - Énfasis6 2 18" xfId="13862" xr:uid="{00000000-0005-0000-0000-0000F2350000}"/>
    <cellStyle name="60% - Énfasis6 2 19" xfId="13863" xr:uid="{00000000-0005-0000-0000-0000F3350000}"/>
    <cellStyle name="60% - Énfasis6 2 2" xfId="13864" xr:uid="{00000000-0005-0000-0000-0000F4350000}"/>
    <cellStyle name="60% - Énfasis6 2 2 2" xfId="13865" xr:uid="{00000000-0005-0000-0000-0000F5350000}"/>
    <cellStyle name="60% - Énfasis6 2 3" xfId="13866" xr:uid="{00000000-0005-0000-0000-0000F6350000}"/>
    <cellStyle name="60% - Énfasis6 2 3 2" xfId="13867" xr:uid="{00000000-0005-0000-0000-0000F7350000}"/>
    <cellStyle name="60% - Énfasis6 2 4" xfId="13868" xr:uid="{00000000-0005-0000-0000-0000F8350000}"/>
    <cellStyle name="60% - Énfasis6 2 4 2" xfId="13869" xr:uid="{00000000-0005-0000-0000-0000F9350000}"/>
    <cellStyle name="60% - Énfasis6 2 5" xfId="13870" xr:uid="{00000000-0005-0000-0000-0000FA350000}"/>
    <cellStyle name="60% - Énfasis6 2 6" xfId="13871" xr:uid="{00000000-0005-0000-0000-0000FB350000}"/>
    <cellStyle name="60% - Énfasis6 2 7" xfId="13872" xr:uid="{00000000-0005-0000-0000-0000FC350000}"/>
    <cellStyle name="60% - Énfasis6 2 8" xfId="13873" xr:uid="{00000000-0005-0000-0000-0000FD350000}"/>
    <cellStyle name="60% - Énfasis6 2 9" xfId="13874" xr:uid="{00000000-0005-0000-0000-0000FE350000}"/>
    <cellStyle name="60% - Énfasis6 20 10" xfId="13875" xr:uid="{00000000-0005-0000-0000-0000FF350000}"/>
    <cellStyle name="60% - Énfasis6 20 11" xfId="13876" xr:uid="{00000000-0005-0000-0000-000000360000}"/>
    <cellStyle name="60% - Énfasis6 20 12" xfId="13877" xr:uid="{00000000-0005-0000-0000-000001360000}"/>
    <cellStyle name="60% - Énfasis6 20 13" xfId="13878" xr:uid="{00000000-0005-0000-0000-000002360000}"/>
    <cellStyle name="60% - Énfasis6 20 14" xfId="13879" xr:uid="{00000000-0005-0000-0000-000003360000}"/>
    <cellStyle name="60% - Énfasis6 20 15" xfId="13880" xr:uid="{00000000-0005-0000-0000-000004360000}"/>
    <cellStyle name="60% - Énfasis6 20 16" xfId="13881" xr:uid="{00000000-0005-0000-0000-000005360000}"/>
    <cellStyle name="60% - Énfasis6 20 17" xfId="13882" xr:uid="{00000000-0005-0000-0000-000006360000}"/>
    <cellStyle name="60% - Énfasis6 20 18" xfId="13883" xr:uid="{00000000-0005-0000-0000-000007360000}"/>
    <cellStyle name="60% - Énfasis6 20 19" xfId="13884" xr:uid="{00000000-0005-0000-0000-000008360000}"/>
    <cellStyle name="60% - Énfasis6 20 2" xfId="13885" xr:uid="{00000000-0005-0000-0000-000009360000}"/>
    <cellStyle name="60% - Énfasis6 20 2 2" xfId="13886" xr:uid="{00000000-0005-0000-0000-00000A360000}"/>
    <cellStyle name="60% - Énfasis6 20 3" xfId="13887" xr:uid="{00000000-0005-0000-0000-00000B360000}"/>
    <cellStyle name="60% - Énfasis6 20 3 2" xfId="13888" xr:uid="{00000000-0005-0000-0000-00000C360000}"/>
    <cellStyle name="60% - Énfasis6 20 4" xfId="13889" xr:uid="{00000000-0005-0000-0000-00000D360000}"/>
    <cellStyle name="60% - Énfasis6 20 4 2" xfId="13890" xr:uid="{00000000-0005-0000-0000-00000E360000}"/>
    <cellStyle name="60% - Énfasis6 20 5" xfId="13891" xr:uid="{00000000-0005-0000-0000-00000F360000}"/>
    <cellStyle name="60% - Énfasis6 20 6" xfId="13892" xr:uid="{00000000-0005-0000-0000-000010360000}"/>
    <cellStyle name="60% - Énfasis6 20 7" xfId="13893" xr:uid="{00000000-0005-0000-0000-000011360000}"/>
    <cellStyle name="60% - Énfasis6 20 8" xfId="13894" xr:uid="{00000000-0005-0000-0000-000012360000}"/>
    <cellStyle name="60% - Énfasis6 20 9" xfId="13895" xr:uid="{00000000-0005-0000-0000-000013360000}"/>
    <cellStyle name="60% - Énfasis6 21 10" xfId="13896" xr:uid="{00000000-0005-0000-0000-000014360000}"/>
    <cellStyle name="60% - Énfasis6 21 11" xfId="13897" xr:uid="{00000000-0005-0000-0000-000015360000}"/>
    <cellStyle name="60% - Énfasis6 21 12" xfId="13898" xr:uid="{00000000-0005-0000-0000-000016360000}"/>
    <cellStyle name="60% - Énfasis6 21 13" xfId="13899" xr:uid="{00000000-0005-0000-0000-000017360000}"/>
    <cellStyle name="60% - Énfasis6 21 14" xfId="13900" xr:uid="{00000000-0005-0000-0000-000018360000}"/>
    <cellStyle name="60% - Énfasis6 21 15" xfId="13901" xr:uid="{00000000-0005-0000-0000-000019360000}"/>
    <cellStyle name="60% - Énfasis6 21 16" xfId="13902" xr:uid="{00000000-0005-0000-0000-00001A360000}"/>
    <cellStyle name="60% - Énfasis6 21 17" xfId="13903" xr:uid="{00000000-0005-0000-0000-00001B360000}"/>
    <cellStyle name="60% - Énfasis6 21 18" xfId="13904" xr:uid="{00000000-0005-0000-0000-00001C360000}"/>
    <cellStyle name="60% - Énfasis6 21 19" xfId="13905" xr:uid="{00000000-0005-0000-0000-00001D360000}"/>
    <cellStyle name="60% - Énfasis6 21 2" xfId="13906" xr:uid="{00000000-0005-0000-0000-00001E360000}"/>
    <cellStyle name="60% - Énfasis6 21 2 2" xfId="13907" xr:uid="{00000000-0005-0000-0000-00001F360000}"/>
    <cellStyle name="60% - Énfasis6 21 3" xfId="13908" xr:uid="{00000000-0005-0000-0000-000020360000}"/>
    <cellStyle name="60% - Énfasis6 21 3 2" xfId="13909" xr:uid="{00000000-0005-0000-0000-000021360000}"/>
    <cellStyle name="60% - Énfasis6 21 4" xfId="13910" xr:uid="{00000000-0005-0000-0000-000022360000}"/>
    <cellStyle name="60% - Énfasis6 21 4 2" xfId="13911" xr:uid="{00000000-0005-0000-0000-000023360000}"/>
    <cellStyle name="60% - Énfasis6 21 5" xfId="13912" xr:uid="{00000000-0005-0000-0000-000024360000}"/>
    <cellStyle name="60% - Énfasis6 21 6" xfId="13913" xr:uid="{00000000-0005-0000-0000-000025360000}"/>
    <cellStyle name="60% - Énfasis6 21 7" xfId="13914" xr:uid="{00000000-0005-0000-0000-000026360000}"/>
    <cellStyle name="60% - Énfasis6 21 8" xfId="13915" xr:uid="{00000000-0005-0000-0000-000027360000}"/>
    <cellStyle name="60% - Énfasis6 21 9" xfId="13916" xr:uid="{00000000-0005-0000-0000-000028360000}"/>
    <cellStyle name="60% - Énfasis6 22 10" xfId="13917" xr:uid="{00000000-0005-0000-0000-000029360000}"/>
    <cellStyle name="60% - Énfasis6 22 11" xfId="13918" xr:uid="{00000000-0005-0000-0000-00002A360000}"/>
    <cellStyle name="60% - Énfasis6 22 12" xfId="13919" xr:uid="{00000000-0005-0000-0000-00002B360000}"/>
    <cellStyle name="60% - Énfasis6 22 13" xfId="13920" xr:uid="{00000000-0005-0000-0000-00002C360000}"/>
    <cellStyle name="60% - Énfasis6 22 14" xfId="13921" xr:uid="{00000000-0005-0000-0000-00002D360000}"/>
    <cellStyle name="60% - Énfasis6 22 15" xfId="13922" xr:uid="{00000000-0005-0000-0000-00002E360000}"/>
    <cellStyle name="60% - Énfasis6 22 16" xfId="13923" xr:uid="{00000000-0005-0000-0000-00002F360000}"/>
    <cellStyle name="60% - Énfasis6 22 17" xfId="13924" xr:uid="{00000000-0005-0000-0000-000030360000}"/>
    <cellStyle name="60% - Énfasis6 22 18" xfId="13925" xr:uid="{00000000-0005-0000-0000-000031360000}"/>
    <cellStyle name="60% - Énfasis6 22 19" xfId="13926" xr:uid="{00000000-0005-0000-0000-000032360000}"/>
    <cellStyle name="60% - Énfasis6 22 2" xfId="13927" xr:uid="{00000000-0005-0000-0000-000033360000}"/>
    <cellStyle name="60% - Énfasis6 22 2 2" xfId="13928" xr:uid="{00000000-0005-0000-0000-000034360000}"/>
    <cellStyle name="60% - Énfasis6 22 3" xfId="13929" xr:uid="{00000000-0005-0000-0000-000035360000}"/>
    <cellStyle name="60% - Énfasis6 22 3 2" xfId="13930" xr:uid="{00000000-0005-0000-0000-000036360000}"/>
    <cellStyle name="60% - Énfasis6 22 4" xfId="13931" xr:uid="{00000000-0005-0000-0000-000037360000}"/>
    <cellStyle name="60% - Énfasis6 22 4 2" xfId="13932" xr:uid="{00000000-0005-0000-0000-000038360000}"/>
    <cellStyle name="60% - Énfasis6 22 5" xfId="13933" xr:uid="{00000000-0005-0000-0000-000039360000}"/>
    <cellStyle name="60% - Énfasis6 22 6" xfId="13934" xr:uid="{00000000-0005-0000-0000-00003A360000}"/>
    <cellStyle name="60% - Énfasis6 22 7" xfId="13935" xr:uid="{00000000-0005-0000-0000-00003B360000}"/>
    <cellStyle name="60% - Énfasis6 22 8" xfId="13936" xr:uid="{00000000-0005-0000-0000-00003C360000}"/>
    <cellStyle name="60% - Énfasis6 22 9" xfId="13937" xr:uid="{00000000-0005-0000-0000-00003D360000}"/>
    <cellStyle name="60% - Énfasis6 23 10" xfId="13938" xr:uid="{00000000-0005-0000-0000-00003E360000}"/>
    <cellStyle name="60% - Énfasis6 23 11" xfId="13939" xr:uid="{00000000-0005-0000-0000-00003F360000}"/>
    <cellStyle name="60% - Énfasis6 23 12" xfId="13940" xr:uid="{00000000-0005-0000-0000-000040360000}"/>
    <cellStyle name="60% - Énfasis6 23 13" xfId="13941" xr:uid="{00000000-0005-0000-0000-000041360000}"/>
    <cellStyle name="60% - Énfasis6 23 14" xfId="13942" xr:uid="{00000000-0005-0000-0000-000042360000}"/>
    <cellStyle name="60% - Énfasis6 23 15" xfId="13943" xr:uid="{00000000-0005-0000-0000-000043360000}"/>
    <cellStyle name="60% - Énfasis6 23 16" xfId="13944" xr:uid="{00000000-0005-0000-0000-000044360000}"/>
    <cellStyle name="60% - Énfasis6 23 17" xfId="13945" xr:uid="{00000000-0005-0000-0000-000045360000}"/>
    <cellStyle name="60% - Énfasis6 23 18" xfId="13946" xr:uid="{00000000-0005-0000-0000-000046360000}"/>
    <cellStyle name="60% - Énfasis6 23 19" xfId="13947" xr:uid="{00000000-0005-0000-0000-000047360000}"/>
    <cellStyle name="60% - Énfasis6 23 2" xfId="13948" xr:uid="{00000000-0005-0000-0000-000048360000}"/>
    <cellStyle name="60% - Énfasis6 23 2 2" xfId="13949" xr:uid="{00000000-0005-0000-0000-000049360000}"/>
    <cellStyle name="60% - Énfasis6 23 3" xfId="13950" xr:uid="{00000000-0005-0000-0000-00004A360000}"/>
    <cellStyle name="60% - Énfasis6 23 3 2" xfId="13951" xr:uid="{00000000-0005-0000-0000-00004B360000}"/>
    <cellStyle name="60% - Énfasis6 23 4" xfId="13952" xr:uid="{00000000-0005-0000-0000-00004C360000}"/>
    <cellStyle name="60% - Énfasis6 23 4 2" xfId="13953" xr:uid="{00000000-0005-0000-0000-00004D360000}"/>
    <cellStyle name="60% - Énfasis6 23 5" xfId="13954" xr:uid="{00000000-0005-0000-0000-00004E360000}"/>
    <cellStyle name="60% - Énfasis6 23 6" xfId="13955" xr:uid="{00000000-0005-0000-0000-00004F360000}"/>
    <cellStyle name="60% - Énfasis6 23 7" xfId="13956" xr:uid="{00000000-0005-0000-0000-000050360000}"/>
    <cellStyle name="60% - Énfasis6 23 8" xfId="13957" xr:uid="{00000000-0005-0000-0000-000051360000}"/>
    <cellStyle name="60% - Énfasis6 23 9" xfId="13958" xr:uid="{00000000-0005-0000-0000-000052360000}"/>
    <cellStyle name="60% - Énfasis6 24 10" xfId="13959" xr:uid="{00000000-0005-0000-0000-000053360000}"/>
    <cellStyle name="60% - Énfasis6 24 11" xfId="13960" xr:uid="{00000000-0005-0000-0000-000054360000}"/>
    <cellStyle name="60% - Énfasis6 24 12" xfId="13961" xr:uid="{00000000-0005-0000-0000-000055360000}"/>
    <cellStyle name="60% - Énfasis6 24 13" xfId="13962" xr:uid="{00000000-0005-0000-0000-000056360000}"/>
    <cellStyle name="60% - Énfasis6 24 14" xfId="13963" xr:uid="{00000000-0005-0000-0000-000057360000}"/>
    <cellStyle name="60% - Énfasis6 24 15" xfId="13964" xr:uid="{00000000-0005-0000-0000-000058360000}"/>
    <cellStyle name="60% - Énfasis6 24 16" xfId="13965" xr:uid="{00000000-0005-0000-0000-000059360000}"/>
    <cellStyle name="60% - Énfasis6 24 17" xfId="13966" xr:uid="{00000000-0005-0000-0000-00005A360000}"/>
    <cellStyle name="60% - Énfasis6 24 18" xfId="13967" xr:uid="{00000000-0005-0000-0000-00005B360000}"/>
    <cellStyle name="60% - Énfasis6 24 19" xfId="13968" xr:uid="{00000000-0005-0000-0000-00005C360000}"/>
    <cellStyle name="60% - Énfasis6 24 2" xfId="13969" xr:uid="{00000000-0005-0000-0000-00005D360000}"/>
    <cellStyle name="60% - Énfasis6 24 2 2" xfId="13970" xr:uid="{00000000-0005-0000-0000-00005E360000}"/>
    <cellStyle name="60% - Énfasis6 24 3" xfId="13971" xr:uid="{00000000-0005-0000-0000-00005F360000}"/>
    <cellStyle name="60% - Énfasis6 24 3 2" xfId="13972" xr:uid="{00000000-0005-0000-0000-000060360000}"/>
    <cellStyle name="60% - Énfasis6 24 4" xfId="13973" xr:uid="{00000000-0005-0000-0000-000061360000}"/>
    <cellStyle name="60% - Énfasis6 24 4 2" xfId="13974" xr:uid="{00000000-0005-0000-0000-000062360000}"/>
    <cellStyle name="60% - Énfasis6 24 5" xfId="13975" xr:uid="{00000000-0005-0000-0000-000063360000}"/>
    <cellStyle name="60% - Énfasis6 24 6" xfId="13976" xr:uid="{00000000-0005-0000-0000-000064360000}"/>
    <cellStyle name="60% - Énfasis6 24 7" xfId="13977" xr:uid="{00000000-0005-0000-0000-000065360000}"/>
    <cellStyle name="60% - Énfasis6 24 8" xfId="13978" xr:uid="{00000000-0005-0000-0000-000066360000}"/>
    <cellStyle name="60% - Énfasis6 24 9" xfId="13979" xr:uid="{00000000-0005-0000-0000-000067360000}"/>
    <cellStyle name="60% - Énfasis6 25 10" xfId="13980" xr:uid="{00000000-0005-0000-0000-000068360000}"/>
    <cellStyle name="60% - Énfasis6 25 11" xfId="13981" xr:uid="{00000000-0005-0000-0000-000069360000}"/>
    <cellStyle name="60% - Énfasis6 25 12" xfId="13982" xr:uid="{00000000-0005-0000-0000-00006A360000}"/>
    <cellStyle name="60% - Énfasis6 25 13" xfId="13983" xr:uid="{00000000-0005-0000-0000-00006B360000}"/>
    <cellStyle name="60% - Énfasis6 25 14" xfId="13984" xr:uid="{00000000-0005-0000-0000-00006C360000}"/>
    <cellStyle name="60% - Énfasis6 25 15" xfId="13985" xr:uid="{00000000-0005-0000-0000-00006D360000}"/>
    <cellStyle name="60% - Énfasis6 25 16" xfId="13986" xr:uid="{00000000-0005-0000-0000-00006E360000}"/>
    <cellStyle name="60% - Énfasis6 25 17" xfId="13987" xr:uid="{00000000-0005-0000-0000-00006F360000}"/>
    <cellStyle name="60% - Énfasis6 25 18" xfId="13988" xr:uid="{00000000-0005-0000-0000-000070360000}"/>
    <cellStyle name="60% - Énfasis6 25 19" xfId="13989" xr:uid="{00000000-0005-0000-0000-000071360000}"/>
    <cellStyle name="60% - Énfasis6 25 2" xfId="13990" xr:uid="{00000000-0005-0000-0000-000072360000}"/>
    <cellStyle name="60% - Énfasis6 25 2 2" xfId="13991" xr:uid="{00000000-0005-0000-0000-000073360000}"/>
    <cellStyle name="60% - Énfasis6 25 3" xfId="13992" xr:uid="{00000000-0005-0000-0000-000074360000}"/>
    <cellStyle name="60% - Énfasis6 25 3 2" xfId="13993" xr:uid="{00000000-0005-0000-0000-000075360000}"/>
    <cellStyle name="60% - Énfasis6 25 4" xfId="13994" xr:uid="{00000000-0005-0000-0000-000076360000}"/>
    <cellStyle name="60% - Énfasis6 25 4 2" xfId="13995" xr:uid="{00000000-0005-0000-0000-000077360000}"/>
    <cellStyle name="60% - Énfasis6 25 5" xfId="13996" xr:uid="{00000000-0005-0000-0000-000078360000}"/>
    <cellStyle name="60% - Énfasis6 25 6" xfId="13997" xr:uid="{00000000-0005-0000-0000-000079360000}"/>
    <cellStyle name="60% - Énfasis6 25 7" xfId="13998" xr:uid="{00000000-0005-0000-0000-00007A360000}"/>
    <cellStyle name="60% - Énfasis6 25 8" xfId="13999" xr:uid="{00000000-0005-0000-0000-00007B360000}"/>
    <cellStyle name="60% - Énfasis6 25 9" xfId="14000" xr:uid="{00000000-0005-0000-0000-00007C360000}"/>
    <cellStyle name="60% - Énfasis6 26 10" xfId="14001" xr:uid="{00000000-0005-0000-0000-00007D360000}"/>
    <cellStyle name="60% - Énfasis6 26 11" xfId="14002" xr:uid="{00000000-0005-0000-0000-00007E360000}"/>
    <cellStyle name="60% - Énfasis6 26 12" xfId="14003" xr:uid="{00000000-0005-0000-0000-00007F360000}"/>
    <cellStyle name="60% - Énfasis6 26 13" xfId="14004" xr:uid="{00000000-0005-0000-0000-000080360000}"/>
    <cellStyle name="60% - Énfasis6 26 14" xfId="14005" xr:uid="{00000000-0005-0000-0000-000081360000}"/>
    <cellStyle name="60% - Énfasis6 26 15" xfId="14006" xr:uid="{00000000-0005-0000-0000-000082360000}"/>
    <cellStyle name="60% - Énfasis6 26 16" xfId="14007" xr:uid="{00000000-0005-0000-0000-000083360000}"/>
    <cellStyle name="60% - Énfasis6 26 17" xfId="14008" xr:uid="{00000000-0005-0000-0000-000084360000}"/>
    <cellStyle name="60% - Énfasis6 26 18" xfId="14009" xr:uid="{00000000-0005-0000-0000-000085360000}"/>
    <cellStyle name="60% - Énfasis6 26 19" xfId="14010" xr:uid="{00000000-0005-0000-0000-000086360000}"/>
    <cellStyle name="60% - Énfasis6 26 2" xfId="14011" xr:uid="{00000000-0005-0000-0000-000087360000}"/>
    <cellStyle name="60% - Énfasis6 26 2 2" xfId="14012" xr:uid="{00000000-0005-0000-0000-000088360000}"/>
    <cellStyle name="60% - Énfasis6 26 3" xfId="14013" xr:uid="{00000000-0005-0000-0000-000089360000}"/>
    <cellStyle name="60% - Énfasis6 26 3 2" xfId="14014" xr:uid="{00000000-0005-0000-0000-00008A360000}"/>
    <cellStyle name="60% - Énfasis6 26 4" xfId="14015" xr:uid="{00000000-0005-0000-0000-00008B360000}"/>
    <cellStyle name="60% - Énfasis6 26 4 2" xfId="14016" xr:uid="{00000000-0005-0000-0000-00008C360000}"/>
    <cellStyle name="60% - Énfasis6 26 5" xfId="14017" xr:uid="{00000000-0005-0000-0000-00008D360000}"/>
    <cellStyle name="60% - Énfasis6 26 6" xfId="14018" xr:uid="{00000000-0005-0000-0000-00008E360000}"/>
    <cellStyle name="60% - Énfasis6 26 7" xfId="14019" xr:uid="{00000000-0005-0000-0000-00008F360000}"/>
    <cellStyle name="60% - Énfasis6 26 8" xfId="14020" xr:uid="{00000000-0005-0000-0000-000090360000}"/>
    <cellStyle name="60% - Énfasis6 26 9" xfId="14021" xr:uid="{00000000-0005-0000-0000-000091360000}"/>
    <cellStyle name="60% - Énfasis6 27 10" xfId="14022" xr:uid="{00000000-0005-0000-0000-000092360000}"/>
    <cellStyle name="60% - Énfasis6 27 11" xfId="14023" xr:uid="{00000000-0005-0000-0000-000093360000}"/>
    <cellStyle name="60% - Énfasis6 27 12" xfId="14024" xr:uid="{00000000-0005-0000-0000-000094360000}"/>
    <cellStyle name="60% - Énfasis6 27 13" xfId="14025" xr:uid="{00000000-0005-0000-0000-000095360000}"/>
    <cellStyle name="60% - Énfasis6 27 14" xfId="14026" xr:uid="{00000000-0005-0000-0000-000096360000}"/>
    <cellStyle name="60% - Énfasis6 27 15" xfId="14027" xr:uid="{00000000-0005-0000-0000-000097360000}"/>
    <cellStyle name="60% - Énfasis6 27 16" xfId="14028" xr:uid="{00000000-0005-0000-0000-000098360000}"/>
    <cellStyle name="60% - Énfasis6 27 17" xfId="14029" xr:uid="{00000000-0005-0000-0000-000099360000}"/>
    <cellStyle name="60% - Énfasis6 27 18" xfId="14030" xr:uid="{00000000-0005-0000-0000-00009A360000}"/>
    <cellStyle name="60% - Énfasis6 27 19" xfId="14031" xr:uid="{00000000-0005-0000-0000-00009B360000}"/>
    <cellStyle name="60% - Énfasis6 27 2" xfId="14032" xr:uid="{00000000-0005-0000-0000-00009C360000}"/>
    <cellStyle name="60% - Énfasis6 27 2 2" xfId="14033" xr:uid="{00000000-0005-0000-0000-00009D360000}"/>
    <cellStyle name="60% - Énfasis6 27 3" xfId="14034" xr:uid="{00000000-0005-0000-0000-00009E360000}"/>
    <cellStyle name="60% - Énfasis6 27 3 2" xfId="14035" xr:uid="{00000000-0005-0000-0000-00009F360000}"/>
    <cellStyle name="60% - Énfasis6 27 4" xfId="14036" xr:uid="{00000000-0005-0000-0000-0000A0360000}"/>
    <cellStyle name="60% - Énfasis6 27 4 2" xfId="14037" xr:uid="{00000000-0005-0000-0000-0000A1360000}"/>
    <cellStyle name="60% - Énfasis6 27 5" xfId="14038" xr:uid="{00000000-0005-0000-0000-0000A2360000}"/>
    <cellStyle name="60% - Énfasis6 27 6" xfId="14039" xr:uid="{00000000-0005-0000-0000-0000A3360000}"/>
    <cellStyle name="60% - Énfasis6 27 7" xfId="14040" xr:uid="{00000000-0005-0000-0000-0000A4360000}"/>
    <cellStyle name="60% - Énfasis6 27 8" xfId="14041" xr:uid="{00000000-0005-0000-0000-0000A5360000}"/>
    <cellStyle name="60% - Énfasis6 27 9" xfId="14042" xr:uid="{00000000-0005-0000-0000-0000A6360000}"/>
    <cellStyle name="60% - Énfasis6 28 10" xfId="14043" xr:uid="{00000000-0005-0000-0000-0000A7360000}"/>
    <cellStyle name="60% - Énfasis6 28 11" xfId="14044" xr:uid="{00000000-0005-0000-0000-0000A8360000}"/>
    <cellStyle name="60% - Énfasis6 28 12" xfId="14045" xr:uid="{00000000-0005-0000-0000-0000A9360000}"/>
    <cellStyle name="60% - Énfasis6 28 13" xfId="14046" xr:uid="{00000000-0005-0000-0000-0000AA360000}"/>
    <cellStyle name="60% - Énfasis6 28 14" xfId="14047" xr:uid="{00000000-0005-0000-0000-0000AB360000}"/>
    <cellStyle name="60% - Énfasis6 28 15" xfId="14048" xr:uid="{00000000-0005-0000-0000-0000AC360000}"/>
    <cellStyle name="60% - Énfasis6 28 16" xfId="14049" xr:uid="{00000000-0005-0000-0000-0000AD360000}"/>
    <cellStyle name="60% - Énfasis6 28 17" xfId="14050" xr:uid="{00000000-0005-0000-0000-0000AE360000}"/>
    <cellStyle name="60% - Énfasis6 28 18" xfId="14051" xr:uid="{00000000-0005-0000-0000-0000AF360000}"/>
    <cellStyle name="60% - Énfasis6 28 19" xfId="14052" xr:uid="{00000000-0005-0000-0000-0000B0360000}"/>
    <cellStyle name="60% - Énfasis6 28 2" xfId="14053" xr:uid="{00000000-0005-0000-0000-0000B1360000}"/>
    <cellStyle name="60% - Énfasis6 28 2 2" xfId="14054" xr:uid="{00000000-0005-0000-0000-0000B2360000}"/>
    <cellStyle name="60% - Énfasis6 28 3" xfId="14055" xr:uid="{00000000-0005-0000-0000-0000B3360000}"/>
    <cellStyle name="60% - Énfasis6 28 3 2" xfId="14056" xr:uid="{00000000-0005-0000-0000-0000B4360000}"/>
    <cellStyle name="60% - Énfasis6 28 4" xfId="14057" xr:uid="{00000000-0005-0000-0000-0000B5360000}"/>
    <cellStyle name="60% - Énfasis6 28 4 2" xfId="14058" xr:uid="{00000000-0005-0000-0000-0000B6360000}"/>
    <cellStyle name="60% - Énfasis6 28 5" xfId="14059" xr:uid="{00000000-0005-0000-0000-0000B7360000}"/>
    <cellStyle name="60% - Énfasis6 28 6" xfId="14060" xr:uid="{00000000-0005-0000-0000-0000B8360000}"/>
    <cellStyle name="60% - Énfasis6 28 7" xfId="14061" xr:uid="{00000000-0005-0000-0000-0000B9360000}"/>
    <cellStyle name="60% - Énfasis6 28 8" xfId="14062" xr:uid="{00000000-0005-0000-0000-0000BA360000}"/>
    <cellStyle name="60% - Énfasis6 28 9" xfId="14063" xr:uid="{00000000-0005-0000-0000-0000BB360000}"/>
    <cellStyle name="60% - Énfasis6 29 10" xfId="14064" xr:uid="{00000000-0005-0000-0000-0000BC360000}"/>
    <cellStyle name="60% - Énfasis6 29 11" xfId="14065" xr:uid="{00000000-0005-0000-0000-0000BD360000}"/>
    <cellStyle name="60% - Énfasis6 29 12" xfId="14066" xr:uid="{00000000-0005-0000-0000-0000BE360000}"/>
    <cellStyle name="60% - Énfasis6 29 13" xfId="14067" xr:uid="{00000000-0005-0000-0000-0000BF360000}"/>
    <cellStyle name="60% - Énfasis6 29 14" xfId="14068" xr:uid="{00000000-0005-0000-0000-0000C0360000}"/>
    <cellStyle name="60% - Énfasis6 29 15" xfId="14069" xr:uid="{00000000-0005-0000-0000-0000C1360000}"/>
    <cellStyle name="60% - Énfasis6 29 16" xfId="14070" xr:uid="{00000000-0005-0000-0000-0000C2360000}"/>
    <cellStyle name="60% - Énfasis6 29 17" xfId="14071" xr:uid="{00000000-0005-0000-0000-0000C3360000}"/>
    <cellStyle name="60% - Énfasis6 29 18" xfId="14072" xr:uid="{00000000-0005-0000-0000-0000C4360000}"/>
    <cellStyle name="60% - Énfasis6 29 19" xfId="14073" xr:uid="{00000000-0005-0000-0000-0000C5360000}"/>
    <cellStyle name="60% - Énfasis6 29 2" xfId="14074" xr:uid="{00000000-0005-0000-0000-0000C6360000}"/>
    <cellStyle name="60% - Énfasis6 29 2 2" xfId="14075" xr:uid="{00000000-0005-0000-0000-0000C7360000}"/>
    <cellStyle name="60% - Énfasis6 29 3" xfId="14076" xr:uid="{00000000-0005-0000-0000-0000C8360000}"/>
    <cellStyle name="60% - Énfasis6 29 3 2" xfId="14077" xr:uid="{00000000-0005-0000-0000-0000C9360000}"/>
    <cellStyle name="60% - Énfasis6 29 4" xfId="14078" xr:uid="{00000000-0005-0000-0000-0000CA360000}"/>
    <cellStyle name="60% - Énfasis6 29 4 2" xfId="14079" xr:uid="{00000000-0005-0000-0000-0000CB360000}"/>
    <cellStyle name="60% - Énfasis6 29 5" xfId="14080" xr:uid="{00000000-0005-0000-0000-0000CC360000}"/>
    <cellStyle name="60% - Énfasis6 29 6" xfId="14081" xr:uid="{00000000-0005-0000-0000-0000CD360000}"/>
    <cellStyle name="60% - Énfasis6 29 7" xfId="14082" xr:uid="{00000000-0005-0000-0000-0000CE360000}"/>
    <cellStyle name="60% - Énfasis6 29 8" xfId="14083" xr:uid="{00000000-0005-0000-0000-0000CF360000}"/>
    <cellStyle name="60% - Énfasis6 29 9" xfId="14084" xr:uid="{00000000-0005-0000-0000-0000D0360000}"/>
    <cellStyle name="60% - Énfasis6 3 10" xfId="14085" xr:uid="{00000000-0005-0000-0000-0000D1360000}"/>
    <cellStyle name="60% - Énfasis6 3 11" xfId="14086" xr:uid="{00000000-0005-0000-0000-0000D2360000}"/>
    <cellStyle name="60% - Énfasis6 3 12" xfId="14087" xr:uid="{00000000-0005-0000-0000-0000D3360000}"/>
    <cellStyle name="60% - Énfasis6 3 13" xfId="14088" xr:uid="{00000000-0005-0000-0000-0000D4360000}"/>
    <cellStyle name="60% - Énfasis6 3 14" xfId="14089" xr:uid="{00000000-0005-0000-0000-0000D5360000}"/>
    <cellStyle name="60% - Énfasis6 3 15" xfId="14090" xr:uid="{00000000-0005-0000-0000-0000D6360000}"/>
    <cellStyle name="60% - Énfasis6 3 16" xfId="14091" xr:uid="{00000000-0005-0000-0000-0000D7360000}"/>
    <cellStyle name="60% - Énfasis6 3 17" xfId="14092" xr:uid="{00000000-0005-0000-0000-0000D8360000}"/>
    <cellStyle name="60% - Énfasis6 3 18" xfId="14093" xr:uid="{00000000-0005-0000-0000-0000D9360000}"/>
    <cellStyle name="60% - Énfasis6 3 19" xfId="14094" xr:uid="{00000000-0005-0000-0000-0000DA360000}"/>
    <cellStyle name="60% - Énfasis6 3 2" xfId="14095" xr:uid="{00000000-0005-0000-0000-0000DB360000}"/>
    <cellStyle name="60% - Énfasis6 3 2 2" xfId="14096" xr:uid="{00000000-0005-0000-0000-0000DC360000}"/>
    <cellStyle name="60% - Énfasis6 3 3" xfId="14097" xr:uid="{00000000-0005-0000-0000-0000DD360000}"/>
    <cellStyle name="60% - Énfasis6 3 3 2" xfId="14098" xr:uid="{00000000-0005-0000-0000-0000DE360000}"/>
    <cellStyle name="60% - Énfasis6 3 4" xfId="14099" xr:uid="{00000000-0005-0000-0000-0000DF360000}"/>
    <cellStyle name="60% - Énfasis6 3 4 2" xfId="14100" xr:uid="{00000000-0005-0000-0000-0000E0360000}"/>
    <cellStyle name="60% - Énfasis6 3 5" xfId="14101" xr:uid="{00000000-0005-0000-0000-0000E1360000}"/>
    <cellStyle name="60% - Énfasis6 3 6" xfId="14102" xr:uid="{00000000-0005-0000-0000-0000E2360000}"/>
    <cellStyle name="60% - Énfasis6 3 7" xfId="14103" xr:uid="{00000000-0005-0000-0000-0000E3360000}"/>
    <cellStyle name="60% - Énfasis6 3 8" xfId="14104" xr:uid="{00000000-0005-0000-0000-0000E4360000}"/>
    <cellStyle name="60% - Énfasis6 3 9" xfId="14105" xr:uid="{00000000-0005-0000-0000-0000E5360000}"/>
    <cellStyle name="60% - Énfasis6 30 10" xfId="14106" xr:uid="{00000000-0005-0000-0000-0000E6360000}"/>
    <cellStyle name="60% - Énfasis6 30 11" xfId="14107" xr:uid="{00000000-0005-0000-0000-0000E7360000}"/>
    <cellStyle name="60% - Énfasis6 30 12" xfId="14108" xr:uid="{00000000-0005-0000-0000-0000E8360000}"/>
    <cellStyle name="60% - Énfasis6 30 13" xfId="14109" xr:uid="{00000000-0005-0000-0000-0000E9360000}"/>
    <cellStyle name="60% - Énfasis6 30 14" xfId="14110" xr:uid="{00000000-0005-0000-0000-0000EA360000}"/>
    <cellStyle name="60% - Énfasis6 30 15" xfId="14111" xr:uid="{00000000-0005-0000-0000-0000EB360000}"/>
    <cellStyle name="60% - Énfasis6 30 16" xfId="14112" xr:uid="{00000000-0005-0000-0000-0000EC360000}"/>
    <cellStyle name="60% - Énfasis6 30 17" xfId="14113" xr:uid="{00000000-0005-0000-0000-0000ED360000}"/>
    <cellStyle name="60% - Énfasis6 30 18" xfId="14114" xr:uid="{00000000-0005-0000-0000-0000EE360000}"/>
    <cellStyle name="60% - Énfasis6 30 19" xfId="14115" xr:uid="{00000000-0005-0000-0000-0000EF360000}"/>
    <cellStyle name="60% - Énfasis6 30 2" xfId="14116" xr:uid="{00000000-0005-0000-0000-0000F0360000}"/>
    <cellStyle name="60% - Énfasis6 30 2 2" xfId="14117" xr:uid="{00000000-0005-0000-0000-0000F1360000}"/>
    <cellStyle name="60% - Énfasis6 30 3" xfId="14118" xr:uid="{00000000-0005-0000-0000-0000F2360000}"/>
    <cellStyle name="60% - Énfasis6 30 3 2" xfId="14119" xr:uid="{00000000-0005-0000-0000-0000F3360000}"/>
    <cellStyle name="60% - Énfasis6 30 4" xfId="14120" xr:uid="{00000000-0005-0000-0000-0000F4360000}"/>
    <cellStyle name="60% - Énfasis6 30 4 2" xfId="14121" xr:uid="{00000000-0005-0000-0000-0000F5360000}"/>
    <cellStyle name="60% - Énfasis6 30 5" xfId="14122" xr:uid="{00000000-0005-0000-0000-0000F6360000}"/>
    <cellStyle name="60% - Énfasis6 30 6" xfId="14123" xr:uid="{00000000-0005-0000-0000-0000F7360000}"/>
    <cellStyle name="60% - Énfasis6 30 7" xfId="14124" xr:uid="{00000000-0005-0000-0000-0000F8360000}"/>
    <cellStyle name="60% - Énfasis6 30 8" xfId="14125" xr:uid="{00000000-0005-0000-0000-0000F9360000}"/>
    <cellStyle name="60% - Énfasis6 30 9" xfId="14126" xr:uid="{00000000-0005-0000-0000-0000FA360000}"/>
    <cellStyle name="60% - Énfasis6 31 10" xfId="14127" xr:uid="{00000000-0005-0000-0000-0000FB360000}"/>
    <cellStyle name="60% - Énfasis6 31 11" xfId="14128" xr:uid="{00000000-0005-0000-0000-0000FC360000}"/>
    <cellStyle name="60% - Énfasis6 31 12" xfId="14129" xr:uid="{00000000-0005-0000-0000-0000FD360000}"/>
    <cellStyle name="60% - Énfasis6 31 13" xfId="14130" xr:uid="{00000000-0005-0000-0000-0000FE360000}"/>
    <cellStyle name="60% - Énfasis6 31 14" xfId="14131" xr:uid="{00000000-0005-0000-0000-0000FF360000}"/>
    <cellStyle name="60% - Énfasis6 31 15" xfId="14132" xr:uid="{00000000-0005-0000-0000-000000370000}"/>
    <cellStyle name="60% - Énfasis6 31 16" xfId="14133" xr:uid="{00000000-0005-0000-0000-000001370000}"/>
    <cellStyle name="60% - Énfasis6 31 17" xfId="14134" xr:uid="{00000000-0005-0000-0000-000002370000}"/>
    <cellStyle name="60% - Énfasis6 31 18" xfId="14135" xr:uid="{00000000-0005-0000-0000-000003370000}"/>
    <cellStyle name="60% - Énfasis6 31 19" xfId="14136" xr:uid="{00000000-0005-0000-0000-000004370000}"/>
    <cellStyle name="60% - Énfasis6 31 2" xfId="14137" xr:uid="{00000000-0005-0000-0000-000005370000}"/>
    <cellStyle name="60% - Énfasis6 31 2 2" xfId="14138" xr:uid="{00000000-0005-0000-0000-000006370000}"/>
    <cellStyle name="60% - Énfasis6 31 3" xfId="14139" xr:uid="{00000000-0005-0000-0000-000007370000}"/>
    <cellStyle name="60% - Énfasis6 31 3 2" xfId="14140" xr:uid="{00000000-0005-0000-0000-000008370000}"/>
    <cellStyle name="60% - Énfasis6 31 4" xfId="14141" xr:uid="{00000000-0005-0000-0000-000009370000}"/>
    <cellStyle name="60% - Énfasis6 31 4 2" xfId="14142" xr:uid="{00000000-0005-0000-0000-00000A370000}"/>
    <cellStyle name="60% - Énfasis6 31 5" xfId="14143" xr:uid="{00000000-0005-0000-0000-00000B370000}"/>
    <cellStyle name="60% - Énfasis6 31 6" xfId="14144" xr:uid="{00000000-0005-0000-0000-00000C370000}"/>
    <cellStyle name="60% - Énfasis6 31 7" xfId="14145" xr:uid="{00000000-0005-0000-0000-00000D370000}"/>
    <cellStyle name="60% - Énfasis6 31 8" xfId="14146" xr:uid="{00000000-0005-0000-0000-00000E370000}"/>
    <cellStyle name="60% - Énfasis6 31 9" xfId="14147" xr:uid="{00000000-0005-0000-0000-00000F370000}"/>
    <cellStyle name="60% - Énfasis6 32 10" xfId="14148" xr:uid="{00000000-0005-0000-0000-000010370000}"/>
    <cellStyle name="60% - Énfasis6 32 11" xfId="14149" xr:uid="{00000000-0005-0000-0000-000011370000}"/>
    <cellStyle name="60% - Énfasis6 32 12" xfId="14150" xr:uid="{00000000-0005-0000-0000-000012370000}"/>
    <cellStyle name="60% - Énfasis6 32 13" xfId="14151" xr:uid="{00000000-0005-0000-0000-000013370000}"/>
    <cellStyle name="60% - Énfasis6 32 14" xfId="14152" xr:uid="{00000000-0005-0000-0000-000014370000}"/>
    <cellStyle name="60% - Énfasis6 32 15" xfId="14153" xr:uid="{00000000-0005-0000-0000-000015370000}"/>
    <cellStyle name="60% - Énfasis6 32 16" xfId="14154" xr:uid="{00000000-0005-0000-0000-000016370000}"/>
    <cellStyle name="60% - Énfasis6 32 17" xfId="14155" xr:uid="{00000000-0005-0000-0000-000017370000}"/>
    <cellStyle name="60% - Énfasis6 32 18" xfId="14156" xr:uid="{00000000-0005-0000-0000-000018370000}"/>
    <cellStyle name="60% - Énfasis6 32 19" xfId="14157" xr:uid="{00000000-0005-0000-0000-000019370000}"/>
    <cellStyle name="60% - Énfasis6 32 2" xfId="14158" xr:uid="{00000000-0005-0000-0000-00001A370000}"/>
    <cellStyle name="60% - Énfasis6 32 2 2" xfId="14159" xr:uid="{00000000-0005-0000-0000-00001B370000}"/>
    <cellStyle name="60% - Énfasis6 32 3" xfId="14160" xr:uid="{00000000-0005-0000-0000-00001C370000}"/>
    <cellStyle name="60% - Énfasis6 32 3 2" xfId="14161" xr:uid="{00000000-0005-0000-0000-00001D370000}"/>
    <cellStyle name="60% - Énfasis6 32 4" xfId="14162" xr:uid="{00000000-0005-0000-0000-00001E370000}"/>
    <cellStyle name="60% - Énfasis6 32 4 2" xfId="14163" xr:uid="{00000000-0005-0000-0000-00001F370000}"/>
    <cellStyle name="60% - Énfasis6 32 5" xfId="14164" xr:uid="{00000000-0005-0000-0000-000020370000}"/>
    <cellStyle name="60% - Énfasis6 32 6" xfId="14165" xr:uid="{00000000-0005-0000-0000-000021370000}"/>
    <cellStyle name="60% - Énfasis6 32 7" xfId="14166" xr:uid="{00000000-0005-0000-0000-000022370000}"/>
    <cellStyle name="60% - Énfasis6 32 8" xfId="14167" xr:uid="{00000000-0005-0000-0000-000023370000}"/>
    <cellStyle name="60% - Énfasis6 32 9" xfId="14168" xr:uid="{00000000-0005-0000-0000-000024370000}"/>
    <cellStyle name="60% - Énfasis6 33 10" xfId="14169" xr:uid="{00000000-0005-0000-0000-000025370000}"/>
    <cellStyle name="60% - Énfasis6 33 11" xfId="14170" xr:uid="{00000000-0005-0000-0000-000026370000}"/>
    <cellStyle name="60% - Énfasis6 33 12" xfId="14171" xr:uid="{00000000-0005-0000-0000-000027370000}"/>
    <cellStyle name="60% - Énfasis6 33 13" xfId="14172" xr:uid="{00000000-0005-0000-0000-000028370000}"/>
    <cellStyle name="60% - Énfasis6 33 14" xfId="14173" xr:uid="{00000000-0005-0000-0000-000029370000}"/>
    <cellStyle name="60% - Énfasis6 33 15" xfId="14174" xr:uid="{00000000-0005-0000-0000-00002A370000}"/>
    <cellStyle name="60% - Énfasis6 33 16" xfId="14175" xr:uid="{00000000-0005-0000-0000-00002B370000}"/>
    <cellStyle name="60% - Énfasis6 33 17" xfId="14176" xr:uid="{00000000-0005-0000-0000-00002C370000}"/>
    <cellStyle name="60% - Énfasis6 33 18" xfId="14177" xr:uid="{00000000-0005-0000-0000-00002D370000}"/>
    <cellStyle name="60% - Énfasis6 33 19" xfId="14178" xr:uid="{00000000-0005-0000-0000-00002E370000}"/>
    <cellStyle name="60% - Énfasis6 33 2" xfId="14179" xr:uid="{00000000-0005-0000-0000-00002F370000}"/>
    <cellStyle name="60% - Énfasis6 33 2 2" xfId="14180" xr:uid="{00000000-0005-0000-0000-000030370000}"/>
    <cellStyle name="60% - Énfasis6 33 3" xfId="14181" xr:uid="{00000000-0005-0000-0000-000031370000}"/>
    <cellStyle name="60% - Énfasis6 33 3 2" xfId="14182" xr:uid="{00000000-0005-0000-0000-000032370000}"/>
    <cellStyle name="60% - Énfasis6 33 4" xfId="14183" xr:uid="{00000000-0005-0000-0000-000033370000}"/>
    <cellStyle name="60% - Énfasis6 33 4 2" xfId="14184" xr:uid="{00000000-0005-0000-0000-000034370000}"/>
    <cellStyle name="60% - Énfasis6 33 5" xfId="14185" xr:uid="{00000000-0005-0000-0000-000035370000}"/>
    <cellStyle name="60% - Énfasis6 33 6" xfId="14186" xr:uid="{00000000-0005-0000-0000-000036370000}"/>
    <cellStyle name="60% - Énfasis6 33 7" xfId="14187" xr:uid="{00000000-0005-0000-0000-000037370000}"/>
    <cellStyle name="60% - Énfasis6 33 8" xfId="14188" xr:uid="{00000000-0005-0000-0000-000038370000}"/>
    <cellStyle name="60% - Énfasis6 33 9" xfId="14189" xr:uid="{00000000-0005-0000-0000-000039370000}"/>
    <cellStyle name="60% - Énfasis6 34 10" xfId="14190" xr:uid="{00000000-0005-0000-0000-00003A370000}"/>
    <cellStyle name="60% - Énfasis6 34 11" xfId="14191" xr:uid="{00000000-0005-0000-0000-00003B370000}"/>
    <cellStyle name="60% - Énfasis6 34 12" xfId="14192" xr:uid="{00000000-0005-0000-0000-00003C370000}"/>
    <cellStyle name="60% - Énfasis6 34 13" xfId="14193" xr:uid="{00000000-0005-0000-0000-00003D370000}"/>
    <cellStyle name="60% - Énfasis6 34 14" xfId="14194" xr:uid="{00000000-0005-0000-0000-00003E370000}"/>
    <cellStyle name="60% - Énfasis6 34 15" xfId="14195" xr:uid="{00000000-0005-0000-0000-00003F370000}"/>
    <cellStyle name="60% - Énfasis6 34 16" xfId="14196" xr:uid="{00000000-0005-0000-0000-000040370000}"/>
    <cellStyle name="60% - Énfasis6 34 17" xfId="14197" xr:uid="{00000000-0005-0000-0000-000041370000}"/>
    <cellStyle name="60% - Énfasis6 34 18" xfId="14198" xr:uid="{00000000-0005-0000-0000-000042370000}"/>
    <cellStyle name="60% - Énfasis6 34 19" xfId="14199" xr:uid="{00000000-0005-0000-0000-000043370000}"/>
    <cellStyle name="60% - Énfasis6 34 2" xfId="14200" xr:uid="{00000000-0005-0000-0000-000044370000}"/>
    <cellStyle name="60% - Énfasis6 34 2 2" xfId="14201" xr:uid="{00000000-0005-0000-0000-000045370000}"/>
    <cellStyle name="60% - Énfasis6 34 3" xfId="14202" xr:uid="{00000000-0005-0000-0000-000046370000}"/>
    <cellStyle name="60% - Énfasis6 34 3 2" xfId="14203" xr:uid="{00000000-0005-0000-0000-000047370000}"/>
    <cellStyle name="60% - Énfasis6 34 4" xfId="14204" xr:uid="{00000000-0005-0000-0000-000048370000}"/>
    <cellStyle name="60% - Énfasis6 34 4 2" xfId="14205" xr:uid="{00000000-0005-0000-0000-000049370000}"/>
    <cellStyle name="60% - Énfasis6 34 5" xfId="14206" xr:uid="{00000000-0005-0000-0000-00004A370000}"/>
    <cellStyle name="60% - Énfasis6 34 6" xfId="14207" xr:uid="{00000000-0005-0000-0000-00004B370000}"/>
    <cellStyle name="60% - Énfasis6 34 7" xfId="14208" xr:uid="{00000000-0005-0000-0000-00004C370000}"/>
    <cellStyle name="60% - Énfasis6 34 8" xfId="14209" xr:uid="{00000000-0005-0000-0000-00004D370000}"/>
    <cellStyle name="60% - Énfasis6 34 9" xfId="14210" xr:uid="{00000000-0005-0000-0000-00004E370000}"/>
    <cellStyle name="60% - Énfasis6 35 10" xfId="14211" xr:uid="{00000000-0005-0000-0000-00004F370000}"/>
    <cellStyle name="60% - Énfasis6 35 11" xfId="14212" xr:uid="{00000000-0005-0000-0000-000050370000}"/>
    <cellStyle name="60% - Énfasis6 35 12" xfId="14213" xr:uid="{00000000-0005-0000-0000-000051370000}"/>
    <cellStyle name="60% - Énfasis6 35 13" xfId="14214" xr:uid="{00000000-0005-0000-0000-000052370000}"/>
    <cellStyle name="60% - Énfasis6 35 14" xfId="14215" xr:uid="{00000000-0005-0000-0000-000053370000}"/>
    <cellStyle name="60% - Énfasis6 35 15" xfId="14216" xr:uid="{00000000-0005-0000-0000-000054370000}"/>
    <cellStyle name="60% - Énfasis6 35 16" xfId="14217" xr:uid="{00000000-0005-0000-0000-000055370000}"/>
    <cellStyle name="60% - Énfasis6 35 17" xfId="14218" xr:uid="{00000000-0005-0000-0000-000056370000}"/>
    <cellStyle name="60% - Énfasis6 35 18" xfId="14219" xr:uid="{00000000-0005-0000-0000-000057370000}"/>
    <cellStyle name="60% - Énfasis6 35 19" xfId="14220" xr:uid="{00000000-0005-0000-0000-000058370000}"/>
    <cellStyle name="60% - Énfasis6 35 2" xfId="14221" xr:uid="{00000000-0005-0000-0000-000059370000}"/>
    <cellStyle name="60% - Énfasis6 35 2 2" xfId="14222" xr:uid="{00000000-0005-0000-0000-00005A370000}"/>
    <cellStyle name="60% - Énfasis6 35 3" xfId="14223" xr:uid="{00000000-0005-0000-0000-00005B370000}"/>
    <cellStyle name="60% - Énfasis6 35 3 2" xfId="14224" xr:uid="{00000000-0005-0000-0000-00005C370000}"/>
    <cellStyle name="60% - Énfasis6 35 4" xfId="14225" xr:uid="{00000000-0005-0000-0000-00005D370000}"/>
    <cellStyle name="60% - Énfasis6 35 4 2" xfId="14226" xr:uid="{00000000-0005-0000-0000-00005E370000}"/>
    <cellStyle name="60% - Énfasis6 35 5" xfId="14227" xr:uid="{00000000-0005-0000-0000-00005F370000}"/>
    <cellStyle name="60% - Énfasis6 35 6" xfId="14228" xr:uid="{00000000-0005-0000-0000-000060370000}"/>
    <cellStyle name="60% - Énfasis6 35 7" xfId="14229" xr:uid="{00000000-0005-0000-0000-000061370000}"/>
    <cellStyle name="60% - Énfasis6 35 8" xfId="14230" xr:uid="{00000000-0005-0000-0000-000062370000}"/>
    <cellStyle name="60% - Énfasis6 35 9" xfId="14231" xr:uid="{00000000-0005-0000-0000-000063370000}"/>
    <cellStyle name="60% - Énfasis6 36 10" xfId="14232" xr:uid="{00000000-0005-0000-0000-000064370000}"/>
    <cellStyle name="60% - Énfasis6 36 11" xfId="14233" xr:uid="{00000000-0005-0000-0000-000065370000}"/>
    <cellStyle name="60% - Énfasis6 36 12" xfId="14234" xr:uid="{00000000-0005-0000-0000-000066370000}"/>
    <cellStyle name="60% - Énfasis6 36 13" xfId="14235" xr:uid="{00000000-0005-0000-0000-000067370000}"/>
    <cellStyle name="60% - Énfasis6 36 14" xfId="14236" xr:uid="{00000000-0005-0000-0000-000068370000}"/>
    <cellStyle name="60% - Énfasis6 36 15" xfId="14237" xr:uid="{00000000-0005-0000-0000-000069370000}"/>
    <cellStyle name="60% - Énfasis6 36 16" xfId="14238" xr:uid="{00000000-0005-0000-0000-00006A370000}"/>
    <cellStyle name="60% - Énfasis6 36 17" xfId="14239" xr:uid="{00000000-0005-0000-0000-00006B370000}"/>
    <cellStyle name="60% - Énfasis6 36 18" xfId="14240" xr:uid="{00000000-0005-0000-0000-00006C370000}"/>
    <cellStyle name="60% - Énfasis6 36 19" xfId="14241" xr:uid="{00000000-0005-0000-0000-00006D370000}"/>
    <cellStyle name="60% - Énfasis6 36 2" xfId="14242" xr:uid="{00000000-0005-0000-0000-00006E370000}"/>
    <cellStyle name="60% - Énfasis6 36 2 2" xfId="14243" xr:uid="{00000000-0005-0000-0000-00006F370000}"/>
    <cellStyle name="60% - Énfasis6 36 3" xfId="14244" xr:uid="{00000000-0005-0000-0000-000070370000}"/>
    <cellStyle name="60% - Énfasis6 36 3 2" xfId="14245" xr:uid="{00000000-0005-0000-0000-000071370000}"/>
    <cellStyle name="60% - Énfasis6 36 4" xfId="14246" xr:uid="{00000000-0005-0000-0000-000072370000}"/>
    <cellStyle name="60% - Énfasis6 36 4 2" xfId="14247" xr:uid="{00000000-0005-0000-0000-000073370000}"/>
    <cellStyle name="60% - Énfasis6 36 5" xfId="14248" xr:uid="{00000000-0005-0000-0000-000074370000}"/>
    <cellStyle name="60% - Énfasis6 36 6" xfId="14249" xr:uid="{00000000-0005-0000-0000-000075370000}"/>
    <cellStyle name="60% - Énfasis6 36 7" xfId="14250" xr:uid="{00000000-0005-0000-0000-000076370000}"/>
    <cellStyle name="60% - Énfasis6 36 8" xfId="14251" xr:uid="{00000000-0005-0000-0000-000077370000}"/>
    <cellStyle name="60% - Énfasis6 36 9" xfId="14252" xr:uid="{00000000-0005-0000-0000-000078370000}"/>
    <cellStyle name="60% - Énfasis6 37 10" xfId="14253" xr:uid="{00000000-0005-0000-0000-000079370000}"/>
    <cellStyle name="60% - Énfasis6 37 11" xfId="14254" xr:uid="{00000000-0005-0000-0000-00007A370000}"/>
    <cellStyle name="60% - Énfasis6 37 12" xfId="14255" xr:uid="{00000000-0005-0000-0000-00007B370000}"/>
    <cellStyle name="60% - Énfasis6 37 13" xfId="14256" xr:uid="{00000000-0005-0000-0000-00007C370000}"/>
    <cellStyle name="60% - Énfasis6 37 14" xfId="14257" xr:uid="{00000000-0005-0000-0000-00007D370000}"/>
    <cellStyle name="60% - Énfasis6 37 15" xfId="14258" xr:uid="{00000000-0005-0000-0000-00007E370000}"/>
    <cellStyle name="60% - Énfasis6 37 16" xfId="14259" xr:uid="{00000000-0005-0000-0000-00007F370000}"/>
    <cellStyle name="60% - Énfasis6 37 17" xfId="14260" xr:uid="{00000000-0005-0000-0000-000080370000}"/>
    <cellStyle name="60% - Énfasis6 37 18" xfId="14261" xr:uid="{00000000-0005-0000-0000-000081370000}"/>
    <cellStyle name="60% - Énfasis6 37 19" xfId="14262" xr:uid="{00000000-0005-0000-0000-000082370000}"/>
    <cellStyle name="60% - Énfasis6 37 2" xfId="14263" xr:uid="{00000000-0005-0000-0000-000083370000}"/>
    <cellStyle name="60% - Énfasis6 37 2 2" xfId="14264" xr:uid="{00000000-0005-0000-0000-000084370000}"/>
    <cellStyle name="60% - Énfasis6 37 3" xfId="14265" xr:uid="{00000000-0005-0000-0000-000085370000}"/>
    <cellStyle name="60% - Énfasis6 37 3 2" xfId="14266" xr:uid="{00000000-0005-0000-0000-000086370000}"/>
    <cellStyle name="60% - Énfasis6 37 4" xfId="14267" xr:uid="{00000000-0005-0000-0000-000087370000}"/>
    <cellStyle name="60% - Énfasis6 37 4 2" xfId="14268" xr:uid="{00000000-0005-0000-0000-000088370000}"/>
    <cellStyle name="60% - Énfasis6 37 5" xfId="14269" xr:uid="{00000000-0005-0000-0000-000089370000}"/>
    <cellStyle name="60% - Énfasis6 37 6" xfId="14270" xr:uid="{00000000-0005-0000-0000-00008A370000}"/>
    <cellStyle name="60% - Énfasis6 37 7" xfId="14271" xr:uid="{00000000-0005-0000-0000-00008B370000}"/>
    <cellStyle name="60% - Énfasis6 37 8" xfId="14272" xr:uid="{00000000-0005-0000-0000-00008C370000}"/>
    <cellStyle name="60% - Énfasis6 37 9" xfId="14273" xr:uid="{00000000-0005-0000-0000-00008D370000}"/>
    <cellStyle name="60% - Énfasis6 38 10" xfId="14274" xr:uid="{00000000-0005-0000-0000-00008E370000}"/>
    <cellStyle name="60% - Énfasis6 38 11" xfId="14275" xr:uid="{00000000-0005-0000-0000-00008F370000}"/>
    <cellStyle name="60% - Énfasis6 38 12" xfId="14276" xr:uid="{00000000-0005-0000-0000-000090370000}"/>
    <cellStyle name="60% - Énfasis6 38 13" xfId="14277" xr:uid="{00000000-0005-0000-0000-000091370000}"/>
    <cellStyle name="60% - Énfasis6 38 14" xfId="14278" xr:uid="{00000000-0005-0000-0000-000092370000}"/>
    <cellStyle name="60% - Énfasis6 38 15" xfId="14279" xr:uid="{00000000-0005-0000-0000-000093370000}"/>
    <cellStyle name="60% - Énfasis6 38 16" xfId="14280" xr:uid="{00000000-0005-0000-0000-000094370000}"/>
    <cellStyle name="60% - Énfasis6 38 17" xfId="14281" xr:uid="{00000000-0005-0000-0000-000095370000}"/>
    <cellStyle name="60% - Énfasis6 38 18" xfId="14282" xr:uid="{00000000-0005-0000-0000-000096370000}"/>
    <cellStyle name="60% - Énfasis6 38 19" xfId="14283" xr:uid="{00000000-0005-0000-0000-000097370000}"/>
    <cellStyle name="60% - Énfasis6 38 2" xfId="14284" xr:uid="{00000000-0005-0000-0000-000098370000}"/>
    <cellStyle name="60% - Énfasis6 38 2 2" xfId="14285" xr:uid="{00000000-0005-0000-0000-000099370000}"/>
    <cellStyle name="60% - Énfasis6 38 3" xfId="14286" xr:uid="{00000000-0005-0000-0000-00009A370000}"/>
    <cellStyle name="60% - Énfasis6 38 3 2" xfId="14287" xr:uid="{00000000-0005-0000-0000-00009B370000}"/>
    <cellStyle name="60% - Énfasis6 38 4" xfId="14288" xr:uid="{00000000-0005-0000-0000-00009C370000}"/>
    <cellStyle name="60% - Énfasis6 38 4 2" xfId="14289" xr:uid="{00000000-0005-0000-0000-00009D370000}"/>
    <cellStyle name="60% - Énfasis6 38 5" xfId="14290" xr:uid="{00000000-0005-0000-0000-00009E370000}"/>
    <cellStyle name="60% - Énfasis6 38 6" xfId="14291" xr:uid="{00000000-0005-0000-0000-00009F370000}"/>
    <cellStyle name="60% - Énfasis6 38 7" xfId="14292" xr:uid="{00000000-0005-0000-0000-0000A0370000}"/>
    <cellStyle name="60% - Énfasis6 38 8" xfId="14293" xr:uid="{00000000-0005-0000-0000-0000A1370000}"/>
    <cellStyle name="60% - Énfasis6 38 9" xfId="14294" xr:uid="{00000000-0005-0000-0000-0000A2370000}"/>
    <cellStyle name="60% - Énfasis6 39" xfId="14295" xr:uid="{00000000-0005-0000-0000-0000A3370000}"/>
    <cellStyle name="60% - Énfasis6 39 10" xfId="14296" xr:uid="{00000000-0005-0000-0000-0000A4370000}"/>
    <cellStyle name="60% - Énfasis6 39 11" xfId="14297" xr:uid="{00000000-0005-0000-0000-0000A5370000}"/>
    <cellStyle name="60% - Énfasis6 39 12" xfId="14298" xr:uid="{00000000-0005-0000-0000-0000A6370000}"/>
    <cellStyle name="60% - Énfasis6 39 13" xfId="14299" xr:uid="{00000000-0005-0000-0000-0000A7370000}"/>
    <cellStyle name="60% - Énfasis6 39 14" xfId="14300" xr:uid="{00000000-0005-0000-0000-0000A8370000}"/>
    <cellStyle name="60% - Énfasis6 39 15" xfId="14301" xr:uid="{00000000-0005-0000-0000-0000A9370000}"/>
    <cellStyle name="60% - Énfasis6 39 16" xfId="14302" xr:uid="{00000000-0005-0000-0000-0000AA370000}"/>
    <cellStyle name="60% - Énfasis6 39 2" xfId="14303" xr:uid="{00000000-0005-0000-0000-0000AB370000}"/>
    <cellStyle name="60% - Énfasis6 39 3" xfId="14304" xr:uid="{00000000-0005-0000-0000-0000AC370000}"/>
    <cellStyle name="60% - Énfasis6 39 4" xfId="14305" xr:uid="{00000000-0005-0000-0000-0000AD370000}"/>
    <cellStyle name="60% - Énfasis6 39 5" xfId="14306" xr:uid="{00000000-0005-0000-0000-0000AE370000}"/>
    <cellStyle name="60% - Énfasis6 39 6" xfId="14307" xr:uid="{00000000-0005-0000-0000-0000AF370000}"/>
    <cellStyle name="60% - Énfasis6 39 7" xfId="14308" xr:uid="{00000000-0005-0000-0000-0000B0370000}"/>
    <cellStyle name="60% - Énfasis6 39 8" xfId="14309" xr:uid="{00000000-0005-0000-0000-0000B1370000}"/>
    <cellStyle name="60% - Énfasis6 39 9" xfId="14310" xr:uid="{00000000-0005-0000-0000-0000B2370000}"/>
    <cellStyle name="60% - Énfasis6 4 10" xfId="14311" xr:uid="{00000000-0005-0000-0000-0000B3370000}"/>
    <cellStyle name="60% - Énfasis6 4 11" xfId="14312" xr:uid="{00000000-0005-0000-0000-0000B4370000}"/>
    <cellStyle name="60% - Énfasis6 4 12" xfId="14313" xr:uid="{00000000-0005-0000-0000-0000B5370000}"/>
    <cellStyle name="60% - Énfasis6 4 13" xfId="14314" xr:uid="{00000000-0005-0000-0000-0000B6370000}"/>
    <cellStyle name="60% - Énfasis6 4 14" xfId="14315" xr:uid="{00000000-0005-0000-0000-0000B7370000}"/>
    <cellStyle name="60% - Énfasis6 4 15" xfId="14316" xr:uid="{00000000-0005-0000-0000-0000B8370000}"/>
    <cellStyle name="60% - Énfasis6 4 16" xfId="14317" xr:uid="{00000000-0005-0000-0000-0000B9370000}"/>
    <cellStyle name="60% - Énfasis6 4 17" xfId="14318" xr:uid="{00000000-0005-0000-0000-0000BA370000}"/>
    <cellStyle name="60% - Énfasis6 4 18" xfId="14319" xr:uid="{00000000-0005-0000-0000-0000BB370000}"/>
    <cellStyle name="60% - Énfasis6 4 19" xfId="14320" xr:uid="{00000000-0005-0000-0000-0000BC370000}"/>
    <cellStyle name="60% - Énfasis6 4 2" xfId="14321" xr:uid="{00000000-0005-0000-0000-0000BD370000}"/>
    <cellStyle name="60% - Énfasis6 4 2 2" xfId="14322" xr:uid="{00000000-0005-0000-0000-0000BE370000}"/>
    <cellStyle name="60% - Énfasis6 4 3" xfId="14323" xr:uid="{00000000-0005-0000-0000-0000BF370000}"/>
    <cellStyle name="60% - Énfasis6 4 3 2" xfId="14324" xr:uid="{00000000-0005-0000-0000-0000C0370000}"/>
    <cellStyle name="60% - Énfasis6 4 4" xfId="14325" xr:uid="{00000000-0005-0000-0000-0000C1370000}"/>
    <cellStyle name="60% - Énfasis6 4 4 2" xfId="14326" xr:uid="{00000000-0005-0000-0000-0000C2370000}"/>
    <cellStyle name="60% - Énfasis6 4 5" xfId="14327" xr:uid="{00000000-0005-0000-0000-0000C3370000}"/>
    <cellStyle name="60% - Énfasis6 4 6" xfId="14328" xr:uid="{00000000-0005-0000-0000-0000C4370000}"/>
    <cellStyle name="60% - Énfasis6 4 7" xfId="14329" xr:uid="{00000000-0005-0000-0000-0000C5370000}"/>
    <cellStyle name="60% - Énfasis6 4 8" xfId="14330" xr:uid="{00000000-0005-0000-0000-0000C6370000}"/>
    <cellStyle name="60% - Énfasis6 4 9" xfId="14331" xr:uid="{00000000-0005-0000-0000-0000C7370000}"/>
    <cellStyle name="60% - Énfasis6 40" xfId="14332" xr:uid="{00000000-0005-0000-0000-0000C8370000}"/>
    <cellStyle name="60% - Énfasis6 40 10" xfId="14333" xr:uid="{00000000-0005-0000-0000-0000C9370000}"/>
    <cellStyle name="60% - Énfasis6 40 11" xfId="14334" xr:uid="{00000000-0005-0000-0000-0000CA370000}"/>
    <cellStyle name="60% - Énfasis6 40 12" xfId="14335" xr:uid="{00000000-0005-0000-0000-0000CB370000}"/>
    <cellStyle name="60% - Énfasis6 40 13" xfId="14336" xr:uid="{00000000-0005-0000-0000-0000CC370000}"/>
    <cellStyle name="60% - Énfasis6 40 14" xfId="14337" xr:uid="{00000000-0005-0000-0000-0000CD370000}"/>
    <cellStyle name="60% - Énfasis6 40 15" xfId="14338" xr:uid="{00000000-0005-0000-0000-0000CE370000}"/>
    <cellStyle name="60% - Énfasis6 40 16" xfId="14339" xr:uid="{00000000-0005-0000-0000-0000CF370000}"/>
    <cellStyle name="60% - Énfasis6 40 2" xfId="14340" xr:uid="{00000000-0005-0000-0000-0000D0370000}"/>
    <cellStyle name="60% - Énfasis6 40 3" xfId="14341" xr:uid="{00000000-0005-0000-0000-0000D1370000}"/>
    <cellStyle name="60% - Énfasis6 40 4" xfId="14342" xr:uid="{00000000-0005-0000-0000-0000D2370000}"/>
    <cellStyle name="60% - Énfasis6 40 5" xfId="14343" xr:uid="{00000000-0005-0000-0000-0000D3370000}"/>
    <cellStyle name="60% - Énfasis6 40 6" xfId="14344" xr:uid="{00000000-0005-0000-0000-0000D4370000}"/>
    <cellStyle name="60% - Énfasis6 40 7" xfId="14345" xr:uid="{00000000-0005-0000-0000-0000D5370000}"/>
    <cellStyle name="60% - Énfasis6 40 8" xfId="14346" xr:uid="{00000000-0005-0000-0000-0000D6370000}"/>
    <cellStyle name="60% - Énfasis6 40 9" xfId="14347" xr:uid="{00000000-0005-0000-0000-0000D7370000}"/>
    <cellStyle name="60% - Énfasis6 41" xfId="14348" xr:uid="{00000000-0005-0000-0000-0000D8370000}"/>
    <cellStyle name="60% - Énfasis6 41 10" xfId="14349" xr:uid="{00000000-0005-0000-0000-0000D9370000}"/>
    <cellStyle name="60% - Énfasis6 41 11" xfId="14350" xr:uid="{00000000-0005-0000-0000-0000DA370000}"/>
    <cellStyle name="60% - Énfasis6 41 12" xfId="14351" xr:uid="{00000000-0005-0000-0000-0000DB370000}"/>
    <cellStyle name="60% - Énfasis6 41 13" xfId="14352" xr:uid="{00000000-0005-0000-0000-0000DC370000}"/>
    <cellStyle name="60% - Énfasis6 41 14" xfId="14353" xr:uid="{00000000-0005-0000-0000-0000DD370000}"/>
    <cellStyle name="60% - Énfasis6 41 15" xfId="14354" xr:uid="{00000000-0005-0000-0000-0000DE370000}"/>
    <cellStyle name="60% - Énfasis6 41 16" xfId="14355" xr:uid="{00000000-0005-0000-0000-0000DF370000}"/>
    <cellStyle name="60% - Énfasis6 41 2" xfId="14356" xr:uid="{00000000-0005-0000-0000-0000E0370000}"/>
    <cellStyle name="60% - Énfasis6 41 3" xfId="14357" xr:uid="{00000000-0005-0000-0000-0000E1370000}"/>
    <cellStyle name="60% - Énfasis6 41 4" xfId="14358" xr:uid="{00000000-0005-0000-0000-0000E2370000}"/>
    <cellStyle name="60% - Énfasis6 41 5" xfId="14359" xr:uid="{00000000-0005-0000-0000-0000E3370000}"/>
    <cellStyle name="60% - Énfasis6 41 6" xfId="14360" xr:uid="{00000000-0005-0000-0000-0000E4370000}"/>
    <cellStyle name="60% - Énfasis6 41 7" xfId="14361" xr:uid="{00000000-0005-0000-0000-0000E5370000}"/>
    <cellStyle name="60% - Énfasis6 41 8" xfId="14362" xr:uid="{00000000-0005-0000-0000-0000E6370000}"/>
    <cellStyle name="60% - Énfasis6 41 9" xfId="14363" xr:uid="{00000000-0005-0000-0000-0000E7370000}"/>
    <cellStyle name="60% - Énfasis6 42" xfId="14364" xr:uid="{00000000-0005-0000-0000-0000E8370000}"/>
    <cellStyle name="60% - Énfasis6 43" xfId="14365" xr:uid="{00000000-0005-0000-0000-0000E9370000}"/>
    <cellStyle name="60% - Énfasis6 44" xfId="14366" xr:uid="{00000000-0005-0000-0000-0000EA370000}"/>
    <cellStyle name="60% - Énfasis6 45" xfId="14367" xr:uid="{00000000-0005-0000-0000-0000EB370000}"/>
    <cellStyle name="60% - Énfasis6 46" xfId="14368" xr:uid="{00000000-0005-0000-0000-0000EC370000}"/>
    <cellStyle name="60% - Énfasis6 47" xfId="14369" xr:uid="{00000000-0005-0000-0000-0000ED370000}"/>
    <cellStyle name="60% - Énfasis6 48" xfId="14370" xr:uid="{00000000-0005-0000-0000-0000EE370000}"/>
    <cellStyle name="60% - Énfasis6 49" xfId="14371" xr:uid="{00000000-0005-0000-0000-0000EF370000}"/>
    <cellStyle name="60% - Énfasis6 5 10" xfId="14372" xr:uid="{00000000-0005-0000-0000-0000F0370000}"/>
    <cellStyle name="60% - Énfasis6 5 11" xfId="14373" xr:uid="{00000000-0005-0000-0000-0000F1370000}"/>
    <cellStyle name="60% - Énfasis6 5 12" xfId="14374" xr:uid="{00000000-0005-0000-0000-0000F2370000}"/>
    <cellStyle name="60% - Énfasis6 5 13" xfId="14375" xr:uid="{00000000-0005-0000-0000-0000F3370000}"/>
    <cellStyle name="60% - Énfasis6 5 14" xfId="14376" xr:uid="{00000000-0005-0000-0000-0000F4370000}"/>
    <cellStyle name="60% - Énfasis6 5 15" xfId="14377" xr:uid="{00000000-0005-0000-0000-0000F5370000}"/>
    <cellStyle name="60% - Énfasis6 5 16" xfId="14378" xr:uid="{00000000-0005-0000-0000-0000F6370000}"/>
    <cellStyle name="60% - Énfasis6 5 17" xfId="14379" xr:uid="{00000000-0005-0000-0000-0000F7370000}"/>
    <cellStyle name="60% - Énfasis6 5 18" xfId="14380" xr:uid="{00000000-0005-0000-0000-0000F8370000}"/>
    <cellStyle name="60% - Énfasis6 5 19" xfId="14381" xr:uid="{00000000-0005-0000-0000-0000F9370000}"/>
    <cellStyle name="60% - Énfasis6 5 2" xfId="14382" xr:uid="{00000000-0005-0000-0000-0000FA370000}"/>
    <cellStyle name="60% - Énfasis6 5 2 2" xfId="14383" xr:uid="{00000000-0005-0000-0000-0000FB370000}"/>
    <cellStyle name="60% - Énfasis6 5 3" xfId="14384" xr:uid="{00000000-0005-0000-0000-0000FC370000}"/>
    <cellStyle name="60% - Énfasis6 5 3 2" xfId="14385" xr:uid="{00000000-0005-0000-0000-0000FD370000}"/>
    <cellStyle name="60% - Énfasis6 5 4" xfId="14386" xr:uid="{00000000-0005-0000-0000-0000FE370000}"/>
    <cellStyle name="60% - Énfasis6 5 4 2" xfId="14387" xr:uid="{00000000-0005-0000-0000-0000FF370000}"/>
    <cellStyle name="60% - Énfasis6 5 5" xfId="14388" xr:uid="{00000000-0005-0000-0000-000000380000}"/>
    <cellStyle name="60% - Énfasis6 5 6" xfId="14389" xr:uid="{00000000-0005-0000-0000-000001380000}"/>
    <cellStyle name="60% - Énfasis6 5 7" xfId="14390" xr:uid="{00000000-0005-0000-0000-000002380000}"/>
    <cellStyle name="60% - Énfasis6 5 8" xfId="14391" xr:uid="{00000000-0005-0000-0000-000003380000}"/>
    <cellStyle name="60% - Énfasis6 5 9" xfId="14392" xr:uid="{00000000-0005-0000-0000-000004380000}"/>
    <cellStyle name="60% - Énfasis6 50" xfId="14393" xr:uid="{00000000-0005-0000-0000-000005380000}"/>
    <cellStyle name="60% - Énfasis6 51" xfId="14394" xr:uid="{00000000-0005-0000-0000-000006380000}"/>
    <cellStyle name="60% - Énfasis6 52" xfId="14395" xr:uid="{00000000-0005-0000-0000-000007380000}"/>
    <cellStyle name="60% - Énfasis6 53" xfId="14396" xr:uid="{00000000-0005-0000-0000-000008380000}"/>
    <cellStyle name="60% - Énfasis6 54" xfId="14397" xr:uid="{00000000-0005-0000-0000-000009380000}"/>
    <cellStyle name="60% - Énfasis6 55" xfId="14398" xr:uid="{00000000-0005-0000-0000-00000A380000}"/>
    <cellStyle name="60% - Énfasis6 56" xfId="14399" xr:uid="{00000000-0005-0000-0000-00000B380000}"/>
    <cellStyle name="60% - Énfasis6 57" xfId="14400" xr:uid="{00000000-0005-0000-0000-00000C380000}"/>
    <cellStyle name="60% - Énfasis6 58" xfId="14401" xr:uid="{00000000-0005-0000-0000-00000D380000}"/>
    <cellStyle name="60% - Énfasis6 59" xfId="14402" xr:uid="{00000000-0005-0000-0000-00000E380000}"/>
    <cellStyle name="60% - Énfasis6 6 10" xfId="14403" xr:uid="{00000000-0005-0000-0000-00000F380000}"/>
    <cellStyle name="60% - Énfasis6 6 11" xfId="14404" xr:uid="{00000000-0005-0000-0000-000010380000}"/>
    <cellStyle name="60% - Énfasis6 6 12" xfId="14405" xr:uid="{00000000-0005-0000-0000-000011380000}"/>
    <cellStyle name="60% - Énfasis6 6 13" xfId="14406" xr:uid="{00000000-0005-0000-0000-000012380000}"/>
    <cellStyle name="60% - Énfasis6 6 14" xfId="14407" xr:uid="{00000000-0005-0000-0000-000013380000}"/>
    <cellStyle name="60% - Énfasis6 6 15" xfId="14408" xr:uid="{00000000-0005-0000-0000-000014380000}"/>
    <cellStyle name="60% - Énfasis6 6 16" xfId="14409" xr:uid="{00000000-0005-0000-0000-000015380000}"/>
    <cellStyle name="60% - Énfasis6 6 17" xfId="14410" xr:uid="{00000000-0005-0000-0000-000016380000}"/>
    <cellStyle name="60% - Énfasis6 6 18" xfId="14411" xr:uid="{00000000-0005-0000-0000-000017380000}"/>
    <cellStyle name="60% - Énfasis6 6 19" xfId="14412" xr:uid="{00000000-0005-0000-0000-000018380000}"/>
    <cellStyle name="60% - Énfasis6 6 2" xfId="14413" xr:uid="{00000000-0005-0000-0000-000019380000}"/>
    <cellStyle name="60% - Énfasis6 6 2 2" xfId="14414" xr:uid="{00000000-0005-0000-0000-00001A380000}"/>
    <cellStyle name="60% - Énfasis6 6 3" xfId="14415" xr:uid="{00000000-0005-0000-0000-00001B380000}"/>
    <cellStyle name="60% - Énfasis6 6 3 2" xfId="14416" xr:uid="{00000000-0005-0000-0000-00001C380000}"/>
    <cellStyle name="60% - Énfasis6 6 4" xfId="14417" xr:uid="{00000000-0005-0000-0000-00001D380000}"/>
    <cellStyle name="60% - Énfasis6 6 4 2" xfId="14418" xr:uid="{00000000-0005-0000-0000-00001E380000}"/>
    <cellStyle name="60% - Énfasis6 6 5" xfId="14419" xr:uid="{00000000-0005-0000-0000-00001F380000}"/>
    <cellStyle name="60% - Énfasis6 6 6" xfId="14420" xr:uid="{00000000-0005-0000-0000-000020380000}"/>
    <cellStyle name="60% - Énfasis6 6 7" xfId="14421" xr:uid="{00000000-0005-0000-0000-000021380000}"/>
    <cellStyle name="60% - Énfasis6 6 8" xfId="14422" xr:uid="{00000000-0005-0000-0000-000022380000}"/>
    <cellStyle name="60% - Énfasis6 6 9" xfId="14423" xr:uid="{00000000-0005-0000-0000-000023380000}"/>
    <cellStyle name="60% - Énfasis6 60" xfId="14424" xr:uid="{00000000-0005-0000-0000-000024380000}"/>
    <cellStyle name="60% - Énfasis6 61" xfId="14425" xr:uid="{00000000-0005-0000-0000-000025380000}"/>
    <cellStyle name="60% - Énfasis6 62" xfId="14426" xr:uid="{00000000-0005-0000-0000-000026380000}"/>
    <cellStyle name="60% - Énfasis6 63" xfId="14427" xr:uid="{00000000-0005-0000-0000-000027380000}"/>
    <cellStyle name="60% - Énfasis6 64" xfId="14428" xr:uid="{00000000-0005-0000-0000-000028380000}"/>
    <cellStyle name="60% - Énfasis6 7 10" xfId="14429" xr:uid="{00000000-0005-0000-0000-000029380000}"/>
    <cellStyle name="60% - Énfasis6 7 11" xfId="14430" xr:uid="{00000000-0005-0000-0000-00002A380000}"/>
    <cellStyle name="60% - Énfasis6 7 12" xfId="14431" xr:uid="{00000000-0005-0000-0000-00002B380000}"/>
    <cellStyle name="60% - Énfasis6 7 13" xfId="14432" xr:uid="{00000000-0005-0000-0000-00002C380000}"/>
    <cellStyle name="60% - Énfasis6 7 14" xfId="14433" xr:uid="{00000000-0005-0000-0000-00002D380000}"/>
    <cellStyle name="60% - Énfasis6 7 15" xfId="14434" xr:uid="{00000000-0005-0000-0000-00002E380000}"/>
    <cellStyle name="60% - Énfasis6 7 16" xfId="14435" xr:uid="{00000000-0005-0000-0000-00002F380000}"/>
    <cellStyle name="60% - Énfasis6 7 17" xfId="14436" xr:uid="{00000000-0005-0000-0000-000030380000}"/>
    <cellStyle name="60% - Énfasis6 7 18" xfId="14437" xr:uid="{00000000-0005-0000-0000-000031380000}"/>
    <cellStyle name="60% - Énfasis6 7 19" xfId="14438" xr:uid="{00000000-0005-0000-0000-000032380000}"/>
    <cellStyle name="60% - Énfasis6 7 2" xfId="14439" xr:uid="{00000000-0005-0000-0000-000033380000}"/>
    <cellStyle name="60% - Énfasis6 7 2 2" xfId="14440" xr:uid="{00000000-0005-0000-0000-000034380000}"/>
    <cellStyle name="60% - Énfasis6 7 3" xfId="14441" xr:uid="{00000000-0005-0000-0000-000035380000}"/>
    <cellStyle name="60% - Énfasis6 7 3 2" xfId="14442" xr:uid="{00000000-0005-0000-0000-000036380000}"/>
    <cellStyle name="60% - Énfasis6 7 4" xfId="14443" xr:uid="{00000000-0005-0000-0000-000037380000}"/>
    <cellStyle name="60% - Énfasis6 7 4 2" xfId="14444" xr:uid="{00000000-0005-0000-0000-000038380000}"/>
    <cellStyle name="60% - Énfasis6 7 5" xfId="14445" xr:uid="{00000000-0005-0000-0000-000039380000}"/>
    <cellStyle name="60% - Énfasis6 7 6" xfId="14446" xr:uid="{00000000-0005-0000-0000-00003A380000}"/>
    <cellStyle name="60% - Énfasis6 7 7" xfId="14447" xr:uid="{00000000-0005-0000-0000-00003B380000}"/>
    <cellStyle name="60% - Énfasis6 7 8" xfId="14448" xr:uid="{00000000-0005-0000-0000-00003C380000}"/>
    <cellStyle name="60% - Énfasis6 7 9" xfId="14449" xr:uid="{00000000-0005-0000-0000-00003D380000}"/>
    <cellStyle name="60% - Énfasis6 8 10" xfId="14450" xr:uid="{00000000-0005-0000-0000-00003E380000}"/>
    <cellStyle name="60% - Énfasis6 8 11" xfId="14451" xr:uid="{00000000-0005-0000-0000-00003F380000}"/>
    <cellStyle name="60% - Énfasis6 8 12" xfId="14452" xr:uid="{00000000-0005-0000-0000-000040380000}"/>
    <cellStyle name="60% - Énfasis6 8 13" xfId="14453" xr:uid="{00000000-0005-0000-0000-000041380000}"/>
    <cellStyle name="60% - Énfasis6 8 14" xfId="14454" xr:uid="{00000000-0005-0000-0000-000042380000}"/>
    <cellStyle name="60% - Énfasis6 8 15" xfId="14455" xr:uid="{00000000-0005-0000-0000-000043380000}"/>
    <cellStyle name="60% - Énfasis6 8 16" xfId="14456" xr:uid="{00000000-0005-0000-0000-000044380000}"/>
    <cellStyle name="60% - Énfasis6 8 17" xfId="14457" xr:uid="{00000000-0005-0000-0000-000045380000}"/>
    <cellStyle name="60% - Énfasis6 8 18" xfId="14458" xr:uid="{00000000-0005-0000-0000-000046380000}"/>
    <cellStyle name="60% - Énfasis6 8 19" xfId="14459" xr:uid="{00000000-0005-0000-0000-000047380000}"/>
    <cellStyle name="60% - Énfasis6 8 2" xfId="14460" xr:uid="{00000000-0005-0000-0000-000048380000}"/>
    <cellStyle name="60% - Énfasis6 8 2 2" xfId="14461" xr:uid="{00000000-0005-0000-0000-000049380000}"/>
    <cellStyle name="60% - Énfasis6 8 3" xfId="14462" xr:uid="{00000000-0005-0000-0000-00004A380000}"/>
    <cellStyle name="60% - Énfasis6 8 3 2" xfId="14463" xr:uid="{00000000-0005-0000-0000-00004B380000}"/>
    <cellStyle name="60% - Énfasis6 8 4" xfId="14464" xr:uid="{00000000-0005-0000-0000-00004C380000}"/>
    <cellStyle name="60% - Énfasis6 8 4 2" xfId="14465" xr:uid="{00000000-0005-0000-0000-00004D380000}"/>
    <cellStyle name="60% - Énfasis6 8 5" xfId="14466" xr:uid="{00000000-0005-0000-0000-00004E380000}"/>
    <cellStyle name="60% - Énfasis6 8 6" xfId="14467" xr:uid="{00000000-0005-0000-0000-00004F380000}"/>
    <cellStyle name="60% - Énfasis6 8 7" xfId="14468" xr:uid="{00000000-0005-0000-0000-000050380000}"/>
    <cellStyle name="60% - Énfasis6 8 8" xfId="14469" xr:uid="{00000000-0005-0000-0000-000051380000}"/>
    <cellStyle name="60% - Énfasis6 8 9" xfId="14470" xr:uid="{00000000-0005-0000-0000-000052380000}"/>
    <cellStyle name="60% - Énfasis6 9 10" xfId="14471" xr:uid="{00000000-0005-0000-0000-000053380000}"/>
    <cellStyle name="60% - Énfasis6 9 11" xfId="14472" xr:uid="{00000000-0005-0000-0000-000054380000}"/>
    <cellStyle name="60% - Énfasis6 9 12" xfId="14473" xr:uid="{00000000-0005-0000-0000-000055380000}"/>
    <cellStyle name="60% - Énfasis6 9 13" xfId="14474" xr:uid="{00000000-0005-0000-0000-000056380000}"/>
    <cellStyle name="60% - Énfasis6 9 14" xfId="14475" xr:uid="{00000000-0005-0000-0000-000057380000}"/>
    <cellStyle name="60% - Énfasis6 9 15" xfId="14476" xr:uid="{00000000-0005-0000-0000-000058380000}"/>
    <cellStyle name="60% - Énfasis6 9 16" xfId="14477" xr:uid="{00000000-0005-0000-0000-000059380000}"/>
    <cellStyle name="60% - Énfasis6 9 17" xfId="14478" xr:uid="{00000000-0005-0000-0000-00005A380000}"/>
    <cellStyle name="60% - Énfasis6 9 18" xfId="14479" xr:uid="{00000000-0005-0000-0000-00005B380000}"/>
    <cellStyle name="60% - Énfasis6 9 19" xfId="14480" xr:uid="{00000000-0005-0000-0000-00005C380000}"/>
    <cellStyle name="60% - Énfasis6 9 2" xfId="14481" xr:uid="{00000000-0005-0000-0000-00005D380000}"/>
    <cellStyle name="60% - Énfasis6 9 2 2" xfId="14482" xr:uid="{00000000-0005-0000-0000-00005E380000}"/>
    <cellStyle name="60% - Énfasis6 9 3" xfId="14483" xr:uid="{00000000-0005-0000-0000-00005F380000}"/>
    <cellStyle name="60% - Énfasis6 9 3 2" xfId="14484" xr:uid="{00000000-0005-0000-0000-000060380000}"/>
    <cellStyle name="60% - Énfasis6 9 4" xfId="14485" xr:uid="{00000000-0005-0000-0000-000061380000}"/>
    <cellStyle name="60% - Énfasis6 9 4 2" xfId="14486" xr:uid="{00000000-0005-0000-0000-000062380000}"/>
    <cellStyle name="60% - Énfasis6 9 5" xfId="14487" xr:uid="{00000000-0005-0000-0000-000063380000}"/>
    <cellStyle name="60% - Énfasis6 9 6" xfId="14488" xr:uid="{00000000-0005-0000-0000-000064380000}"/>
    <cellStyle name="60% - Énfasis6 9 7" xfId="14489" xr:uid="{00000000-0005-0000-0000-000065380000}"/>
    <cellStyle name="60% - Énfasis6 9 8" xfId="14490" xr:uid="{00000000-0005-0000-0000-000066380000}"/>
    <cellStyle name="60% - Énfasis6 9 9" xfId="14491" xr:uid="{00000000-0005-0000-0000-000067380000}"/>
    <cellStyle name="blp_column_header" xfId="8" xr:uid="{00000000-0005-0000-0000-000068380000}"/>
    <cellStyle name="Buena 10 10" xfId="14492" xr:uid="{00000000-0005-0000-0000-000069380000}"/>
    <cellStyle name="Buena 10 11" xfId="14493" xr:uid="{00000000-0005-0000-0000-00006A380000}"/>
    <cellStyle name="Buena 10 12" xfId="14494" xr:uid="{00000000-0005-0000-0000-00006B380000}"/>
    <cellStyle name="Buena 10 13" xfId="14495" xr:uid="{00000000-0005-0000-0000-00006C380000}"/>
    <cellStyle name="Buena 10 14" xfId="14496" xr:uid="{00000000-0005-0000-0000-00006D380000}"/>
    <cellStyle name="Buena 10 15" xfId="14497" xr:uid="{00000000-0005-0000-0000-00006E380000}"/>
    <cellStyle name="Buena 10 16" xfId="14498" xr:uid="{00000000-0005-0000-0000-00006F380000}"/>
    <cellStyle name="Buena 10 17" xfId="14499" xr:uid="{00000000-0005-0000-0000-000070380000}"/>
    <cellStyle name="Buena 10 18" xfId="14500" xr:uid="{00000000-0005-0000-0000-000071380000}"/>
    <cellStyle name="Buena 10 19" xfId="14501" xr:uid="{00000000-0005-0000-0000-000072380000}"/>
    <cellStyle name="Buena 10 2" xfId="14502" xr:uid="{00000000-0005-0000-0000-000073380000}"/>
    <cellStyle name="Buena 10 2 2" xfId="14503" xr:uid="{00000000-0005-0000-0000-000074380000}"/>
    <cellStyle name="Buena 10 3" xfId="14504" xr:uid="{00000000-0005-0000-0000-000075380000}"/>
    <cellStyle name="Buena 10 3 2" xfId="14505" xr:uid="{00000000-0005-0000-0000-000076380000}"/>
    <cellStyle name="Buena 10 4" xfId="14506" xr:uid="{00000000-0005-0000-0000-000077380000}"/>
    <cellStyle name="Buena 10 4 2" xfId="14507" xr:uid="{00000000-0005-0000-0000-000078380000}"/>
    <cellStyle name="Buena 10 5" xfId="14508" xr:uid="{00000000-0005-0000-0000-000079380000}"/>
    <cellStyle name="Buena 10 6" xfId="14509" xr:uid="{00000000-0005-0000-0000-00007A380000}"/>
    <cellStyle name="Buena 10 7" xfId="14510" xr:uid="{00000000-0005-0000-0000-00007B380000}"/>
    <cellStyle name="Buena 10 8" xfId="14511" xr:uid="{00000000-0005-0000-0000-00007C380000}"/>
    <cellStyle name="Buena 10 9" xfId="14512" xr:uid="{00000000-0005-0000-0000-00007D380000}"/>
    <cellStyle name="Buena 11 10" xfId="14513" xr:uid="{00000000-0005-0000-0000-00007E380000}"/>
    <cellStyle name="Buena 11 11" xfId="14514" xr:uid="{00000000-0005-0000-0000-00007F380000}"/>
    <cellStyle name="Buena 11 12" xfId="14515" xr:uid="{00000000-0005-0000-0000-000080380000}"/>
    <cellStyle name="Buena 11 13" xfId="14516" xr:uid="{00000000-0005-0000-0000-000081380000}"/>
    <cellStyle name="Buena 11 14" xfId="14517" xr:uid="{00000000-0005-0000-0000-000082380000}"/>
    <cellStyle name="Buena 11 15" xfId="14518" xr:uid="{00000000-0005-0000-0000-000083380000}"/>
    <cellStyle name="Buena 11 16" xfId="14519" xr:uid="{00000000-0005-0000-0000-000084380000}"/>
    <cellStyle name="Buena 11 17" xfId="14520" xr:uid="{00000000-0005-0000-0000-000085380000}"/>
    <cellStyle name="Buena 11 18" xfId="14521" xr:uid="{00000000-0005-0000-0000-000086380000}"/>
    <cellStyle name="Buena 11 19" xfId="14522" xr:uid="{00000000-0005-0000-0000-000087380000}"/>
    <cellStyle name="Buena 11 2" xfId="14523" xr:uid="{00000000-0005-0000-0000-000088380000}"/>
    <cellStyle name="Buena 11 2 2" xfId="14524" xr:uid="{00000000-0005-0000-0000-000089380000}"/>
    <cellStyle name="Buena 11 3" xfId="14525" xr:uid="{00000000-0005-0000-0000-00008A380000}"/>
    <cellStyle name="Buena 11 3 2" xfId="14526" xr:uid="{00000000-0005-0000-0000-00008B380000}"/>
    <cellStyle name="Buena 11 4" xfId="14527" xr:uid="{00000000-0005-0000-0000-00008C380000}"/>
    <cellStyle name="Buena 11 4 2" xfId="14528" xr:uid="{00000000-0005-0000-0000-00008D380000}"/>
    <cellStyle name="Buena 11 5" xfId="14529" xr:uid="{00000000-0005-0000-0000-00008E380000}"/>
    <cellStyle name="Buena 11 6" xfId="14530" xr:uid="{00000000-0005-0000-0000-00008F380000}"/>
    <cellStyle name="Buena 11 7" xfId="14531" xr:uid="{00000000-0005-0000-0000-000090380000}"/>
    <cellStyle name="Buena 11 8" xfId="14532" xr:uid="{00000000-0005-0000-0000-000091380000}"/>
    <cellStyle name="Buena 11 9" xfId="14533" xr:uid="{00000000-0005-0000-0000-000092380000}"/>
    <cellStyle name="Buena 12 10" xfId="14534" xr:uid="{00000000-0005-0000-0000-000093380000}"/>
    <cellStyle name="Buena 12 11" xfId="14535" xr:uid="{00000000-0005-0000-0000-000094380000}"/>
    <cellStyle name="Buena 12 12" xfId="14536" xr:uid="{00000000-0005-0000-0000-000095380000}"/>
    <cellStyle name="Buena 12 13" xfId="14537" xr:uid="{00000000-0005-0000-0000-000096380000}"/>
    <cellStyle name="Buena 12 14" xfId="14538" xr:uid="{00000000-0005-0000-0000-000097380000}"/>
    <cellStyle name="Buena 12 15" xfId="14539" xr:uid="{00000000-0005-0000-0000-000098380000}"/>
    <cellStyle name="Buena 12 16" xfId="14540" xr:uid="{00000000-0005-0000-0000-000099380000}"/>
    <cellStyle name="Buena 12 17" xfId="14541" xr:uid="{00000000-0005-0000-0000-00009A380000}"/>
    <cellStyle name="Buena 12 18" xfId="14542" xr:uid="{00000000-0005-0000-0000-00009B380000}"/>
    <cellStyle name="Buena 12 19" xfId="14543" xr:uid="{00000000-0005-0000-0000-00009C380000}"/>
    <cellStyle name="Buena 12 2" xfId="14544" xr:uid="{00000000-0005-0000-0000-00009D380000}"/>
    <cellStyle name="Buena 12 2 2" xfId="14545" xr:uid="{00000000-0005-0000-0000-00009E380000}"/>
    <cellStyle name="Buena 12 3" xfId="14546" xr:uid="{00000000-0005-0000-0000-00009F380000}"/>
    <cellStyle name="Buena 12 3 2" xfId="14547" xr:uid="{00000000-0005-0000-0000-0000A0380000}"/>
    <cellStyle name="Buena 12 4" xfId="14548" xr:uid="{00000000-0005-0000-0000-0000A1380000}"/>
    <cellStyle name="Buena 12 4 2" xfId="14549" xr:uid="{00000000-0005-0000-0000-0000A2380000}"/>
    <cellStyle name="Buena 12 5" xfId="14550" xr:uid="{00000000-0005-0000-0000-0000A3380000}"/>
    <cellStyle name="Buena 12 6" xfId="14551" xr:uid="{00000000-0005-0000-0000-0000A4380000}"/>
    <cellStyle name="Buena 12 7" xfId="14552" xr:uid="{00000000-0005-0000-0000-0000A5380000}"/>
    <cellStyle name="Buena 12 8" xfId="14553" xr:uid="{00000000-0005-0000-0000-0000A6380000}"/>
    <cellStyle name="Buena 12 9" xfId="14554" xr:uid="{00000000-0005-0000-0000-0000A7380000}"/>
    <cellStyle name="Buena 13 10" xfId="14555" xr:uid="{00000000-0005-0000-0000-0000A8380000}"/>
    <cellStyle name="Buena 13 11" xfId="14556" xr:uid="{00000000-0005-0000-0000-0000A9380000}"/>
    <cellStyle name="Buena 13 12" xfId="14557" xr:uid="{00000000-0005-0000-0000-0000AA380000}"/>
    <cellStyle name="Buena 13 13" xfId="14558" xr:uid="{00000000-0005-0000-0000-0000AB380000}"/>
    <cellStyle name="Buena 13 14" xfId="14559" xr:uid="{00000000-0005-0000-0000-0000AC380000}"/>
    <cellStyle name="Buena 13 15" xfId="14560" xr:uid="{00000000-0005-0000-0000-0000AD380000}"/>
    <cellStyle name="Buena 13 16" xfId="14561" xr:uid="{00000000-0005-0000-0000-0000AE380000}"/>
    <cellStyle name="Buena 13 17" xfId="14562" xr:uid="{00000000-0005-0000-0000-0000AF380000}"/>
    <cellStyle name="Buena 13 18" xfId="14563" xr:uid="{00000000-0005-0000-0000-0000B0380000}"/>
    <cellStyle name="Buena 13 19" xfId="14564" xr:uid="{00000000-0005-0000-0000-0000B1380000}"/>
    <cellStyle name="Buena 13 2" xfId="14565" xr:uid="{00000000-0005-0000-0000-0000B2380000}"/>
    <cellStyle name="Buena 13 2 2" xfId="14566" xr:uid="{00000000-0005-0000-0000-0000B3380000}"/>
    <cellStyle name="Buena 13 3" xfId="14567" xr:uid="{00000000-0005-0000-0000-0000B4380000}"/>
    <cellStyle name="Buena 13 3 2" xfId="14568" xr:uid="{00000000-0005-0000-0000-0000B5380000}"/>
    <cellStyle name="Buena 13 4" xfId="14569" xr:uid="{00000000-0005-0000-0000-0000B6380000}"/>
    <cellStyle name="Buena 13 4 2" xfId="14570" xr:uid="{00000000-0005-0000-0000-0000B7380000}"/>
    <cellStyle name="Buena 13 5" xfId="14571" xr:uid="{00000000-0005-0000-0000-0000B8380000}"/>
    <cellStyle name="Buena 13 6" xfId="14572" xr:uid="{00000000-0005-0000-0000-0000B9380000}"/>
    <cellStyle name="Buena 13 7" xfId="14573" xr:uid="{00000000-0005-0000-0000-0000BA380000}"/>
    <cellStyle name="Buena 13 8" xfId="14574" xr:uid="{00000000-0005-0000-0000-0000BB380000}"/>
    <cellStyle name="Buena 13 9" xfId="14575" xr:uid="{00000000-0005-0000-0000-0000BC380000}"/>
    <cellStyle name="Buena 14 10" xfId="14576" xr:uid="{00000000-0005-0000-0000-0000BD380000}"/>
    <cellStyle name="Buena 14 11" xfId="14577" xr:uid="{00000000-0005-0000-0000-0000BE380000}"/>
    <cellStyle name="Buena 14 12" xfId="14578" xr:uid="{00000000-0005-0000-0000-0000BF380000}"/>
    <cellStyle name="Buena 14 13" xfId="14579" xr:uid="{00000000-0005-0000-0000-0000C0380000}"/>
    <cellStyle name="Buena 14 14" xfId="14580" xr:uid="{00000000-0005-0000-0000-0000C1380000}"/>
    <cellStyle name="Buena 14 15" xfId="14581" xr:uid="{00000000-0005-0000-0000-0000C2380000}"/>
    <cellStyle name="Buena 14 16" xfId="14582" xr:uid="{00000000-0005-0000-0000-0000C3380000}"/>
    <cellStyle name="Buena 14 17" xfId="14583" xr:uid="{00000000-0005-0000-0000-0000C4380000}"/>
    <cellStyle name="Buena 14 18" xfId="14584" xr:uid="{00000000-0005-0000-0000-0000C5380000}"/>
    <cellStyle name="Buena 14 19" xfId="14585" xr:uid="{00000000-0005-0000-0000-0000C6380000}"/>
    <cellStyle name="Buena 14 2" xfId="14586" xr:uid="{00000000-0005-0000-0000-0000C7380000}"/>
    <cellStyle name="Buena 14 2 2" xfId="14587" xr:uid="{00000000-0005-0000-0000-0000C8380000}"/>
    <cellStyle name="Buena 14 3" xfId="14588" xr:uid="{00000000-0005-0000-0000-0000C9380000}"/>
    <cellStyle name="Buena 14 3 2" xfId="14589" xr:uid="{00000000-0005-0000-0000-0000CA380000}"/>
    <cellStyle name="Buena 14 4" xfId="14590" xr:uid="{00000000-0005-0000-0000-0000CB380000}"/>
    <cellStyle name="Buena 14 4 2" xfId="14591" xr:uid="{00000000-0005-0000-0000-0000CC380000}"/>
    <cellStyle name="Buena 14 5" xfId="14592" xr:uid="{00000000-0005-0000-0000-0000CD380000}"/>
    <cellStyle name="Buena 14 6" xfId="14593" xr:uid="{00000000-0005-0000-0000-0000CE380000}"/>
    <cellStyle name="Buena 14 7" xfId="14594" xr:uid="{00000000-0005-0000-0000-0000CF380000}"/>
    <cellStyle name="Buena 14 8" xfId="14595" xr:uid="{00000000-0005-0000-0000-0000D0380000}"/>
    <cellStyle name="Buena 14 9" xfId="14596" xr:uid="{00000000-0005-0000-0000-0000D1380000}"/>
    <cellStyle name="Buena 15 10" xfId="14597" xr:uid="{00000000-0005-0000-0000-0000D2380000}"/>
    <cellStyle name="Buena 15 11" xfId="14598" xr:uid="{00000000-0005-0000-0000-0000D3380000}"/>
    <cellStyle name="Buena 15 12" xfId="14599" xr:uid="{00000000-0005-0000-0000-0000D4380000}"/>
    <cellStyle name="Buena 15 13" xfId="14600" xr:uid="{00000000-0005-0000-0000-0000D5380000}"/>
    <cellStyle name="Buena 15 14" xfId="14601" xr:uid="{00000000-0005-0000-0000-0000D6380000}"/>
    <cellStyle name="Buena 15 15" xfId="14602" xr:uid="{00000000-0005-0000-0000-0000D7380000}"/>
    <cellStyle name="Buena 15 16" xfId="14603" xr:uid="{00000000-0005-0000-0000-0000D8380000}"/>
    <cellStyle name="Buena 15 17" xfId="14604" xr:uid="{00000000-0005-0000-0000-0000D9380000}"/>
    <cellStyle name="Buena 15 18" xfId="14605" xr:uid="{00000000-0005-0000-0000-0000DA380000}"/>
    <cellStyle name="Buena 15 19" xfId="14606" xr:uid="{00000000-0005-0000-0000-0000DB380000}"/>
    <cellStyle name="Buena 15 2" xfId="14607" xr:uid="{00000000-0005-0000-0000-0000DC380000}"/>
    <cellStyle name="Buena 15 2 2" xfId="14608" xr:uid="{00000000-0005-0000-0000-0000DD380000}"/>
    <cellStyle name="Buena 15 3" xfId="14609" xr:uid="{00000000-0005-0000-0000-0000DE380000}"/>
    <cellStyle name="Buena 15 3 2" xfId="14610" xr:uid="{00000000-0005-0000-0000-0000DF380000}"/>
    <cellStyle name="Buena 15 4" xfId="14611" xr:uid="{00000000-0005-0000-0000-0000E0380000}"/>
    <cellStyle name="Buena 15 4 2" xfId="14612" xr:uid="{00000000-0005-0000-0000-0000E1380000}"/>
    <cellStyle name="Buena 15 5" xfId="14613" xr:uid="{00000000-0005-0000-0000-0000E2380000}"/>
    <cellStyle name="Buena 15 6" xfId="14614" xr:uid="{00000000-0005-0000-0000-0000E3380000}"/>
    <cellStyle name="Buena 15 7" xfId="14615" xr:uid="{00000000-0005-0000-0000-0000E4380000}"/>
    <cellStyle name="Buena 15 8" xfId="14616" xr:uid="{00000000-0005-0000-0000-0000E5380000}"/>
    <cellStyle name="Buena 15 9" xfId="14617" xr:uid="{00000000-0005-0000-0000-0000E6380000}"/>
    <cellStyle name="Buena 16 10" xfId="14618" xr:uid="{00000000-0005-0000-0000-0000E7380000}"/>
    <cellStyle name="Buena 16 11" xfId="14619" xr:uid="{00000000-0005-0000-0000-0000E8380000}"/>
    <cellStyle name="Buena 16 12" xfId="14620" xr:uid="{00000000-0005-0000-0000-0000E9380000}"/>
    <cellStyle name="Buena 16 13" xfId="14621" xr:uid="{00000000-0005-0000-0000-0000EA380000}"/>
    <cellStyle name="Buena 16 14" xfId="14622" xr:uid="{00000000-0005-0000-0000-0000EB380000}"/>
    <cellStyle name="Buena 16 15" xfId="14623" xr:uid="{00000000-0005-0000-0000-0000EC380000}"/>
    <cellStyle name="Buena 16 16" xfId="14624" xr:uid="{00000000-0005-0000-0000-0000ED380000}"/>
    <cellStyle name="Buena 16 17" xfId="14625" xr:uid="{00000000-0005-0000-0000-0000EE380000}"/>
    <cellStyle name="Buena 16 18" xfId="14626" xr:uid="{00000000-0005-0000-0000-0000EF380000}"/>
    <cellStyle name="Buena 16 19" xfId="14627" xr:uid="{00000000-0005-0000-0000-0000F0380000}"/>
    <cellStyle name="Buena 16 2" xfId="14628" xr:uid="{00000000-0005-0000-0000-0000F1380000}"/>
    <cellStyle name="Buena 16 2 2" xfId="14629" xr:uid="{00000000-0005-0000-0000-0000F2380000}"/>
    <cellStyle name="Buena 16 3" xfId="14630" xr:uid="{00000000-0005-0000-0000-0000F3380000}"/>
    <cellStyle name="Buena 16 3 2" xfId="14631" xr:uid="{00000000-0005-0000-0000-0000F4380000}"/>
    <cellStyle name="Buena 16 4" xfId="14632" xr:uid="{00000000-0005-0000-0000-0000F5380000}"/>
    <cellStyle name="Buena 16 4 2" xfId="14633" xr:uid="{00000000-0005-0000-0000-0000F6380000}"/>
    <cellStyle name="Buena 16 5" xfId="14634" xr:uid="{00000000-0005-0000-0000-0000F7380000}"/>
    <cellStyle name="Buena 16 6" xfId="14635" xr:uid="{00000000-0005-0000-0000-0000F8380000}"/>
    <cellStyle name="Buena 16 7" xfId="14636" xr:uid="{00000000-0005-0000-0000-0000F9380000}"/>
    <cellStyle name="Buena 16 8" xfId="14637" xr:uid="{00000000-0005-0000-0000-0000FA380000}"/>
    <cellStyle name="Buena 16 9" xfId="14638" xr:uid="{00000000-0005-0000-0000-0000FB380000}"/>
    <cellStyle name="Buena 17 10" xfId="14639" xr:uid="{00000000-0005-0000-0000-0000FC380000}"/>
    <cellStyle name="Buena 17 11" xfId="14640" xr:uid="{00000000-0005-0000-0000-0000FD380000}"/>
    <cellStyle name="Buena 17 12" xfId="14641" xr:uid="{00000000-0005-0000-0000-0000FE380000}"/>
    <cellStyle name="Buena 17 13" xfId="14642" xr:uid="{00000000-0005-0000-0000-0000FF380000}"/>
    <cellStyle name="Buena 17 14" xfId="14643" xr:uid="{00000000-0005-0000-0000-000000390000}"/>
    <cellStyle name="Buena 17 15" xfId="14644" xr:uid="{00000000-0005-0000-0000-000001390000}"/>
    <cellStyle name="Buena 17 16" xfId="14645" xr:uid="{00000000-0005-0000-0000-000002390000}"/>
    <cellStyle name="Buena 17 17" xfId="14646" xr:uid="{00000000-0005-0000-0000-000003390000}"/>
    <cellStyle name="Buena 17 18" xfId="14647" xr:uid="{00000000-0005-0000-0000-000004390000}"/>
    <cellStyle name="Buena 17 19" xfId="14648" xr:uid="{00000000-0005-0000-0000-000005390000}"/>
    <cellStyle name="Buena 17 2" xfId="14649" xr:uid="{00000000-0005-0000-0000-000006390000}"/>
    <cellStyle name="Buena 17 2 2" xfId="14650" xr:uid="{00000000-0005-0000-0000-000007390000}"/>
    <cellStyle name="Buena 17 3" xfId="14651" xr:uid="{00000000-0005-0000-0000-000008390000}"/>
    <cellStyle name="Buena 17 3 2" xfId="14652" xr:uid="{00000000-0005-0000-0000-000009390000}"/>
    <cellStyle name="Buena 17 4" xfId="14653" xr:uid="{00000000-0005-0000-0000-00000A390000}"/>
    <cellStyle name="Buena 17 4 2" xfId="14654" xr:uid="{00000000-0005-0000-0000-00000B390000}"/>
    <cellStyle name="Buena 17 5" xfId="14655" xr:uid="{00000000-0005-0000-0000-00000C390000}"/>
    <cellStyle name="Buena 17 6" xfId="14656" xr:uid="{00000000-0005-0000-0000-00000D390000}"/>
    <cellStyle name="Buena 17 7" xfId="14657" xr:uid="{00000000-0005-0000-0000-00000E390000}"/>
    <cellStyle name="Buena 17 8" xfId="14658" xr:uid="{00000000-0005-0000-0000-00000F390000}"/>
    <cellStyle name="Buena 17 9" xfId="14659" xr:uid="{00000000-0005-0000-0000-000010390000}"/>
    <cellStyle name="Buena 18 10" xfId="14660" xr:uid="{00000000-0005-0000-0000-000011390000}"/>
    <cellStyle name="Buena 18 11" xfId="14661" xr:uid="{00000000-0005-0000-0000-000012390000}"/>
    <cellStyle name="Buena 18 12" xfId="14662" xr:uid="{00000000-0005-0000-0000-000013390000}"/>
    <cellStyle name="Buena 18 13" xfId="14663" xr:uid="{00000000-0005-0000-0000-000014390000}"/>
    <cellStyle name="Buena 18 14" xfId="14664" xr:uid="{00000000-0005-0000-0000-000015390000}"/>
    <cellStyle name="Buena 18 15" xfId="14665" xr:uid="{00000000-0005-0000-0000-000016390000}"/>
    <cellStyle name="Buena 18 16" xfId="14666" xr:uid="{00000000-0005-0000-0000-000017390000}"/>
    <cellStyle name="Buena 18 17" xfId="14667" xr:uid="{00000000-0005-0000-0000-000018390000}"/>
    <cellStyle name="Buena 18 18" xfId="14668" xr:uid="{00000000-0005-0000-0000-000019390000}"/>
    <cellStyle name="Buena 18 19" xfId="14669" xr:uid="{00000000-0005-0000-0000-00001A390000}"/>
    <cellStyle name="Buena 18 2" xfId="14670" xr:uid="{00000000-0005-0000-0000-00001B390000}"/>
    <cellStyle name="Buena 18 2 2" xfId="14671" xr:uid="{00000000-0005-0000-0000-00001C390000}"/>
    <cellStyle name="Buena 18 3" xfId="14672" xr:uid="{00000000-0005-0000-0000-00001D390000}"/>
    <cellStyle name="Buena 18 3 2" xfId="14673" xr:uid="{00000000-0005-0000-0000-00001E390000}"/>
    <cellStyle name="Buena 18 4" xfId="14674" xr:uid="{00000000-0005-0000-0000-00001F390000}"/>
    <cellStyle name="Buena 18 4 2" xfId="14675" xr:uid="{00000000-0005-0000-0000-000020390000}"/>
    <cellStyle name="Buena 18 5" xfId="14676" xr:uid="{00000000-0005-0000-0000-000021390000}"/>
    <cellStyle name="Buena 18 6" xfId="14677" xr:uid="{00000000-0005-0000-0000-000022390000}"/>
    <cellStyle name="Buena 18 7" xfId="14678" xr:uid="{00000000-0005-0000-0000-000023390000}"/>
    <cellStyle name="Buena 18 8" xfId="14679" xr:uid="{00000000-0005-0000-0000-000024390000}"/>
    <cellStyle name="Buena 18 9" xfId="14680" xr:uid="{00000000-0005-0000-0000-000025390000}"/>
    <cellStyle name="Buena 19 10" xfId="14681" xr:uid="{00000000-0005-0000-0000-000026390000}"/>
    <cellStyle name="Buena 19 11" xfId="14682" xr:uid="{00000000-0005-0000-0000-000027390000}"/>
    <cellStyle name="Buena 19 12" xfId="14683" xr:uid="{00000000-0005-0000-0000-000028390000}"/>
    <cellStyle name="Buena 19 13" xfId="14684" xr:uid="{00000000-0005-0000-0000-000029390000}"/>
    <cellStyle name="Buena 19 14" xfId="14685" xr:uid="{00000000-0005-0000-0000-00002A390000}"/>
    <cellStyle name="Buena 19 15" xfId="14686" xr:uid="{00000000-0005-0000-0000-00002B390000}"/>
    <cellStyle name="Buena 19 16" xfId="14687" xr:uid="{00000000-0005-0000-0000-00002C390000}"/>
    <cellStyle name="Buena 19 17" xfId="14688" xr:uid="{00000000-0005-0000-0000-00002D390000}"/>
    <cellStyle name="Buena 19 18" xfId="14689" xr:uid="{00000000-0005-0000-0000-00002E390000}"/>
    <cellStyle name="Buena 19 19" xfId="14690" xr:uid="{00000000-0005-0000-0000-00002F390000}"/>
    <cellStyle name="Buena 19 2" xfId="14691" xr:uid="{00000000-0005-0000-0000-000030390000}"/>
    <cellStyle name="Buena 19 2 2" xfId="14692" xr:uid="{00000000-0005-0000-0000-000031390000}"/>
    <cellStyle name="Buena 19 3" xfId="14693" xr:uid="{00000000-0005-0000-0000-000032390000}"/>
    <cellStyle name="Buena 19 3 2" xfId="14694" xr:uid="{00000000-0005-0000-0000-000033390000}"/>
    <cellStyle name="Buena 19 4" xfId="14695" xr:uid="{00000000-0005-0000-0000-000034390000}"/>
    <cellStyle name="Buena 19 4 2" xfId="14696" xr:uid="{00000000-0005-0000-0000-000035390000}"/>
    <cellStyle name="Buena 19 5" xfId="14697" xr:uid="{00000000-0005-0000-0000-000036390000}"/>
    <cellStyle name="Buena 19 6" xfId="14698" xr:uid="{00000000-0005-0000-0000-000037390000}"/>
    <cellStyle name="Buena 19 7" xfId="14699" xr:uid="{00000000-0005-0000-0000-000038390000}"/>
    <cellStyle name="Buena 19 8" xfId="14700" xr:uid="{00000000-0005-0000-0000-000039390000}"/>
    <cellStyle name="Buena 19 9" xfId="14701" xr:uid="{00000000-0005-0000-0000-00003A390000}"/>
    <cellStyle name="Buena 2 10" xfId="14702" xr:uid="{00000000-0005-0000-0000-00003B390000}"/>
    <cellStyle name="Buena 2 11" xfId="14703" xr:uid="{00000000-0005-0000-0000-00003C390000}"/>
    <cellStyle name="Buena 2 12" xfId="14704" xr:uid="{00000000-0005-0000-0000-00003D390000}"/>
    <cellStyle name="Buena 2 13" xfId="14705" xr:uid="{00000000-0005-0000-0000-00003E390000}"/>
    <cellStyle name="Buena 2 14" xfId="14706" xr:uid="{00000000-0005-0000-0000-00003F390000}"/>
    <cellStyle name="Buena 2 15" xfId="14707" xr:uid="{00000000-0005-0000-0000-000040390000}"/>
    <cellStyle name="Buena 2 16" xfId="14708" xr:uid="{00000000-0005-0000-0000-000041390000}"/>
    <cellStyle name="Buena 2 17" xfId="14709" xr:uid="{00000000-0005-0000-0000-000042390000}"/>
    <cellStyle name="Buena 2 18" xfId="14710" xr:uid="{00000000-0005-0000-0000-000043390000}"/>
    <cellStyle name="Buena 2 19" xfId="14711" xr:uid="{00000000-0005-0000-0000-000044390000}"/>
    <cellStyle name="Buena 2 2" xfId="14712" xr:uid="{00000000-0005-0000-0000-000045390000}"/>
    <cellStyle name="Buena 2 2 2" xfId="14713" xr:uid="{00000000-0005-0000-0000-000046390000}"/>
    <cellStyle name="Buena 2 3" xfId="14714" xr:uid="{00000000-0005-0000-0000-000047390000}"/>
    <cellStyle name="Buena 2 3 2" xfId="14715" xr:uid="{00000000-0005-0000-0000-000048390000}"/>
    <cellStyle name="Buena 2 4" xfId="14716" xr:uid="{00000000-0005-0000-0000-000049390000}"/>
    <cellStyle name="Buena 2 4 2" xfId="14717" xr:uid="{00000000-0005-0000-0000-00004A390000}"/>
    <cellStyle name="Buena 2 5" xfId="14718" xr:uid="{00000000-0005-0000-0000-00004B390000}"/>
    <cellStyle name="Buena 2 6" xfId="14719" xr:uid="{00000000-0005-0000-0000-00004C390000}"/>
    <cellStyle name="Buena 2 7" xfId="14720" xr:uid="{00000000-0005-0000-0000-00004D390000}"/>
    <cellStyle name="Buena 2 8" xfId="14721" xr:uid="{00000000-0005-0000-0000-00004E390000}"/>
    <cellStyle name="Buena 2 9" xfId="14722" xr:uid="{00000000-0005-0000-0000-00004F390000}"/>
    <cellStyle name="Buena 20 10" xfId="14723" xr:uid="{00000000-0005-0000-0000-000050390000}"/>
    <cellStyle name="Buena 20 11" xfId="14724" xr:uid="{00000000-0005-0000-0000-000051390000}"/>
    <cellStyle name="Buena 20 12" xfId="14725" xr:uid="{00000000-0005-0000-0000-000052390000}"/>
    <cellStyle name="Buena 20 13" xfId="14726" xr:uid="{00000000-0005-0000-0000-000053390000}"/>
    <cellStyle name="Buena 20 14" xfId="14727" xr:uid="{00000000-0005-0000-0000-000054390000}"/>
    <cellStyle name="Buena 20 15" xfId="14728" xr:uid="{00000000-0005-0000-0000-000055390000}"/>
    <cellStyle name="Buena 20 16" xfId="14729" xr:uid="{00000000-0005-0000-0000-000056390000}"/>
    <cellStyle name="Buena 20 17" xfId="14730" xr:uid="{00000000-0005-0000-0000-000057390000}"/>
    <cellStyle name="Buena 20 18" xfId="14731" xr:uid="{00000000-0005-0000-0000-000058390000}"/>
    <cellStyle name="Buena 20 19" xfId="14732" xr:uid="{00000000-0005-0000-0000-000059390000}"/>
    <cellStyle name="Buena 20 2" xfId="14733" xr:uid="{00000000-0005-0000-0000-00005A390000}"/>
    <cellStyle name="Buena 20 2 2" xfId="14734" xr:uid="{00000000-0005-0000-0000-00005B390000}"/>
    <cellStyle name="Buena 20 3" xfId="14735" xr:uid="{00000000-0005-0000-0000-00005C390000}"/>
    <cellStyle name="Buena 20 3 2" xfId="14736" xr:uid="{00000000-0005-0000-0000-00005D390000}"/>
    <cellStyle name="Buena 20 4" xfId="14737" xr:uid="{00000000-0005-0000-0000-00005E390000}"/>
    <cellStyle name="Buena 20 4 2" xfId="14738" xr:uid="{00000000-0005-0000-0000-00005F390000}"/>
    <cellStyle name="Buena 20 5" xfId="14739" xr:uid="{00000000-0005-0000-0000-000060390000}"/>
    <cellStyle name="Buena 20 6" xfId="14740" xr:uid="{00000000-0005-0000-0000-000061390000}"/>
    <cellStyle name="Buena 20 7" xfId="14741" xr:uid="{00000000-0005-0000-0000-000062390000}"/>
    <cellStyle name="Buena 20 8" xfId="14742" xr:uid="{00000000-0005-0000-0000-000063390000}"/>
    <cellStyle name="Buena 20 9" xfId="14743" xr:uid="{00000000-0005-0000-0000-000064390000}"/>
    <cellStyle name="Buena 21 10" xfId="14744" xr:uid="{00000000-0005-0000-0000-000065390000}"/>
    <cellStyle name="Buena 21 11" xfId="14745" xr:uid="{00000000-0005-0000-0000-000066390000}"/>
    <cellStyle name="Buena 21 12" xfId="14746" xr:uid="{00000000-0005-0000-0000-000067390000}"/>
    <cellStyle name="Buena 21 13" xfId="14747" xr:uid="{00000000-0005-0000-0000-000068390000}"/>
    <cellStyle name="Buena 21 14" xfId="14748" xr:uid="{00000000-0005-0000-0000-000069390000}"/>
    <cellStyle name="Buena 21 15" xfId="14749" xr:uid="{00000000-0005-0000-0000-00006A390000}"/>
    <cellStyle name="Buena 21 16" xfId="14750" xr:uid="{00000000-0005-0000-0000-00006B390000}"/>
    <cellStyle name="Buena 21 17" xfId="14751" xr:uid="{00000000-0005-0000-0000-00006C390000}"/>
    <cellStyle name="Buena 21 18" xfId="14752" xr:uid="{00000000-0005-0000-0000-00006D390000}"/>
    <cellStyle name="Buena 21 19" xfId="14753" xr:uid="{00000000-0005-0000-0000-00006E390000}"/>
    <cellStyle name="Buena 21 2" xfId="14754" xr:uid="{00000000-0005-0000-0000-00006F390000}"/>
    <cellStyle name="Buena 21 2 2" xfId="14755" xr:uid="{00000000-0005-0000-0000-000070390000}"/>
    <cellStyle name="Buena 21 3" xfId="14756" xr:uid="{00000000-0005-0000-0000-000071390000}"/>
    <cellStyle name="Buena 21 3 2" xfId="14757" xr:uid="{00000000-0005-0000-0000-000072390000}"/>
    <cellStyle name="Buena 21 4" xfId="14758" xr:uid="{00000000-0005-0000-0000-000073390000}"/>
    <cellStyle name="Buena 21 4 2" xfId="14759" xr:uid="{00000000-0005-0000-0000-000074390000}"/>
    <cellStyle name="Buena 21 5" xfId="14760" xr:uid="{00000000-0005-0000-0000-000075390000}"/>
    <cellStyle name="Buena 21 6" xfId="14761" xr:uid="{00000000-0005-0000-0000-000076390000}"/>
    <cellStyle name="Buena 21 7" xfId="14762" xr:uid="{00000000-0005-0000-0000-000077390000}"/>
    <cellStyle name="Buena 21 8" xfId="14763" xr:uid="{00000000-0005-0000-0000-000078390000}"/>
    <cellStyle name="Buena 21 9" xfId="14764" xr:uid="{00000000-0005-0000-0000-000079390000}"/>
    <cellStyle name="Buena 22 10" xfId="14765" xr:uid="{00000000-0005-0000-0000-00007A390000}"/>
    <cellStyle name="Buena 22 11" xfId="14766" xr:uid="{00000000-0005-0000-0000-00007B390000}"/>
    <cellStyle name="Buena 22 12" xfId="14767" xr:uid="{00000000-0005-0000-0000-00007C390000}"/>
    <cellStyle name="Buena 22 13" xfId="14768" xr:uid="{00000000-0005-0000-0000-00007D390000}"/>
    <cellStyle name="Buena 22 14" xfId="14769" xr:uid="{00000000-0005-0000-0000-00007E390000}"/>
    <cellStyle name="Buena 22 15" xfId="14770" xr:uid="{00000000-0005-0000-0000-00007F390000}"/>
    <cellStyle name="Buena 22 16" xfId="14771" xr:uid="{00000000-0005-0000-0000-000080390000}"/>
    <cellStyle name="Buena 22 17" xfId="14772" xr:uid="{00000000-0005-0000-0000-000081390000}"/>
    <cellStyle name="Buena 22 18" xfId="14773" xr:uid="{00000000-0005-0000-0000-000082390000}"/>
    <cellStyle name="Buena 22 19" xfId="14774" xr:uid="{00000000-0005-0000-0000-000083390000}"/>
    <cellStyle name="Buena 22 2" xfId="14775" xr:uid="{00000000-0005-0000-0000-000084390000}"/>
    <cellStyle name="Buena 22 2 2" xfId="14776" xr:uid="{00000000-0005-0000-0000-000085390000}"/>
    <cellStyle name="Buena 22 3" xfId="14777" xr:uid="{00000000-0005-0000-0000-000086390000}"/>
    <cellStyle name="Buena 22 3 2" xfId="14778" xr:uid="{00000000-0005-0000-0000-000087390000}"/>
    <cellStyle name="Buena 22 4" xfId="14779" xr:uid="{00000000-0005-0000-0000-000088390000}"/>
    <cellStyle name="Buena 22 4 2" xfId="14780" xr:uid="{00000000-0005-0000-0000-000089390000}"/>
    <cellStyle name="Buena 22 5" xfId="14781" xr:uid="{00000000-0005-0000-0000-00008A390000}"/>
    <cellStyle name="Buena 22 6" xfId="14782" xr:uid="{00000000-0005-0000-0000-00008B390000}"/>
    <cellStyle name="Buena 22 7" xfId="14783" xr:uid="{00000000-0005-0000-0000-00008C390000}"/>
    <cellStyle name="Buena 22 8" xfId="14784" xr:uid="{00000000-0005-0000-0000-00008D390000}"/>
    <cellStyle name="Buena 22 9" xfId="14785" xr:uid="{00000000-0005-0000-0000-00008E390000}"/>
    <cellStyle name="Buena 23 10" xfId="14786" xr:uid="{00000000-0005-0000-0000-00008F390000}"/>
    <cellStyle name="Buena 23 11" xfId="14787" xr:uid="{00000000-0005-0000-0000-000090390000}"/>
    <cellStyle name="Buena 23 12" xfId="14788" xr:uid="{00000000-0005-0000-0000-000091390000}"/>
    <cellStyle name="Buena 23 13" xfId="14789" xr:uid="{00000000-0005-0000-0000-000092390000}"/>
    <cellStyle name="Buena 23 14" xfId="14790" xr:uid="{00000000-0005-0000-0000-000093390000}"/>
    <cellStyle name="Buena 23 15" xfId="14791" xr:uid="{00000000-0005-0000-0000-000094390000}"/>
    <cellStyle name="Buena 23 16" xfId="14792" xr:uid="{00000000-0005-0000-0000-000095390000}"/>
    <cellStyle name="Buena 23 17" xfId="14793" xr:uid="{00000000-0005-0000-0000-000096390000}"/>
    <cellStyle name="Buena 23 18" xfId="14794" xr:uid="{00000000-0005-0000-0000-000097390000}"/>
    <cellStyle name="Buena 23 19" xfId="14795" xr:uid="{00000000-0005-0000-0000-000098390000}"/>
    <cellStyle name="Buena 23 2" xfId="14796" xr:uid="{00000000-0005-0000-0000-000099390000}"/>
    <cellStyle name="Buena 23 2 2" xfId="14797" xr:uid="{00000000-0005-0000-0000-00009A390000}"/>
    <cellStyle name="Buena 23 3" xfId="14798" xr:uid="{00000000-0005-0000-0000-00009B390000}"/>
    <cellStyle name="Buena 23 3 2" xfId="14799" xr:uid="{00000000-0005-0000-0000-00009C390000}"/>
    <cellStyle name="Buena 23 4" xfId="14800" xr:uid="{00000000-0005-0000-0000-00009D390000}"/>
    <cellStyle name="Buena 23 4 2" xfId="14801" xr:uid="{00000000-0005-0000-0000-00009E390000}"/>
    <cellStyle name="Buena 23 5" xfId="14802" xr:uid="{00000000-0005-0000-0000-00009F390000}"/>
    <cellStyle name="Buena 23 6" xfId="14803" xr:uid="{00000000-0005-0000-0000-0000A0390000}"/>
    <cellStyle name="Buena 23 7" xfId="14804" xr:uid="{00000000-0005-0000-0000-0000A1390000}"/>
    <cellStyle name="Buena 23 8" xfId="14805" xr:uid="{00000000-0005-0000-0000-0000A2390000}"/>
    <cellStyle name="Buena 23 9" xfId="14806" xr:uid="{00000000-0005-0000-0000-0000A3390000}"/>
    <cellStyle name="Buena 24 10" xfId="14807" xr:uid="{00000000-0005-0000-0000-0000A4390000}"/>
    <cellStyle name="Buena 24 11" xfId="14808" xr:uid="{00000000-0005-0000-0000-0000A5390000}"/>
    <cellStyle name="Buena 24 12" xfId="14809" xr:uid="{00000000-0005-0000-0000-0000A6390000}"/>
    <cellStyle name="Buena 24 13" xfId="14810" xr:uid="{00000000-0005-0000-0000-0000A7390000}"/>
    <cellStyle name="Buena 24 14" xfId="14811" xr:uid="{00000000-0005-0000-0000-0000A8390000}"/>
    <cellStyle name="Buena 24 15" xfId="14812" xr:uid="{00000000-0005-0000-0000-0000A9390000}"/>
    <cellStyle name="Buena 24 16" xfId="14813" xr:uid="{00000000-0005-0000-0000-0000AA390000}"/>
    <cellStyle name="Buena 24 17" xfId="14814" xr:uid="{00000000-0005-0000-0000-0000AB390000}"/>
    <cellStyle name="Buena 24 18" xfId="14815" xr:uid="{00000000-0005-0000-0000-0000AC390000}"/>
    <cellStyle name="Buena 24 19" xfId="14816" xr:uid="{00000000-0005-0000-0000-0000AD390000}"/>
    <cellStyle name="Buena 24 2" xfId="14817" xr:uid="{00000000-0005-0000-0000-0000AE390000}"/>
    <cellStyle name="Buena 24 2 2" xfId="14818" xr:uid="{00000000-0005-0000-0000-0000AF390000}"/>
    <cellStyle name="Buena 24 3" xfId="14819" xr:uid="{00000000-0005-0000-0000-0000B0390000}"/>
    <cellStyle name="Buena 24 3 2" xfId="14820" xr:uid="{00000000-0005-0000-0000-0000B1390000}"/>
    <cellStyle name="Buena 24 4" xfId="14821" xr:uid="{00000000-0005-0000-0000-0000B2390000}"/>
    <cellStyle name="Buena 24 4 2" xfId="14822" xr:uid="{00000000-0005-0000-0000-0000B3390000}"/>
    <cellStyle name="Buena 24 5" xfId="14823" xr:uid="{00000000-0005-0000-0000-0000B4390000}"/>
    <cellStyle name="Buena 24 6" xfId="14824" xr:uid="{00000000-0005-0000-0000-0000B5390000}"/>
    <cellStyle name="Buena 24 7" xfId="14825" xr:uid="{00000000-0005-0000-0000-0000B6390000}"/>
    <cellStyle name="Buena 24 8" xfId="14826" xr:uid="{00000000-0005-0000-0000-0000B7390000}"/>
    <cellStyle name="Buena 24 9" xfId="14827" xr:uid="{00000000-0005-0000-0000-0000B8390000}"/>
    <cellStyle name="Buena 25 10" xfId="14828" xr:uid="{00000000-0005-0000-0000-0000B9390000}"/>
    <cellStyle name="Buena 25 11" xfId="14829" xr:uid="{00000000-0005-0000-0000-0000BA390000}"/>
    <cellStyle name="Buena 25 12" xfId="14830" xr:uid="{00000000-0005-0000-0000-0000BB390000}"/>
    <cellStyle name="Buena 25 13" xfId="14831" xr:uid="{00000000-0005-0000-0000-0000BC390000}"/>
    <cellStyle name="Buena 25 14" xfId="14832" xr:uid="{00000000-0005-0000-0000-0000BD390000}"/>
    <cellStyle name="Buena 25 15" xfId="14833" xr:uid="{00000000-0005-0000-0000-0000BE390000}"/>
    <cellStyle name="Buena 25 16" xfId="14834" xr:uid="{00000000-0005-0000-0000-0000BF390000}"/>
    <cellStyle name="Buena 25 17" xfId="14835" xr:uid="{00000000-0005-0000-0000-0000C0390000}"/>
    <cellStyle name="Buena 25 18" xfId="14836" xr:uid="{00000000-0005-0000-0000-0000C1390000}"/>
    <cellStyle name="Buena 25 19" xfId="14837" xr:uid="{00000000-0005-0000-0000-0000C2390000}"/>
    <cellStyle name="Buena 25 2" xfId="14838" xr:uid="{00000000-0005-0000-0000-0000C3390000}"/>
    <cellStyle name="Buena 25 2 2" xfId="14839" xr:uid="{00000000-0005-0000-0000-0000C4390000}"/>
    <cellStyle name="Buena 25 3" xfId="14840" xr:uid="{00000000-0005-0000-0000-0000C5390000}"/>
    <cellStyle name="Buena 25 3 2" xfId="14841" xr:uid="{00000000-0005-0000-0000-0000C6390000}"/>
    <cellStyle name="Buena 25 4" xfId="14842" xr:uid="{00000000-0005-0000-0000-0000C7390000}"/>
    <cellStyle name="Buena 25 4 2" xfId="14843" xr:uid="{00000000-0005-0000-0000-0000C8390000}"/>
    <cellStyle name="Buena 25 5" xfId="14844" xr:uid="{00000000-0005-0000-0000-0000C9390000}"/>
    <cellStyle name="Buena 25 6" xfId="14845" xr:uid="{00000000-0005-0000-0000-0000CA390000}"/>
    <cellStyle name="Buena 25 7" xfId="14846" xr:uid="{00000000-0005-0000-0000-0000CB390000}"/>
    <cellStyle name="Buena 25 8" xfId="14847" xr:uid="{00000000-0005-0000-0000-0000CC390000}"/>
    <cellStyle name="Buena 25 9" xfId="14848" xr:uid="{00000000-0005-0000-0000-0000CD390000}"/>
    <cellStyle name="Buena 26 10" xfId="14849" xr:uid="{00000000-0005-0000-0000-0000CE390000}"/>
    <cellStyle name="Buena 26 11" xfId="14850" xr:uid="{00000000-0005-0000-0000-0000CF390000}"/>
    <cellStyle name="Buena 26 12" xfId="14851" xr:uid="{00000000-0005-0000-0000-0000D0390000}"/>
    <cellStyle name="Buena 26 13" xfId="14852" xr:uid="{00000000-0005-0000-0000-0000D1390000}"/>
    <cellStyle name="Buena 26 14" xfId="14853" xr:uid="{00000000-0005-0000-0000-0000D2390000}"/>
    <cellStyle name="Buena 26 15" xfId="14854" xr:uid="{00000000-0005-0000-0000-0000D3390000}"/>
    <cellStyle name="Buena 26 16" xfId="14855" xr:uid="{00000000-0005-0000-0000-0000D4390000}"/>
    <cellStyle name="Buena 26 17" xfId="14856" xr:uid="{00000000-0005-0000-0000-0000D5390000}"/>
    <cellStyle name="Buena 26 18" xfId="14857" xr:uid="{00000000-0005-0000-0000-0000D6390000}"/>
    <cellStyle name="Buena 26 19" xfId="14858" xr:uid="{00000000-0005-0000-0000-0000D7390000}"/>
    <cellStyle name="Buena 26 2" xfId="14859" xr:uid="{00000000-0005-0000-0000-0000D8390000}"/>
    <cellStyle name="Buena 26 2 2" xfId="14860" xr:uid="{00000000-0005-0000-0000-0000D9390000}"/>
    <cellStyle name="Buena 26 3" xfId="14861" xr:uid="{00000000-0005-0000-0000-0000DA390000}"/>
    <cellStyle name="Buena 26 3 2" xfId="14862" xr:uid="{00000000-0005-0000-0000-0000DB390000}"/>
    <cellStyle name="Buena 26 4" xfId="14863" xr:uid="{00000000-0005-0000-0000-0000DC390000}"/>
    <cellStyle name="Buena 26 4 2" xfId="14864" xr:uid="{00000000-0005-0000-0000-0000DD390000}"/>
    <cellStyle name="Buena 26 5" xfId="14865" xr:uid="{00000000-0005-0000-0000-0000DE390000}"/>
    <cellStyle name="Buena 26 6" xfId="14866" xr:uid="{00000000-0005-0000-0000-0000DF390000}"/>
    <cellStyle name="Buena 26 7" xfId="14867" xr:uid="{00000000-0005-0000-0000-0000E0390000}"/>
    <cellStyle name="Buena 26 8" xfId="14868" xr:uid="{00000000-0005-0000-0000-0000E1390000}"/>
    <cellStyle name="Buena 26 9" xfId="14869" xr:uid="{00000000-0005-0000-0000-0000E2390000}"/>
    <cellStyle name="Buena 27 10" xfId="14870" xr:uid="{00000000-0005-0000-0000-0000E3390000}"/>
    <cellStyle name="Buena 27 11" xfId="14871" xr:uid="{00000000-0005-0000-0000-0000E4390000}"/>
    <cellStyle name="Buena 27 12" xfId="14872" xr:uid="{00000000-0005-0000-0000-0000E5390000}"/>
    <cellStyle name="Buena 27 13" xfId="14873" xr:uid="{00000000-0005-0000-0000-0000E6390000}"/>
    <cellStyle name="Buena 27 14" xfId="14874" xr:uid="{00000000-0005-0000-0000-0000E7390000}"/>
    <cellStyle name="Buena 27 15" xfId="14875" xr:uid="{00000000-0005-0000-0000-0000E8390000}"/>
    <cellStyle name="Buena 27 16" xfId="14876" xr:uid="{00000000-0005-0000-0000-0000E9390000}"/>
    <cellStyle name="Buena 27 17" xfId="14877" xr:uid="{00000000-0005-0000-0000-0000EA390000}"/>
    <cellStyle name="Buena 27 18" xfId="14878" xr:uid="{00000000-0005-0000-0000-0000EB390000}"/>
    <cellStyle name="Buena 27 19" xfId="14879" xr:uid="{00000000-0005-0000-0000-0000EC390000}"/>
    <cellStyle name="Buena 27 2" xfId="14880" xr:uid="{00000000-0005-0000-0000-0000ED390000}"/>
    <cellStyle name="Buena 27 2 2" xfId="14881" xr:uid="{00000000-0005-0000-0000-0000EE390000}"/>
    <cellStyle name="Buena 27 3" xfId="14882" xr:uid="{00000000-0005-0000-0000-0000EF390000}"/>
    <cellStyle name="Buena 27 3 2" xfId="14883" xr:uid="{00000000-0005-0000-0000-0000F0390000}"/>
    <cellStyle name="Buena 27 4" xfId="14884" xr:uid="{00000000-0005-0000-0000-0000F1390000}"/>
    <cellStyle name="Buena 27 4 2" xfId="14885" xr:uid="{00000000-0005-0000-0000-0000F2390000}"/>
    <cellStyle name="Buena 27 5" xfId="14886" xr:uid="{00000000-0005-0000-0000-0000F3390000}"/>
    <cellStyle name="Buena 27 6" xfId="14887" xr:uid="{00000000-0005-0000-0000-0000F4390000}"/>
    <cellStyle name="Buena 27 7" xfId="14888" xr:uid="{00000000-0005-0000-0000-0000F5390000}"/>
    <cellStyle name="Buena 27 8" xfId="14889" xr:uid="{00000000-0005-0000-0000-0000F6390000}"/>
    <cellStyle name="Buena 27 9" xfId="14890" xr:uid="{00000000-0005-0000-0000-0000F7390000}"/>
    <cellStyle name="Buena 28 10" xfId="14891" xr:uid="{00000000-0005-0000-0000-0000F8390000}"/>
    <cellStyle name="Buena 28 11" xfId="14892" xr:uid="{00000000-0005-0000-0000-0000F9390000}"/>
    <cellStyle name="Buena 28 12" xfId="14893" xr:uid="{00000000-0005-0000-0000-0000FA390000}"/>
    <cellStyle name="Buena 28 13" xfId="14894" xr:uid="{00000000-0005-0000-0000-0000FB390000}"/>
    <cellStyle name="Buena 28 14" xfId="14895" xr:uid="{00000000-0005-0000-0000-0000FC390000}"/>
    <cellStyle name="Buena 28 15" xfId="14896" xr:uid="{00000000-0005-0000-0000-0000FD390000}"/>
    <cellStyle name="Buena 28 16" xfId="14897" xr:uid="{00000000-0005-0000-0000-0000FE390000}"/>
    <cellStyle name="Buena 28 17" xfId="14898" xr:uid="{00000000-0005-0000-0000-0000FF390000}"/>
    <cellStyle name="Buena 28 18" xfId="14899" xr:uid="{00000000-0005-0000-0000-0000003A0000}"/>
    <cellStyle name="Buena 28 19" xfId="14900" xr:uid="{00000000-0005-0000-0000-0000013A0000}"/>
    <cellStyle name="Buena 28 2" xfId="14901" xr:uid="{00000000-0005-0000-0000-0000023A0000}"/>
    <cellStyle name="Buena 28 2 2" xfId="14902" xr:uid="{00000000-0005-0000-0000-0000033A0000}"/>
    <cellStyle name="Buena 28 3" xfId="14903" xr:uid="{00000000-0005-0000-0000-0000043A0000}"/>
    <cellStyle name="Buena 28 3 2" xfId="14904" xr:uid="{00000000-0005-0000-0000-0000053A0000}"/>
    <cellStyle name="Buena 28 4" xfId="14905" xr:uid="{00000000-0005-0000-0000-0000063A0000}"/>
    <cellStyle name="Buena 28 4 2" xfId="14906" xr:uid="{00000000-0005-0000-0000-0000073A0000}"/>
    <cellStyle name="Buena 28 5" xfId="14907" xr:uid="{00000000-0005-0000-0000-0000083A0000}"/>
    <cellStyle name="Buena 28 6" xfId="14908" xr:uid="{00000000-0005-0000-0000-0000093A0000}"/>
    <cellStyle name="Buena 28 7" xfId="14909" xr:uid="{00000000-0005-0000-0000-00000A3A0000}"/>
    <cellStyle name="Buena 28 8" xfId="14910" xr:uid="{00000000-0005-0000-0000-00000B3A0000}"/>
    <cellStyle name="Buena 28 9" xfId="14911" xr:uid="{00000000-0005-0000-0000-00000C3A0000}"/>
    <cellStyle name="Buena 29 10" xfId="14912" xr:uid="{00000000-0005-0000-0000-00000D3A0000}"/>
    <cellStyle name="Buena 29 11" xfId="14913" xr:uid="{00000000-0005-0000-0000-00000E3A0000}"/>
    <cellStyle name="Buena 29 12" xfId="14914" xr:uid="{00000000-0005-0000-0000-00000F3A0000}"/>
    <cellStyle name="Buena 29 13" xfId="14915" xr:uid="{00000000-0005-0000-0000-0000103A0000}"/>
    <cellStyle name="Buena 29 14" xfId="14916" xr:uid="{00000000-0005-0000-0000-0000113A0000}"/>
    <cellStyle name="Buena 29 15" xfId="14917" xr:uid="{00000000-0005-0000-0000-0000123A0000}"/>
    <cellStyle name="Buena 29 16" xfId="14918" xr:uid="{00000000-0005-0000-0000-0000133A0000}"/>
    <cellStyle name="Buena 29 17" xfId="14919" xr:uid="{00000000-0005-0000-0000-0000143A0000}"/>
    <cellStyle name="Buena 29 18" xfId="14920" xr:uid="{00000000-0005-0000-0000-0000153A0000}"/>
    <cellStyle name="Buena 29 19" xfId="14921" xr:uid="{00000000-0005-0000-0000-0000163A0000}"/>
    <cellStyle name="Buena 29 2" xfId="14922" xr:uid="{00000000-0005-0000-0000-0000173A0000}"/>
    <cellStyle name="Buena 29 2 2" xfId="14923" xr:uid="{00000000-0005-0000-0000-0000183A0000}"/>
    <cellStyle name="Buena 29 3" xfId="14924" xr:uid="{00000000-0005-0000-0000-0000193A0000}"/>
    <cellStyle name="Buena 29 3 2" xfId="14925" xr:uid="{00000000-0005-0000-0000-00001A3A0000}"/>
    <cellStyle name="Buena 29 4" xfId="14926" xr:uid="{00000000-0005-0000-0000-00001B3A0000}"/>
    <cellStyle name="Buena 29 4 2" xfId="14927" xr:uid="{00000000-0005-0000-0000-00001C3A0000}"/>
    <cellStyle name="Buena 29 5" xfId="14928" xr:uid="{00000000-0005-0000-0000-00001D3A0000}"/>
    <cellStyle name="Buena 29 6" xfId="14929" xr:uid="{00000000-0005-0000-0000-00001E3A0000}"/>
    <cellStyle name="Buena 29 7" xfId="14930" xr:uid="{00000000-0005-0000-0000-00001F3A0000}"/>
    <cellStyle name="Buena 29 8" xfId="14931" xr:uid="{00000000-0005-0000-0000-0000203A0000}"/>
    <cellStyle name="Buena 29 9" xfId="14932" xr:uid="{00000000-0005-0000-0000-0000213A0000}"/>
    <cellStyle name="Buena 3 10" xfId="14933" xr:uid="{00000000-0005-0000-0000-0000223A0000}"/>
    <cellStyle name="Buena 3 11" xfId="14934" xr:uid="{00000000-0005-0000-0000-0000233A0000}"/>
    <cellStyle name="Buena 3 12" xfId="14935" xr:uid="{00000000-0005-0000-0000-0000243A0000}"/>
    <cellStyle name="Buena 3 13" xfId="14936" xr:uid="{00000000-0005-0000-0000-0000253A0000}"/>
    <cellStyle name="Buena 3 14" xfId="14937" xr:uid="{00000000-0005-0000-0000-0000263A0000}"/>
    <cellStyle name="Buena 3 15" xfId="14938" xr:uid="{00000000-0005-0000-0000-0000273A0000}"/>
    <cellStyle name="Buena 3 16" xfId="14939" xr:uid="{00000000-0005-0000-0000-0000283A0000}"/>
    <cellStyle name="Buena 3 17" xfId="14940" xr:uid="{00000000-0005-0000-0000-0000293A0000}"/>
    <cellStyle name="Buena 3 18" xfId="14941" xr:uid="{00000000-0005-0000-0000-00002A3A0000}"/>
    <cellStyle name="Buena 3 19" xfId="14942" xr:uid="{00000000-0005-0000-0000-00002B3A0000}"/>
    <cellStyle name="Buena 3 2" xfId="14943" xr:uid="{00000000-0005-0000-0000-00002C3A0000}"/>
    <cellStyle name="Buena 3 2 2" xfId="14944" xr:uid="{00000000-0005-0000-0000-00002D3A0000}"/>
    <cellStyle name="Buena 3 3" xfId="14945" xr:uid="{00000000-0005-0000-0000-00002E3A0000}"/>
    <cellStyle name="Buena 3 3 2" xfId="14946" xr:uid="{00000000-0005-0000-0000-00002F3A0000}"/>
    <cellStyle name="Buena 3 4" xfId="14947" xr:uid="{00000000-0005-0000-0000-0000303A0000}"/>
    <cellStyle name="Buena 3 4 2" xfId="14948" xr:uid="{00000000-0005-0000-0000-0000313A0000}"/>
    <cellStyle name="Buena 3 5" xfId="14949" xr:uid="{00000000-0005-0000-0000-0000323A0000}"/>
    <cellStyle name="Buena 3 6" xfId="14950" xr:uid="{00000000-0005-0000-0000-0000333A0000}"/>
    <cellStyle name="Buena 3 7" xfId="14951" xr:uid="{00000000-0005-0000-0000-0000343A0000}"/>
    <cellStyle name="Buena 3 8" xfId="14952" xr:uid="{00000000-0005-0000-0000-0000353A0000}"/>
    <cellStyle name="Buena 3 9" xfId="14953" xr:uid="{00000000-0005-0000-0000-0000363A0000}"/>
    <cellStyle name="Buena 30 10" xfId="14954" xr:uid="{00000000-0005-0000-0000-0000373A0000}"/>
    <cellStyle name="Buena 30 11" xfId="14955" xr:uid="{00000000-0005-0000-0000-0000383A0000}"/>
    <cellStyle name="Buena 30 12" xfId="14956" xr:uid="{00000000-0005-0000-0000-0000393A0000}"/>
    <cellStyle name="Buena 30 13" xfId="14957" xr:uid="{00000000-0005-0000-0000-00003A3A0000}"/>
    <cellStyle name="Buena 30 14" xfId="14958" xr:uid="{00000000-0005-0000-0000-00003B3A0000}"/>
    <cellStyle name="Buena 30 15" xfId="14959" xr:uid="{00000000-0005-0000-0000-00003C3A0000}"/>
    <cellStyle name="Buena 30 16" xfId="14960" xr:uid="{00000000-0005-0000-0000-00003D3A0000}"/>
    <cellStyle name="Buena 30 17" xfId="14961" xr:uid="{00000000-0005-0000-0000-00003E3A0000}"/>
    <cellStyle name="Buena 30 18" xfId="14962" xr:uid="{00000000-0005-0000-0000-00003F3A0000}"/>
    <cellStyle name="Buena 30 19" xfId="14963" xr:uid="{00000000-0005-0000-0000-0000403A0000}"/>
    <cellStyle name="Buena 30 2" xfId="14964" xr:uid="{00000000-0005-0000-0000-0000413A0000}"/>
    <cellStyle name="Buena 30 2 2" xfId="14965" xr:uid="{00000000-0005-0000-0000-0000423A0000}"/>
    <cellStyle name="Buena 30 3" xfId="14966" xr:uid="{00000000-0005-0000-0000-0000433A0000}"/>
    <cellStyle name="Buena 30 3 2" xfId="14967" xr:uid="{00000000-0005-0000-0000-0000443A0000}"/>
    <cellStyle name="Buena 30 4" xfId="14968" xr:uid="{00000000-0005-0000-0000-0000453A0000}"/>
    <cellStyle name="Buena 30 4 2" xfId="14969" xr:uid="{00000000-0005-0000-0000-0000463A0000}"/>
    <cellStyle name="Buena 30 5" xfId="14970" xr:uid="{00000000-0005-0000-0000-0000473A0000}"/>
    <cellStyle name="Buena 30 6" xfId="14971" xr:uid="{00000000-0005-0000-0000-0000483A0000}"/>
    <cellStyle name="Buena 30 7" xfId="14972" xr:uid="{00000000-0005-0000-0000-0000493A0000}"/>
    <cellStyle name="Buena 30 8" xfId="14973" xr:uid="{00000000-0005-0000-0000-00004A3A0000}"/>
    <cellStyle name="Buena 30 9" xfId="14974" xr:uid="{00000000-0005-0000-0000-00004B3A0000}"/>
    <cellStyle name="Buena 31 10" xfId="14975" xr:uid="{00000000-0005-0000-0000-00004C3A0000}"/>
    <cellStyle name="Buena 31 11" xfId="14976" xr:uid="{00000000-0005-0000-0000-00004D3A0000}"/>
    <cellStyle name="Buena 31 12" xfId="14977" xr:uid="{00000000-0005-0000-0000-00004E3A0000}"/>
    <cellStyle name="Buena 31 13" xfId="14978" xr:uid="{00000000-0005-0000-0000-00004F3A0000}"/>
    <cellStyle name="Buena 31 14" xfId="14979" xr:uid="{00000000-0005-0000-0000-0000503A0000}"/>
    <cellStyle name="Buena 31 15" xfId="14980" xr:uid="{00000000-0005-0000-0000-0000513A0000}"/>
    <cellStyle name="Buena 31 16" xfId="14981" xr:uid="{00000000-0005-0000-0000-0000523A0000}"/>
    <cellStyle name="Buena 31 17" xfId="14982" xr:uid="{00000000-0005-0000-0000-0000533A0000}"/>
    <cellStyle name="Buena 31 18" xfId="14983" xr:uid="{00000000-0005-0000-0000-0000543A0000}"/>
    <cellStyle name="Buena 31 19" xfId="14984" xr:uid="{00000000-0005-0000-0000-0000553A0000}"/>
    <cellStyle name="Buena 31 2" xfId="14985" xr:uid="{00000000-0005-0000-0000-0000563A0000}"/>
    <cellStyle name="Buena 31 2 2" xfId="14986" xr:uid="{00000000-0005-0000-0000-0000573A0000}"/>
    <cellStyle name="Buena 31 3" xfId="14987" xr:uid="{00000000-0005-0000-0000-0000583A0000}"/>
    <cellStyle name="Buena 31 3 2" xfId="14988" xr:uid="{00000000-0005-0000-0000-0000593A0000}"/>
    <cellStyle name="Buena 31 4" xfId="14989" xr:uid="{00000000-0005-0000-0000-00005A3A0000}"/>
    <cellStyle name="Buena 31 4 2" xfId="14990" xr:uid="{00000000-0005-0000-0000-00005B3A0000}"/>
    <cellStyle name="Buena 31 5" xfId="14991" xr:uid="{00000000-0005-0000-0000-00005C3A0000}"/>
    <cellStyle name="Buena 31 6" xfId="14992" xr:uid="{00000000-0005-0000-0000-00005D3A0000}"/>
    <cellStyle name="Buena 31 7" xfId="14993" xr:uid="{00000000-0005-0000-0000-00005E3A0000}"/>
    <cellStyle name="Buena 31 8" xfId="14994" xr:uid="{00000000-0005-0000-0000-00005F3A0000}"/>
    <cellStyle name="Buena 31 9" xfId="14995" xr:uid="{00000000-0005-0000-0000-0000603A0000}"/>
    <cellStyle name="Buena 32 10" xfId="14996" xr:uid="{00000000-0005-0000-0000-0000613A0000}"/>
    <cellStyle name="Buena 32 11" xfId="14997" xr:uid="{00000000-0005-0000-0000-0000623A0000}"/>
    <cellStyle name="Buena 32 12" xfId="14998" xr:uid="{00000000-0005-0000-0000-0000633A0000}"/>
    <cellStyle name="Buena 32 13" xfId="14999" xr:uid="{00000000-0005-0000-0000-0000643A0000}"/>
    <cellStyle name="Buena 32 14" xfId="15000" xr:uid="{00000000-0005-0000-0000-0000653A0000}"/>
    <cellStyle name="Buena 32 15" xfId="15001" xr:uid="{00000000-0005-0000-0000-0000663A0000}"/>
    <cellStyle name="Buena 32 16" xfId="15002" xr:uid="{00000000-0005-0000-0000-0000673A0000}"/>
    <cellStyle name="Buena 32 17" xfId="15003" xr:uid="{00000000-0005-0000-0000-0000683A0000}"/>
    <cellStyle name="Buena 32 18" xfId="15004" xr:uid="{00000000-0005-0000-0000-0000693A0000}"/>
    <cellStyle name="Buena 32 19" xfId="15005" xr:uid="{00000000-0005-0000-0000-00006A3A0000}"/>
    <cellStyle name="Buena 32 2" xfId="15006" xr:uid="{00000000-0005-0000-0000-00006B3A0000}"/>
    <cellStyle name="Buena 32 2 2" xfId="15007" xr:uid="{00000000-0005-0000-0000-00006C3A0000}"/>
    <cellStyle name="Buena 32 3" xfId="15008" xr:uid="{00000000-0005-0000-0000-00006D3A0000}"/>
    <cellStyle name="Buena 32 3 2" xfId="15009" xr:uid="{00000000-0005-0000-0000-00006E3A0000}"/>
    <cellStyle name="Buena 32 4" xfId="15010" xr:uid="{00000000-0005-0000-0000-00006F3A0000}"/>
    <cellStyle name="Buena 32 4 2" xfId="15011" xr:uid="{00000000-0005-0000-0000-0000703A0000}"/>
    <cellStyle name="Buena 32 5" xfId="15012" xr:uid="{00000000-0005-0000-0000-0000713A0000}"/>
    <cellStyle name="Buena 32 6" xfId="15013" xr:uid="{00000000-0005-0000-0000-0000723A0000}"/>
    <cellStyle name="Buena 32 7" xfId="15014" xr:uid="{00000000-0005-0000-0000-0000733A0000}"/>
    <cellStyle name="Buena 32 8" xfId="15015" xr:uid="{00000000-0005-0000-0000-0000743A0000}"/>
    <cellStyle name="Buena 32 9" xfId="15016" xr:uid="{00000000-0005-0000-0000-0000753A0000}"/>
    <cellStyle name="Buena 33 10" xfId="15017" xr:uid="{00000000-0005-0000-0000-0000763A0000}"/>
    <cellStyle name="Buena 33 11" xfId="15018" xr:uid="{00000000-0005-0000-0000-0000773A0000}"/>
    <cellStyle name="Buena 33 12" xfId="15019" xr:uid="{00000000-0005-0000-0000-0000783A0000}"/>
    <cellStyle name="Buena 33 13" xfId="15020" xr:uid="{00000000-0005-0000-0000-0000793A0000}"/>
    <cellStyle name="Buena 33 14" xfId="15021" xr:uid="{00000000-0005-0000-0000-00007A3A0000}"/>
    <cellStyle name="Buena 33 15" xfId="15022" xr:uid="{00000000-0005-0000-0000-00007B3A0000}"/>
    <cellStyle name="Buena 33 16" xfId="15023" xr:uid="{00000000-0005-0000-0000-00007C3A0000}"/>
    <cellStyle name="Buena 33 17" xfId="15024" xr:uid="{00000000-0005-0000-0000-00007D3A0000}"/>
    <cellStyle name="Buena 33 18" xfId="15025" xr:uid="{00000000-0005-0000-0000-00007E3A0000}"/>
    <cellStyle name="Buena 33 19" xfId="15026" xr:uid="{00000000-0005-0000-0000-00007F3A0000}"/>
    <cellStyle name="Buena 33 2" xfId="15027" xr:uid="{00000000-0005-0000-0000-0000803A0000}"/>
    <cellStyle name="Buena 33 2 2" xfId="15028" xr:uid="{00000000-0005-0000-0000-0000813A0000}"/>
    <cellStyle name="Buena 33 3" xfId="15029" xr:uid="{00000000-0005-0000-0000-0000823A0000}"/>
    <cellStyle name="Buena 33 3 2" xfId="15030" xr:uid="{00000000-0005-0000-0000-0000833A0000}"/>
    <cellStyle name="Buena 33 4" xfId="15031" xr:uid="{00000000-0005-0000-0000-0000843A0000}"/>
    <cellStyle name="Buena 33 4 2" xfId="15032" xr:uid="{00000000-0005-0000-0000-0000853A0000}"/>
    <cellStyle name="Buena 33 5" xfId="15033" xr:uid="{00000000-0005-0000-0000-0000863A0000}"/>
    <cellStyle name="Buena 33 6" xfId="15034" xr:uid="{00000000-0005-0000-0000-0000873A0000}"/>
    <cellStyle name="Buena 33 7" xfId="15035" xr:uid="{00000000-0005-0000-0000-0000883A0000}"/>
    <cellStyle name="Buena 33 8" xfId="15036" xr:uid="{00000000-0005-0000-0000-0000893A0000}"/>
    <cellStyle name="Buena 33 9" xfId="15037" xr:uid="{00000000-0005-0000-0000-00008A3A0000}"/>
    <cellStyle name="Buena 34 10" xfId="15038" xr:uid="{00000000-0005-0000-0000-00008B3A0000}"/>
    <cellStyle name="Buena 34 11" xfId="15039" xr:uid="{00000000-0005-0000-0000-00008C3A0000}"/>
    <cellStyle name="Buena 34 12" xfId="15040" xr:uid="{00000000-0005-0000-0000-00008D3A0000}"/>
    <cellStyle name="Buena 34 13" xfId="15041" xr:uid="{00000000-0005-0000-0000-00008E3A0000}"/>
    <cellStyle name="Buena 34 14" xfId="15042" xr:uid="{00000000-0005-0000-0000-00008F3A0000}"/>
    <cellStyle name="Buena 34 15" xfId="15043" xr:uid="{00000000-0005-0000-0000-0000903A0000}"/>
    <cellStyle name="Buena 34 16" xfId="15044" xr:uid="{00000000-0005-0000-0000-0000913A0000}"/>
    <cellStyle name="Buena 34 17" xfId="15045" xr:uid="{00000000-0005-0000-0000-0000923A0000}"/>
    <cellStyle name="Buena 34 18" xfId="15046" xr:uid="{00000000-0005-0000-0000-0000933A0000}"/>
    <cellStyle name="Buena 34 19" xfId="15047" xr:uid="{00000000-0005-0000-0000-0000943A0000}"/>
    <cellStyle name="Buena 34 2" xfId="15048" xr:uid="{00000000-0005-0000-0000-0000953A0000}"/>
    <cellStyle name="Buena 34 2 2" xfId="15049" xr:uid="{00000000-0005-0000-0000-0000963A0000}"/>
    <cellStyle name="Buena 34 3" xfId="15050" xr:uid="{00000000-0005-0000-0000-0000973A0000}"/>
    <cellStyle name="Buena 34 3 2" xfId="15051" xr:uid="{00000000-0005-0000-0000-0000983A0000}"/>
    <cellStyle name="Buena 34 4" xfId="15052" xr:uid="{00000000-0005-0000-0000-0000993A0000}"/>
    <cellStyle name="Buena 34 4 2" xfId="15053" xr:uid="{00000000-0005-0000-0000-00009A3A0000}"/>
    <cellStyle name="Buena 34 5" xfId="15054" xr:uid="{00000000-0005-0000-0000-00009B3A0000}"/>
    <cellStyle name="Buena 34 6" xfId="15055" xr:uid="{00000000-0005-0000-0000-00009C3A0000}"/>
    <cellStyle name="Buena 34 7" xfId="15056" xr:uid="{00000000-0005-0000-0000-00009D3A0000}"/>
    <cellStyle name="Buena 34 8" xfId="15057" xr:uid="{00000000-0005-0000-0000-00009E3A0000}"/>
    <cellStyle name="Buena 34 9" xfId="15058" xr:uid="{00000000-0005-0000-0000-00009F3A0000}"/>
    <cellStyle name="Buena 35 10" xfId="15059" xr:uid="{00000000-0005-0000-0000-0000A03A0000}"/>
    <cellStyle name="Buena 35 11" xfId="15060" xr:uid="{00000000-0005-0000-0000-0000A13A0000}"/>
    <cellStyle name="Buena 35 12" xfId="15061" xr:uid="{00000000-0005-0000-0000-0000A23A0000}"/>
    <cellStyle name="Buena 35 13" xfId="15062" xr:uid="{00000000-0005-0000-0000-0000A33A0000}"/>
    <cellStyle name="Buena 35 14" xfId="15063" xr:uid="{00000000-0005-0000-0000-0000A43A0000}"/>
    <cellStyle name="Buena 35 15" xfId="15064" xr:uid="{00000000-0005-0000-0000-0000A53A0000}"/>
    <cellStyle name="Buena 35 16" xfId="15065" xr:uid="{00000000-0005-0000-0000-0000A63A0000}"/>
    <cellStyle name="Buena 35 17" xfId="15066" xr:uid="{00000000-0005-0000-0000-0000A73A0000}"/>
    <cellStyle name="Buena 35 18" xfId="15067" xr:uid="{00000000-0005-0000-0000-0000A83A0000}"/>
    <cellStyle name="Buena 35 19" xfId="15068" xr:uid="{00000000-0005-0000-0000-0000A93A0000}"/>
    <cellStyle name="Buena 35 2" xfId="15069" xr:uid="{00000000-0005-0000-0000-0000AA3A0000}"/>
    <cellStyle name="Buena 35 2 2" xfId="15070" xr:uid="{00000000-0005-0000-0000-0000AB3A0000}"/>
    <cellStyle name="Buena 35 3" xfId="15071" xr:uid="{00000000-0005-0000-0000-0000AC3A0000}"/>
    <cellStyle name="Buena 35 3 2" xfId="15072" xr:uid="{00000000-0005-0000-0000-0000AD3A0000}"/>
    <cellStyle name="Buena 35 4" xfId="15073" xr:uid="{00000000-0005-0000-0000-0000AE3A0000}"/>
    <cellStyle name="Buena 35 4 2" xfId="15074" xr:uid="{00000000-0005-0000-0000-0000AF3A0000}"/>
    <cellStyle name="Buena 35 5" xfId="15075" xr:uid="{00000000-0005-0000-0000-0000B03A0000}"/>
    <cellStyle name="Buena 35 6" xfId="15076" xr:uid="{00000000-0005-0000-0000-0000B13A0000}"/>
    <cellStyle name="Buena 35 7" xfId="15077" xr:uid="{00000000-0005-0000-0000-0000B23A0000}"/>
    <cellStyle name="Buena 35 8" xfId="15078" xr:uid="{00000000-0005-0000-0000-0000B33A0000}"/>
    <cellStyle name="Buena 35 9" xfId="15079" xr:uid="{00000000-0005-0000-0000-0000B43A0000}"/>
    <cellStyle name="Buena 36 10" xfId="15080" xr:uid="{00000000-0005-0000-0000-0000B53A0000}"/>
    <cellStyle name="Buena 36 11" xfId="15081" xr:uid="{00000000-0005-0000-0000-0000B63A0000}"/>
    <cellStyle name="Buena 36 12" xfId="15082" xr:uid="{00000000-0005-0000-0000-0000B73A0000}"/>
    <cellStyle name="Buena 36 13" xfId="15083" xr:uid="{00000000-0005-0000-0000-0000B83A0000}"/>
    <cellStyle name="Buena 36 14" xfId="15084" xr:uid="{00000000-0005-0000-0000-0000B93A0000}"/>
    <cellStyle name="Buena 36 15" xfId="15085" xr:uid="{00000000-0005-0000-0000-0000BA3A0000}"/>
    <cellStyle name="Buena 36 16" xfId="15086" xr:uid="{00000000-0005-0000-0000-0000BB3A0000}"/>
    <cellStyle name="Buena 36 17" xfId="15087" xr:uid="{00000000-0005-0000-0000-0000BC3A0000}"/>
    <cellStyle name="Buena 36 18" xfId="15088" xr:uid="{00000000-0005-0000-0000-0000BD3A0000}"/>
    <cellStyle name="Buena 36 19" xfId="15089" xr:uid="{00000000-0005-0000-0000-0000BE3A0000}"/>
    <cellStyle name="Buena 36 2" xfId="15090" xr:uid="{00000000-0005-0000-0000-0000BF3A0000}"/>
    <cellStyle name="Buena 36 2 2" xfId="15091" xr:uid="{00000000-0005-0000-0000-0000C03A0000}"/>
    <cellStyle name="Buena 36 3" xfId="15092" xr:uid="{00000000-0005-0000-0000-0000C13A0000}"/>
    <cellStyle name="Buena 36 3 2" xfId="15093" xr:uid="{00000000-0005-0000-0000-0000C23A0000}"/>
    <cellStyle name="Buena 36 4" xfId="15094" xr:uid="{00000000-0005-0000-0000-0000C33A0000}"/>
    <cellStyle name="Buena 36 4 2" xfId="15095" xr:uid="{00000000-0005-0000-0000-0000C43A0000}"/>
    <cellStyle name="Buena 36 5" xfId="15096" xr:uid="{00000000-0005-0000-0000-0000C53A0000}"/>
    <cellStyle name="Buena 36 6" xfId="15097" xr:uid="{00000000-0005-0000-0000-0000C63A0000}"/>
    <cellStyle name="Buena 36 7" xfId="15098" xr:uid="{00000000-0005-0000-0000-0000C73A0000}"/>
    <cellStyle name="Buena 36 8" xfId="15099" xr:uid="{00000000-0005-0000-0000-0000C83A0000}"/>
    <cellStyle name="Buena 36 9" xfId="15100" xr:uid="{00000000-0005-0000-0000-0000C93A0000}"/>
    <cellStyle name="Buena 37 10" xfId="15101" xr:uid="{00000000-0005-0000-0000-0000CA3A0000}"/>
    <cellStyle name="Buena 37 11" xfId="15102" xr:uid="{00000000-0005-0000-0000-0000CB3A0000}"/>
    <cellStyle name="Buena 37 12" xfId="15103" xr:uid="{00000000-0005-0000-0000-0000CC3A0000}"/>
    <cellStyle name="Buena 37 13" xfId="15104" xr:uid="{00000000-0005-0000-0000-0000CD3A0000}"/>
    <cellStyle name="Buena 37 14" xfId="15105" xr:uid="{00000000-0005-0000-0000-0000CE3A0000}"/>
    <cellStyle name="Buena 37 15" xfId="15106" xr:uid="{00000000-0005-0000-0000-0000CF3A0000}"/>
    <cellStyle name="Buena 37 16" xfId="15107" xr:uid="{00000000-0005-0000-0000-0000D03A0000}"/>
    <cellStyle name="Buena 37 17" xfId="15108" xr:uid="{00000000-0005-0000-0000-0000D13A0000}"/>
    <cellStyle name="Buena 37 18" xfId="15109" xr:uid="{00000000-0005-0000-0000-0000D23A0000}"/>
    <cellStyle name="Buena 37 19" xfId="15110" xr:uid="{00000000-0005-0000-0000-0000D33A0000}"/>
    <cellStyle name="Buena 37 2" xfId="15111" xr:uid="{00000000-0005-0000-0000-0000D43A0000}"/>
    <cellStyle name="Buena 37 2 2" xfId="15112" xr:uid="{00000000-0005-0000-0000-0000D53A0000}"/>
    <cellStyle name="Buena 37 3" xfId="15113" xr:uid="{00000000-0005-0000-0000-0000D63A0000}"/>
    <cellStyle name="Buena 37 3 2" xfId="15114" xr:uid="{00000000-0005-0000-0000-0000D73A0000}"/>
    <cellStyle name="Buena 37 4" xfId="15115" xr:uid="{00000000-0005-0000-0000-0000D83A0000}"/>
    <cellStyle name="Buena 37 4 2" xfId="15116" xr:uid="{00000000-0005-0000-0000-0000D93A0000}"/>
    <cellStyle name="Buena 37 5" xfId="15117" xr:uid="{00000000-0005-0000-0000-0000DA3A0000}"/>
    <cellStyle name="Buena 37 6" xfId="15118" xr:uid="{00000000-0005-0000-0000-0000DB3A0000}"/>
    <cellStyle name="Buena 37 7" xfId="15119" xr:uid="{00000000-0005-0000-0000-0000DC3A0000}"/>
    <cellStyle name="Buena 37 8" xfId="15120" xr:uid="{00000000-0005-0000-0000-0000DD3A0000}"/>
    <cellStyle name="Buena 37 9" xfId="15121" xr:uid="{00000000-0005-0000-0000-0000DE3A0000}"/>
    <cellStyle name="Buena 38 10" xfId="15122" xr:uid="{00000000-0005-0000-0000-0000DF3A0000}"/>
    <cellStyle name="Buena 38 11" xfId="15123" xr:uid="{00000000-0005-0000-0000-0000E03A0000}"/>
    <cellStyle name="Buena 38 12" xfId="15124" xr:uid="{00000000-0005-0000-0000-0000E13A0000}"/>
    <cellStyle name="Buena 38 13" xfId="15125" xr:uid="{00000000-0005-0000-0000-0000E23A0000}"/>
    <cellStyle name="Buena 38 14" xfId="15126" xr:uid="{00000000-0005-0000-0000-0000E33A0000}"/>
    <cellStyle name="Buena 38 15" xfId="15127" xr:uid="{00000000-0005-0000-0000-0000E43A0000}"/>
    <cellStyle name="Buena 38 16" xfId="15128" xr:uid="{00000000-0005-0000-0000-0000E53A0000}"/>
    <cellStyle name="Buena 38 17" xfId="15129" xr:uid="{00000000-0005-0000-0000-0000E63A0000}"/>
    <cellStyle name="Buena 38 18" xfId="15130" xr:uid="{00000000-0005-0000-0000-0000E73A0000}"/>
    <cellStyle name="Buena 38 19" xfId="15131" xr:uid="{00000000-0005-0000-0000-0000E83A0000}"/>
    <cellStyle name="Buena 38 2" xfId="15132" xr:uid="{00000000-0005-0000-0000-0000E93A0000}"/>
    <cellStyle name="Buena 38 2 2" xfId="15133" xr:uid="{00000000-0005-0000-0000-0000EA3A0000}"/>
    <cellStyle name="Buena 38 3" xfId="15134" xr:uid="{00000000-0005-0000-0000-0000EB3A0000}"/>
    <cellStyle name="Buena 38 3 2" xfId="15135" xr:uid="{00000000-0005-0000-0000-0000EC3A0000}"/>
    <cellStyle name="Buena 38 4" xfId="15136" xr:uid="{00000000-0005-0000-0000-0000ED3A0000}"/>
    <cellStyle name="Buena 38 4 2" xfId="15137" xr:uid="{00000000-0005-0000-0000-0000EE3A0000}"/>
    <cellStyle name="Buena 38 5" xfId="15138" xr:uid="{00000000-0005-0000-0000-0000EF3A0000}"/>
    <cellStyle name="Buena 38 6" xfId="15139" xr:uid="{00000000-0005-0000-0000-0000F03A0000}"/>
    <cellStyle name="Buena 38 7" xfId="15140" xr:uid="{00000000-0005-0000-0000-0000F13A0000}"/>
    <cellStyle name="Buena 38 8" xfId="15141" xr:uid="{00000000-0005-0000-0000-0000F23A0000}"/>
    <cellStyle name="Buena 38 9" xfId="15142" xr:uid="{00000000-0005-0000-0000-0000F33A0000}"/>
    <cellStyle name="Buena 39" xfId="15143" xr:uid="{00000000-0005-0000-0000-0000F43A0000}"/>
    <cellStyle name="Buena 39 10" xfId="15144" xr:uid="{00000000-0005-0000-0000-0000F53A0000}"/>
    <cellStyle name="Buena 39 11" xfId="15145" xr:uid="{00000000-0005-0000-0000-0000F63A0000}"/>
    <cellStyle name="Buena 39 12" xfId="15146" xr:uid="{00000000-0005-0000-0000-0000F73A0000}"/>
    <cellStyle name="Buena 39 13" xfId="15147" xr:uid="{00000000-0005-0000-0000-0000F83A0000}"/>
    <cellStyle name="Buena 39 14" xfId="15148" xr:uid="{00000000-0005-0000-0000-0000F93A0000}"/>
    <cellStyle name="Buena 39 15" xfId="15149" xr:uid="{00000000-0005-0000-0000-0000FA3A0000}"/>
    <cellStyle name="Buena 39 16" xfId="15150" xr:uid="{00000000-0005-0000-0000-0000FB3A0000}"/>
    <cellStyle name="Buena 39 2" xfId="15151" xr:uid="{00000000-0005-0000-0000-0000FC3A0000}"/>
    <cellStyle name="Buena 39 3" xfId="15152" xr:uid="{00000000-0005-0000-0000-0000FD3A0000}"/>
    <cellStyle name="Buena 39 4" xfId="15153" xr:uid="{00000000-0005-0000-0000-0000FE3A0000}"/>
    <cellStyle name="Buena 39 5" xfId="15154" xr:uid="{00000000-0005-0000-0000-0000FF3A0000}"/>
    <cellStyle name="Buena 39 6" xfId="15155" xr:uid="{00000000-0005-0000-0000-0000003B0000}"/>
    <cellStyle name="Buena 39 7" xfId="15156" xr:uid="{00000000-0005-0000-0000-0000013B0000}"/>
    <cellStyle name="Buena 39 8" xfId="15157" xr:uid="{00000000-0005-0000-0000-0000023B0000}"/>
    <cellStyle name="Buena 39 9" xfId="15158" xr:uid="{00000000-0005-0000-0000-0000033B0000}"/>
    <cellStyle name="Buena 4 10" xfId="15159" xr:uid="{00000000-0005-0000-0000-0000043B0000}"/>
    <cellStyle name="Buena 4 11" xfId="15160" xr:uid="{00000000-0005-0000-0000-0000053B0000}"/>
    <cellStyle name="Buena 4 12" xfId="15161" xr:uid="{00000000-0005-0000-0000-0000063B0000}"/>
    <cellStyle name="Buena 4 13" xfId="15162" xr:uid="{00000000-0005-0000-0000-0000073B0000}"/>
    <cellStyle name="Buena 4 14" xfId="15163" xr:uid="{00000000-0005-0000-0000-0000083B0000}"/>
    <cellStyle name="Buena 4 15" xfId="15164" xr:uid="{00000000-0005-0000-0000-0000093B0000}"/>
    <cellStyle name="Buena 4 16" xfId="15165" xr:uid="{00000000-0005-0000-0000-00000A3B0000}"/>
    <cellStyle name="Buena 4 17" xfId="15166" xr:uid="{00000000-0005-0000-0000-00000B3B0000}"/>
    <cellStyle name="Buena 4 18" xfId="15167" xr:uid="{00000000-0005-0000-0000-00000C3B0000}"/>
    <cellStyle name="Buena 4 19" xfId="15168" xr:uid="{00000000-0005-0000-0000-00000D3B0000}"/>
    <cellStyle name="Buena 4 2" xfId="15169" xr:uid="{00000000-0005-0000-0000-00000E3B0000}"/>
    <cellStyle name="Buena 4 2 2" xfId="15170" xr:uid="{00000000-0005-0000-0000-00000F3B0000}"/>
    <cellStyle name="Buena 4 3" xfId="15171" xr:uid="{00000000-0005-0000-0000-0000103B0000}"/>
    <cellStyle name="Buena 4 3 2" xfId="15172" xr:uid="{00000000-0005-0000-0000-0000113B0000}"/>
    <cellStyle name="Buena 4 4" xfId="15173" xr:uid="{00000000-0005-0000-0000-0000123B0000}"/>
    <cellStyle name="Buena 4 4 2" xfId="15174" xr:uid="{00000000-0005-0000-0000-0000133B0000}"/>
    <cellStyle name="Buena 4 5" xfId="15175" xr:uid="{00000000-0005-0000-0000-0000143B0000}"/>
    <cellStyle name="Buena 4 6" xfId="15176" xr:uid="{00000000-0005-0000-0000-0000153B0000}"/>
    <cellStyle name="Buena 4 7" xfId="15177" xr:uid="{00000000-0005-0000-0000-0000163B0000}"/>
    <cellStyle name="Buena 4 8" xfId="15178" xr:uid="{00000000-0005-0000-0000-0000173B0000}"/>
    <cellStyle name="Buena 4 9" xfId="15179" xr:uid="{00000000-0005-0000-0000-0000183B0000}"/>
    <cellStyle name="Buena 40" xfId="15180" xr:uid="{00000000-0005-0000-0000-0000193B0000}"/>
    <cellStyle name="Buena 40 10" xfId="15181" xr:uid="{00000000-0005-0000-0000-00001A3B0000}"/>
    <cellStyle name="Buena 40 11" xfId="15182" xr:uid="{00000000-0005-0000-0000-00001B3B0000}"/>
    <cellStyle name="Buena 40 12" xfId="15183" xr:uid="{00000000-0005-0000-0000-00001C3B0000}"/>
    <cellStyle name="Buena 40 13" xfId="15184" xr:uid="{00000000-0005-0000-0000-00001D3B0000}"/>
    <cellStyle name="Buena 40 14" xfId="15185" xr:uid="{00000000-0005-0000-0000-00001E3B0000}"/>
    <cellStyle name="Buena 40 15" xfId="15186" xr:uid="{00000000-0005-0000-0000-00001F3B0000}"/>
    <cellStyle name="Buena 40 16" xfId="15187" xr:uid="{00000000-0005-0000-0000-0000203B0000}"/>
    <cellStyle name="Buena 40 2" xfId="15188" xr:uid="{00000000-0005-0000-0000-0000213B0000}"/>
    <cellStyle name="Buena 40 3" xfId="15189" xr:uid="{00000000-0005-0000-0000-0000223B0000}"/>
    <cellStyle name="Buena 40 4" xfId="15190" xr:uid="{00000000-0005-0000-0000-0000233B0000}"/>
    <cellStyle name="Buena 40 5" xfId="15191" xr:uid="{00000000-0005-0000-0000-0000243B0000}"/>
    <cellStyle name="Buena 40 6" xfId="15192" xr:uid="{00000000-0005-0000-0000-0000253B0000}"/>
    <cellStyle name="Buena 40 7" xfId="15193" xr:uid="{00000000-0005-0000-0000-0000263B0000}"/>
    <cellStyle name="Buena 40 8" xfId="15194" xr:uid="{00000000-0005-0000-0000-0000273B0000}"/>
    <cellStyle name="Buena 40 9" xfId="15195" xr:uid="{00000000-0005-0000-0000-0000283B0000}"/>
    <cellStyle name="Buena 41" xfId="15196" xr:uid="{00000000-0005-0000-0000-0000293B0000}"/>
    <cellStyle name="Buena 41 10" xfId="15197" xr:uid="{00000000-0005-0000-0000-00002A3B0000}"/>
    <cellStyle name="Buena 41 11" xfId="15198" xr:uid="{00000000-0005-0000-0000-00002B3B0000}"/>
    <cellStyle name="Buena 41 12" xfId="15199" xr:uid="{00000000-0005-0000-0000-00002C3B0000}"/>
    <cellStyle name="Buena 41 13" xfId="15200" xr:uid="{00000000-0005-0000-0000-00002D3B0000}"/>
    <cellStyle name="Buena 41 14" xfId="15201" xr:uid="{00000000-0005-0000-0000-00002E3B0000}"/>
    <cellStyle name="Buena 41 15" xfId="15202" xr:uid="{00000000-0005-0000-0000-00002F3B0000}"/>
    <cellStyle name="Buena 41 16" xfId="15203" xr:uid="{00000000-0005-0000-0000-0000303B0000}"/>
    <cellStyle name="Buena 41 2" xfId="15204" xr:uid="{00000000-0005-0000-0000-0000313B0000}"/>
    <cellStyle name="Buena 41 3" xfId="15205" xr:uid="{00000000-0005-0000-0000-0000323B0000}"/>
    <cellStyle name="Buena 41 4" xfId="15206" xr:uid="{00000000-0005-0000-0000-0000333B0000}"/>
    <cellStyle name="Buena 41 5" xfId="15207" xr:uid="{00000000-0005-0000-0000-0000343B0000}"/>
    <cellStyle name="Buena 41 6" xfId="15208" xr:uid="{00000000-0005-0000-0000-0000353B0000}"/>
    <cellStyle name="Buena 41 7" xfId="15209" xr:uid="{00000000-0005-0000-0000-0000363B0000}"/>
    <cellStyle name="Buena 41 8" xfId="15210" xr:uid="{00000000-0005-0000-0000-0000373B0000}"/>
    <cellStyle name="Buena 41 9" xfId="15211" xr:uid="{00000000-0005-0000-0000-0000383B0000}"/>
    <cellStyle name="Buena 42" xfId="15212" xr:uid="{00000000-0005-0000-0000-0000393B0000}"/>
    <cellStyle name="Buena 43" xfId="15213" xr:uid="{00000000-0005-0000-0000-00003A3B0000}"/>
    <cellStyle name="Buena 44" xfId="15214" xr:uid="{00000000-0005-0000-0000-00003B3B0000}"/>
    <cellStyle name="Buena 45" xfId="15215" xr:uid="{00000000-0005-0000-0000-00003C3B0000}"/>
    <cellStyle name="Buena 46" xfId="15216" xr:uid="{00000000-0005-0000-0000-00003D3B0000}"/>
    <cellStyle name="Buena 47" xfId="15217" xr:uid="{00000000-0005-0000-0000-00003E3B0000}"/>
    <cellStyle name="Buena 48" xfId="15218" xr:uid="{00000000-0005-0000-0000-00003F3B0000}"/>
    <cellStyle name="Buena 49" xfId="15219" xr:uid="{00000000-0005-0000-0000-0000403B0000}"/>
    <cellStyle name="Buena 5 10" xfId="15220" xr:uid="{00000000-0005-0000-0000-0000413B0000}"/>
    <cellStyle name="Buena 5 11" xfId="15221" xr:uid="{00000000-0005-0000-0000-0000423B0000}"/>
    <cellStyle name="Buena 5 12" xfId="15222" xr:uid="{00000000-0005-0000-0000-0000433B0000}"/>
    <cellStyle name="Buena 5 13" xfId="15223" xr:uid="{00000000-0005-0000-0000-0000443B0000}"/>
    <cellStyle name="Buena 5 14" xfId="15224" xr:uid="{00000000-0005-0000-0000-0000453B0000}"/>
    <cellStyle name="Buena 5 15" xfId="15225" xr:uid="{00000000-0005-0000-0000-0000463B0000}"/>
    <cellStyle name="Buena 5 16" xfId="15226" xr:uid="{00000000-0005-0000-0000-0000473B0000}"/>
    <cellStyle name="Buena 5 17" xfId="15227" xr:uid="{00000000-0005-0000-0000-0000483B0000}"/>
    <cellStyle name="Buena 5 18" xfId="15228" xr:uid="{00000000-0005-0000-0000-0000493B0000}"/>
    <cellStyle name="Buena 5 19" xfId="15229" xr:uid="{00000000-0005-0000-0000-00004A3B0000}"/>
    <cellStyle name="Buena 5 2" xfId="15230" xr:uid="{00000000-0005-0000-0000-00004B3B0000}"/>
    <cellStyle name="Buena 5 2 2" xfId="15231" xr:uid="{00000000-0005-0000-0000-00004C3B0000}"/>
    <cellStyle name="Buena 5 3" xfId="15232" xr:uid="{00000000-0005-0000-0000-00004D3B0000}"/>
    <cellStyle name="Buena 5 3 2" xfId="15233" xr:uid="{00000000-0005-0000-0000-00004E3B0000}"/>
    <cellStyle name="Buena 5 4" xfId="15234" xr:uid="{00000000-0005-0000-0000-00004F3B0000}"/>
    <cellStyle name="Buena 5 4 2" xfId="15235" xr:uid="{00000000-0005-0000-0000-0000503B0000}"/>
    <cellStyle name="Buena 5 5" xfId="15236" xr:uid="{00000000-0005-0000-0000-0000513B0000}"/>
    <cellStyle name="Buena 5 6" xfId="15237" xr:uid="{00000000-0005-0000-0000-0000523B0000}"/>
    <cellStyle name="Buena 5 7" xfId="15238" xr:uid="{00000000-0005-0000-0000-0000533B0000}"/>
    <cellStyle name="Buena 5 8" xfId="15239" xr:uid="{00000000-0005-0000-0000-0000543B0000}"/>
    <cellStyle name="Buena 5 9" xfId="15240" xr:uid="{00000000-0005-0000-0000-0000553B0000}"/>
    <cellStyle name="Buena 50" xfId="15241" xr:uid="{00000000-0005-0000-0000-0000563B0000}"/>
    <cellStyle name="Buena 51" xfId="15242" xr:uid="{00000000-0005-0000-0000-0000573B0000}"/>
    <cellStyle name="Buena 52" xfId="15243" xr:uid="{00000000-0005-0000-0000-0000583B0000}"/>
    <cellStyle name="Buena 53" xfId="15244" xr:uid="{00000000-0005-0000-0000-0000593B0000}"/>
    <cellStyle name="Buena 54" xfId="15245" xr:uid="{00000000-0005-0000-0000-00005A3B0000}"/>
    <cellStyle name="Buena 55" xfId="15246" xr:uid="{00000000-0005-0000-0000-00005B3B0000}"/>
    <cellStyle name="Buena 56" xfId="15247" xr:uid="{00000000-0005-0000-0000-00005C3B0000}"/>
    <cellStyle name="Buena 57" xfId="15248" xr:uid="{00000000-0005-0000-0000-00005D3B0000}"/>
    <cellStyle name="Buena 58" xfId="15249" xr:uid="{00000000-0005-0000-0000-00005E3B0000}"/>
    <cellStyle name="Buena 59" xfId="15250" xr:uid="{00000000-0005-0000-0000-00005F3B0000}"/>
    <cellStyle name="Buena 6 10" xfId="15251" xr:uid="{00000000-0005-0000-0000-0000603B0000}"/>
    <cellStyle name="Buena 6 11" xfId="15252" xr:uid="{00000000-0005-0000-0000-0000613B0000}"/>
    <cellStyle name="Buena 6 12" xfId="15253" xr:uid="{00000000-0005-0000-0000-0000623B0000}"/>
    <cellStyle name="Buena 6 13" xfId="15254" xr:uid="{00000000-0005-0000-0000-0000633B0000}"/>
    <cellStyle name="Buena 6 14" xfId="15255" xr:uid="{00000000-0005-0000-0000-0000643B0000}"/>
    <cellStyle name="Buena 6 15" xfId="15256" xr:uid="{00000000-0005-0000-0000-0000653B0000}"/>
    <cellStyle name="Buena 6 16" xfId="15257" xr:uid="{00000000-0005-0000-0000-0000663B0000}"/>
    <cellStyle name="Buena 6 17" xfId="15258" xr:uid="{00000000-0005-0000-0000-0000673B0000}"/>
    <cellStyle name="Buena 6 18" xfId="15259" xr:uid="{00000000-0005-0000-0000-0000683B0000}"/>
    <cellStyle name="Buena 6 19" xfId="15260" xr:uid="{00000000-0005-0000-0000-0000693B0000}"/>
    <cellStyle name="Buena 6 2" xfId="15261" xr:uid="{00000000-0005-0000-0000-00006A3B0000}"/>
    <cellStyle name="Buena 6 2 2" xfId="15262" xr:uid="{00000000-0005-0000-0000-00006B3B0000}"/>
    <cellStyle name="Buena 6 3" xfId="15263" xr:uid="{00000000-0005-0000-0000-00006C3B0000}"/>
    <cellStyle name="Buena 6 3 2" xfId="15264" xr:uid="{00000000-0005-0000-0000-00006D3B0000}"/>
    <cellStyle name="Buena 6 4" xfId="15265" xr:uid="{00000000-0005-0000-0000-00006E3B0000}"/>
    <cellStyle name="Buena 6 4 2" xfId="15266" xr:uid="{00000000-0005-0000-0000-00006F3B0000}"/>
    <cellStyle name="Buena 6 5" xfId="15267" xr:uid="{00000000-0005-0000-0000-0000703B0000}"/>
    <cellStyle name="Buena 6 6" xfId="15268" xr:uid="{00000000-0005-0000-0000-0000713B0000}"/>
    <cellStyle name="Buena 6 7" xfId="15269" xr:uid="{00000000-0005-0000-0000-0000723B0000}"/>
    <cellStyle name="Buena 6 8" xfId="15270" xr:uid="{00000000-0005-0000-0000-0000733B0000}"/>
    <cellStyle name="Buena 6 9" xfId="15271" xr:uid="{00000000-0005-0000-0000-0000743B0000}"/>
    <cellStyle name="Buena 60" xfId="15272" xr:uid="{00000000-0005-0000-0000-0000753B0000}"/>
    <cellStyle name="Buena 61" xfId="15273" xr:uid="{00000000-0005-0000-0000-0000763B0000}"/>
    <cellStyle name="Buena 62" xfId="15274" xr:uid="{00000000-0005-0000-0000-0000773B0000}"/>
    <cellStyle name="Buena 63" xfId="15275" xr:uid="{00000000-0005-0000-0000-0000783B0000}"/>
    <cellStyle name="Buena 64" xfId="15276" xr:uid="{00000000-0005-0000-0000-0000793B0000}"/>
    <cellStyle name="Buena 7 10" xfId="15277" xr:uid="{00000000-0005-0000-0000-00007A3B0000}"/>
    <cellStyle name="Buena 7 11" xfId="15278" xr:uid="{00000000-0005-0000-0000-00007B3B0000}"/>
    <cellStyle name="Buena 7 12" xfId="15279" xr:uid="{00000000-0005-0000-0000-00007C3B0000}"/>
    <cellStyle name="Buena 7 13" xfId="15280" xr:uid="{00000000-0005-0000-0000-00007D3B0000}"/>
    <cellStyle name="Buena 7 14" xfId="15281" xr:uid="{00000000-0005-0000-0000-00007E3B0000}"/>
    <cellStyle name="Buena 7 15" xfId="15282" xr:uid="{00000000-0005-0000-0000-00007F3B0000}"/>
    <cellStyle name="Buena 7 16" xfId="15283" xr:uid="{00000000-0005-0000-0000-0000803B0000}"/>
    <cellStyle name="Buena 7 17" xfId="15284" xr:uid="{00000000-0005-0000-0000-0000813B0000}"/>
    <cellStyle name="Buena 7 18" xfId="15285" xr:uid="{00000000-0005-0000-0000-0000823B0000}"/>
    <cellStyle name="Buena 7 19" xfId="15286" xr:uid="{00000000-0005-0000-0000-0000833B0000}"/>
    <cellStyle name="Buena 7 2" xfId="15287" xr:uid="{00000000-0005-0000-0000-0000843B0000}"/>
    <cellStyle name="Buena 7 2 2" xfId="15288" xr:uid="{00000000-0005-0000-0000-0000853B0000}"/>
    <cellStyle name="Buena 7 3" xfId="15289" xr:uid="{00000000-0005-0000-0000-0000863B0000}"/>
    <cellStyle name="Buena 7 3 2" xfId="15290" xr:uid="{00000000-0005-0000-0000-0000873B0000}"/>
    <cellStyle name="Buena 7 4" xfId="15291" xr:uid="{00000000-0005-0000-0000-0000883B0000}"/>
    <cellStyle name="Buena 7 4 2" xfId="15292" xr:uid="{00000000-0005-0000-0000-0000893B0000}"/>
    <cellStyle name="Buena 7 5" xfId="15293" xr:uid="{00000000-0005-0000-0000-00008A3B0000}"/>
    <cellStyle name="Buena 7 6" xfId="15294" xr:uid="{00000000-0005-0000-0000-00008B3B0000}"/>
    <cellStyle name="Buena 7 7" xfId="15295" xr:uid="{00000000-0005-0000-0000-00008C3B0000}"/>
    <cellStyle name="Buena 7 8" xfId="15296" xr:uid="{00000000-0005-0000-0000-00008D3B0000}"/>
    <cellStyle name="Buena 7 9" xfId="15297" xr:uid="{00000000-0005-0000-0000-00008E3B0000}"/>
    <cellStyle name="Buena 8 10" xfId="15298" xr:uid="{00000000-0005-0000-0000-00008F3B0000}"/>
    <cellStyle name="Buena 8 11" xfId="15299" xr:uid="{00000000-0005-0000-0000-0000903B0000}"/>
    <cellStyle name="Buena 8 12" xfId="15300" xr:uid="{00000000-0005-0000-0000-0000913B0000}"/>
    <cellStyle name="Buena 8 13" xfId="15301" xr:uid="{00000000-0005-0000-0000-0000923B0000}"/>
    <cellStyle name="Buena 8 14" xfId="15302" xr:uid="{00000000-0005-0000-0000-0000933B0000}"/>
    <cellStyle name="Buena 8 15" xfId="15303" xr:uid="{00000000-0005-0000-0000-0000943B0000}"/>
    <cellStyle name="Buena 8 16" xfId="15304" xr:uid="{00000000-0005-0000-0000-0000953B0000}"/>
    <cellStyle name="Buena 8 17" xfId="15305" xr:uid="{00000000-0005-0000-0000-0000963B0000}"/>
    <cellStyle name="Buena 8 18" xfId="15306" xr:uid="{00000000-0005-0000-0000-0000973B0000}"/>
    <cellStyle name="Buena 8 19" xfId="15307" xr:uid="{00000000-0005-0000-0000-0000983B0000}"/>
    <cellStyle name="Buena 8 2" xfId="15308" xr:uid="{00000000-0005-0000-0000-0000993B0000}"/>
    <cellStyle name="Buena 8 2 2" xfId="15309" xr:uid="{00000000-0005-0000-0000-00009A3B0000}"/>
    <cellStyle name="Buena 8 3" xfId="15310" xr:uid="{00000000-0005-0000-0000-00009B3B0000}"/>
    <cellStyle name="Buena 8 3 2" xfId="15311" xr:uid="{00000000-0005-0000-0000-00009C3B0000}"/>
    <cellStyle name="Buena 8 4" xfId="15312" xr:uid="{00000000-0005-0000-0000-00009D3B0000}"/>
    <cellStyle name="Buena 8 4 2" xfId="15313" xr:uid="{00000000-0005-0000-0000-00009E3B0000}"/>
    <cellStyle name="Buena 8 5" xfId="15314" xr:uid="{00000000-0005-0000-0000-00009F3B0000}"/>
    <cellStyle name="Buena 8 6" xfId="15315" xr:uid="{00000000-0005-0000-0000-0000A03B0000}"/>
    <cellStyle name="Buena 8 7" xfId="15316" xr:uid="{00000000-0005-0000-0000-0000A13B0000}"/>
    <cellStyle name="Buena 8 8" xfId="15317" xr:uid="{00000000-0005-0000-0000-0000A23B0000}"/>
    <cellStyle name="Buena 8 9" xfId="15318" xr:uid="{00000000-0005-0000-0000-0000A33B0000}"/>
    <cellStyle name="Buena 9 10" xfId="15319" xr:uid="{00000000-0005-0000-0000-0000A43B0000}"/>
    <cellStyle name="Buena 9 11" xfId="15320" xr:uid="{00000000-0005-0000-0000-0000A53B0000}"/>
    <cellStyle name="Buena 9 12" xfId="15321" xr:uid="{00000000-0005-0000-0000-0000A63B0000}"/>
    <cellStyle name="Buena 9 13" xfId="15322" xr:uid="{00000000-0005-0000-0000-0000A73B0000}"/>
    <cellStyle name="Buena 9 14" xfId="15323" xr:uid="{00000000-0005-0000-0000-0000A83B0000}"/>
    <cellStyle name="Buena 9 15" xfId="15324" xr:uid="{00000000-0005-0000-0000-0000A93B0000}"/>
    <cellStyle name="Buena 9 16" xfId="15325" xr:uid="{00000000-0005-0000-0000-0000AA3B0000}"/>
    <cellStyle name="Buena 9 17" xfId="15326" xr:uid="{00000000-0005-0000-0000-0000AB3B0000}"/>
    <cellStyle name="Buena 9 18" xfId="15327" xr:uid="{00000000-0005-0000-0000-0000AC3B0000}"/>
    <cellStyle name="Buena 9 19" xfId="15328" xr:uid="{00000000-0005-0000-0000-0000AD3B0000}"/>
    <cellStyle name="Buena 9 2" xfId="15329" xr:uid="{00000000-0005-0000-0000-0000AE3B0000}"/>
    <cellStyle name="Buena 9 2 2" xfId="15330" xr:uid="{00000000-0005-0000-0000-0000AF3B0000}"/>
    <cellStyle name="Buena 9 3" xfId="15331" xr:uid="{00000000-0005-0000-0000-0000B03B0000}"/>
    <cellStyle name="Buena 9 3 2" xfId="15332" xr:uid="{00000000-0005-0000-0000-0000B13B0000}"/>
    <cellStyle name="Buena 9 4" xfId="15333" xr:uid="{00000000-0005-0000-0000-0000B23B0000}"/>
    <cellStyle name="Buena 9 4 2" xfId="15334" xr:uid="{00000000-0005-0000-0000-0000B33B0000}"/>
    <cellStyle name="Buena 9 5" xfId="15335" xr:uid="{00000000-0005-0000-0000-0000B43B0000}"/>
    <cellStyle name="Buena 9 6" xfId="15336" xr:uid="{00000000-0005-0000-0000-0000B53B0000}"/>
    <cellStyle name="Buena 9 7" xfId="15337" xr:uid="{00000000-0005-0000-0000-0000B63B0000}"/>
    <cellStyle name="Buena 9 8" xfId="15338" xr:uid="{00000000-0005-0000-0000-0000B73B0000}"/>
    <cellStyle name="Buena 9 9" xfId="15339" xr:uid="{00000000-0005-0000-0000-0000B83B0000}"/>
    <cellStyle name="Bueno" xfId="32517" builtinId="26" customBuiltin="1"/>
    <cellStyle name="Cálculo" xfId="32522" builtinId="22" customBuiltin="1"/>
    <cellStyle name="Cálculo 10 10" xfId="15340" xr:uid="{00000000-0005-0000-0000-0000BB3B0000}"/>
    <cellStyle name="Cálculo 10 11" xfId="15341" xr:uid="{00000000-0005-0000-0000-0000BC3B0000}"/>
    <cellStyle name="Cálculo 10 12" xfId="15342" xr:uid="{00000000-0005-0000-0000-0000BD3B0000}"/>
    <cellStyle name="Cálculo 10 13" xfId="15343" xr:uid="{00000000-0005-0000-0000-0000BE3B0000}"/>
    <cellStyle name="Cálculo 10 14" xfId="15344" xr:uid="{00000000-0005-0000-0000-0000BF3B0000}"/>
    <cellStyle name="Cálculo 10 15" xfId="15345" xr:uid="{00000000-0005-0000-0000-0000C03B0000}"/>
    <cellStyle name="Cálculo 10 16" xfId="15346" xr:uid="{00000000-0005-0000-0000-0000C13B0000}"/>
    <cellStyle name="Cálculo 10 17" xfId="15347" xr:uid="{00000000-0005-0000-0000-0000C23B0000}"/>
    <cellStyle name="Cálculo 10 18" xfId="15348" xr:uid="{00000000-0005-0000-0000-0000C33B0000}"/>
    <cellStyle name="Cálculo 10 19" xfId="15349" xr:uid="{00000000-0005-0000-0000-0000C43B0000}"/>
    <cellStyle name="Cálculo 10 2" xfId="15350" xr:uid="{00000000-0005-0000-0000-0000C53B0000}"/>
    <cellStyle name="Cálculo 10 2 2" xfId="15351" xr:uid="{00000000-0005-0000-0000-0000C63B0000}"/>
    <cellStyle name="Cálculo 10 3" xfId="15352" xr:uid="{00000000-0005-0000-0000-0000C73B0000}"/>
    <cellStyle name="Cálculo 10 3 2" xfId="15353" xr:uid="{00000000-0005-0000-0000-0000C83B0000}"/>
    <cellStyle name="Cálculo 10 4" xfId="15354" xr:uid="{00000000-0005-0000-0000-0000C93B0000}"/>
    <cellStyle name="Cálculo 10 4 2" xfId="15355" xr:uid="{00000000-0005-0000-0000-0000CA3B0000}"/>
    <cellStyle name="Cálculo 10 5" xfId="15356" xr:uid="{00000000-0005-0000-0000-0000CB3B0000}"/>
    <cellStyle name="Cálculo 10 6" xfId="15357" xr:uid="{00000000-0005-0000-0000-0000CC3B0000}"/>
    <cellStyle name="Cálculo 10 7" xfId="15358" xr:uid="{00000000-0005-0000-0000-0000CD3B0000}"/>
    <cellStyle name="Cálculo 10 8" xfId="15359" xr:uid="{00000000-0005-0000-0000-0000CE3B0000}"/>
    <cellStyle name="Cálculo 10 9" xfId="15360" xr:uid="{00000000-0005-0000-0000-0000CF3B0000}"/>
    <cellStyle name="Cálculo 11 10" xfId="15361" xr:uid="{00000000-0005-0000-0000-0000D03B0000}"/>
    <cellStyle name="Cálculo 11 11" xfId="15362" xr:uid="{00000000-0005-0000-0000-0000D13B0000}"/>
    <cellStyle name="Cálculo 11 12" xfId="15363" xr:uid="{00000000-0005-0000-0000-0000D23B0000}"/>
    <cellStyle name="Cálculo 11 13" xfId="15364" xr:uid="{00000000-0005-0000-0000-0000D33B0000}"/>
    <cellStyle name="Cálculo 11 14" xfId="15365" xr:uid="{00000000-0005-0000-0000-0000D43B0000}"/>
    <cellStyle name="Cálculo 11 15" xfId="15366" xr:uid="{00000000-0005-0000-0000-0000D53B0000}"/>
    <cellStyle name="Cálculo 11 16" xfId="15367" xr:uid="{00000000-0005-0000-0000-0000D63B0000}"/>
    <cellStyle name="Cálculo 11 17" xfId="15368" xr:uid="{00000000-0005-0000-0000-0000D73B0000}"/>
    <cellStyle name="Cálculo 11 18" xfId="15369" xr:uid="{00000000-0005-0000-0000-0000D83B0000}"/>
    <cellStyle name="Cálculo 11 19" xfId="15370" xr:uid="{00000000-0005-0000-0000-0000D93B0000}"/>
    <cellStyle name="Cálculo 11 2" xfId="15371" xr:uid="{00000000-0005-0000-0000-0000DA3B0000}"/>
    <cellStyle name="Cálculo 11 2 2" xfId="15372" xr:uid="{00000000-0005-0000-0000-0000DB3B0000}"/>
    <cellStyle name="Cálculo 11 3" xfId="15373" xr:uid="{00000000-0005-0000-0000-0000DC3B0000}"/>
    <cellStyle name="Cálculo 11 3 2" xfId="15374" xr:uid="{00000000-0005-0000-0000-0000DD3B0000}"/>
    <cellStyle name="Cálculo 11 4" xfId="15375" xr:uid="{00000000-0005-0000-0000-0000DE3B0000}"/>
    <cellStyle name="Cálculo 11 4 2" xfId="15376" xr:uid="{00000000-0005-0000-0000-0000DF3B0000}"/>
    <cellStyle name="Cálculo 11 5" xfId="15377" xr:uid="{00000000-0005-0000-0000-0000E03B0000}"/>
    <cellStyle name="Cálculo 11 6" xfId="15378" xr:uid="{00000000-0005-0000-0000-0000E13B0000}"/>
    <cellStyle name="Cálculo 11 7" xfId="15379" xr:uid="{00000000-0005-0000-0000-0000E23B0000}"/>
    <cellStyle name="Cálculo 11 8" xfId="15380" xr:uid="{00000000-0005-0000-0000-0000E33B0000}"/>
    <cellStyle name="Cálculo 11 9" xfId="15381" xr:uid="{00000000-0005-0000-0000-0000E43B0000}"/>
    <cellStyle name="Cálculo 12 10" xfId="15382" xr:uid="{00000000-0005-0000-0000-0000E53B0000}"/>
    <cellStyle name="Cálculo 12 11" xfId="15383" xr:uid="{00000000-0005-0000-0000-0000E63B0000}"/>
    <cellStyle name="Cálculo 12 12" xfId="15384" xr:uid="{00000000-0005-0000-0000-0000E73B0000}"/>
    <cellStyle name="Cálculo 12 13" xfId="15385" xr:uid="{00000000-0005-0000-0000-0000E83B0000}"/>
    <cellStyle name="Cálculo 12 14" xfId="15386" xr:uid="{00000000-0005-0000-0000-0000E93B0000}"/>
    <cellStyle name="Cálculo 12 15" xfId="15387" xr:uid="{00000000-0005-0000-0000-0000EA3B0000}"/>
    <cellStyle name="Cálculo 12 16" xfId="15388" xr:uid="{00000000-0005-0000-0000-0000EB3B0000}"/>
    <cellStyle name="Cálculo 12 17" xfId="15389" xr:uid="{00000000-0005-0000-0000-0000EC3B0000}"/>
    <cellStyle name="Cálculo 12 18" xfId="15390" xr:uid="{00000000-0005-0000-0000-0000ED3B0000}"/>
    <cellStyle name="Cálculo 12 19" xfId="15391" xr:uid="{00000000-0005-0000-0000-0000EE3B0000}"/>
    <cellStyle name="Cálculo 12 2" xfId="15392" xr:uid="{00000000-0005-0000-0000-0000EF3B0000}"/>
    <cellStyle name="Cálculo 12 2 2" xfId="15393" xr:uid="{00000000-0005-0000-0000-0000F03B0000}"/>
    <cellStyle name="Cálculo 12 3" xfId="15394" xr:uid="{00000000-0005-0000-0000-0000F13B0000}"/>
    <cellStyle name="Cálculo 12 3 2" xfId="15395" xr:uid="{00000000-0005-0000-0000-0000F23B0000}"/>
    <cellStyle name="Cálculo 12 4" xfId="15396" xr:uid="{00000000-0005-0000-0000-0000F33B0000}"/>
    <cellStyle name="Cálculo 12 4 2" xfId="15397" xr:uid="{00000000-0005-0000-0000-0000F43B0000}"/>
    <cellStyle name="Cálculo 12 5" xfId="15398" xr:uid="{00000000-0005-0000-0000-0000F53B0000}"/>
    <cellStyle name="Cálculo 12 6" xfId="15399" xr:uid="{00000000-0005-0000-0000-0000F63B0000}"/>
    <cellStyle name="Cálculo 12 7" xfId="15400" xr:uid="{00000000-0005-0000-0000-0000F73B0000}"/>
    <cellStyle name="Cálculo 12 8" xfId="15401" xr:uid="{00000000-0005-0000-0000-0000F83B0000}"/>
    <cellStyle name="Cálculo 12 9" xfId="15402" xr:uid="{00000000-0005-0000-0000-0000F93B0000}"/>
    <cellStyle name="Cálculo 13 10" xfId="15403" xr:uid="{00000000-0005-0000-0000-0000FA3B0000}"/>
    <cellStyle name="Cálculo 13 11" xfId="15404" xr:uid="{00000000-0005-0000-0000-0000FB3B0000}"/>
    <cellStyle name="Cálculo 13 12" xfId="15405" xr:uid="{00000000-0005-0000-0000-0000FC3B0000}"/>
    <cellStyle name="Cálculo 13 13" xfId="15406" xr:uid="{00000000-0005-0000-0000-0000FD3B0000}"/>
    <cellStyle name="Cálculo 13 14" xfId="15407" xr:uid="{00000000-0005-0000-0000-0000FE3B0000}"/>
    <cellStyle name="Cálculo 13 15" xfId="15408" xr:uid="{00000000-0005-0000-0000-0000FF3B0000}"/>
    <cellStyle name="Cálculo 13 16" xfId="15409" xr:uid="{00000000-0005-0000-0000-0000003C0000}"/>
    <cellStyle name="Cálculo 13 17" xfId="15410" xr:uid="{00000000-0005-0000-0000-0000013C0000}"/>
    <cellStyle name="Cálculo 13 18" xfId="15411" xr:uid="{00000000-0005-0000-0000-0000023C0000}"/>
    <cellStyle name="Cálculo 13 19" xfId="15412" xr:uid="{00000000-0005-0000-0000-0000033C0000}"/>
    <cellStyle name="Cálculo 13 2" xfId="15413" xr:uid="{00000000-0005-0000-0000-0000043C0000}"/>
    <cellStyle name="Cálculo 13 2 2" xfId="15414" xr:uid="{00000000-0005-0000-0000-0000053C0000}"/>
    <cellStyle name="Cálculo 13 3" xfId="15415" xr:uid="{00000000-0005-0000-0000-0000063C0000}"/>
    <cellStyle name="Cálculo 13 3 2" xfId="15416" xr:uid="{00000000-0005-0000-0000-0000073C0000}"/>
    <cellStyle name="Cálculo 13 4" xfId="15417" xr:uid="{00000000-0005-0000-0000-0000083C0000}"/>
    <cellStyle name="Cálculo 13 4 2" xfId="15418" xr:uid="{00000000-0005-0000-0000-0000093C0000}"/>
    <cellStyle name="Cálculo 13 5" xfId="15419" xr:uid="{00000000-0005-0000-0000-00000A3C0000}"/>
    <cellStyle name="Cálculo 13 6" xfId="15420" xr:uid="{00000000-0005-0000-0000-00000B3C0000}"/>
    <cellStyle name="Cálculo 13 7" xfId="15421" xr:uid="{00000000-0005-0000-0000-00000C3C0000}"/>
    <cellStyle name="Cálculo 13 8" xfId="15422" xr:uid="{00000000-0005-0000-0000-00000D3C0000}"/>
    <cellStyle name="Cálculo 13 9" xfId="15423" xr:uid="{00000000-0005-0000-0000-00000E3C0000}"/>
    <cellStyle name="Cálculo 14 10" xfId="15424" xr:uid="{00000000-0005-0000-0000-00000F3C0000}"/>
    <cellStyle name="Cálculo 14 11" xfId="15425" xr:uid="{00000000-0005-0000-0000-0000103C0000}"/>
    <cellStyle name="Cálculo 14 12" xfId="15426" xr:uid="{00000000-0005-0000-0000-0000113C0000}"/>
    <cellStyle name="Cálculo 14 13" xfId="15427" xr:uid="{00000000-0005-0000-0000-0000123C0000}"/>
    <cellStyle name="Cálculo 14 14" xfId="15428" xr:uid="{00000000-0005-0000-0000-0000133C0000}"/>
    <cellStyle name="Cálculo 14 15" xfId="15429" xr:uid="{00000000-0005-0000-0000-0000143C0000}"/>
    <cellStyle name="Cálculo 14 16" xfId="15430" xr:uid="{00000000-0005-0000-0000-0000153C0000}"/>
    <cellStyle name="Cálculo 14 17" xfId="15431" xr:uid="{00000000-0005-0000-0000-0000163C0000}"/>
    <cellStyle name="Cálculo 14 18" xfId="15432" xr:uid="{00000000-0005-0000-0000-0000173C0000}"/>
    <cellStyle name="Cálculo 14 19" xfId="15433" xr:uid="{00000000-0005-0000-0000-0000183C0000}"/>
    <cellStyle name="Cálculo 14 2" xfId="15434" xr:uid="{00000000-0005-0000-0000-0000193C0000}"/>
    <cellStyle name="Cálculo 14 2 2" xfId="15435" xr:uid="{00000000-0005-0000-0000-00001A3C0000}"/>
    <cellStyle name="Cálculo 14 3" xfId="15436" xr:uid="{00000000-0005-0000-0000-00001B3C0000}"/>
    <cellStyle name="Cálculo 14 3 2" xfId="15437" xr:uid="{00000000-0005-0000-0000-00001C3C0000}"/>
    <cellStyle name="Cálculo 14 4" xfId="15438" xr:uid="{00000000-0005-0000-0000-00001D3C0000}"/>
    <cellStyle name="Cálculo 14 4 2" xfId="15439" xr:uid="{00000000-0005-0000-0000-00001E3C0000}"/>
    <cellStyle name="Cálculo 14 5" xfId="15440" xr:uid="{00000000-0005-0000-0000-00001F3C0000}"/>
    <cellStyle name="Cálculo 14 6" xfId="15441" xr:uid="{00000000-0005-0000-0000-0000203C0000}"/>
    <cellStyle name="Cálculo 14 7" xfId="15442" xr:uid="{00000000-0005-0000-0000-0000213C0000}"/>
    <cellStyle name="Cálculo 14 8" xfId="15443" xr:uid="{00000000-0005-0000-0000-0000223C0000}"/>
    <cellStyle name="Cálculo 14 9" xfId="15444" xr:uid="{00000000-0005-0000-0000-0000233C0000}"/>
    <cellStyle name="Cálculo 15 10" xfId="15445" xr:uid="{00000000-0005-0000-0000-0000243C0000}"/>
    <cellStyle name="Cálculo 15 11" xfId="15446" xr:uid="{00000000-0005-0000-0000-0000253C0000}"/>
    <cellStyle name="Cálculo 15 12" xfId="15447" xr:uid="{00000000-0005-0000-0000-0000263C0000}"/>
    <cellStyle name="Cálculo 15 13" xfId="15448" xr:uid="{00000000-0005-0000-0000-0000273C0000}"/>
    <cellStyle name="Cálculo 15 14" xfId="15449" xr:uid="{00000000-0005-0000-0000-0000283C0000}"/>
    <cellStyle name="Cálculo 15 15" xfId="15450" xr:uid="{00000000-0005-0000-0000-0000293C0000}"/>
    <cellStyle name="Cálculo 15 16" xfId="15451" xr:uid="{00000000-0005-0000-0000-00002A3C0000}"/>
    <cellStyle name="Cálculo 15 17" xfId="15452" xr:uid="{00000000-0005-0000-0000-00002B3C0000}"/>
    <cellStyle name="Cálculo 15 18" xfId="15453" xr:uid="{00000000-0005-0000-0000-00002C3C0000}"/>
    <cellStyle name="Cálculo 15 19" xfId="15454" xr:uid="{00000000-0005-0000-0000-00002D3C0000}"/>
    <cellStyle name="Cálculo 15 2" xfId="15455" xr:uid="{00000000-0005-0000-0000-00002E3C0000}"/>
    <cellStyle name="Cálculo 15 2 2" xfId="15456" xr:uid="{00000000-0005-0000-0000-00002F3C0000}"/>
    <cellStyle name="Cálculo 15 3" xfId="15457" xr:uid="{00000000-0005-0000-0000-0000303C0000}"/>
    <cellStyle name="Cálculo 15 3 2" xfId="15458" xr:uid="{00000000-0005-0000-0000-0000313C0000}"/>
    <cellStyle name="Cálculo 15 4" xfId="15459" xr:uid="{00000000-0005-0000-0000-0000323C0000}"/>
    <cellStyle name="Cálculo 15 4 2" xfId="15460" xr:uid="{00000000-0005-0000-0000-0000333C0000}"/>
    <cellStyle name="Cálculo 15 5" xfId="15461" xr:uid="{00000000-0005-0000-0000-0000343C0000}"/>
    <cellStyle name="Cálculo 15 6" xfId="15462" xr:uid="{00000000-0005-0000-0000-0000353C0000}"/>
    <cellStyle name="Cálculo 15 7" xfId="15463" xr:uid="{00000000-0005-0000-0000-0000363C0000}"/>
    <cellStyle name="Cálculo 15 8" xfId="15464" xr:uid="{00000000-0005-0000-0000-0000373C0000}"/>
    <cellStyle name="Cálculo 15 9" xfId="15465" xr:uid="{00000000-0005-0000-0000-0000383C0000}"/>
    <cellStyle name="Cálculo 16 10" xfId="15466" xr:uid="{00000000-0005-0000-0000-0000393C0000}"/>
    <cellStyle name="Cálculo 16 11" xfId="15467" xr:uid="{00000000-0005-0000-0000-00003A3C0000}"/>
    <cellStyle name="Cálculo 16 12" xfId="15468" xr:uid="{00000000-0005-0000-0000-00003B3C0000}"/>
    <cellStyle name="Cálculo 16 13" xfId="15469" xr:uid="{00000000-0005-0000-0000-00003C3C0000}"/>
    <cellStyle name="Cálculo 16 14" xfId="15470" xr:uid="{00000000-0005-0000-0000-00003D3C0000}"/>
    <cellStyle name="Cálculo 16 15" xfId="15471" xr:uid="{00000000-0005-0000-0000-00003E3C0000}"/>
    <cellStyle name="Cálculo 16 16" xfId="15472" xr:uid="{00000000-0005-0000-0000-00003F3C0000}"/>
    <cellStyle name="Cálculo 16 17" xfId="15473" xr:uid="{00000000-0005-0000-0000-0000403C0000}"/>
    <cellStyle name="Cálculo 16 18" xfId="15474" xr:uid="{00000000-0005-0000-0000-0000413C0000}"/>
    <cellStyle name="Cálculo 16 19" xfId="15475" xr:uid="{00000000-0005-0000-0000-0000423C0000}"/>
    <cellStyle name="Cálculo 16 2" xfId="15476" xr:uid="{00000000-0005-0000-0000-0000433C0000}"/>
    <cellStyle name="Cálculo 16 2 2" xfId="15477" xr:uid="{00000000-0005-0000-0000-0000443C0000}"/>
    <cellStyle name="Cálculo 16 3" xfId="15478" xr:uid="{00000000-0005-0000-0000-0000453C0000}"/>
    <cellStyle name="Cálculo 16 3 2" xfId="15479" xr:uid="{00000000-0005-0000-0000-0000463C0000}"/>
    <cellStyle name="Cálculo 16 4" xfId="15480" xr:uid="{00000000-0005-0000-0000-0000473C0000}"/>
    <cellStyle name="Cálculo 16 4 2" xfId="15481" xr:uid="{00000000-0005-0000-0000-0000483C0000}"/>
    <cellStyle name="Cálculo 16 5" xfId="15482" xr:uid="{00000000-0005-0000-0000-0000493C0000}"/>
    <cellStyle name="Cálculo 16 6" xfId="15483" xr:uid="{00000000-0005-0000-0000-00004A3C0000}"/>
    <cellStyle name="Cálculo 16 7" xfId="15484" xr:uid="{00000000-0005-0000-0000-00004B3C0000}"/>
    <cellStyle name="Cálculo 16 8" xfId="15485" xr:uid="{00000000-0005-0000-0000-00004C3C0000}"/>
    <cellStyle name="Cálculo 16 9" xfId="15486" xr:uid="{00000000-0005-0000-0000-00004D3C0000}"/>
    <cellStyle name="Cálculo 17 10" xfId="15487" xr:uid="{00000000-0005-0000-0000-00004E3C0000}"/>
    <cellStyle name="Cálculo 17 11" xfId="15488" xr:uid="{00000000-0005-0000-0000-00004F3C0000}"/>
    <cellStyle name="Cálculo 17 12" xfId="15489" xr:uid="{00000000-0005-0000-0000-0000503C0000}"/>
    <cellStyle name="Cálculo 17 13" xfId="15490" xr:uid="{00000000-0005-0000-0000-0000513C0000}"/>
    <cellStyle name="Cálculo 17 14" xfId="15491" xr:uid="{00000000-0005-0000-0000-0000523C0000}"/>
    <cellStyle name="Cálculo 17 15" xfId="15492" xr:uid="{00000000-0005-0000-0000-0000533C0000}"/>
    <cellStyle name="Cálculo 17 16" xfId="15493" xr:uid="{00000000-0005-0000-0000-0000543C0000}"/>
    <cellStyle name="Cálculo 17 17" xfId="15494" xr:uid="{00000000-0005-0000-0000-0000553C0000}"/>
    <cellStyle name="Cálculo 17 18" xfId="15495" xr:uid="{00000000-0005-0000-0000-0000563C0000}"/>
    <cellStyle name="Cálculo 17 19" xfId="15496" xr:uid="{00000000-0005-0000-0000-0000573C0000}"/>
    <cellStyle name="Cálculo 17 2" xfId="15497" xr:uid="{00000000-0005-0000-0000-0000583C0000}"/>
    <cellStyle name="Cálculo 17 2 2" xfId="15498" xr:uid="{00000000-0005-0000-0000-0000593C0000}"/>
    <cellStyle name="Cálculo 17 3" xfId="15499" xr:uid="{00000000-0005-0000-0000-00005A3C0000}"/>
    <cellStyle name="Cálculo 17 3 2" xfId="15500" xr:uid="{00000000-0005-0000-0000-00005B3C0000}"/>
    <cellStyle name="Cálculo 17 4" xfId="15501" xr:uid="{00000000-0005-0000-0000-00005C3C0000}"/>
    <cellStyle name="Cálculo 17 4 2" xfId="15502" xr:uid="{00000000-0005-0000-0000-00005D3C0000}"/>
    <cellStyle name="Cálculo 17 5" xfId="15503" xr:uid="{00000000-0005-0000-0000-00005E3C0000}"/>
    <cellStyle name="Cálculo 17 6" xfId="15504" xr:uid="{00000000-0005-0000-0000-00005F3C0000}"/>
    <cellStyle name="Cálculo 17 7" xfId="15505" xr:uid="{00000000-0005-0000-0000-0000603C0000}"/>
    <cellStyle name="Cálculo 17 8" xfId="15506" xr:uid="{00000000-0005-0000-0000-0000613C0000}"/>
    <cellStyle name="Cálculo 17 9" xfId="15507" xr:uid="{00000000-0005-0000-0000-0000623C0000}"/>
    <cellStyle name="Cálculo 18 10" xfId="15508" xr:uid="{00000000-0005-0000-0000-0000633C0000}"/>
    <cellStyle name="Cálculo 18 11" xfId="15509" xr:uid="{00000000-0005-0000-0000-0000643C0000}"/>
    <cellStyle name="Cálculo 18 12" xfId="15510" xr:uid="{00000000-0005-0000-0000-0000653C0000}"/>
    <cellStyle name="Cálculo 18 13" xfId="15511" xr:uid="{00000000-0005-0000-0000-0000663C0000}"/>
    <cellStyle name="Cálculo 18 14" xfId="15512" xr:uid="{00000000-0005-0000-0000-0000673C0000}"/>
    <cellStyle name="Cálculo 18 15" xfId="15513" xr:uid="{00000000-0005-0000-0000-0000683C0000}"/>
    <cellStyle name="Cálculo 18 16" xfId="15514" xr:uid="{00000000-0005-0000-0000-0000693C0000}"/>
    <cellStyle name="Cálculo 18 17" xfId="15515" xr:uid="{00000000-0005-0000-0000-00006A3C0000}"/>
    <cellStyle name="Cálculo 18 18" xfId="15516" xr:uid="{00000000-0005-0000-0000-00006B3C0000}"/>
    <cellStyle name="Cálculo 18 19" xfId="15517" xr:uid="{00000000-0005-0000-0000-00006C3C0000}"/>
    <cellStyle name="Cálculo 18 2" xfId="15518" xr:uid="{00000000-0005-0000-0000-00006D3C0000}"/>
    <cellStyle name="Cálculo 18 2 2" xfId="15519" xr:uid="{00000000-0005-0000-0000-00006E3C0000}"/>
    <cellStyle name="Cálculo 18 3" xfId="15520" xr:uid="{00000000-0005-0000-0000-00006F3C0000}"/>
    <cellStyle name="Cálculo 18 3 2" xfId="15521" xr:uid="{00000000-0005-0000-0000-0000703C0000}"/>
    <cellStyle name="Cálculo 18 4" xfId="15522" xr:uid="{00000000-0005-0000-0000-0000713C0000}"/>
    <cellStyle name="Cálculo 18 4 2" xfId="15523" xr:uid="{00000000-0005-0000-0000-0000723C0000}"/>
    <cellStyle name="Cálculo 18 5" xfId="15524" xr:uid="{00000000-0005-0000-0000-0000733C0000}"/>
    <cellStyle name="Cálculo 18 6" xfId="15525" xr:uid="{00000000-0005-0000-0000-0000743C0000}"/>
    <cellStyle name="Cálculo 18 7" xfId="15526" xr:uid="{00000000-0005-0000-0000-0000753C0000}"/>
    <cellStyle name="Cálculo 18 8" xfId="15527" xr:uid="{00000000-0005-0000-0000-0000763C0000}"/>
    <cellStyle name="Cálculo 18 9" xfId="15528" xr:uid="{00000000-0005-0000-0000-0000773C0000}"/>
    <cellStyle name="Cálculo 19 10" xfId="15529" xr:uid="{00000000-0005-0000-0000-0000783C0000}"/>
    <cellStyle name="Cálculo 19 11" xfId="15530" xr:uid="{00000000-0005-0000-0000-0000793C0000}"/>
    <cellStyle name="Cálculo 19 12" xfId="15531" xr:uid="{00000000-0005-0000-0000-00007A3C0000}"/>
    <cellStyle name="Cálculo 19 13" xfId="15532" xr:uid="{00000000-0005-0000-0000-00007B3C0000}"/>
    <cellStyle name="Cálculo 19 14" xfId="15533" xr:uid="{00000000-0005-0000-0000-00007C3C0000}"/>
    <cellStyle name="Cálculo 19 15" xfId="15534" xr:uid="{00000000-0005-0000-0000-00007D3C0000}"/>
    <cellStyle name="Cálculo 19 16" xfId="15535" xr:uid="{00000000-0005-0000-0000-00007E3C0000}"/>
    <cellStyle name="Cálculo 19 17" xfId="15536" xr:uid="{00000000-0005-0000-0000-00007F3C0000}"/>
    <cellStyle name="Cálculo 19 18" xfId="15537" xr:uid="{00000000-0005-0000-0000-0000803C0000}"/>
    <cellStyle name="Cálculo 19 19" xfId="15538" xr:uid="{00000000-0005-0000-0000-0000813C0000}"/>
    <cellStyle name="Cálculo 19 2" xfId="15539" xr:uid="{00000000-0005-0000-0000-0000823C0000}"/>
    <cellStyle name="Cálculo 19 2 2" xfId="15540" xr:uid="{00000000-0005-0000-0000-0000833C0000}"/>
    <cellStyle name="Cálculo 19 3" xfId="15541" xr:uid="{00000000-0005-0000-0000-0000843C0000}"/>
    <cellStyle name="Cálculo 19 3 2" xfId="15542" xr:uid="{00000000-0005-0000-0000-0000853C0000}"/>
    <cellStyle name="Cálculo 19 4" xfId="15543" xr:uid="{00000000-0005-0000-0000-0000863C0000}"/>
    <cellStyle name="Cálculo 19 4 2" xfId="15544" xr:uid="{00000000-0005-0000-0000-0000873C0000}"/>
    <cellStyle name="Cálculo 19 5" xfId="15545" xr:uid="{00000000-0005-0000-0000-0000883C0000}"/>
    <cellStyle name="Cálculo 19 6" xfId="15546" xr:uid="{00000000-0005-0000-0000-0000893C0000}"/>
    <cellStyle name="Cálculo 19 7" xfId="15547" xr:uid="{00000000-0005-0000-0000-00008A3C0000}"/>
    <cellStyle name="Cálculo 19 8" xfId="15548" xr:uid="{00000000-0005-0000-0000-00008B3C0000}"/>
    <cellStyle name="Cálculo 19 9" xfId="15549" xr:uid="{00000000-0005-0000-0000-00008C3C0000}"/>
    <cellStyle name="Cálculo 2 10" xfId="15550" xr:uid="{00000000-0005-0000-0000-00008D3C0000}"/>
    <cellStyle name="Cálculo 2 11" xfId="15551" xr:uid="{00000000-0005-0000-0000-00008E3C0000}"/>
    <cellStyle name="Cálculo 2 12" xfId="15552" xr:uid="{00000000-0005-0000-0000-00008F3C0000}"/>
    <cellStyle name="Cálculo 2 13" xfId="15553" xr:uid="{00000000-0005-0000-0000-0000903C0000}"/>
    <cellStyle name="Cálculo 2 14" xfId="15554" xr:uid="{00000000-0005-0000-0000-0000913C0000}"/>
    <cellStyle name="Cálculo 2 15" xfId="15555" xr:uid="{00000000-0005-0000-0000-0000923C0000}"/>
    <cellStyle name="Cálculo 2 16" xfId="15556" xr:uid="{00000000-0005-0000-0000-0000933C0000}"/>
    <cellStyle name="Cálculo 2 17" xfId="15557" xr:uid="{00000000-0005-0000-0000-0000943C0000}"/>
    <cellStyle name="Cálculo 2 18" xfId="15558" xr:uid="{00000000-0005-0000-0000-0000953C0000}"/>
    <cellStyle name="Cálculo 2 19" xfId="15559" xr:uid="{00000000-0005-0000-0000-0000963C0000}"/>
    <cellStyle name="Cálculo 2 2" xfId="15560" xr:uid="{00000000-0005-0000-0000-0000973C0000}"/>
    <cellStyle name="Cálculo 2 2 2" xfId="15561" xr:uid="{00000000-0005-0000-0000-0000983C0000}"/>
    <cellStyle name="Cálculo 2 3" xfId="15562" xr:uid="{00000000-0005-0000-0000-0000993C0000}"/>
    <cellStyle name="Cálculo 2 3 2" xfId="15563" xr:uid="{00000000-0005-0000-0000-00009A3C0000}"/>
    <cellStyle name="Cálculo 2 4" xfId="15564" xr:uid="{00000000-0005-0000-0000-00009B3C0000}"/>
    <cellStyle name="Cálculo 2 4 2" xfId="15565" xr:uid="{00000000-0005-0000-0000-00009C3C0000}"/>
    <cellStyle name="Cálculo 2 5" xfId="15566" xr:uid="{00000000-0005-0000-0000-00009D3C0000}"/>
    <cellStyle name="Cálculo 2 6" xfId="15567" xr:uid="{00000000-0005-0000-0000-00009E3C0000}"/>
    <cellStyle name="Cálculo 2 7" xfId="15568" xr:uid="{00000000-0005-0000-0000-00009F3C0000}"/>
    <cellStyle name="Cálculo 2 8" xfId="15569" xr:uid="{00000000-0005-0000-0000-0000A03C0000}"/>
    <cellStyle name="Cálculo 2 9" xfId="15570" xr:uid="{00000000-0005-0000-0000-0000A13C0000}"/>
    <cellStyle name="Cálculo 20 10" xfId="15571" xr:uid="{00000000-0005-0000-0000-0000A23C0000}"/>
    <cellStyle name="Cálculo 20 11" xfId="15572" xr:uid="{00000000-0005-0000-0000-0000A33C0000}"/>
    <cellStyle name="Cálculo 20 12" xfId="15573" xr:uid="{00000000-0005-0000-0000-0000A43C0000}"/>
    <cellStyle name="Cálculo 20 13" xfId="15574" xr:uid="{00000000-0005-0000-0000-0000A53C0000}"/>
    <cellStyle name="Cálculo 20 14" xfId="15575" xr:uid="{00000000-0005-0000-0000-0000A63C0000}"/>
    <cellStyle name="Cálculo 20 15" xfId="15576" xr:uid="{00000000-0005-0000-0000-0000A73C0000}"/>
    <cellStyle name="Cálculo 20 16" xfId="15577" xr:uid="{00000000-0005-0000-0000-0000A83C0000}"/>
    <cellStyle name="Cálculo 20 17" xfId="15578" xr:uid="{00000000-0005-0000-0000-0000A93C0000}"/>
    <cellStyle name="Cálculo 20 18" xfId="15579" xr:uid="{00000000-0005-0000-0000-0000AA3C0000}"/>
    <cellStyle name="Cálculo 20 19" xfId="15580" xr:uid="{00000000-0005-0000-0000-0000AB3C0000}"/>
    <cellStyle name="Cálculo 20 2" xfId="15581" xr:uid="{00000000-0005-0000-0000-0000AC3C0000}"/>
    <cellStyle name="Cálculo 20 2 2" xfId="15582" xr:uid="{00000000-0005-0000-0000-0000AD3C0000}"/>
    <cellStyle name="Cálculo 20 3" xfId="15583" xr:uid="{00000000-0005-0000-0000-0000AE3C0000}"/>
    <cellStyle name="Cálculo 20 3 2" xfId="15584" xr:uid="{00000000-0005-0000-0000-0000AF3C0000}"/>
    <cellStyle name="Cálculo 20 4" xfId="15585" xr:uid="{00000000-0005-0000-0000-0000B03C0000}"/>
    <cellStyle name="Cálculo 20 4 2" xfId="15586" xr:uid="{00000000-0005-0000-0000-0000B13C0000}"/>
    <cellStyle name="Cálculo 20 5" xfId="15587" xr:uid="{00000000-0005-0000-0000-0000B23C0000}"/>
    <cellStyle name="Cálculo 20 6" xfId="15588" xr:uid="{00000000-0005-0000-0000-0000B33C0000}"/>
    <cellStyle name="Cálculo 20 7" xfId="15589" xr:uid="{00000000-0005-0000-0000-0000B43C0000}"/>
    <cellStyle name="Cálculo 20 8" xfId="15590" xr:uid="{00000000-0005-0000-0000-0000B53C0000}"/>
    <cellStyle name="Cálculo 20 9" xfId="15591" xr:uid="{00000000-0005-0000-0000-0000B63C0000}"/>
    <cellStyle name="Cálculo 21 10" xfId="15592" xr:uid="{00000000-0005-0000-0000-0000B73C0000}"/>
    <cellStyle name="Cálculo 21 11" xfId="15593" xr:uid="{00000000-0005-0000-0000-0000B83C0000}"/>
    <cellStyle name="Cálculo 21 12" xfId="15594" xr:uid="{00000000-0005-0000-0000-0000B93C0000}"/>
    <cellStyle name="Cálculo 21 13" xfId="15595" xr:uid="{00000000-0005-0000-0000-0000BA3C0000}"/>
    <cellStyle name="Cálculo 21 14" xfId="15596" xr:uid="{00000000-0005-0000-0000-0000BB3C0000}"/>
    <cellStyle name="Cálculo 21 15" xfId="15597" xr:uid="{00000000-0005-0000-0000-0000BC3C0000}"/>
    <cellStyle name="Cálculo 21 16" xfId="15598" xr:uid="{00000000-0005-0000-0000-0000BD3C0000}"/>
    <cellStyle name="Cálculo 21 17" xfId="15599" xr:uid="{00000000-0005-0000-0000-0000BE3C0000}"/>
    <cellStyle name="Cálculo 21 18" xfId="15600" xr:uid="{00000000-0005-0000-0000-0000BF3C0000}"/>
    <cellStyle name="Cálculo 21 19" xfId="15601" xr:uid="{00000000-0005-0000-0000-0000C03C0000}"/>
    <cellStyle name="Cálculo 21 2" xfId="15602" xr:uid="{00000000-0005-0000-0000-0000C13C0000}"/>
    <cellStyle name="Cálculo 21 2 2" xfId="15603" xr:uid="{00000000-0005-0000-0000-0000C23C0000}"/>
    <cellStyle name="Cálculo 21 3" xfId="15604" xr:uid="{00000000-0005-0000-0000-0000C33C0000}"/>
    <cellStyle name="Cálculo 21 3 2" xfId="15605" xr:uid="{00000000-0005-0000-0000-0000C43C0000}"/>
    <cellStyle name="Cálculo 21 4" xfId="15606" xr:uid="{00000000-0005-0000-0000-0000C53C0000}"/>
    <cellStyle name="Cálculo 21 4 2" xfId="15607" xr:uid="{00000000-0005-0000-0000-0000C63C0000}"/>
    <cellStyle name="Cálculo 21 5" xfId="15608" xr:uid="{00000000-0005-0000-0000-0000C73C0000}"/>
    <cellStyle name="Cálculo 21 6" xfId="15609" xr:uid="{00000000-0005-0000-0000-0000C83C0000}"/>
    <cellStyle name="Cálculo 21 7" xfId="15610" xr:uid="{00000000-0005-0000-0000-0000C93C0000}"/>
    <cellStyle name="Cálculo 21 8" xfId="15611" xr:uid="{00000000-0005-0000-0000-0000CA3C0000}"/>
    <cellStyle name="Cálculo 21 9" xfId="15612" xr:uid="{00000000-0005-0000-0000-0000CB3C0000}"/>
    <cellStyle name="Cálculo 22 10" xfId="15613" xr:uid="{00000000-0005-0000-0000-0000CC3C0000}"/>
    <cellStyle name="Cálculo 22 11" xfId="15614" xr:uid="{00000000-0005-0000-0000-0000CD3C0000}"/>
    <cellStyle name="Cálculo 22 12" xfId="15615" xr:uid="{00000000-0005-0000-0000-0000CE3C0000}"/>
    <cellStyle name="Cálculo 22 13" xfId="15616" xr:uid="{00000000-0005-0000-0000-0000CF3C0000}"/>
    <cellStyle name="Cálculo 22 14" xfId="15617" xr:uid="{00000000-0005-0000-0000-0000D03C0000}"/>
    <cellStyle name="Cálculo 22 15" xfId="15618" xr:uid="{00000000-0005-0000-0000-0000D13C0000}"/>
    <cellStyle name="Cálculo 22 16" xfId="15619" xr:uid="{00000000-0005-0000-0000-0000D23C0000}"/>
    <cellStyle name="Cálculo 22 17" xfId="15620" xr:uid="{00000000-0005-0000-0000-0000D33C0000}"/>
    <cellStyle name="Cálculo 22 18" xfId="15621" xr:uid="{00000000-0005-0000-0000-0000D43C0000}"/>
    <cellStyle name="Cálculo 22 19" xfId="15622" xr:uid="{00000000-0005-0000-0000-0000D53C0000}"/>
    <cellStyle name="Cálculo 22 2" xfId="15623" xr:uid="{00000000-0005-0000-0000-0000D63C0000}"/>
    <cellStyle name="Cálculo 22 2 2" xfId="15624" xr:uid="{00000000-0005-0000-0000-0000D73C0000}"/>
    <cellStyle name="Cálculo 22 3" xfId="15625" xr:uid="{00000000-0005-0000-0000-0000D83C0000}"/>
    <cellStyle name="Cálculo 22 3 2" xfId="15626" xr:uid="{00000000-0005-0000-0000-0000D93C0000}"/>
    <cellStyle name="Cálculo 22 4" xfId="15627" xr:uid="{00000000-0005-0000-0000-0000DA3C0000}"/>
    <cellStyle name="Cálculo 22 4 2" xfId="15628" xr:uid="{00000000-0005-0000-0000-0000DB3C0000}"/>
    <cellStyle name="Cálculo 22 5" xfId="15629" xr:uid="{00000000-0005-0000-0000-0000DC3C0000}"/>
    <cellStyle name="Cálculo 22 6" xfId="15630" xr:uid="{00000000-0005-0000-0000-0000DD3C0000}"/>
    <cellStyle name="Cálculo 22 7" xfId="15631" xr:uid="{00000000-0005-0000-0000-0000DE3C0000}"/>
    <cellStyle name="Cálculo 22 8" xfId="15632" xr:uid="{00000000-0005-0000-0000-0000DF3C0000}"/>
    <cellStyle name="Cálculo 22 9" xfId="15633" xr:uid="{00000000-0005-0000-0000-0000E03C0000}"/>
    <cellStyle name="Cálculo 23 10" xfId="15634" xr:uid="{00000000-0005-0000-0000-0000E13C0000}"/>
    <cellStyle name="Cálculo 23 11" xfId="15635" xr:uid="{00000000-0005-0000-0000-0000E23C0000}"/>
    <cellStyle name="Cálculo 23 12" xfId="15636" xr:uid="{00000000-0005-0000-0000-0000E33C0000}"/>
    <cellStyle name="Cálculo 23 13" xfId="15637" xr:uid="{00000000-0005-0000-0000-0000E43C0000}"/>
    <cellStyle name="Cálculo 23 14" xfId="15638" xr:uid="{00000000-0005-0000-0000-0000E53C0000}"/>
    <cellStyle name="Cálculo 23 15" xfId="15639" xr:uid="{00000000-0005-0000-0000-0000E63C0000}"/>
    <cellStyle name="Cálculo 23 16" xfId="15640" xr:uid="{00000000-0005-0000-0000-0000E73C0000}"/>
    <cellStyle name="Cálculo 23 17" xfId="15641" xr:uid="{00000000-0005-0000-0000-0000E83C0000}"/>
    <cellStyle name="Cálculo 23 18" xfId="15642" xr:uid="{00000000-0005-0000-0000-0000E93C0000}"/>
    <cellStyle name="Cálculo 23 19" xfId="15643" xr:uid="{00000000-0005-0000-0000-0000EA3C0000}"/>
    <cellStyle name="Cálculo 23 2" xfId="15644" xr:uid="{00000000-0005-0000-0000-0000EB3C0000}"/>
    <cellStyle name="Cálculo 23 2 2" xfId="15645" xr:uid="{00000000-0005-0000-0000-0000EC3C0000}"/>
    <cellStyle name="Cálculo 23 3" xfId="15646" xr:uid="{00000000-0005-0000-0000-0000ED3C0000}"/>
    <cellStyle name="Cálculo 23 3 2" xfId="15647" xr:uid="{00000000-0005-0000-0000-0000EE3C0000}"/>
    <cellStyle name="Cálculo 23 4" xfId="15648" xr:uid="{00000000-0005-0000-0000-0000EF3C0000}"/>
    <cellStyle name="Cálculo 23 4 2" xfId="15649" xr:uid="{00000000-0005-0000-0000-0000F03C0000}"/>
    <cellStyle name="Cálculo 23 5" xfId="15650" xr:uid="{00000000-0005-0000-0000-0000F13C0000}"/>
    <cellStyle name="Cálculo 23 6" xfId="15651" xr:uid="{00000000-0005-0000-0000-0000F23C0000}"/>
    <cellStyle name="Cálculo 23 7" xfId="15652" xr:uid="{00000000-0005-0000-0000-0000F33C0000}"/>
    <cellStyle name="Cálculo 23 8" xfId="15653" xr:uid="{00000000-0005-0000-0000-0000F43C0000}"/>
    <cellStyle name="Cálculo 23 9" xfId="15654" xr:uid="{00000000-0005-0000-0000-0000F53C0000}"/>
    <cellStyle name="Cálculo 24 10" xfId="15655" xr:uid="{00000000-0005-0000-0000-0000F63C0000}"/>
    <cellStyle name="Cálculo 24 11" xfId="15656" xr:uid="{00000000-0005-0000-0000-0000F73C0000}"/>
    <cellStyle name="Cálculo 24 12" xfId="15657" xr:uid="{00000000-0005-0000-0000-0000F83C0000}"/>
    <cellStyle name="Cálculo 24 13" xfId="15658" xr:uid="{00000000-0005-0000-0000-0000F93C0000}"/>
    <cellStyle name="Cálculo 24 14" xfId="15659" xr:uid="{00000000-0005-0000-0000-0000FA3C0000}"/>
    <cellStyle name="Cálculo 24 15" xfId="15660" xr:uid="{00000000-0005-0000-0000-0000FB3C0000}"/>
    <cellStyle name="Cálculo 24 16" xfId="15661" xr:uid="{00000000-0005-0000-0000-0000FC3C0000}"/>
    <cellStyle name="Cálculo 24 17" xfId="15662" xr:uid="{00000000-0005-0000-0000-0000FD3C0000}"/>
    <cellStyle name="Cálculo 24 18" xfId="15663" xr:uid="{00000000-0005-0000-0000-0000FE3C0000}"/>
    <cellStyle name="Cálculo 24 19" xfId="15664" xr:uid="{00000000-0005-0000-0000-0000FF3C0000}"/>
    <cellStyle name="Cálculo 24 2" xfId="15665" xr:uid="{00000000-0005-0000-0000-0000003D0000}"/>
    <cellStyle name="Cálculo 24 2 2" xfId="15666" xr:uid="{00000000-0005-0000-0000-0000013D0000}"/>
    <cellStyle name="Cálculo 24 3" xfId="15667" xr:uid="{00000000-0005-0000-0000-0000023D0000}"/>
    <cellStyle name="Cálculo 24 3 2" xfId="15668" xr:uid="{00000000-0005-0000-0000-0000033D0000}"/>
    <cellStyle name="Cálculo 24 4" xfId="15669" xr:uid="{00000000-0005-0000-0000-0000043D0000}"/>
    <cellStyle name="Cálculo 24 4 2" xfId="15670" xr:uid="{00000000-0005-0000-0000-0000053D0000}"/>
    <cellStyle name="Cálculo 24 5" xfId="15671" xr:uid="{00000000-0005-0000-0000-0000063D0000}"/>
    <cellStyle name="Cálculo 24 6" xfId="15672" xr:uid="{00000000-0005-0000-0000-0000073D0000}"/>
    <cellStyle name="Cálculo 24 7" xfId="15673" xr:uid="{00000000-0005-0000-0000-0000083D0000}"/>
    <cellStyle name="Cálculo 24 8" xfId="15674" xr:uid="{00000000-0005-0000-0000-0000093D0000}"/>
    <cellStyle name="Cálculo 24 9" xfId="15675" xr:uid="{00000000-0005-0000-0000-00000A3D0000}"/>
    <cellStyle name="Cálculo 25 10" xfId="15676" xr:uid="{00000000-0005-0000-0000-00000B3D0000}"/>
    <cellStyle name="Cálculo 25 11" xfId="15677" xr:uid="{00000000-0005-0000-0000-00000C3D0000}"/>
    <cellStyle name="Cálculo 25 12" xfId="15678" xr:uid="{00000000-0005-0000-0000-00000D3D0000}"/>
    <cellStyle name="Cálculo 25 13" xfId="15679" xr:uid="{00000000-0005-0000-0000-00000E3D0000}"/>
    <cellStyle name="Cálculo 25 14" xfId="15680" xr:uid="{00000000-0005-0000-0000-00000F3D0000}"/>
    <cellStyle name="Cálculo 25 15" xfId="15681" xr:uid="{00000000-0005-0000-0000-0000103D0000}"/>
    <cellStyle name="Cálculo 25 16" xfId="15682" xr:uid="{00000000-0005-0000-0000-0000113D0000}"/>
    <cellStyle name="Cálculo 25 17" xfId="15683" xr:uid="{00000000-0005-0000-0000-0000123D0000}"/>
    <cellStyle name="Cálculo 25 18" xfId="15684" xr:uid="{00000000-0005-0000-0000-0000133D0000}"/>
    <cellStyle name="Cálculo 25 19" xfId="15685" xr:uid="{00000000-0005-0000-0000-0000143D0000}"/>
    <cellStyle name="Cálculo 25 2" xfId="15686" xr:uid="{00000000-0005-0000-0000-0000153D0000}"/>
    <cellStyle name="Cálculo 25 2 2" xfId="15687" xr:uid="{00000000-0005-0000-0000-0000163D0000}"/>
    <cellStyle name="Cálculo 25 3" xfId="15688" xr:uid="{00000000-0005-0000-0000-0000173D0000}"/>
    <cellStyle name="Cálculo 25 3 2" xfId="15689" xr:uid="{00000000-0005-0000-0000-0000183D0000}"/>
    <cellStyle name="Cálculo 25 4" xfId="15690" xr:uid="{00000000-0005-0000-0000-0000193D0000}"/>
    <cellStyle name="Cálculo 25 4 2" xfId="15691" xr:uid="{00000000-0005-0000-0000-00001A3D0000}"/>
    <cellStyle name="Cálculo 25 5" xfId="15692" xr:uid="{00000000-0005-0000-0000-00001B3D0000}"/>
    <cellStyle name="Cálculo 25 6" xfId="15693" xr:uid="{00000000-0005-0000-0000-00001C3D0000}"/>
    <cellStyle name="Cálculo 25 7" xfId="15694" xr:uid="{00000000-0005-0000-0000-00001D3D0000}"/>
    <cellStyle name="Cálculo 25 8" xfId="15695" xr:uid="{00000000-0005-0000-0000-00001E3D0000}"/>
    <cellStyle name="Cálculo 25 9" xfId="15696" xr:uid="{00000000-0005-0000-0000-00001F3D0000}"/>
    <cellStyle name="Cálculo 26 10" xfId="15697" xr:uid="{00000000-0005-0000-0000-0000203D0000}"/>
    <cellStyle name="Cálculo 26 11" xfId="15698" xr:uid="{00000000-0005-0000-0000-0000213D0000}"/>
    <cellStyle name="Cálculo 26 12" xfId="15699" xr:uid="{00000000-0005-0000-0000-0000223D0000}"/>
    <cellStyle name="Cálculo 26 13" xfId="15700" xr:uid="{00000000-0005-0000-0000-0000233D0000}"/>
    <cellStyle name="Cálculo 26 14" xfId="15701" xr:uid="{00000000-0005-0000-0000-0000243D0000}"/>
    <cellStyle name="Cálculo 26 15" xfId="15702" xr:uid="{00000000-0005-0000-0000-0000253D0000}"/>
    <cellStyle name="Cálculo 26 16" xfId="15703" xr:uid="{00000000-0005-0000-0000-0000263D0000}"/>
    <cellStyle name="Cálculo 26 17" xfId="15704" xr:uid="{00000000-0005-0000-0000-0000273D0000}"/>
    <cellStyle name="Cálculo 26 18" xfId="15705" xr:uid="{00000000-0005-0000-0000-0000283D0000}"/>
    <cellStyle name="Cálculo 26 19" xfId="15706" xr:uid="{00000000-0005-0000-0000-0000293D0000}"/>
    <cellStyle name="Cálculo 26 2" xfId="15707" xr:uid="{00000000-0005-0000-0000-00002A3D0000}"/>
    <cellStyle name="Cálculo 26 2 2" xfId="15708" xr:uid="{00000000-0005-0000-0000-00002B3D0000}"/>
    <cellStyle name="Cálculo 26 3" xfId="15709" xr:uid="{00000000-0005-0000-0000-00002C3D0000}"/>
    <cellStyle name="Cálculo 26 3 2" xfId="15710" xr:uid="{00000000-0005-0000-0000-00002D3D0000}"/>
    <cellStyle name="Cálculo 26 4" xfId="15711" xr:uid="{00000000-0005-0000-0000-00002E3D0000}"/>
    <cellStyle name="Cálculo 26 4 2" xfId="15712" xr:uid="{00000000-0005-0000-0000-00002F3D0000}"/>
    <cellStyle name="Cálculo 26 5" xfId="15713" xr:uid="{00000000-0005-0000-0000-0000303D0000}"/>
    <cellStyle name="Cálculo 26 6" xfId="15714" xr:uid="{00000000-0005-0000-0000-0000313D0000}"/>
    <cellStyle name="Cálculo 26 7" xfId="15715" xr:uid="{00000000-0005-0000-0000-0000323D0000}"/>
    <cellStyle name="Cálculo 26 8" xfId="15716" xr:uid="{00000000-0005-0000-0000-0000333D0000}"/>
    <cellStyle name="Cálculo 26 9" xfId="15717" xr:uid="{00000000-0005-0000-0000-0000343D0000}"/>
    <cellStyle name="Cálculo 27 10" xfId="15718" xr:uid="{00000000-0005-0000-0000-0000353D0000}"/>
    <cellStyle name="Cálculo 27 11" xfId="15719" xr:uid="{00000000-0005-0000-0000-0000363D0000}"/>
    <cellStyle name="Cálculo 27 12" xfId="15720" xr:uid="{00000000-0005-0000-0000-0000373D0000}"/>
    <cellStyle name="Cálculo 27 13" xfId="15721" xr:uid="{00000000-0005-0000-0000-0000383D0000}"/>
    <cellStyle name="Cálculo 27 14" xfId="15722" xr:uid="{00000000-0005-0000-0000-0000393D0000}"/>
    <cellStyle name="Cálculo 27 15" xfId="15723" xr:uid="{00000000-0005-0000-0000-00003A3D0000}"/>
    <cellStyle name="Cálculo 27 16" xfId="15724" xr:uid="{00000000-0005-0000-0000-00003B3D0000}"/>
    <cellStyle name="Cálculo 27 17" xfId="15725" xr:uid="{00000000-0005-0000-0000-00003C3D0000}"/>
    <cellStyle name="Cálculo 27 18" xfId="15726" xr:uid="{00000000-0005-0000-0000-00003D3D0000}"/>
    <cellStyle name="Cálculo 27 19" xfId="15727" xr:uid="{00000000-0005-0000-0000-00003E3D0000}"/>
    <cellStyle name="Cálculo 27 2" xfId="15728" xr:uid="{00000000-0005-0000-0000-00003F3D0000}"/>
    <cellStyle name="Cálculo 27 2 2" xfId="15729" xr:uid="{00000000-0005-0000-0000-0000403D0000}"/>
    <cellStyle name="Cálculo 27 3" xfId="15730" xr:uid="{00000000-0005-0000-0000-0000413D0000}"/>
    <cellStyle name="Cálculo 27 3 2" xfId="15731" xr:uid="{00000000-0005-0000-0000-0000423D0000}"/>
    <cellStyle name="Cálculo 27 4" xfId="15732" xr:uid="{00000000-0005-0000-0000-0000433D0000}"/>
    <cellStyle name="Cálculo 27 4 2" xfId="15733" xr:uid="{00000000-0005-0000-0000-0000443D0000}"/>
    <cellStyle name="Cálculo 27 5" xfId="15734" xr:uid="{00000000-0005-0000-0000-0000453D0000}"/>
    <cellStyle name="Cálculo 27 6" xfId="15735" xr:uid="{00000000-0005-0000-0000-0000463D0000}"/>
    <cellStyle name="Cálculo 27 7" xfId="15736" xr:uid="{00000000-0005-0000-0000-0000473D0000}"/>
    <cellStyle name="Cálculo 27 8" xfId="15737" xr:uid="{00000000-0005-0000-0000-0000483D0000}"/>
    <cellStyle name="Cálculo 27 9" xfId="15738" xr:uid="{00000000-0005-0000-0000-0000493D0000}"/>
    <cellStyle name="Cálculo 28 10" xfId="15739" xr:uid="{00000000-0005-0000-0000-00004A3D0000}"/>
    <cellStyle name="Cálculo 28 11" xfId="15740" xr:uid="{00000000-0005-0000-0000-00004B3D0000}"/>
    <cellStyle name="Cálculo 28 12" xfId="15741" xr:uid="{00000000-0005-0000-0000-00004C3D0000}"/>
    <cellStyle name="Cálculo 28 13" xfId="15742" xr:uid="{00000000-0005-0000-0000-00004D3D0000}"/>
    <cellStyle name="Cálculo 28 14" xfId="15743" xr:uid="{00000000-0005-0000-0000-00004E3D0000}"/>
    <cellStyle name="Cálculo 28 15" xfId="15744" xr:uid="{00000000-0005-0000-0000-00004F3D0000}"/>
    <cellStyle name="Cálculo 28 16" xfId="15745" xr:uid="{00000000-0005-0000-0000-0000503D0000}"/>
    <cellStyle name="Cálculo 28 17" xfId="15746" xr:uid="{00000000-0005-0000-0000-0000513D0000}"/>
    <cellStyle name="Cálculo 28 18" xfId="15747" xr:uid="{00000000-0005-0000-0000-0000523D0000}"/>
    <cellStyle name="Cálculo 28 19" xfId="15748" xr:uid="{00000000-0005-0000-0000-0000533D0000}"/>
    <cellStyle name="Cálculo 28 2" xfId="15749" xr:uid="{00000000-0005-0000-0000-0000543D0000}"/>
    <cellStyle name="Cálculo 28 2 2" xfId="15750" xr:uid="{00000000-0005-0000-0000-0000553D0000}"/>
    <cellStyle name="Cálculo 28 3" xfId="15751" xr:uid="{00000000-0005-0000-0000-0000563D0000}"/>
    <cellStyle name="Cálculo 28 3 2" xfId="15752" xr:uid="{00000000-0005-0000-0000-0000573D0000}"/>
    <cellStyle name="Cálculo 28 4" xfId="15753" xr:uid="{00000000-0005-0000-0000-0000583D0000}"/>
    <cellStyle name="Cálculo 28 4 2" xfId="15754" xr:uid="{00000000-0005-0000-0000-0000593D0000}"/>
    <cellStyle name="Cálculo 28 5" xfId="15755" xr:uid="{00000000-0005-0000-0000-00005A3D0000}"/>
    <cellStyle name="Cálculo 28 6" xfId="15756" xr:uid="{00000000-0005-0000-0000-00005B3D0000}"/>
    <cellStyle name="Cálculo 28 7" xfId="15757" xr:uid="{00000000-0005-0000-0000-00005C3D0000}"/>
    <cellStyle name="Cálculo 28 8" xfId="15758" xr:uid="{00000000-0005-0000-0000-00005D3D0000}"/>
    <cellStyle name="Cálculo 28 9" xfId="15759" xr:uid="{00000000-0005-0000-0000-00005E3D0000}"/>
    <cellStyle name="Cálculo 29 10" xfId="15760" xr:uid="{00000000-0005-0000-0000-00005F3D0000}"/>
    <cellStyle name="Cálculo 29 11" xfId="15761" xr:uid="{00000000-0005-0000-0000-0000603D0000}"/>
    <cellStyle name="Cálculo 29 12" xfId="15762" xr:uid="{00000000-0005-0000-0000-0000613D0000}"/>
    <cellStyle name="Cálculo 29 13" xfId="15763" xr:uid="{00000000-0005-0000-0000-0000623D0000}"/>
    <cellStyle name="Cálculo 29 14" xfId="15764" xr:uid="{00000000-0005-0000-0000-0000633D0000}"/>
    <cellStyle name="Cálculo 29 15" xfId="15765" xr:uid="{00000000-0005-0000-0000-0000643D0000}"/>
    <cellStyle name="Cálculo 29 16" xfId="15766" xr:uid="{00000000-0005-0000-0000-0000653D0000}"/>
    <cellStyle name="Cálculo 29 17" xfId="15767" xr:uid="{00000000-0005-0000-0000-0000663D0000}"/>
    <cellStyle name="Cálculo 29 18" xfId="15768" xr:uid="{00000000-0005-0000-0000-0000673D0000}"/>
    <cellStyle name="Cálculo 29 19" xfId="15769" xr:uid="{00000000-0005-0000-0000-0000683D0000}"/>
    <cellStyle name="Cálculo 29 2" xfId="15770" xr:uid="{00000000-0005-0000-0000-0000693D0000}"/>
    <cellStyle name="Cálculo 29 2 2" xfId="15771" xr:uid="{00000000-0005-0000-0000-00006A3D0000}"/>
    <cellStyle name="Cálculo 29 3" xfId="15772" xr:uid="{00000000-0005-0000-0000-00006B3D0000}"/>
    <cellStyle name="Cálculo 29 3 2" xfId="15773" xr:uid="{00000000-0005-0000-0000-00006C3D0000}"/>
    <cellStyle name="Cálculo 29 4" xfId="15774" xr:uid="{00000000-0005-0000-0000-00006D3D0000}"/>
    <cellStyle name="Cálculo 29 4 2" xfId="15775" xr:uid="{00000000-0005-0000-0000-00006E3D0000}"/>
    <cellStyle name="Cálculo 29 5" xfId="15776" xr:uid="{00000000-0005-0000-0000-00006F3D0000}"/>
    <cellStyle name="Cálculo 29 6" xfId="15777" xr:uid="{00000000-0005-0000-0000-0000703D0000}"/>
    <cellStyle name="Cálculo 29 7" xfId="15778" xr:uid="{00000000-0005-0000-0000-0000713D0000}"/>
    <cellStyle name="Cálculo 29 8" xfId="15779" xr:uid="{00000000-0005-0000-0000-0000723D0000}"/>
    <cellStyle name="Cálculo 29 9" xfId="15780" xr:uid="{00000000-0005-0000-0000-0000733D0000}"/>
    <cellStyle name="Cálculo 3 10" xfId="15781" xr:uid="{00000000-0005-0000-0000-0000743D0000}"/>
    <cellStyle name="Cálculo 3 11" xfId="15782" xr:uid="{00000000-0005-0000-0000-0000753D0000}"/>
    <cellStyle name="Cálculo 3 12" xfId="15783" xr:uid="{00000000-0005-0000-0000-0000763D0000}"/>
    <cellStyle name="Cálculo 3 13" xfId="15784" xr:uid="{00000000-0005-0000-0000-0000773D0000}"/>
    <cellStyle name="Cálculo 3 14" xfId="15785" xr:uid="{00000000-0005-0000-0000-0000783D0000}"/>
    <cellStyle name="Cálculo 3 15" xfId="15786" xr:uid="{00000000-0005-0000-0000-0000793D0000}"/>
    <cellStyle name="Cálculo 3 16" xfId="15787" xr:uid="{00000000-0005-0000-0000-00007A3D0000}"/>
    <cellStyle name="Cálculo 3 17" xfId="15788" xr:uid="{00000000-0005-0000-0000-00007B3D0000}"/>
    <cellStyle name="Cálculo 3 18" xfId="15789" xr:uid="{00000000-0005-0000-0000-00007C3D0000}"/>
    <cellStyle name="Cálculo 3 19" xfId="15790" xr:uid="{00000000-0005-0000-0000-00007D3D0000}"/>
    <cellStyle name="Cálculo 3 2" xfId="15791" xr:uid="{00000000-0005-0000-0000-00007E3D0000}"/>
    <cellStyle name="Cálculo 3 2 2" xfId="15792" xr:uid="{00000000-0005-0000-0000-00007F3D0000}"/>
    <cellStyle name="Cálculo 3 3" xfId="15793" xr:uid="{00000000-0005-0000-0000-0000803D0000}"/>
    <cellStyle name="Cálculo 3 3 2" xfId="15794" xr:uid="{00000000-0005-0000-0000-0000813D0000}"/>
    <cellStyle name="Cálculo 3 4" xfId="15795" xr:uid="{00000000-0005-0000-0000-0000823D0000}"/>
    <cellStyle name="Cálculo 3 4 2" xfId="15796" xr:uid="{00000000-0005-0000-0000-0000833D0000}"/>
    <cellStyle name="Cálculo 3 5" xfId="15797" xr:uid="{00000000-0005-0000-0000-0000843D0000}"/>
    <cellStyle name="Cálculo 3 6" xfId="15798" xr:uid="{00000000-0005-0000-0000-0000853D0000}"/>
    <cellStyle name="Cálculo 3 7" xfId="15799" xr:uid="{00000000-0005-0000-0000-0000863D0000}"/>
    <cellStyle name="Cálculo 3 8" xfId="15800" xr:uid="{00000000-0005-0000-0000-0000873D0000}"/>
    <cellStyle name="Cálculo 3 9" xfId="15801" xr:uid="{00000000-0005-0000-0000-0000883D0000}"/>
    <cellStyle name="Cálculo 30 10" xfId="15802" xr:uid="{00000000-0005-0000-0000-0000893D0000}"/>
    <cellStyle name="Cálculo 30 11" xfId="15803" xr:uid="{00000000-0005-0000-0000-00008A3D0000}"/>
    <cellStyle name="Cálculo 30 12" xfId="15804" xr:uid="{00000000-0005-0000-0000-00008B3D0000}"/>
    <cellStyle name="Cálculo 30 13" xfId="15805" xr:uid="{00000000-0005-0000-0000-00008C3D0000}"/>
    <cellStyle name="Cálculo 30 14" xfId="15806" xr:uid="{00000000-0005-0000-0000-00008D3D0000}"/>
    <cellStyle name="Cálculo 30 15" xfId="15807" xr:uid="{00000000-0005-0000-0000-00008E3D0000}"/>
    <cellStyle name="Cálculo 30 16" xfId="15808" xr:uid="{00000000-0005-0000-0000-00008F3D0000}"/>
    <cellStyle name="Cálculo 30 17" xfId="15809" xr:uid="{00000000-0005-0000-0000-0000903D0000}"/>
    <cellStyle name="Cálculo 30 18" xfId="15810" xr:uid="{00000000-0005-0000-0000-0000913D0000}"/>
    <cellStyle name="Cálculo 30 19" xfId="15811" xr:uid="{00000000-0005-0000-0000-0000923D0000}"/>
    <cellStyle name="Cálculo 30 2" xfId="15812" xr:uid="{00000000-0005-0000-0000-0000933D0000}"/>
    <cellStyle name="Cálculo 30 2 2" xfId="15813" xr:uid="{00000000-0005-0000-0000-0000943D0000}"/>
    <cellStyle name="Cálculo 30 3" xfId="15814" xr:uid="{00000000-0005-0000-0000-0000953D0000}"/>
    <cellStyle name="Cálculo 30 3 2" xfId="15815" xr:uid="{00000000-0005-0000-0000-0000963D0000}"/>
    <cellStyle name="Cálculo 30 4" xfId="15816" xr:uid="{00000000-0005-0000-0000-0000973D0000}"/>
    <cellStyle name="Cálculo 30 4 2" xfId="15817" xr:uid="{00000000-0005-0000-0000-0000983D0000}"/>
    <cellStyle name="Cálculo 30 5" xfId="15818" xr:uid="{00000000-0005-0000-0000-0000993D0000}"/>
    <cellStyle name="Cálculo 30 6" xfId="15819" xr:uid="{00000000-0005-0000-0000-00009A3D0000}"/>
    <cellStyle name="Cálculo 30 7" xfId="15820" xr:uid="{00000000-0005-0000-0000-00009B3D0000}"/>
    <cellStyle name="Cálculo 30 8" xfId="15821" xr:uid="{00000000-0005-0000-0000-00009C3D0000}"/>
    <cellStyle name="Cálculo 30 9" xfId="15822" xr:uid="{00000000-0005-0000-0000-00009D3D0000}"/>
    <cellStyle name="Cálculo 31 10" xfId="15823" xr:uid="{00000000-0005-0000-0000-00009E3D0000}"/>
    <cellStyle name="Cálculo 31 11" xfId="15824" xr:uid="{00000000-0005-0000-0000-00009F3D0000}"/>
    <cellStyle name="Cálculo 31 12" xfId="15825" xr:uid="{00000000-0005-0000-0000-0000A03D0000}"/>
    <cellStyle name="Cálculo 31 13" xfId="15826" xr:uid="{00000000-0005-0000-0000-0000A13D0000}"/>
    <cellStyle name="Cálculo 31 14" xfId="15827" xr:uid="{00000000-0005-0000-0000-0000A23D0000}"/>
    <cellStyle name="Cálculo 31 15" xfId="15828" xr:uid="{00000000-0005-0000-0000-0000A33D0000}"/>
    <cellStyle name="Cálculo 31 16" xfId="15829" xr:uid="{00000000-0005-0000-0000-0000A43D0000}"/>
    <cellStyle name="Cálculo 31 17" xfId="15830" xr:uid="{00000000-0005-0000-0000-0000A53D0000}"/>
    <cellStyle name="Cálculo 31 18" xfId="15831" xr:uid="{00000000-0005-0000-0000-0000A63D0000}"/>
    <cellStyle name="Cálculo 31 19" xfId="15832" xr:uid="{00000000-0005-0000-0000-0000A73D0000}"/>
    <cellStyle name="Cálculo 31 2" xfId="15833" xr:uid="{00000000-0005-0000-0000-0000A83D0000}"/>
    <cellStyle name="Cálculo 31 2 2" xfId="15834" xr:uid="{00000000-0005-0000-0000-0000A93D0000}"/>
    <cellStyle name="Cálculo 31 3" xfId="15835" xr:uid="{00000000-0005-0000-0000-0000AA3D0000}"/>
    <cellStyle name="Cálculo 31 3 2" xfId="15836" xr:uid="{00000000-0005-0000-0000-0000AB3D0000}"/>
    <cellStyle name="Cálculo 31 4" xfId="15837" xr:uid="{00000000-0005-0000-0000-0000AC3D0000}"/>
    <cellStyle name="Cálculo 31 4 2" xfId="15838" xr:uid="{00000000-0005-0000-0000-0000AD3D0000}"/>
    <cellStyle name="Cálculo 31 5" xfId="15839" xr:uid="{00000000-0005-0000-0000-0000AE3D0000}"/>
    <cellStyle name="Cálculo 31 6" xfId="15840" xr:uid="{00000000-0005-0000-0000-0000AF3D0000}"/>
    <cellStyle name="Cálculo 31 7" xfId="15841" xr:uid="{00000000-0005-0000-0000-0000B03D0000}"/>
    <cellStyle name="Cálculo 31 8" xfId="15842" xr:uid="{00000000-0005-0000-0000-0000B13D0000}"/>
    <cellStyle name="Cálculo 31 9" xfId="15843" xr:uid="{00000000-0005-0000-0000-0000B23D0000}"/>
    <cellStyle name="Cálculo 32 10" xfId="15844" xr:uid="{00000000-0005-0000-0000-0000B33D0000}"/>
    <cellStyle name="Cálculo 32 11" xfId="15845" xr:uid="{00000000-0005-0000-0000-0000B43D0000}"/>
    <cellStyle name="Cálculo 32 12" xfId="15846" xr:uid="{00000000-0005-0000-0000-0000B53D0000}"/>
    <cellStyle name="Cálculo 32 13" xfId="15847" xr:uid="{00000000-0005-0000-0000-0000B63D0000}"/>
    <cellStyle name="Cálculo 32 14" xfId="15848" xr:uid="{00000000-0005-0000-0000-0000B73D0000}"/>
    <cellStyle name="Cálculo 32 15" xfId="15849" xr:uid="{00000000-0005-0000-0000-0000B83D0000}"/>
    <cellStyle name="Cálculo 32 16" xfId="15850" xr:uid="{00000000-0005-0000-0000-0000B93D0000}"/>
    <cellStyle name="Cálculo 32 17" xfId="15851" xr:uid="{00000000-0005-0000-0000-0000BA3D0000}"/>
    <cellStyle name="Cálculo 32 18" xfId="15852" xr:uid="{00000000-0005-0000-0000-0000BB3D0000}"/>
    <cellStyle name="Cálculo 32 19" xfId="15853" xr:uid="{00000000-0005-0000-0000-0000BC3D0000}"/>
    <cellStyle name="Cálculo 32 2" xfId="15854" xr:uid="{00000000-0005-0000-0000-0000BD3D0000}"/>
    <cellStyle name="Cálculo 32 2 2" xfId="15855" xr:uid="{00000000-0005-0000-0000-0000BE3D0000}"/>
    <cellStyle name="Cálculo 32 3" xfId="15856" xr:uid="{00000000-0005-0000-0000-0000BF3D0000}"/>
    <cellStyle name="Cálculo 32 3 2" xfId="15857" xr:uid="{00000000-0005-0000-0000-0000C03D0000}"/>
    <cellStyle name="Cálculo 32 4" xfId="15858" xr:uid="{00000000-0005-0000-0000-0000C13D0000}"/>
    <cellStyle name="Cálculo 32 4 2" xfId="15859" xr:uid="{00000000-0005-0000-0000-0000C23D0000}"/>
    <cellStyle name="Cálculo 32 5" xfId="15860" xr:uid="{00000000-0005-0000-0000-0000C33D0000}"/>
    <cellStyle name="Cálculo 32 6" xfId="15861" xr:uid="{00000000-0005-0000-0000-0000C43D0000}"/>
    <cellStyle name="Cálculo 32 7" xfId="15862" xr:uid="{00000000-0005-0000-0000-0000C53D0000}"/>
    <cellStyle name="Cálculo 32 8" xfId="15863" xr:uid="{00000000-0005-0000-0000-0000C63D0000}"/>
    <cellStyle name="Cálculo 32 9" xfId="15864" xr:uid="{00000000-0005-0000-0000-0000C73D0000}"/>
    <cellStyle name="Cálculo 33 10" xfId="15865" xr:uid="{00000000-0005-0000-0000-0000C83D0000}"/>
    <cellStyle name="Cálculo 33 11" xfId="15866" xr:uid="{00000000-0005-0000-0000-0000C93D0000}"/>
    <cellStyle name="Cálculo 33 12" xfId="15867" xr:uid="{00000000-0005-0000-0000-0000CA3D0000}"/>
    <cellStyle name="Cálculo 33 13" xfId="15868" xr:uid="{00000000-0005-0000-0000-0000CB3D0000}"/>
    <cellStyle name="Cálculo 33 14" xfId="15869" xr:uid="{00000000-0005-0000-0000-0000CC3D0000}"/>
    <cellStyle name="Cálculo 33 15" xfId="15870" xr:uid="{00000000-0005-0000-0000-0000CD3D0000}"/>
    <cellStyle name="Cálculo 33 16" xfId="15871" xr:uid="{00000000-0005-0000-0000-0000CE3D0000}"/>
    <cellStyle name="Cálculo 33 17" xfId="15872" xr:uid="{00000000-0005-0000-0000-0000CF3D0000}"/>
    <cellStyle name="Cálculo 33 18" xfId="15873" xr:uid="{00000000-0005-0000-0000-0000D03D0000}"/>
    <cellStyle name="Cálculo 33 19" xfId="15874" xr:uid="{00000000-0005-0000-0000-0000D13D0000}"/>
    <cellStyle name="Cálculo 33 2" xfId="15875" xr:uid="{00000000-0005-0000-0000-0000D23D0000}"/>
    <cellStyle name="Cálculo 33 2 2" xfId="15876" xr:uid="{00000000-0005-0000-0000-0000D33D0000}"/>
    <cellStyle name="Cálculo 33 3" xfId="15877" xr:uid="{00000000-0005-0000-0000-0000D43D0000}"/>
    <cellStyle name="Cálculo 33 3 2" xfId="15878" xr:uid="{00000000-0005-0000-0000-0000D53D0000}"/>
    <cellStyle name="Cálculo 33 4" xfId="15879" xr:uid="{00000000-0005-0000-0000-0000D63D0000}"/>
    <cellStyle name="Cálculo 33 4 2" xfId="15880" xr:uid="{00000000-0005-0000-0000-0000D73D0000}"/>
    <cellStyle name="Cálculo 33 5" xfId="15881" xr:uid="{00000000-0005-0000-0000-0000D83D0000}"/>
    <cellStyle name="Cálculo 33 6" xfId="15882" xr:uid="{00000000-0005-0000-0000-0000D93D0000}"/>
    <cellStyle name="Cálculo 33 7" xfId="15883" xr:uid="{00000000-0005-0000-0000-0000DA3D0000}"/>
    <cellStyle name="Cálculo 33 8" xfId="15884" xr:uid="{00000000-0005-0000-0000-0000DB3D0000}"/>
    <cellStyle name="Cálculo 33 9" xfId="15885" xr:uid="{00000000-0005-0000-0000-0000DC3D0000}"/>
    <cellStyle name="Cálculo 34 10" xfId="15886" xr:uid="{00000000-0005-0000-0000-0000DD3D0000}"/>
    <cellStyle name="Cálculo 34 11" xfId="15887" xr:uid="{00000000-0005-0000-0000-0000DE3D0000}"/>
    <cellStyle name="Cálculo 34 12" xfId="15888" xr:uid="{00000000-0005-0000-0000-0000DF3D0000}"/>
    <cellStyle name="Cálculo 34 13" xfId="15889" xr:uid="{00000000-0005-0000-0000-0000E03D0000}"/>
    <cellStyle name="Cálculo 34 14" xfId="15890" xr:uid="{00000000-0005-0000-0000-0000E13D0000}"/>
    <cellStyle name="Cálculo 34 15" xfId="15891" xr:uid="{00000000-0005-0000-0000-0000E23D0000}"/>
    <cellStyle name="Cálculo 34 16" xfId="15892" xr:uid="{00000000-0005-0000-0000-0000E33D0000}"/>
    <cellStyle name="Cálculo 34 17" xfId="15893" xr:uid="{00000000-0005-0000-0000-0000E43D0000}"/>
    <cellStyle name="Cálculo 34 18" xfId="15894" xr:uid="{00000000-0005-0000-0000-0000E53D0000}"/>
    <cellStyle name="Cálculo 34 19" xfId="15895" xr:uid="{00000000-0005-0000-0000-0000E63D0000}"/>
    <cellStyle name="Cálculo 34 2" xfId="15896" xr:uid="{00000000-0005-0000-0000-0000E73D0000}"/>
    <cellStyle name="Cálculo 34 2 2" xfId="15897" xr:uid="{00000000-0005-0000-0000-0000E83D0000}"/>
    <cellStyle name="Cálculo 34 3" xfId="15898" xr:uid="{00000000-0005-0000-0000-0000E93D0000}"/>
    <cellStyle name="Cálculo 34 3 2" xfId="15899" xr:uid="{00000000-0005-0000-0000-0000EA3D0000}"/>
    <cellStyle name="Cálculo 34 4" xfId="15900" xr:uid="{00000000-0005-0000-0000-0000EB3D0000}"/>
    <cellStyle name="Cálculo 34 4 2" xfId="15901" xr:uid="{00000000-0005-0000-0000-0000EC3D0000}"/>
    <cellStyle name="Cálculo 34 5" xfId="15902" xr:uid="{00000000-0005-0000-0000-0000ED3D0000}"/>
    <cellStyle name="Cálculo 34 6" xfId="15903" xr:uid="{00000000-0005-0000-0000-0000EE3D0000}"/>
    <cellStyle name="Cálculo 34 7" xfId="15904" xr:uid="{00000000-0005-0000-0000-0000EF3D0000}"/>
    <cellStyle name="Cálculo 34 8" xfId="15905" xr:uid="{00000000-0005-0000-0000-0000F03D0000}"/>
    <cellStyle name="Cálculo 34 9" xfId="15906" xr:uid="{00000000-0005-0000-0000-0000F13D0000}"/>
    <cellStyle name="Cálculo 35 10" xfId="15907" xr:uid="{00000000-0005-0000-0000-0000F23D0000}"/>
    <cellStyle name="Cálculo 35 11" xfId="15908" xr:uid="{00000000-0005-0000-0000-0000F33D0000}"/>
    <cellStyle name="Cálculo 35 12" xfId="15909" xr:uid="{00000000-0005-0000-0000-0000F43D0000}"/>
    <cellStyle name="Cálculo 35 13" xfId="15910" xr:uid="{00000000-0005-0000-0000-0000F53D0000}"/>
    <cellStyle name="Cálculo 35 14" xfId="15911" xr:uid="{00000000-0005-0000-0000-0000F63D0000}"/>
    <cellStyle name="Cálculo 35 15" xfId="15912" xr:uid="{00000000-0005-0000-0000-0000F73D0000}"/>
    <cellStyle name="Cálculo 35 16" xfId="15913" xr:uid="{00000000-0005-0000-0000-0000F83D0000}"/>
    <cellStyle name="Cálculo 35 17" xfId="15914" xr:uid="{00000000-0005-0000-0000-0000F93D0000}"/>
    <cellStyle name="Cálculo 35 18" xfId="15915" xr:uid="{00000000-0005-0000-0000-0000FA3D0000}"/>
    <cellStyle name="Cálculo 35 19" xfId="15916" xr:uid="{00000000-0005-0000-0000-0000FB3D0000}"/>
    <cellStyle name="Cálculo 35 2" xfId="15917" xr:uid="{00000000-0005-0000-0000-0000FC3D0000}"/>
    <cellStyle name="Cálculo 35 2 2" xfId="15918" xr:uid="{00000000-0005-0000-0000-0000FD3D0000}"/>
    <cellStyle name="Cálculo 35 3" xfId="15919" xr:uid="{00000000-0005-0000-0000-0000FE3D0000}"/>
    <cellStyle name="Cálculo 35 3 2" xfId="15920" xr:uid="{00000000-0005-0000-0000-0000FF3D0000}"/>
    <cellStyle name="Cálculo 35 4" xfId="15921" xr:uid="{00000000-0005-0000-0000-0000003E0000}"/>
    <cellStyle name="Cálculo 35 4 2" xfId="15922" xr:uid="{00000000-0005-0000-0000-0000013E0000}"/>
    <cellStyle name="Cálculo 35 5" xfId="15923" xr:uid="{00000000-0005-0000-0000-0000023E0000}"/>
    <cellStyle name="Cálculo 35 6" xfId="15924" xr:uid="{00000000-0005-0000-0000-0000033E0000}"/>
    <cellStyle name="Cálculo 35 7" xfId="15925" xr:uid="{00000000-0005-0000-0000-0000043E0000}"/>
    <cellStyle name="Cálculo 35 8" xfId="15926" xr:uid="{00000000-0005-0000-0000-0000053E0000}"/>
    <cellStyle name="Cálculo 35 9" xfId="15927" xr:uid="{00000000-0005-0000-0000-0000063E0000}"/>
    <cellStyle name="Cálculo 36 10" xfId="15928" xr:uid="{00000000-0005-0000-0000-0000073E0000}"/>
    <cellStyle name="Cálculo 36 11" xfId="15929" xr:uid="{00000000-0005-0000-0000-0000083E0000}"/>
    <cellStyle name="Cálculo 36 12" xfId="15930" xr:uid="{00000000-0005-0000-0000-0000093E0000}"/>
    <cellStyle name="Cálculo 36 13" xfId="15931" xr:uid="{00000000-0005-0000-0000-00000A3E0000}"/>
    <cellStyle name="Cálculo 36 14" xfId="15932" xr:uid="{00000000-0005-0000-0000-00000B3E0000}"/>
    <cellStyle name="Cálculo 36 15" xfId="15933" xr:uid="{00000000-0005-0000-0000-00000C3E0000}"/>
    <cellStyle name="Cálculo 36 16" xfId="15934" xr:uid="{00000000-0005-0000-0000-00000D3E0000}"/>
    <cellStyle name="Cálculo 36 17" xfId="15935" xr:uid="{00000000-0005-0000-0000-00000E3E0000}"/>
    <cellStyle name="Cálculo 36 18" xfId="15936" xr:uid="{00000000-0005-0000-0000-00000F3E0000}"/>
    <cellStyle name="Cálculo 36 19" xfId="15937" xr:uid="{00000000-0005-0000-0000-0000103E0000}"/>
    <cellStyle name="Cálculo 36 2" xfId="15938" xr:uid="{00000000-0005-0000-0000-0000113E0000}"/>
    <cellStyle name="Cálculo 36 2 2" xfId="15939" xr:uid="{00000000-0005-0000-0000-0000123E0000}"/>
    <cellStyle name="Cálculo 36 3" xfId="15940" xr:uid="{00000000-0005-0000-0000-0000133E0000}"/>
    <cellStyle name="Cálculo 36 3 2" xfId="15941" xr:uid="{00000000-0005-0000-0000-0000143E0000}"/>
    <cellStyle name="Cálculo 36 4" xfId="15942" xr:uid="{00000000-0005-0000-0000-0000153E0000}"/>
    <cellStyle name="Cálculo 36 4 2" xfId="15943" xr:uid="{00000000-0005-0000-0000-0000163E0000}"/>
    <cellStyle name="Cálculo 36 5" xfId="15944" xr:uid="{00000000-0005-0000-0000-0000173E0000}"/>
    <cellStyle name="Cálculo 36 6" xfId="15945" xr:uid="{00000000-0005-0000-0000-0000183E0000}"/>
    <cellStyle name="Cálculo 36 7" xfId="15946" xr:uid="{00000000-0005-0000-0000-0000193E0000}"/>
    <cellStyle name="Cálculo 36 8" xfId="15947" xr:uid="{00000000-0005-0000-0000-00001A3E0000}"/>
    <cellStyle name="Cálculo 36 9" xfId="15948" xr:uid="{00000000-0005-0000-0000-00001B3E0000}"/>
    <cellStyle name="Cálculo 37 10" xfId="15949" xr:uid="{00000000-0005-0000-0000-00001C3E0000}"/>
    <cellStyle name="Cálculo 37 11" xfId="15950" xr:uid="{00000000-0005-0000-0000-00001D3E0000}"/>
    <cellStyle name="Cálculo 37 12" xfId="15951" xr:uid="{00000000-0005-0000-0000-00001E3E0000}"/>
    <cellStyle name="Cálculo 37 13" xfId="15952" xr:uid="{00000000-0005-0000-0000-00001F3E0000}"/>
    <cellStyle name="Cálculo 37 14" xfId="15953" xr:uid="{00000000-0005-0000-0000-0000203E0000}"/>
    <cellStyle name="Cálculo 37 15" xfId="15954" xr:uid="{00000000-0005-0000-0000-0000213E0000}"/>
    <cellStyle name="Cálculo 37 16" xfId="15955" xr:uid="{00000000-0005-0000-0000-0000223E0000}"/>
    <cellStyle name="Cálculo 37 17" xfId="15956" xr:uid="{00000000-0005-0000-0000-0000233E0000}"/>
    <cellStyle name="Cálculo 37 18" xfId="15957" xr:uid="{00000000-0005-0000-0000-0000243E0000}"/>
    <cellStyle name="Cálculo 37 19" xfId="15958" xr:uid="{00000000-0005-0000-0000-0000253E0000}"/>
    <cellStyle name="Cálculo 37 2" xfId="15959" xr:uid="{00000000-0005-0000-0000-0000263E0000}"/>
    <cellStyle name="Cálculo 37 2 2" xfId="15960" xr:uid="{00000000-0005-0000-0000-0000273E0000}"/>
    <cellStyle name="Cálculo 37 3" xfId="15961" xr:uid="{00000000-0005-0000-0000-0000283E0000}"/>
    <cellStyle name="Cálculo 37 3 2" xfId="15962" xr:uid="{00000000-0005-0000-0000-0000293E0000}"/>
    <cellStyle name="Cálculo 37 4" xfId="15963" xr:uid="{00000000-0005-0000-0000-00002A3E0000}"/>
    <cellStyle name="Cálculo 37 4 2" xfId="15964" xr:uid="{00000000-0005-0000-0000-00002B3E0000}"/>
    <cellStyle name="Cálculo 37 5" xfId="15965" xr:uid="{00000000-0005-0000-0000-00002C3E0000}"/>
    <cellStyle name="Cálculo 37 6" xfId="15966" xr:uid="{00000000-0005-0000-0000-00002D3E0000}"/>
    <cellStyle name="Cálculo 37 7" xfId="15967" xr:uid="{00000000-0005-0000-0000-00002E3E0000}"/>
    <cellStyle name="Cálculo 37 8" xfId="15968" xr:uid="{00000000-0005-0000-0000-00002F3E0000}"/>
    <cellStyle name="Cálculo 37 9" xfId="15969" xr:uid="{00000000-0005-0000-0000-0000303E0000}"/>
    <cellStyle name="Cálculo 38 10" xfId="15970" xr:uid="{00000000-0005-0000-0000-0000313E0000}"/>
    <cellStyle name="Cálculo 38 11" xfId="15971" xr:uid="{00000000-0005-0000-0000-0000323E0000}"/>
    <cellStyle name="Cálculo 38 12" xfId="15972" xr:uid="{00000000-0005-0000-0000-0000333E0000}"/>
    <cellStyle name="Cálculo 38 13" xfId="15973" xr:uid="{00000000-0005-0000-0000-0000343E0000}"/>
    <cellStyle name="Cálculo 38 14" xfId="15974" xr:uid="{00000000-0005-0000-0000-0000353E0000}"/>
    <cellStyle name="Cálculo 38 15" xfId="15975" xr:uid="{00000000-0005-0000-0000-0000363E0000}"/>
    <cellStyle name="Cálculo 38 16" xfId="15976" xr:uid="{00000000-0005-0000-0000-0000373E0000}"/>
    <cellStyle name="Cálculo 38 17" xfId="15977" xr:uid="{00000000-0005-0000-0000-0000383E0000}"/>
    <cellStyle name="Cálculo 38 18" xfId="15978" xr:uid="{00000000-0005-0000-0000-0000393E0000}"/>
    <cellStyle name="Cálculo 38 19" xfId="15979" xr:uid="{00000000-0005-0000-0000-00003A3E0000}"/>
    <cellStyle name="Cálculo 38 2" xfId="15980" xr:uid="{00000000-0005-0000-0000-00003B3E0000}"/>
    <cellStyle name="Cálculo 38 2 2" xfId="15981" xr:uid="{00000000-0005-0000-0000-00003C3E0000}"/>
    <cellStyle name="Cálculo 38 3" xfId="15982" xr:uid="{00000000-0005-0000-0000-00003D3E0000}"/>
    <cellStyle name="Cálculo 38 3 2" xfId="15983" xr:uid="{00000000-0005-0000-0000-00003E3E0000}"/>
    <cellStyle name="Cálculo 38 4" xfId="15984" xr:uid="{00000000-0005-0000-0000-00003F3E0000}"/>
    <cellStyle name="Cálculo 38 4 2" xfId="15985" xr:uid="{00000000-0005-0000-0000-0000403E0000}"/>
    <cellStyle name="Cálculo 38 5" xfId="15986" xr:uid="{00000000-0005-0000-0000-0000413E0000}"/>
    <cellStyle name="Cálculo 38 6" xfId="15987" xr:uid="{00000000-0005-0000-0000-0000423E0000}"/>
    <cellStyle name="Cálculo 38 7" xfId="15988" xr:uid="{00000000-0005-0000-0000-0000433E0000}"/>
    <cellStyle name="Cálculo 38 8" xfId="15989" xr:uid="{00000000-0005-0000-0000-0000443E0000}"/>
    <cellStyle name="Cálculo 38 9" xfId="15990" xr:uid="{00000000-0005-0000-0000-0000453E0000}"/>
    <cellStyle name="Cálculo 39" xfId="15991" xr:uid="{00000000-0005-0000-0000-0000463E0000}"/>
    <cellStyle name="Cálculo 39 10" xfId="15992" xr:uid="{00000000-0005-0000-0000-0000473E0000}"/>
    <cellStyle name="Cálculo 39 11" xfId="15993" xr:uid="{00000000-0005-0000-0000-0000483E0000}"/>
    <cellStyle name="Cálculo 39 12" xfId="15994" xr:uid="{00000000-0005-0000-0000-0000493E0000}"/>
    <cellStyle name="Cálculo 39 13" xfId="15995" xr:uid="{00000000-0005-0000-0000-00004A3E0000}"/>
    <cellStyle name="Cálculo 39 14" xfId="15996" xr:uid="{00000000-0005-0000-0000-00004B3E0000}"/>
    <cellStyle name="Cálculo 39 15" xfId="15997" xr:uid="{00000000-0005-0000-0000-00004C3E0000}"/>
    <cellStyle name="Cálculo 39 16" xfId="15998" xr:uid="{00000000-0005-0000-0000-00004D3E0000}"/>
    <cellStyle name="Cálculo 39 2" xfId="15999" xr:uid="{00000000-0005-0000-0000-00004E3E0000}"/>
    <cellStyle name="Cálculo 39 3" xfId="16000" xr:uid="{00000000-0005-0000-0000-00004F3E0000}"/>
    <cellStyle name="Cálculo 39 4" xfId="16001" xr:uid="{00000000-0005-0000-0000-0000503E0000}"/>
    <cellStyle name="Cálculo 39 5" xfId="16002" xr:uid="{00000000-0005-0000-0000-0000513E0000}"/>
    <cellStyle name="Cálculo 39 6" xfId="16003" xr:uid="{00000000-0005-0000-0000-0000523E0000}"/>
    <cellStyle name="Cálculo 39 7" xfId="16004" xr:uid="{00000000-0005-0000-0000-0000533E0000}"/>
    <cellStyle name="Cálculo 39 8" xfId="16005" xr:uid="{00000000-0005-0000-0000-0000543E0000}"/>
    <cellStyle name="Cálculo 39 9" xfId="16006" xr:uid="{00000000-0005-0000-0000-0000553E0000}"/>
    <cellStyle name="Cálculo 4 10" xfId="16007" xr:uid="{00000000-0005-0000-0000-0000563E0000}"/>
    <cellStyle name="Cálculo 4 11" xfId="16008" xr:uid="{00000000-0005-0000-0000-0000573E0000}"/>
    <cellStyle name="Cálculo 4 12" xfId="16009" xr:uid="{00000000-0005-0000-0000-0000583E0000}"/>
    <cellStyle name="Cálculo 4 13" xfId="16010" xr:uid="{00000000-0005-0000-0000-0000593E0000}"/>
    <cellStyle name="Cálculo 4 14" xfId="16011" xr:uid="{00000000-0005-0000-0000-00005A3E0000}"/>
    <cellStyle name="Cálculo 4 15" xfId="16012" xr:uid="{00000000-0005-0000-0000-00005B3E0000}"/>
    <cellStyle name="Cálculo 4 16" xfId="16013" xr:uid="{00000000-0005-0000-0000-00005C3E0000}"/>
    <cellStyle name="Cálculo 4 17" xfId="16014" xr:uid="{00000000-0005-0000-0000-00005D3E0000}"/>
    <cellStyle name="Cálculo 4 18" xfId="16015" xr:uid="{00000000-0005-0000-0000-00005E3E0000}"/>
    <cellStyle name="Cálculo 4 19" xfId="16016" xr:uid="{00000000-0005-0000-0000-00005F3E0000}"/>
    <cellStyle name="Cálculo 4 2" xfId="16017" xr:uid="{00000000-0005-0000-0000-0000603E0000}"/>
    <cellStyle name="Cálculo 4 2 2" xfId="16018" xr:uid="{00000000-0005-0000-0000-0000613E0000}"/>
    <cellStyle name="Cálculo 4 3" xfId="16019" xr:uid="{00000000-0005-0000-0000-0000623E0000}"/>
    <cellStyle name="Cálculo 4 3 2" xfId="16020" xr:uid="{00000000-0005-0000-0000-0000633E0000}"/>
    <cellStyle name="Cálculo 4 4" xfId="16021" xr:uid="{00000000-0005-0000-0000-0000643E0000}"/>
    <cellStyle name="Cálculo 4 4 2" xfId="16022" xr:uid="{00000000-0005-0000-0000-0000653E0000}"/>
    <cellStyle name="Cálculo 4 5" xfId="16023" xr:uid="{00000000-0005-0000-0000-0000663E0000}"/>
    <cellStyle name="Cálculo 4 6" xfId="16024" xr:uid="{00000000-0005-0000-0000-0000673E0000}"/>
    <cellStyle name="Cálculo 4 7" xfId="16025" xr:uid="{00000000-0005-0000-0000-0000683E0000}"/>
    <cellStyle name="Cálculo 4 8" xfId="16026" xr:uid="{00000000-0005-0000-0000-0000693E0000}"/>
    <cellStyle name="Cálculo 4 9" xfId="16027" xr:uid="{00000000-0005-0000-0000-00006A3E0000}"/>
    <cellStyle name="Cálculo 40" xfId="16028" xr:uid="{00000000-0005-0000-0000-00006B3E0000}"/>
    <cellStyle name="Cálculo 40 10" xfId="16029" xr:uid="{00000000-0005-0000-0000-00006C3E0000}"/>
    <cellStyle name="Cálculo 40 11" xfId="16030" xr:uid="{00000000-0005-0000-0000-00006D3E0000}"/>
    <cellStyle name="Cálculo 40 12" xfId="16031" xr:uid="{00000000-0005-0000-0000-00006E3E0000}"/>
    <cellStyle name="Cálculo 40 13" xfId="16032" xr:uid="{00000000-0005-0000-0000-00006F3E0000}"/>
    <cellStyle name="Cálculo 40 14" xfId="16033" xr:uid="{00000000-0005-0000-0000-0000703E0000}"/>
    <cellStyle name="Cálculo 40 15" xfId="16034" xr:uid="{00000000-0005-0000-0000-0000713E0000}"/>
    <cellStyle name="Cálculo 40 16" xfId="16035" xr:uid="{00000000-0005-0000-0000-0000723E0000}"/>
    <cellStyle name="Cálculo 40 2" xfId="16036" xr:uid="{00000000-0005-0000-0000-0000733E0000}"/>
    <cellStyle name="Cálculo 40 3" xfId="16037" xr:uid="{00000000-0005-0000-0000-0000743E0000}"/>
    <cellStyle name="Cálculo 40 4" xfId="16038" xr:uid="{00000000-0005-0000-0000-0000753E0000}"/>
    <cellStyle name="Cálculo 40 5" xfId="16039" xr:uid="{00000000-0005-0000-0000-0000763E0000}"/>
    <cellStyle name="Cálculo 40 6" xfId="16040" xr:uid="{00000000-0005-0000-0000-0000773E0000}"/>
    <cellStyle name="Cálculo 40 7" xfId="16041" xr:uid="{00000000-0005-0000-0000-0000783E0000}"/>
    <cellStyle name="Cálculo 40 8" xfId="16042" xr:uid="{00000000-0005-0000-0000-0000793E0000}"/>
    <cellStyle name="Cálculo 40 9" xfId="16043" xr:uid="{00000000-0005-0000-0000-00007A3E0000}"/>
    <cellStyle name="Cálculo 41" xfId="16044" xr:uid="{00000000-0005-0000-0000-00007B3E0000}"/>
    <cellStyle name="Cálculo 41 10" xfId="16045" xr:uid="{00000000-0005-0000-0000-00007C3E0000}"/>
    <cellStyle name="Cálculo 41 11" xfId="16046" xr:uid="{00000000-0005-0000-0000-00007D3E0000}"/>
    <cellStyle name="Cálculo 41 12" xfId="16047" xr:uid="{00000000-0005-0000-0000-00007E3E0000}"/>
    <cellStyle name="Cálculo 41 13" xfId="16048" xr:uid="{00000000-0005-0000-0000-00007F3E0000}"/>
    <cellStyle name="Cálculo 41 14" xfId="16049" xr:uid="{00000000-0005-0000-0000-0000803E0000}"/>
    <cellStyle name="Cálculo 41 15" xfId="16050" xr:uid="{00000000-0005-0000-0000-0000813E0000}"/>
    <cellStyle name="Cálculo 41 16" xfId="16051" xr:uid="{00000000-0005-0000-0000-0000823E0000}"/>
    <cellStyle name="Cálculo 41 2" xfId="16052" xr:uid="{00000000-0005-0000-0000-0000833E0000}"/>
    <cellStyle name="Cálculo 41 3" xfId="16053" xr:uid="{00000000-0005-0000-0000-0000843E0000}"/>
    <cellStyle name="Cálculo 41 4" xfId="16054" xr:uid="{00000000-0005-0000-0000-0000853E0000}"/>
    <cellStyle name="Cálculo 41 5" xfId="16055" xr:uid="{00000000-0005-0000-0000-0000863E0000}"/>
    <cellStyle name="Cálculo 41 6" xfId="16056" xr:uid="{00000000-0005-0000-0000-0000873E0000}"/>
    <cellStyle name="Cálculo 41 7" xfId="16057" xr:uid="{00000000-0005-0000-0000-0000883E0000}"/>
    <cellStyle name="Cálculo 41 8" xfId="16058" xr:uid="{00000000-0005-0000-0000-0000893E0000}"/>
    <cellStyle name="Cálculo 41 9" xfId="16059" xr:uid="{00000000-0005-0000-0000-00008A3E0000}"/>
    <cellStyle name="Cálculo 42" xfId="16060" xr:uid="{00000000-0005-0000-0000-00008B3E0000}"/>
    <cellStyle name="Cálculo 43" xfId="16061" xr:uid="{00000000-0005-0000-0000-00008C3E0000}"/>
    <cellStyle name="Cálculo 44" xfId="16062" xr:uid="{00000000-0005-0000-0000-00008D3E0000}"/>
    <cellStyle name="Cálculo 45" xfId="16063" xr:uid="{00000000-0005-0000-0000-00008E3E0000}"/>
    <cellStyle name="Cálculo 46" xfId="16064" xr:uid="{00000000-0005-0000-0000-00008F3E0000}"/>
    <cellStyle name="Cálculo 47" xfId="16065" xr:uid="{00000000-0005-0000-0000-0000903E0000}"/>
    <cellStyle name="Cálculo 48" xfId="16066" xr:uid="{00000000-0005-0000-0000-0000913E0000}"/>
    <cellStyle name="Cálculo 49" xfId="16067" xr:uid="{00000000-0005-0000-0000-0000923E0000}"/>
    <cellStyle name="Cálculo 5 10" xfId="16068" xr:uid="{00000000-0005-0000-0000-0000933E0000}"/>
    <cellStyle name="Cálculo 5 11" xfId="16069" xr:uid="{00000000-0005-0000-0000-0000943E0000}"/>
    <cellStyle name="Cálculo 5 12" xfId="16070" xr:uid="{00000000-0005-0000-0000-0000953E0000}"/>
    <cellStyle name="Cálculo 5 13" xfId="16071" xr:uid="{00000000-0005-0000-0000-0000963E0000}"/>
    <cellStyle name="Cálculo 5 14" xfId="16072" xr:uid="{00000000-0005-0000-0000-0000973E0000}"/>
    <cellStyle name="Cálculo 5 15" xfId="16073" xr:uid="{00000000-0005-0000-0000-0000983E0000}"/>
    <cellStyle name="Cálculo 5 16" xfId="16074" xr:uid="{00000000-0005-0000-0000-0000993E0000}"/>
    <cellStyle name="Cálculo 5 17" xfId="16075" xr:uid="{00000000-0005-0000-0000-00009A3E0000}"/>
    <cellStyle name="Cálculo 5 18" xfId="16076" xr:uid="{00000000-0005-0000-0000-00009B3E0000}"/>
    <cellStyle name="Cálculo 5 19" xfId="16077" xr:uid="{00000000-0005-0000-0000-00009C3E0000}"/>
    <cellStyle name="Cálculo 5 2" xfId="16078" xr:uid="{00000000-0005-0000-0000-00009D3E0000}"/>
    <cellStyle name="Cálculo 5 2 2" xfId="16079" xr:uid="{00000000-0005-0000-0000-00009E3E0000}"/>
    <cellStyle name="Cálculo 5 3" xfId="16080" xr:uid="{00000000-0005-0000-0000-00009F3E0000}"/>
    <cellStyle name="Cálculo 5 3 2" xfId="16081" xr:uid="{00000000-0005-0000-0000-0000A03E0000}"/>
    <cellStyle name="Cálculo 5 4" xfId="16082" xr:uid="{00000000-0005-0000-0000-0000A13E0000}"/>
    <cellStyle name="Cálculo 5 4 2" xfId="16083" xr:uid="{00000000-0005-0000-0000-0000A23E0000}"/>
    <cellStyle name="Cálculo 5 5" xfId="16084" xr:uid="{00000000-0005-0000-0000-0000A33E0000}"/>
    <cellStyle name="Cálculo 5 6" xfId="16085" xr:uid="{00000000-0005-0000-0000-0000A43E0000}"/>
    <cellStyle name="Cálculo 5 7" xfId="16086" xr:uid="{00000000-0005-0000-0000-0000A53E0000}"/>
    <cellStyle name="Cálculo 5 8" xfId="16087" xr:uid="{00000000-0005-0000-0000-0000A63E0000}"/>
    <cellStyle name="Cálculo 5 9" xfId="16088" xr:uid="{00000000-0005-0000-0000-0000A73E0000}"/>
    <cellStyle name="Cálculo 50" xfId="16089" xr:uid="{00000000-0005-0000-0000-0000A83E0000}"/>
    <cellStyle name="Cálculo 51" xfId="16090" xr:uid="{00000000-0005-0000-0000-0000A93E0000}"/>
    <cellStyle name="Cálculo 52" xfId="16091" xr:uid="{00000000-0005-0000-0000-0000AA3E0000}"/>
    <cellStyle name="Cálculo 53" xfId="16092" xr:uid="{00000000-0005-0000-0000-0000AB3E0000}"/>
    <cellStyle name="Cálculo 54" xfId="16093" xr:uid="{00000000-0005-0000-0000-0000AC3E0000}"/>
    <cellStyle name="Cálculo 55" xfId="16094" xr:uid="{00000000-0005-0000-0000-0000AD3E0000}"/>
    <cellStyle name="Cálculo 56" xfId="16095" xr:uid="{00000000-0005-0000-0000-0000AE3E0000}"/>
    <cellStyle name="Cálculo 57" xfId="16096" xr:uid="{00000000-0005-0000-0000-0000AF3E0000}"/>
    <cellStyle name="Cálculo 58" xfId="16097" xr:uid="{00000000-0005-0000-0000-0000B03E0000}"/>
    <cellStyle name="Cálculo 59" xfId="16098" xr:uid="{00000000-0005-0000-0000-0000B13E0000}"/>
    <cellStyle name="Cálculo 6 10" xfId="16099" xr:uid="{00000000-0005-0000-0000-0000B23E0000}"/>
    <cellStyle name="Cálculo 6 11" xfId="16100" xr:uid="{00000000-0005-0000-0000-0000B33E0000}"/>
    <cellStyle name="Cálculo 6 12" xfId="16101" xr:uid="{00000000-0005-0000-0000-0000B43E0000}"/>
    <cellStyle name="Cálculo 6 13" xfId="16102" xr:uid="{00000000-0005-0000-0000-0000B53E0000}"/>
    <cellStyle name="Cálculo 6 14" xfId="16103" xr:uid="{00000000-0005-0000-0000-0000B63E0000}"/>
    <cellStyle name="Cálculo 6 15" xfId="16104" xr:uid="{00000000-0005-0000-0000-0000B73E0000}"/>
    <cellStyle name="Cálculo 6 16" xfId="16105" xr:uid="{00000000-0005-0000-0000-0000B83E0000}"/>
    <cellStyle name="Cálculo 6 17" xfId="16106" xr:uid="{00000000-0005-0000-0000-0000B93E0000}"/>
    <cellStyle name="Cálculo 6 18" xfId="16107" xr:uid="{00000000-0005-0000-0000-0000BA3E0000}"/>
    <cellStyle name="Cálculo 6 19" xfId="16108" xr:uid="{00000000-0005-0000-0000-0000BB3E0000}"/>
    <cellStyle name="Cálculo 6 2" xfId="16109" xr:uid="{00000000-0005-0000-0000-0000BC3E0000}"/>
    <cellStyle name="Cálculo 6 2 2" xfId="16110" xr:uid="{00000000-0005-0000-0000-0000BD3E0000}"/>
    <cellStyle name="Cálculo 6 3" xfId="16111" xr:uid="{00000000-0005-0000-0000-0000BE3E0000}"/>
    <cellStyle name="Cálculo 6 3 2" xfId="16112" xr:uid="{00000000-0005-0000-0000-0000BF3E0000}"/>
    <cellStyle name="Cálculo 6 4" xfId="16113" xr:uid="{00000000-0005-0000-0000-0000C03E0000}"/>
    <cellStyle name="Cálculo 6 4 2" xfId="16114" xr:uid="{00000000-0005-0000-0000-0000C13E0000}"/>
    <cellStyle name="Cálculo 6 5" xfId="16115" xr:uid="{00000000-0005-0000-0000-0000C23E0000}"/>
    <cellStyle name="Cálculo 6 6" xfId="16116" xr:uid="{00000000-0005-0000-0000-0000C33E0000}"/>
    <cellStyle name="Cálculo 6 7" xfId="16117" xr:uid="{00000000-0005-0000-0000-0000C43E0000}"/>
    <cellStyle name="Cálculo 6 8" xfId="16118" xr:uid="{00000000-0005-0000-0000-0000C53E0000}"/>
    <cellStyle name="Cálculo 6 9" xfId="16119" xr:uid="{00000000-0005-0000-0000-0000C63E0000}"/>
    <cellStyle name="Cálculo 60" xfId="16120" xr:uid="{00000000-0005-0000-0000-0000C73E0000}"/>
    <cellStyle name="Cálculo 61" xfId="16121" xr:uid="{00000000-0005-0000-0000-0000C83E0000}"/>
    <cellStyle name="Cálculo 62" xfId="16122" xr:uid="{00000000-0005-0000-0000-0000C93E0000}"/>
    <cellStyle name="Cálculo 63" xfId="16123" xr:uid="{00000000-0005-0000-0000-0000CA3E0000}"/>
    <cellStyle name="Cálculo 64" xfId="16124" xr:uid="{00000000-0005-0000-0000-0000CB3E0000}"/>
    <cellStyle name="Cálculo 7 10" xfId="16125" xr:uid="{00000000-0005-0000-0000-0000CC3E0000}"/>
    <cellStyle name="Cálculo 7 11" xfId="16126" xr:uid="{00000000-0005-0000-0000-0000CD3E0000}"/>
    <cellStyle name="Cálculo 7 12" xfId="16127" xr:uid="{00000000-0005-0000-0000-0000CE3E0000}"/>
    <cellStyle name="Cálculo 7 13" xfId="16128" xr:uid="{00000000-0005-0000-0000-0000CF3E0000}"/>
    <cellStyle name="Cálculo 7 14" xfId="16129" xr:uid="{00000000-0005-0000-0000-0000D03E0000}"/>
    <cellStyle name="Cálculo 7 15" xfId="16130" xr:uid="{00000000-0005-0000-0000-0000D13E0000}"/>
    <cellStyle name="Cálculo 7 16" xfId="16131" xr:uid="{00000000-0005-0000-0000-0000D23E0000}"/>
    <cellStyle name="Cálculo 7 17" xfId="16132" xr:uid="{00000000-0005-0000-0000-0000D33E0000}"/>
    <cellStyle name="Cálculo 7 18" xfId="16133" xr:uid="{00000000-0005-0000-0000-0000D43E0000}"/>
    <cellStyle name="Cálculo 7 19" xfId="16134" xr:uid="{00000000-0005-0000-0000-0000D53E0000}"/>
    <cellStyle name="Cálculo 7 2" xfId="16135" xr:uid="{00000000-0005-0000-0000-0000D63E0000}"/>
    <cellStyle name="Cálculo 7 2 2" xfId="16136" xr:uid="{00000000-0005-0000-0000-0000D73E0000}"/>
    <cellStyle name="Cálculo 7 3" xfId="16137" xr:uid="{00000000-0005-0000-0000-0000D83E0000}"/>
    <cellStyle name="Cálculo 7 3 2" xfId="16138" xr:uid="{00000000-0005-0000-0000-0000D93E0000}"/>
    <cellStyle name="Cálculo 7 4" xfId="16139" xr:uid="{00000000-0005-0000-0000-0000DA3E0000}"/>
    <cellStyle name="Cálculo 7 4 2" xfId="16140" xr:uid="{00000000-0005-0000-0000-0000DB3E0000}"/>
    <cellStyle name="Cálculo 7 5" xfId="16141" xr:uid="{00000000-0005-0000-0000-0000DC3E0000}"/>
    <cellStyle name="Cálculo 7 6" xfId="16142" xr:uid="{00000000-0005-0000-0000-0000DD3E0000}"/>
    <cellStyle name="Cálculo 7 7" xfId="16143" xr:uid="{00000000-0005-0000-0000-0000DE3E0000}"/>
    <cellStyle name="Cálculo 7 8" xfId="16144" xr:uid="{00000000-0005-0000-0000-0000DF3E0000}"/>
    <cellStyle name="Cálculo 7 9" xfId="16145" xr:uid="{00000000-0005-0000-0000-0000E03E0000}"/>
    <cellStyle name="Cálculo 8 10" xfId="16146" xr:uid="{00000000-0005-0000-0000-0000E13E0000}"/>
    <cellStyle name="Cálculo 8 11" xfId="16147" xr:uid="{00000000-0005-0000-0000-0000E23E0000}"/>
    <cellStyle name="Cálculo 8 12" xfId="16148" xr:uid="{00000000-0005-0000-0000-0000E33E0000}"/>
    <cellStyle name="Cálculo 8 13" xfId="16149" xr:uid="{00000000-0005-0000-0000-0000E43E0000}"/>
    <cellStyle name="Cálculo 8 14" xfId="16150" xr:uid="{00000000-0005-0000-0000-0000E53E0000}"/>
    <cellStyle name="Cálculo 8 15" xfId="16151" xr:uid="{00000000-0005-0000-0000-0000E63E0000}"/>
    <cellStyle name="Cálculo 8 16" xfId="16152" xr:uid="{00000000-0005-0000-0000-0000E73E0000}"/>
    <cellStyle name="Cálculo 8 17" xfId="16153" xr:uid="{00000000-0005-0000-0000-0000E83E0000}"/>
    <cellStyle name="Cálculo 8 18" xfId="16154" xr:uid="{00000000-0005-0000-0000-0000E93E0000}"/>
    <cellStyle name="Cálculo 8 19" xfId="16155" xr:uid="{00000000-0005-0000-0000-0000EA3E0000}"/>
    <cellStyle name="Cálculo 8 2" xfId="16156" xr:uid="{00000000-0005-0000-0000-0000EB3E0000}"/>
    <cellStyle name="Cálculo 8 2 2" xfId="16157" xr:uid="{00000000-0005-0000-0000-0000EC3E0000}"/>
    <cellStyle name="Cálculo 8 3" xfId="16158" xr:uid="{00000000-0005-0000-0000-0000ED3E0000}"/>
    <cellStyle name="Cálculo 8 3 2" xfId="16159" xr:uid="{00000000-0005-0000-0000-0000EE3E0000}"/>
    <cellStyle name="Cálculo 8 4" xfId="16160" xr:uid="{00000000-0005-0000-0000-0000EF3E0000}"/>
    <cellStyle name="Cálculo 8 4 2" xfId="16161" xr:uid="{00000000-0005-0000-0000-0000F03E0000}"/>
    <cellStyle name="Cálculo 8 5" xfId="16162" xr:uid="{00000000-0005-0000-0000-0000F13E0000}"/>
    <cellStyle name="Cálculo 8 6" xfId="16163" xr:uid="{00000000-0005-0000-0000-0000F23E0000}"/>
    <cellStyle name="Cálculo 8 7" xfId="16164" xr:uid="{00000000-0005-0000-0000-0000F33E0000}"/>
    <cellStyle name="Cálculo 8 8" xfId="16165" xr:uid="{00000000-0005-0000-0000-0000F43E0000}"/>
    <cellStyle name="Cálculo 8 9" xfId="16166" xr:uid="{00000000-0005-0000-0000-0000F53E0000}"/>
    <cellStyle name="Cálculo 9 10" xfId="16167" xr:uid="{00000000-0005-0000-0000-0000F63E0000}"/>
    <cellStyle name="Cálculo 9 11" xfId="16168" xr:uid="{00000000-0005-0000-0000-0000F73E0000}"/>
    <cellStyle name="Cálculo 9 12" xfId="16169" xr:uid="{00000000-0005-0000-0000-0000F83E0000}"/>
    <cellStyle name="Cálculo 9 13" xfId="16170" xr:uid="{00000000-0005-0000-0000-0000F93E0000}"/>
    <cellStyle name="Cálculo 9 14" xfId="16171" xr:uid="{00000000-0005-0000-0000-0000FA3E0000}"/>
    <cellStyle name="Cálculo 9 15" xfId="16172" xr:uid="{00000000-0005-0000-0000-0000FB3E0000}"/>
    <cellStyle name="Cálculo 9 16" xfId="16173" xr:uid="{00000000-0005-0000-0000-0000FC3E0000}"/>
    <cellStyle name="Cálculo 9 17" xfId="16174" xr:uid="{00000000-0005-0000-0000-0000FD3E0000}"/>
    <cellStyle name="Cálculo 9 18" xfId="16175" xr:uid="{00000000-0005-0000-0000-0000FE3E0000}"/>
    <cellStyle name="Cálculo 9 19" xfId="16176" xr:uid="{00000000-0005-0000-0000-0000FF3E0000}"/>
    <cellStyle name="Cálculo 9 2" xfId="16177" xr:uid="{00000000-0005-0000-0000-0000003F0000}"/>
    <cellStyle name="Cálculo 9 2 2" xfId="16178" xr:uid="{00000000-0005-0000-0000-0000013F0000}"/>
    <cellStyle name="Cálculo 9 3" xfId="16179" xr:uid="{00000000-0005-0000-0000-0000023F0000}"/>
    <cellStyle name="Cálculo 9 3 2" xfId="16180" xr:uid="{00000000-0005-0000-0000-0000033F0000}"/>
    <cellStyle name="Cálculo 9 4" xfId="16181" xr:uid="{00000000-0005-0000-0000-0000043F0000}"/>
    <cellStyle name="Cálculo 9 4 2" xfId="16182" xr:uid="{00000000-0005-0000-0000-0000053F0000}"/>
    <cellStyle name="Cálculo 9 5" xfId="16183" xr:uid="{00000000-0005-0000-0000-0000063F0000}"/>
    <cellStyle name="Cálculo 9 6" xfId="16184" xr:uid="{00000000-0005-0000-0000-0000073F0000}"/>
    <cellStyle name="Cálculo 9 7" xfId="16185" xr:uid="{00000000-0005-0000-0000-0000083F0000}"/>
    <cellStyle name="Cálculo 9 8" xfId="16186" xr:uid="{00000000-0005-0000-0000-0000093F0000}"/>
    <cellStyle name="Cálculo 9 9" xfId="16187" xr:uid="{00000000-0005-0000-0000-00000A3F0000}"/>
    <cellStyle name="Celda de comprobación" xfId="32524" builtinId="23" customBuiltin="1"/>
    <cellStyle name="Celda de comprobación 10 10" xfId="16188" xr:uid="{00000000-0005-0000-0000-00000C3F0000}"/>
    <cellStyle name="Celda de comprobación 10 11" xfId="16189" xr:uid="{00000000-0005-0000-0000-00000D3F0000}"/>
    <cellStyle name="Celda de comprobación 10 12" xfId="16190" xr:uid="{00000000-0005-0000-0000-00000E3F0000}"/>
    <cellStyle name="Celda de comprobación 10 13" xfId="16191" xr:uid="{00000000-0005-0000-0000-00000F3F0000}"/>
    <cellStyle name="Celda de comprobación 10 14" xfId="16192" xr:uid="{00000000-0005-0000-0000-0000103F0000}"/>
    <cellStyle name="Celda de comprobación 10 15" xfId="16193" xr:uid="{00000000-0005-0000-0000-0000113F0000}"/>
    <cellStyle name="Celda de comprobación 10 16" xfId="16194" xr:uid="{00000000-0005-0000-0000-0000123F0000}"/>
    <cellStyle name="Celda de comprobación 10 17" xfId="16195" xr:uid="{00000000-0005-0000-0000-0000133F0000}"/>
    <cellStyle name="Celda de comprobación 10 18" xfId="16196" xr:uid="{00000000-0005-0000-0000-0000143F0000}"/>
    <cellStyle name="Celda de comprobación 10 19" xfId="16197" xr:uid="{00000000-0005-0000-0000-0000153F0000}"/>
    <cellStyle name="Celda de comprobación 10 2" xfId="16198" xr:uid="{00000000-0005-0000-0000-0000163F0000}"/>
    <cellStyle name="Celda de comprobación 10 2 2" xfId="16199" xr:uid="{00000000-0005-0000-0000-0000173F0000}"/>
    <cellStyle name="Celda de comprobación 10 3" xfId="16200" xr:uid="{00000000-0005-0000-0000-0000183F0000}"/>
    <cellStyle name="Celda de comprobación 10 3 2" xfId="16201" xr:uid="{00000000-0005-0000-0000-0000193F0000}"/>
    <cellStyle name="Celda de comprobación 10 4" xfId="16202" xr:uid="{00000000-0005-0000-0000-00001A3F0000}"/>
    <cellStyle name="Celda de comprobación 10 4 2" xfId="16203" xr:uid="{00000000-0005-0000-0000-00001B3F0000}"/>
    <cellStyle name="Celda de comprobación 10 5" xfId="16204" xr:uid="{00000000-0005-0000-0000-00001C3F0000}"/>
    <cellStyle name="Celda de comprobación 10 6" xfId="16205" xr:uid="{00000000-0005-0000-0000-00001D3F0000}"/>
    <cellStyle name="Celda de comprobación 10 7" xfId="16206" xr:uid="{00000000-0005-0000-0000-00001E3F0000}"/>
    <cellStyle name="Celda de comprobación 10 8" xfId="16207" xr:uid="{00000000-0005-0000-0000-00001F3F0000}"/>
    <cellStyle name="Celda de comprobación 10 9" xfId="16208" xr:uid="{00000000-0005-0000-0000-0000203F0000}"/>
    <cellStyle name="Celda de comprobación 11 10" xfId="16209" xr:uid="{00000000-0005-0000-0000-0000213F0000}"/>
    <cellStyle name="Celda de comprobación 11 11" xfId="16210" xr:uid="{00000000-0005-0000-0000-0000223F0000}"/>
    <cellStyle name="Celda de comprobación 11 12" xfId="16211" xr:uid="{00000000-0005-0000-0000-0000233F0000}"/>
    <cellStyle name="Celda de comprobación 11 13" xfId="16212" xr:uid="{00000000-0005-0000-0000-0000243F0000}"/>
    <cellStyle name="Celda de comprobación 11 14" xfId="16213" xr:uid="{00000000-0005-0000-0000-0000253F0000}"/>
    <cellStyle name="Celda de comprobación 11 15" xfId="16214" xr:uid="{00000000-0005-0000-0000-0000263F0000}"/>
    <cellStyle name="Celda de comprobación 11 16" xfId="16215" xr:uid="{00000000-0005-0000-0000-0000273F0000}"/>
    <cellStyle name="Celda de comprobación 11 17" xfId="16216" xr:uid="{00000000-0005-0000-0000-0000283F0000}"/>
    <cellStyle name="Celda de comprobación 11 18" xfId="16217" xr:uid="{00000000-0005-0000-0000-0000293F0000}"/>
    <cellStyle name="Celda de comprobación 11 19" xfId="16218" xr:uid="{00000000-0005-0000-0000-00002A3F0000}"/>
    <cellStyle name="Celda de comprobación 11 2" xfId="16219" xr:uid="{00000000-0005-0000-0000-00002B3F0000}"/>
    <cellStyle name="Celda de comprobación 11 2 2" xfId="16220" xr:uid="{00000000-0005-0000-0000-00002C3F0000}"/>
    <cellStyle name="Celda de comprobación 11 3" xfId="16221" xr:uid="{00000000-0005-0000-0000-00002D3F0000}"/>
    <cellStyle name="Celda de comprobación 11 3 2" xfId="16222" xr:uid="{00000000-0005-0000-0000-00002E3F0000}"/>
    <cellStyle name="Celda de comprobación 11 4" xfId="16223" xr:uid="{00000000-0005-0000-0000-00002F3F0000}"/>
    <cellStyle name="Celda de comprobación 11 4 2" xfId="16224" xr:uid="{00000000-0005-0000-0000-0000303F0000}"/>
    <cellStyle name="Celda de comprobación 11 5" xfId="16225" xr:uid="{00000000-0005-0000-0000-0000313F0000}"/>
    <cellStyle name="Celda de comprobación 11 6" xfId="16226" xr:uid="{00000000-0005-0000-0000-0000323F0000}"/>
    <cellStyle name="Celda de comprobación 11 7" xfId="16227" xr:uid="{00000000-0005-0000-0000-0000333F0000}"/>
    <cellStyle name="Celda de comprobación 11 8" xfId="16228" xr:uid="{00000000-0005-0000-0000-0000343F0000}"/>
    <cellStyle name="Celda de comprobación 11 9" xfId="16229" xr:uid="{00000000-0005-0000-0000-0000353F0000}"/>
    <cellStyle name="Celda de comprobación 12 10" xfId="16230" xr:uid="{00000000-0005-0000-0000-0000363F0000}"/>
    <cellStyle name="Celda de comprobación 12 11" xfId="16231" xr:uid="{00000000-0005-0000-0000-0000373F0000}"/>
    <cellStyle name="Celda de comprobación 12 12" xfId="16232" xr:uid="{00000000-0005-0000-0000-0000383F0000}"/>
    <cellStyle name="Celda de comprobación 12 13" xfId="16233" xr:uid="{00000000-0005-0000-0000-0000393F0000}"/>
    <cellStyle name="Celda de comprobación 12 14" xfId="16234" xr:uid="{00000000-0005-0000-0000-00003A3F0000}"/>
    <cellStyle name="Celda de comprobación 12 15" xfId="16235" xr:uid="{00000000-0005-0000-0000-00003B3F0000}"/>
    <cellStyle name="Celda de comprobación 12 16" xfId="16236" xr:uid="{00000000-0005-0000-0000-00003C3F0000}"/>
    <cellStyle name="Celda de comprobación 12 17" xfId="16237" xr:uid="{00000000-0005-0000-0000-00003D3F0000}"/>
    <cellStyle name="Celda de comprobación 12 18" xfId="16238" xr:uid="{00000000-0005-0000-0000-00003E3F0000}"/>
    <cellStyle name="Celda de comprobación 12 19" xfId="16239" xr:uid="{00000000-0005-0000-0000-00003F3F0000}"/>
    <cellStyle name="Celda de comprobación 12 2" xfId="16240" xr:uid="{00000000-0005-0000-0000-0000403F0000}"/>
    <cellStyle name="Celda de comprobación 12 2 2" xfId="16241" xr:uid="{00000000-0005-0000-0000-0000413F0000}"/>
    <cellStyle name="Celda de comprobación 12 3" xfId="16242" xr:uid="{00000000-0005-0000-0000-0000423F0000}"/>
    <cellStyle name="Celda de comprobación 12 3 2" xfId="16243" xr:uid="{00000000-0005-0000-0000-0000433F0000}"/>
    <cellStyle name="Celda de comprobación 12 4" xfId="16244" xr:uid="{00000000-0005-0000-0000-0000443F0000}"/>
    <cellStyle name="Celda de comprobación 12 4 2" xfId="16245" xr:uid="{00000000-0005-0000-0000-0000453F0000}"/>
    <cellStyle name="Celda de comprobación 12 5" xfId="16246" xr:uid="{00000000-0005-0000-0000-0000463F0000}"/>
    <cellStyle name="Celda de comprobación 12 6" xfId="16247" xr:uid="{00000000-0005-0000-0000-0000473F0000}"/>
    <cellStyle name="Celda de comprobación 12 7" xfId="16248" xr:uid="{00000000-0005-0000-0000-0000483F0000}"/>
    <cellStyle name="Celda de comprobación 12 8" xfId="16249" xr:uid="{00000000-0005-0000-0000-0000493F0000}"/>
    <cellStyle name="Celda de comprobación 12 9" xfId="16250" xr:uid="{00000000-0005-0000-0000-00004A3F0000}"/>
    <cellStyle name="Celda de comprobación 13 10" xfId="16251" xr:uid="{00000000-0005-0000-0000-00004B3F0000}"/>
    <cellStyle name="Celda de comprobación 13 11" xfId="16252" xr:uid="{00000000-0005-0000-0000-00004C3F0000}"/>
    <cellStyle name="Celda de comprobación 13 12" xfId="16253" xr:uid="{00000000-0005-0000-0000-00004D3F0000}"/>
    <cellStyle name="Celda de comprobación 13 13" xfId="16254" xr:uid="{00000000-0005-0000-0000-00004E3F0000}"/>
    <cellStyle name="Celda de comprobación 13 14" xfId="16255" xr:uid="{00000000-0005-0000-0000-00004F3F0000}"/>
    <cellStyle name="Celda de comprobación 13 15" xfId="16256" xr:uid="{00000000-0005-0000-0000-0000503F0000}"/>
    <cellStyle name="Celda de comprobación 13 16" xfId="16257" xr:uid="{00000000-0005-0000-0000-0000513F0000}"/>
    <cellStyle name="Celda de comprobación 13 17" xfId="16258" xr:uid="{00000000-0005-0000-0000-0000523F0000}"/>
    <cellStyle name="Celda de comprobación 13 18" xfId="16259" xr:uid="{00000000-0005-0000-0000-0000533F0000}"/>
    <cellStyle name="Celda de comprobación 13 19" xfId="16260" xr:uid="{00000000-0005-0000-0000-0000543F0000}"/>
    <cellStyle name="Celda de comprobación 13 2" xfId="16261" xr:uid="{00000000-0005-0000-0000-0000553F0000}"/>
    <cellStyle name="Celda de comprobación 13 2 2" xfId="16262" xr:uid="{00000000-0005-0000-0000-0000563F0000}"/>
    <cellStyle name="Celda de comprobación 13 3" xfId="16263" xr:uid="{00000000-0005-0000-0000-0000573F0000}"/>
    <cellStyle name="Celda de comprobación 13 3 2" xfId="16264" xr:uid="{00000000-0005-0000-0000-0000583F0000}"/>
    <cellStyle name="Celda de comprobación 13 4" xfId="16265" xr:uid="{00000000-0005-0000-0000-0000593F0000}"/>
    <cellStyle name="Celda de comprobación 13 4 2" xfId="16266" xr:uid="{00000000-0005-0000-0000-00005A3F0000}"/>
    <cellStyle name="Celda de comprobación 13 5" xfId="16267" xr:uid="{00000000-0005-0000-0000-00005B3F0000}"/>
    <cellStyle name="Celda de comprobación 13 6" xfId="16268" xr:uid="{00000000-0005-0000-0000-00005C3F0000}"/>
    <cellStyle name="Celda de comprobación 13 7" xfId="16269" xr:uid="{00000000-0005-0000-0000-00005D3F0000}"/>
    <cellStyle name="Celda de comprobación 13 8" xfId="16270" xr:uid="{00000000-0005-0000-0000-00005E3F0000}"/>
    <cellStyle name="Celda de comprobación 13 9" xfId="16271" xr:uid="{00000000-0005-0000-0000-00005F3F0000}"/>
    <cellStyle name="Celda de comprobación 14 10" xfId="16272" xr:uid="{00000000-0005-0000-0000-0000603F0000}"/>
    <cellStyle name="Celda de comprobación 14 11" xfId="16273" xr:uid="{00000000-0005-0000-0000-0000613F0000}"/>
    <cellStyle name="Celda de comprobación 14 12" xfId="16274" xr:uid="{00000000-0005-0000-0000-0000623F0000}"/>
    <cellStyle name="Celda de comprobación 14 13" xfId="16275" xr:uid="{00000000-0005-0000-0000-0000633F0000}"/>
    <cellStyle name="Celda de comprobación 14 14" xfId="16276" xr:uid="{00000000-0005-0000-0000-0000643F0000}"/>
    <cellStyle name="Celda de comprobación 14 15" xfId="16277" xr:uid="{00000000-0005-0000-0000-0000653F0000}"/>
    <cellStyle name="Celda de comprobación 14 16" xfId="16278" xr:uid="{00000000-0005-0000-0000-0000663F0000}"/>
    <cellStyle name="Celda de comprobación 14 17" xfId="16279" xr:uid="{00000000-0005-0000-0000-0000673F0000}"/>
    <cellStyle name="Celda de comprobación 14 18" xfId="16280" xr:uid="{00000000-0005-0000-0000-0000683F0000}"/>
    <cellStyle name="Celda de comprobación 14 19" xfId="16281" xr:uid="{00000000-0005-0000-0000-0000693F0000}"/>
    <cellStyle name="Celda de comprobación 14 2" xfId="16282" xr:uid="{00000000-0005-0000-0000-00006A3F0000}"/>
    <cellStyle name="Celda de comprobación 14 2 2" xfId="16283" xr:uid="{00000000-0005-0000-0000-00006B3F0000}"/>
    <cellStyle name="Celda de comprobación 14 3" xfId="16284" xr:uid="{00000000-0005-0000-0000-00006C3F0000}"/>
    <cellStyle name="Celda de comprobación 14 3 2" xfId="16285" xr:uid="{00000000-0005-0000-0000-00006D3F0000}"/>
    <cellStyle name="Celda de comprobación 14 4" xfId="16286" xr:uid="{00000000-0005-0000-0000-00006E3F0000}"/>
    <cellStyle name="Celda de comprobación 14 4 2" xfId="16287" xr:uid="{00000000-0005-0000-0000-00006F3F0000}"/>
    <cellStyle name="Celda de comprobación 14 5" xfId="16288" xr:uid="{00000000-0005-0000-0000-0000703F0000}"/>
    <cellStyle name="Celda de comprobación 14 6" xfId="16289" xr:uid="{00000000-0005-0000-0000-0000713F0000}"/>
    <cellStyle name="Celda de comprobación 14 7" xfId="16290" xr:uid="{00000000-0005-0000-0000-0000723F0000}"/>
    <cellStyle name="Celda de comprobación 14 8" xfId="16291" xr:uid="{00000000-0005-0000-0000-0000733F0000}"/>
    <cellStyle name="Celda de comprobación 14 9" xfId="16292" xr:uid="{00000000-0005-0000-0000-0000743F0000}"/>
    <cellStyle name="Celda de comprobación 15 10" xfId="16293" xr:uid="{00000000-0005-0000-0000-0000753F0000}"/>
    <cellStyle name="Celda de comprobación 15 11" xfId="16294" xr:uid="{00000000-0005-0000-0000-0000763F0000}"/>
    <cellStyle name="Celda de comprobación 15 12" xfId="16295" xr:uid="{00000000-0005-0000-0000-0000773F0000}"/>
    <cellStyle name="Celda de comprobación 15 13" xfId="16296" xr:uid="{00000000-0005-0000-0000-0000783F0000}"/>
    <cellStyle name="Celda de comprobación 15 14" xfId="16297" xr:uid="{00000000-0005-0000-0000-0000793F0000}"/>
    <cellStyle name="Celda de comprobación 15 15" xfId="16298" xr:uid="{00000000-0005-0000-0000-00007A3F0000}"/>
    <cellStyle name="Celda de comprobación 15 16" xfId="16299" xr:uid="{00000000-0005-0000-0000-00007B3F0000}"/>
    <cellStyle name="Celda de comprobación 15 17" xfId="16300" xr:uid="{00000000-0005-0000-0000-00007C3F0000}"/>
    <cellStyle name="Celda de comprobación 15 18" xfId="16301" xr:uid="{00000000-0005-0000-0000-00007D3F0000}"/>
    <cellStyle name="Celda de comprobación 15 19" xfId="16302" xr:uid="{00000000-0005-0000-0000-00007E3F0000}"/>
    <cellStyle name="Celda de comprobación 15 2" xfId="16303" xr:uid="{00000000-0005-0000-0000-00007F3F0000}"/>
    <cellStyle name="Celda de comprobación 15 2 2" xfId="16304" xr:uid="{00000000-0005-0000-0000-0000803F0000}"/>
    <cellStyle name="Celda de comprobación 15 3" xfId="16305" xr:uid="{00000000-0005-0000-0000-0000813F0000}"/>
    <cellStyle name="Celda de comprobación 15 3 2" xfId="16306" xr:uid="{00000000-0005-0000-0000-0000823F0000}"/>
    <cellStyle name="Celda de comprobación 15 4" xfId="16307" xr:uid="{00000000-0005-0000-0000-0000833F0000}"/>
    <cellStyle name="Celda de comprobación 15 4 2" xfId="16308" xr:uid="{00000000-0005-0000-0000-0000843F0000}"/>
    <cellStyle name="Celda de comprobación 15 5" xfId="16309" xr:uid="{00000000-0005-0000-0000-0000853F0000}"/>
    <cellStyle name="Celda de comprobación 15 6" xfId="16310" xr:uid="{00000000-0005-0000-0000-0000863F0000}"/>
    <cellStyle name="Celda de comprobación 15 7" xfId="16311" xr:uid="{00000000-0005-0000-0000-0000873F0000}"/>
    <cellStyle name="Celda de comprobación 15 8" xfId="16312" xr:uid="{00000000-0005-0000-0000-0000883F0000}"/>
    <cellStyle name="Celda de comprobación 15 9" xfId="16313" xr:uid="{00000000-0005-0000-0000-0000893F0000}"/>
    <cellStyle name="Celda de comprobación 16 10" xfId="16314" xr:uid="{00000000-0005-0000-0000-00008A3F0000}"/>
    <cellStyle name="Celda de comprobación 16 11" xfId="16315" xr:uid="{00000000-0005-0000-0000-00008B3F0000}"/>
    <cellStyle name="Celda de comprobación 16 12" xfId="16316" xr:uid="{00000000-0005-0000-0000-00008C3F0000}"/>
    <cellStyle name="Celda de comprobación 16 13" xfId="16317" xr:uid="{00000000-0005-0000-0000-00008D3F0000}"/>
    <cellStyle name="Celda de comprobación 16 14" xfId="16318" xr:uid="{00000000-0005-0000-0000-00008E3F0000}"/>
    <cellStyle name="Celda de comprobación 16 15" xfId="16319" xr:uid="{00000000-0005-0000-0000-00008F3F0000}"/>
    <cellStyle name="Celda de comprobación 16 16" xfId="16320" xr:uid="{00000000-0005-0000-0000-0000903F0000}"/>
    <cellStyle name="Celda de comprobación 16 17" xfId="16321" xr:uid="{00000000-0005-0000-0000-0000913F0000}"/>
    <cellStyle name="Celda de comprobación 16 18" xfId="16322" xr:uid="{00000000-0005-0000-0000-0000923F0000}"/>
    <cellStyle name="Celda de comprobación 16 19" xfId="16323" xr:uid="{00000000-0005-0000-0000-0000933F0000}"/>
    <cellStyle name="Celda de comprobación 16 2" xfId="16324" xr:uid="{00000000-0005-0000-0000-0000943F0000}"/>
    <cellStyle name="Celda de comprobación 16 2 2" xfId="16325" xr:uid="{00000000-0005-0000-0000-0000953F0000}"/>
    <cellStyle name="Celda de comprobación 16 3" xfId="16326" xr:uid="{00000000-0005-0000-0000-0000963F0000}"/>
    <cellStyle name="Celda de comprobación 16 3 2" xfId="16327" xr:uid="{00000000-0005-0000-0000-0000973F0000}"/>
    <cellStyle name="Celda de comprobación 16 4" xfId="16328" xr:uid="{00000000-0005-0000-0000-0000983F0000}"/>
    <cellStyle name="Celda de comprobación 16 4 2" xfId="16329" xr:uid="{00000000-0005-0000-0000-0000993F0000}"/>
    <cellStyle name="Celda de comprobación 16 5" xfId="16330" xr:uid="{00000000-0005-0000-0000-00009A3F0000}"/>
    <cellStyle name="Celda de comprobación 16 6" xfId="16331" xr:uid="{00000000-0005-0000-0000-00009B3F0000}"/>
    <cellStyle name="Celda de comprobación 16 7" xfId="16332" xr:uid="{00000000-0005-0000-0000-00009C3F0000}"/>
    <cellStyle name="Celda de comprobación 16 8" xfId="16333" xr:uid="{00000000-0005-0000-0000-00009D3F0000}"/>
    <cellStyle name="Celda de comprobación 16 9" xfId="16334" xr:uid="{00000000-0005-0000-0000-00009E3F0000}"/>
    <cellStyle name="Celda de comprobación 17 10" xfId="16335" xr:uid="{00000000-0005-0000-0000-00009F3F0000}"/>
    <cellStyle name="Celda de comprobación 17 11" xfId="16336" xr:uid="{00000000-0005-0000-0000-0000A03F0000}"/>
    <cellStyle name="Celda de comprobación 17 12" xfId="16337" xr:uid="{00000000-0005-0000-0000-0000A13F0000}"/>
    <cellStyle name="Celda de comprobación 17 13" xfId="16338" xr:uid="{00000000-0005-0000-0000-0000A23F0000}"/>
    <cellStyle name="Celda de comprobación 17 14" xfId="16339" xr:uid="{00000000-0005-0000-0000-0000A33F0000}"/>
    <cellStyle name="Celda de comprobación 17 15" xfId="16340" xr:uid="{00000000-0005-0000-0000-0000A43F0000}"/>
    <cellStyle name="Celda de comprobación 17 16" xfId="16341" xr:uid="{00000000-0005-0000-0000-0000A53F0000}"/>
    <cellStyle name="Celda de comprobación 17 17" xfId="16342" xr:uid="{00000000-0005-0000-0000-0000A63F0000}"/>
    <cellStyle name="Celda de comprobación 17 18" xfId="16343" xr:uid="{00000000-0005-0000-0000-0000A73F0000}"/>
    <cellStyle name="Celda de comprobación 17 19" xfId="16344" xr:uid="{00000000-0005-0000-0000-0000A83F0000}"/>
    <cellStyle name="Celda de comprobación 17 2" xfId="16345" xr:uid="{00000000-0005-0000-0000-0000A93F0000}"/>
    <cellStyle name="Celda de comprobación 17 2 2" xfId="16346" xr:uid="{00000000-0005-0000-0000-0000AA3F0000}"/>
    <cellStyle name="Celda de comprobación 17 3" xfId="16347" xr:uid="{00000000-0005-0000-0000-0000AB3F0000}"/>
    <cellStyle name="Celda de comprobación 17 3 2" xfId="16348" xr:uid="{00000000-0005-0000-0000-0000AC3F0000}"/>
    <cellStyle name="Celda de comprobación 17 4" xfId="16349" xr:uid="{00000000-0005-0000-0000-0000AD3F0000}"/>
    <cellStyle name="Celda de comprobación 17 4 2" xfId="16350" xr:uid="{00000000-0005-0000-0000-0000AE3F0000}"/>
    <cellStyle name="Celda de comprobación 17 5" xfId="16351" xr:uid="{00000000-0005-0000-0000-0000AF3F0000}"/>
    <cellStyle name="Celda de comprobación 17 6" xfId="16352" xr:uid="{00000000-0005-0000-0000-0000B03F0000}"/>
    <cellStyle name="Celda de comprobación 17 7" xfId="16353" xr:uid="{00000000-0005-0000-0000-0000B13F0000}"/>
    <cellStyle name="Celda de comprobación 17 8" xfId="16354" xr:uid="{00000000-0005-0000-0000-0000B23F0000}"/>
    <cellStyle name="Celda de comprobación 17 9" xfId="16355" xr:uid="{00000000-0005-0000-0000-0000B33F0000}"/>
    <cellStyle name="Celda de comprobación 18 10" xfId="16356" xr:uid="{00000000-0005-0000-0000-0000B43F0000}"/>
    <cellStyle name="Celda de comprobación 18 11" xfId="16357" xr:uid="{00000000-0005-0000-0000-0000B53F0000}"/>
    <cellStyle name="Celda de comprobación 18 12" xfId="16358" xr:uid="{00000000-0005-0000-0000-0000B63F0000}"/>
    <cellStyle name="Celda de comprobación 18 13" xfId="16359" xr:uid="{00000000-0005-0000-0000-0000B73F0000}"/>
    <cellStyle name="Celda de comprobación 18 14" xfId="16360" xr:uid="{00000000-0005-0000-0000-0000B83F0000}"/>
    <cellStyle name="Celda de comprobación 18 15" xfId="16361" xr:uid="{00000000-0005-0000-0000-0000B93F0000}"/>
    <cellStyle name="Celda de comprobación 18 16" xfId="16362" xr:uid="{00000000-0005-0000-0000-0000BA3F0000}"/>
    <cellStyle name="Celda de comprobación 18 17" xfId="16363" xr:uid="{00000000-0005-0000-0000-0000BB3F0000}"/>
    <cellStyle name="Celda de comprobación 18 18" xfId="16364" xr:uid="{00000000-0005-0000-0000-0000BC3F0000}"/>
    <cellStyle name="Celda de comprobación 18 19" xfId="16365" xr:uid="{00000000-0005-0000-0000-0000BD3F0000}"/>
    <cellStyle name="Celda de comprobación 18 2" xfId="16366" xr:uid="{00000000-0005-0000-0000-0000BE3F0000}"/>
    <cellStyle name="Celda de comprobación 18 2 2" xfId="16367" xr:uid="{00000000-0005-0000-0000-0000BF3F0000}"/>
    <cellStyle name="Celda de comprobación 18 3" xfId="16368" xr:uid="{00000000-0005-0000-0000-0000C03F0000}"/>
    <cellStyle name="Celda de comprobación 18 3 2" xfId="16369" xr:uid="{00000000-0005-0000-0000-0000C13F0000}"/>
    <cellStyle name="Celda de comprobación 18 4" xfId="16370" xr:uid="{00000000-0005-0000-0000-0000C23F0000}"/>
    <cellStyle name="Celda de comprobación 18 4 2" xfId="16371" xr:uid="{00000000-0005-0000-0000-0000C33F0000}"/>
    <cellStyle name="Celda de comprobación 18 5" xfId="16372" xr:uid="{00000000-0005-0000-0000-0000C43F0000}"/>
    <cellStyle name="Celda de comprobación 18 6" xfId="16373" xr:uid="{00000000-0005-0000-0000-0000C53F0000}"/>
    <cellStyle name="Celda de comprobación 18 7" xfId="16374" xr:uid="{00000000-0005-0000-0000-0000C63F0000}"/>
    <cellStyle name="Celda de comprobación 18 8" xfId="16375" xr:uid="{00000000-0005-0000-0000-0000C73F0000}"/>
    <cellStyle name="Celda de comprobación 18 9" xfId="16376" xr:uid="{00000000-0005-0000-0000-0000C83F0000}"/>
    <cellStyle name="Celda de comprobación 19 10" xfId="16377" xr:uid="{00000000-0005-0000-0000-0000C93F0000}"/>
    <cellStyle name="Celda de comprobación 19 11" xfId="16378" xr:uid="{00000000-0005-0000-0000-0000CA3F0000}"/>
    <cellStyle name="Celda de comprobación 19 12" xfId="16379" xr:uid="{00000000-0005-0000-0000-0000CB3F0000}"/>
    <cellStyle name="Celda de comprobación 19 13" xfId="16380" xr:uid="{00000000-0005-0000-0000-0000CC3F0000}"/>
    <cellStyle name="Celda de comprobación 19 14" xfId="16381" xr:uid="{00000000-0005-0000-0000-0000CD3F0000}"/>
    <cellStyle name="Celda de comprobación 19 15" xfId="16382" xr:uid="{00000000-0005-0000-0000-0000CE3F0000}"/>
    <cellStyle name="Celda de comprobación 19 16" xfId="16383" xr:uid="{00000000-0005-0000-0000-0000CF3F0000}"/>
    <cellStyle name="Celda de comprobación 19 17" xfId="16384" xr:uid="{00000000-0005-0000-0000-0000D03F0000}"/>
    <cellStyle name="Celda de comprobación 19 18" xfId="16385" xr:uid="{00000000-0005-0000-0000-0000D13F0000}"/>
    <cellStyle name="Celda de comprobación 19 19" xfId="16386" xr:uid="{00000000-0005-0000-0000-0000D23F0000}"/>
    <cellStyle name="Celda de comprobación 19 2" xfId="16387" xr:uid="{00000000-0005-0000-0000-0000D33F0000}"/>
    <cellStyle name="Celda de comprobación 19 2 2" xfId="16388" xr:uid="{00000000-0005-0000-0000-0000D43F0000}"/>
    <cellStyle name="Celda de comprobación 19 3" xfId="16389" xr:uid="{00000000-0005-0000-0000-0000D53F0000}"/>
    <cellStyle name="Celda de comprobación 19 3 2" xfId="16390" xr:uid="{00000000-0005-0000-0000-0000D63F0000}"/>
    <cellStyle name="Celda de comprobación 19 4" xfId="16391" xr:uid="{00000000-0005-0000-0000-0000D73F0000}"/>
    <cellStyle name="Celda de comprobación 19 4 2" xfId="16392" xr:uid="{00000000-0005-0000-0000-0000D83F0000}"/>
    <cellStyle name="Celda de comprobación 19 5" xfId="16393" xr:uid="{00000000-0005-0000-0000-0000D93F0000}"/>
    <cellStyle name="Celda de comprobación 19 6" xfId="16394" xr:uid="{00000000-0005-0000-0000-0000DA3F0000}"/>
    <cellStyle name="Celda de comprobación 19 7" xfId="16395" xr:uid="{00000000-0005-0000-0000-0000DB3F0000}"/>
    <cellStyle name="Celda de comprobación 19 8" xfId="16396" xr:uid="{00000000-0005-0000-0000-0000DC3F0000}"/>
    <cellStyle name="Celda de comprobación 19 9" xfId="16397" xr:uid="{00000000-0005-0000-0000-0000DD3F0000}"/>
    <cellStyle name="Celda de comprobación 2 10" xfId="16398" xr:uid="{00000000-0005-0000-0000-0000DE3F0000}"/>
    <cellStyle name="Celda de comprobación 2 11" xfId="16399" xr:uid="{00000000-0005-0000-0000-0000DF3F0000}"/>
    <cellStyle name="Celda de comprobación 2 12" xfId="16400" xr:uid="{00000000-0005-0000-0000-0000E03F0000}"/>
    <cellStyle name="Celda de comprobación 2 13" xfId="16401" xr:uid="{00000000-0005-0000-0000-0000E13F0000}"/>
    <cellStyle name="Celda de comprobación 2 14" xfId="16402" xr:uid="{00000000-0005-0000-0000-0000E23F0000}"/>
    <cellStyle name="Celda de comprobación 2 15" xfId="16403" xr:uid="{00000000-0005-0000-0000-0000E33F0000}"/>
    <cellStyle name="Celda de comprobación 2 16" xfId="16404" xr:uid="{00000000-0005-0000-0000-0000E43F0000}"/>
    <cellStyle name="Celda de comprobación 2 17" xfId="16405" xr:uid="{00000000-0005-0000-0000-0000E53F0000}"/>
    <cellStyle name="Celda de comprobación 2 18" xfId="16406" xr:uid="{00000000-0005-0000-0000-0000E63F0000}"/>
    <cellStyle name="Celda de comprobación 2 19" xfId="16407" xr:uid="{00000000-0005-0000-0000-0000E73F0000}"/>
    <cellStyle name="Celda de comprobación 2 2" xfId="16408" xr:uid="{00000000-0005-0000-0000-0000E83F0000}"/>
    <cellStyle name="Celda de comprobación 2 2 2" xfId="16409" xr:uid="{00000000-0005-0000-0000-0000E93F0000}"/>
    <cellStyle name="Celda de comprobación 2 3" xfId="16410" xr:uid="{00000000-0005-0000-0000-0000EA3F0000}"/>
    <cellStyle name="Celda de comprobación 2 3 2" xfId="16411" xr:uid="{00000000-0005-0000-0000-0000EB3F0000}"/>
    <cellStyle name="Celda de comprobación 2 4" xfId="16412" xr:uid="{00000000-0005-0000-0000-0000EC3F0000}"/>
    <cellStyle name="Celda de comprobación 2 4 2" xfId="16413" xr:uid="{00000000-0005-0000-0000-0000ED3F0000}"/>
    <cellStyle name="Celda de comprobación 2 5" xfId="16414" xr:uid="{00000000-0005-0000-0000-0000EE3F0000}"/>
    <cellStyle name="Celda de comprobación 2 6" xfId="16415" xr:uid="{00000000-0005-0000-0000-0000EF3F0000}"/>
    <cellStyle name="Celda de comprobación 2 7" xfId="16416" xr:uid="{00000000-0005-0000-0000-0000F03F0000}"/>
    <cellStyle name="Celda de comprobación 2 8" xfId="16417" xr:uid="{00000000-0005-0000-0000-0000F13F0000}"/>
    <cellStyle name="Celda de comprobación 2 9" xfId="16418" xr:uid="{00000000-0005-0000-0000-0000F23F0000}"/>
    <cellStyle name="Celda de comprobación 20 10" xfId="16419" xr:uid="{00000000-0005-0000-0000-0000F33F0000}"/>
    <cellStyle name="Celda de comprobación 20 11" xfId="16420" xr:uid="{00000000-0005-0000-0000-0000F43F0000}"/>
    <cellStyle name="Celda de comprobación 20 12" xfId="16421" xr:uid="{00000000-0005-0000-0000-0000F53F0000}"/>
    <cellStyle name="Celda de comprobación 20 13" xfId="16422" xr:uid="{00000000-0005-0000-0000-0000F63F0000}"/>
    <cellStyle name="Celda de comprobación 20 14" xfId="16423" xr:uid="{00000000-0005-0000-0000-0000F73F0000}"/>
    <cellStyle name="Celda de comprobación 20 15" xfId="16424" xr:uid="{00000000-0005-0000-0000-0000F83F0000}"/>
    <cellStyle name="Celda de comprobación 20 16" xfId="16425" xr:uid="{00000000-0005-0000-0000-0000F93F0000}"/>
    <cellStyle name="Celda de comprobación 20 17" xfId="16426" xr:uid="{00000000-0005-0000-0000-0000FA3F0000}"/>
    <cellStyle name="Celda de comprobación 20 18" xfId="16427" xr:uid="{00000000-0005-0000-0000-0000FB3F0000}"/>
    <cellStyle name="Celda de comprobación 20 19" xfId="16428" xr:uid="{00000000-0005-0000-0000-0000FC3F0000}"/>
    <cellStyle name="Celda de comprobación 20 2" xfId="16429" xr:uid="{00000000-0005-0000-0000-0000FD3F0000}"/>
    <cellStyle name="Celda de comprobación 20 2 2" xfId="16430" xr:uid="{00000000-0005-0000-0000-0000FE3F0000}"/>
    <cellStyle name="Celda de comprobación 20 3" xfId="16431" xr:uid="{00000000-0005-0000-0000-0000FF3F0000}"/>
    <cellStyle name="Celda de comprobación 20 3 2" xfId="16432" xr:uid="{00000000-0005-0000-0000-000000400000}"/>
    <cellStyle name="Celda de comprobación 20 4" xfId="16433" xr:uid="{00000000-0005-0000-0000-000001400000}"/>
    <cellStyle name="Celda de comprobación 20 4 2" xfId="16434" xr:uid="{00000000-0005-0000-0000-000002400000}"/>
    <cellStyle name="Celda de comprobación 20 5" xfId="16435" xr:uid="{00000000-0005-0000-0000-000003400000}"/>
    <cellStyle name="Celda de comprobación 20 6" xfId="16436" xr:uid="{00000000-0005-0000-0000-000004400000}"/>
    <cellStyle name="Celda de comprobación 20 7" xfId="16437" xr:uid="{00000000-0005-0000-0000-000005400000}"/>
    <cellStyle name="Celda de comprobación 20 8" xfId="16438" xr:uid="{00000000-0005-0000-0000-000006400000}"/>
    <cellStyle name="Celda de comprobación 20 9" xfId="16439" xr:uid="{00000000-0005-0000-0000-000007400000}"/>
    <cellStyle name="Celda de comprobación 21 10" xfId="16440" xr:uid="{00000000-0005-0000-0000-000008400000}"/>
    <cellStyle name="Celda de comprobación 21 11" xfId="16441" xr:uid="{00000000-0005-0000-0000-000009400000}"/>
    <cellStyle name="Celda de comprobación 21 12" xfId="16442" xr:uid="{00000000-0005-0000-0000-00000A400000}"/>
    <cellStyle name="Celda de comprobación 21 13" xfId="16443" xr:uid="{00000000-0005-0000-0000-00000B400000}"/>
    <cellStyle name="Celda de comprobación 21 14" xfId="16444" xr:uid="{00000000-0005-0000-0000-00000C400000}"/>
    <cellStyle name="Celda de comprobación 21 15" xfId="16445" xr:uid="{00000000-0005-0000-0000-00000D400000}"/>
    <cellStyle name="Celda de comprobación 21 16" xfId="16446" xr:uid="{00000000-0005-0000-0000-00000E400000}"/>
    <cellStyle name="Celda de comprobación 21 17" xfId="16447" xr:uid="{00000000-0005-0000-0000-00000F400000}"/>
    <cellStyle name="Celda de comprobación 21 18" xfId="16448" xr:uid="{00000000-0005-0000-0000-000010400000}"/>
    <cellStyle name="Celda de comprobación 21 19" xfId="16449" xr:uid="{00000000-0005-0000-0000-000011400000}"/>
    <cellStyle name="Celda de comprobación 21 2" xfId="16450" xr:uid="{00000000-0005-0000-0000-000012400000}"/>
    <cellStyle name="Celda de comprobación 21 2 2" xfId="16451" xr:uid="{00000000-0005-0000-0000-000013400000}"/>
    <cellStyle name="Celda de comprobación 21 3" xfId="16452" xr:uid="{00000000-0005-0000-0000-000014400000}"/>
    <cellStyle name="Celda de comprobación 21 3 2" xfId="16453" xr:uid="{00000000-0005-0000-0000-000015400000}"/>
    <cellStyle name="Celda de comprobación 21 4" xfId="16454" xr:uid="{00000000-0005-0000-0000-000016400000}"/>
    <cellStyle name="Celda de comprobación 21 4 2" xfId="16455" xr:uid="{00000000-0005-0000-0000-000017400000}"/>
    <cellStyle name="Celda de comprobación 21 5" xfId="16456" xr:uid="{00000000-0005-0000-0000-000018400000}"/>
    <cellStyle name="Celda de comprobación 21 6" xfId="16457" xr:uid="{00000000-0005-0000-0000-000019400000}"/>
    <cellStyle name="Celda de comprobación 21 7" xfId="16458" xr:uid="{00000000-0005-0000-0000-00001A400000}"/>
    <cellStyle name="Celda de comprobación 21 8" xfId="16459" xr:uid="{00000000-0005-0000-0000-00001B400000}"/>
    <cellStyle name="Celda de comprobación 21 9" xfId="16460" xr:uid="{00000000-0005-0000-0000-00001C400000}"/>
    <cellStyle name="Celda de comprobación 22 10" xfId="16461" xr:uid="{00000000-0005-0000-0000-00001D400000}"/>
    <cellStyle name="Celda de comprobación 22 11" xfId="16462" xr:uid="{00000000-0005-0000-0000-00001E400000}"/>
    <cellStyle name="Celda de comprobación 22 12" xfId="16463" xr:uid="{00000000-0005-0000-0000-00001F400000}"/>
    <cellStyle name="Celda de comprobación 22 13" xfId="16464" xr:uid="{00000000-0005-0000-0000-000020400000}"/>
    <cellStyle name="Celda de comprobación 22 14" xfId="16465" xr:uid="{00000000-0005-0000-0000-000021400000}"/>
    <cellStyle name="Celda de comprobación 22 15" xfId="16466" xr:uid="{00000000-0005-0000-0000-000022400000}"/>
    <cellStyle name="Celda de comprobación 22 16" xfId="16467" xr:uid="{00000000-0005-0000-0000-000023400000}"/>
    <cellStyle name="Celda de comprobación 22 17" xfId="16468" xr:uid="{00000000-0005-0000-0000-000024400000}"/>
    <cellStyle name="Celda de comprobación 22 18" xfId="16469" xr:uid="{00000000-0005-0000-0000-000025400000}"/>
    <cellStyle name="Celda de comprobación 22 19" xfId="16470" xr:uid="{00000000-0005-0000-0000-000026400000}"/>
    <cellStyle name="Celda de comprobación 22 2" xfId="16471" xr:uid="{00000000-0005-0000-0000-000027400000}"/>
    <cellStyle name="Celda de comprobación 22 2 2" xfId="16472" xr:uid="{00000000-0005-0000-0000-000028400000}"/>
    <cellStyle name="Celda de comprobación 22 3" xfId="16473" xr:uid="{00000000-0005-0000-0000-000029400000}"/>
    <cellStyle name="Celda de comprobación 22 3 2" xfId="16474" xr:uid="{00000000-0005-0000-0000-00002A400000}"/>
    <cellStyle name="Celda de comprobación 22 4" xfId="16475" xr:uid="{00000000-0005-0000-0000-00002B400000}"/>
    <cellStyle name="Celda de comprobación 22 4 2" xfId="16476" xr:uid="{00000000-0005-0000-0000-00002C400000}"/>
    <cellStyle name="Celda de comprobación 22 5" xfId="16477" xr:uid="{00000000-0005-0000-0000-00002D400000}"/>
    <cellStyle name="Celda de comprobación 22 6" xfId="16478" xr:uid="{00000000-0005-0000-0000-00002E400000}"/>
    <cellStyle name="Celda de comprobación 22 7" xfId="16479" xr:uid="{00000000-0005-0000-0000-00002F400000}"/>
    <cellStyle name="Celda de comprobación 22 8" xfId="16480" xr:uid="{00000000-0005-0000-0000-000030400000}"/>
    <cellStyle name="Celda de comprobación 22 9" xfId="16481" xr:uid="{00000000-0005-0000-0000-000031400000}"/>
    <cellStyle name="Celda de comprobación 23 10" xfId="16482" xr:uid="{00000000-0005-0000-0000-000032400000}"/>
    <cellStyle name="Celda de comprobación 23 11" xfId="16483" xr:uid="{00000000-0005-0000-0000-000033400000}"/>
    <cellStyle name="Celda de comprobación 23 12" xfId="16484" xr:uid="{00000000-0005-0000-0000-000034400000}"/>
    <cellStyle name="Celda de comprobación 23 13" xfId="16485" xr:uid="{00000000-0005-0000-0000-000035400000}"/>
    <cellStyle name="Celda de comprobación 23 14" xfId="16486" xr:uid="{00000000-0005-0000-0000-000036400000}"/>
    <cellStyle name="Celda de comprobación 23 15" xfId="16487" xr:uid="{00000000-0005-0000-0000-000037400000}"/>
    <cellStyle name="Celda de comprobación 23 16" xfId="16488" xr:uid="{00000000-0005-0000-0000-000038400000}"/>
    <cellStyle name="Celda de comprobación 23 17" xfId="16489" xr:uid="{00000000-0005-0000-0000-000039400000}"/>
    <cellStyle name="Celda de comprobación 23 18" xfId="16490" xr:uid="{00000000-0005-0000-0000-00003A400000}"/>
    <cellStyle name="Celda de comprobación 23 19" xfId="16491" xr:uid="{00000000-0005-0000-0000-00003B400000}"/>
    <cellStyle name="Celda de comprobación 23 2" xfId="16492" xr:uid="{00000000-0005-0000-0000-00003C400000}"/>
    <cellStyle name="Celda de comprobación 23 2 2" xfId="16493" xr:uid="{00000000-0005-0000-0000-00003D400000}"/>
    <cellStyle name="Celda de comprobación 23 3" xfId="16494" xr:uid="{00000000-0005-0000-0000-00003E400000}"/>
    <cellStyle name="Celda de comprobación 23 3 2" xfId="16495" xr:uid="{00000000-0005-0000-0000-00003F400000}"/>
    <cellStyle name="Celda de comprobación 23 4" xfId="16496" xr:uid="{00000000-0005-0000-0000-000040400000}"/>
    <cellStyle name="Celda de comprobación 23 4 2" xfId="16497" xr:uid="{00000000-0005-0000-0000-000041400000}"/>
    <cellStyle name="Celda de comprobación 23 5" xfId="16498" xr:uid="{00000000-0005-0000-0000-000042400000}"/>
    <cellStyle name="Celda de comprobación 23 6" xfId="16499" xr:uid="{00000000-0005-0000-0000-000043400000}"/>
    <cellStyle name="Celda de comprobación 23 7" xfId="16500" xr:uid="{00000000-0005-0000-0000-000044400000}"/>
    <cellStyle name="Celda de comprobación 23 8" xfId="16501" xr:uid="{00000000-0005-0000-0000-000045400000}"/>
    <cellStyle name="Celda de comprobación 23 9" xfId="16502" xr:uid="{00000000-0005-0000-0000-000046400000}"/>
    <cellStyle name="Celda de comprobación 24 10" xfId="16503" xr:uid="{00000000-0005-0000-0000-000047400000}"/>
    <cellStyle name="Celda de comprobación 24 11" xfId="16504" xr:uid="{00000000-0005-0000-0000-000048400000}"/>
    <cellStyle name="Celda de comprobación 24 12" xfId="16505" xr:uid="{00000000-0005-0000-0000-000049400000}"/>
    <cellStyle name="Celda de comprobación 24 13" xfId="16506" xr:uid="{00000000-0005-0000-0000-00004A400000}"/>
    <cellStyle name="Celda de comprobación 24 14" xfId="16507" xr:uid="{00000000-0005-0000-0000-00004B400000}"/>
    <cellStyle name="Celda de comprobación 24 15" xfId="16508" xr:uid="{00000000-0005-0000-0000-00004C400000}"/>
    <cellStyle name="Celda de comprobación 24 16" xfId="16509" xr:uid="{00000000-0005-0000-0000-00004D400000}"/>
    <cellStyle name="Celda de comprobación 24 17" xfId="16510" xr:uid="{00000000-0005-0000-0000-00004E400000}"/>
    <cellStyle name="Celda de comprobación 24 18" xfId="16511" xr:uid="{00000000-0005-0000-0000-00004F400000}"/>
    <cellStyle name="Celda de comprobación 24 19" xfId="16512" xr:uid="{00000000-0005-0000-0000-000050400000}"/>
    <cellStyle name="Celda de comprobación 24 2" xfId="16513" xr:uid="{00000000-0005-0000-0000-000051400000}"/>
    <cellStyle name="Celda de comprobación 24 2 2" xfId="16514" xr:uid="{00000000-0005-0000-0000-000052400000}"/>
    <cellStyle name="Celda de comprobación 24 3" xfId="16515" xr:uid="{00000000-0005-0000-0000-000053400000}"/>
    <cellStyle name="Celda de comprobación 24 3 2" xfId="16516" xr:uid="{00000000-0005-0000-0000-000054400000}"/>
    <cellStyle name="Celda de comprobación 24 4" xfId="16517" xr:uid="{00000000-0005-0000-0000-000055400000}"/>
    <cellStyle name="Celda de comprobación 24 4 2" xfId="16518" xr:uid="{00000000-0005-0000-0000-000056400000}"/>
    <cellStyle name="Celda de comprobación 24 5" xfId="16519" xr:uid="{00000000-0005-0000-0000-000057400000}"/>
    <cellStyle name="Celda de comprobación 24 6" xfId="16520" xr:uid="{00000000-0005-0000-0000-000058400000}"/>
    <cellStyle name="Celda de comprobación 24 7" xfId="16521" xr:uid="{00000000-0005-0000-0000-000059400000}"/>
    <cellStyle name="Celda de comprobación 24 8" xfId="16522" xr:uid="{00000000-0005-0000-0000-00005A400000}"/>
    <cellStyle name="Celda de comprobación 24 9" xfId="16523" xr:uid="{00000000-0005-0000-0000-00005B400000}"/>
    <cellStyle name="Celda de comprobación 25 10" xfId="16524" xr:uid="{00000000-0005-0000-0000-00005C400000}"/>
    <cellStyle name="Celda de comprobación 25 11" xfId="16525" xr:uid="{00000000-0005-0000-0000-00005D400000}"/>
    <cellStyle name="Celda de comprobación 25 12" xfId="16526" xr:uid="{00000000-0005-0000-0000-00005E400000}"/>
    <cellStyle name="Celda de comprobación 25 13" xfId="16527" xr:uid="{00000000-0005-0000-0000-00005F400000}"/>
    <cellStyle name="Celda de comprobación 25 14" xfId="16528" xr:uid="{00000000-0005-0000-0000-000060400000}"/>
    <cellStyle name="Celda de comprobación 25 15" xfId="16529" xr:uid="{00000000-0005-0000-0000-000061400000}"/>
    <cellStyle name="Celda de comprobación 25 16" xfId="16530" xr:uid="{00000000-0005-0000-0000-000062400000}"/>
    <cellStyle name="Celda de comprobación 25 17" xfId="16531" xr:uid="{00000000-0005-0000-0000-000063400000}"/>
    <cellStyle name="Celda de comprobación 25 18" xfId="16532" xr:uid="{00000000-0005-0000-0000-000064400000}"/>
    <cellStyle name="Celda de comprobación 25 19" xfId="16533" xr:uid="{00000000-0005-0000-0000-000065400000}"/>
    <cellStyle name="Celda de comprobación 25 2" xfId="16534" xr:uid="{00000000-0005-0000-0000-000066400000}"/>
    <cellStyle name="Celda de comprobación 25 2 2" xfId="16535" xr:uid="{00000000-0005-0000-0000-000067400000}"/>
    <cellStyle name="Celda de comprobación 25 3" xfId="16536" xr:uid="{00000000-0005-0000-0000-000068400000}"/>
    <cellStyle name="Celda de comprobación 25 3 2" xfId="16537" xr:uid="{00000000-0005-0000-0000-000069400000}"/>
    <cellStyle name="Celda de comprobación 25 4" xfId="16538" xr:uid="{00000000-0005-0000-0000-00006A400000}"/>
    <cellStyle name="Celda de comprobación 25 4 2" xfId="16539" xr:uid="{00000000-0005-0000-0000-00006B400000}"/>
    <cellStyle name="Celda de comprobación 25 5" xfId="16540" xr:uid="{00000000-0005-0000-0000-00006C400000}"/>
    <cellStyle name="Celda de comprobación 25 6" xfId="16541" xr:uid="{00000000-0005-0000-0000-00006D400000}"/>
    <cellStyle name="Celda de comprobación 25 7" xfId="16542" xr:uid="{00000000-0005-0000-0000-00006E400000}"/>
    <cellStyle name="Celda de comprobación 25 8" xfId="16543" xr:uid="{00000000-0005-0000-0000-00006F400000}"/>
    <cellStyle name="Celda de comprobación 25 9" xfId="16544" xr:uid="{00000000-0005-0000-0000-000070400000}"/>
    <cellStyle name="Celda de comprobación 26 10" xfId="16545" xr:uid="{00000000-0005-0000-0000-000071400000}"/>
    <cellStyle name="Celda de comprobación 26 11" xfId="16546" xr:uid="{00000000-0005-0000-0000-000072400000}"/>
    <cellStyle name="Celda de comprobación 26 12" xfId="16547" xr:uid="{00000000-0005-0000-0000-000073400000}"/>
    <cellStyle name="Celda de comprobación 26 13" xfId="16548" xr:uid="{00000000-0005-0000-0000-000074400000}"/>
    <cellStyle name="Celda de comprobación 26 14" xfId="16549" xr:uid="{00000000-0005-0000-0000-000075400000}"/>
    <cellStyle name="Celda de comprobación 26 15" xfId="16550" xr:uid="{00000000-0005-0000-0000-000076400000}"/>
    <cellStyle name="Celda de comprobación 26 16" xfId="16551" xr:uid="{00000000-0005-0000-0000-000077400000}"/>
    <cellStyle name="Celda de comprobación 26 17" xfId="16552" xr:uid="{00000000-0005-0000-0000-000078400000}"/>
    <cellStyle name="Celda de comprobación 26 18" xfId="16553" xr:uid="{00000000-0005-0000-0000-000079400000}"/>
    <cellStyle name="Celda de comprobación 26 19" xfId="16554" xr:uid="{00000000-0005-0000-0000-00007A400000}"/>
    <cellStyle name="Celda de comprobación 26 2" xfId="16555" xr:uid="{00000000-0005-0000-0000-00007B400000}"/>
    <cellStyle name="Celda de comprobación 26 2 2" xfId="16556" xr:uid="{00000000-0005-0000-0000-00007C400000}"/>
    <cellStyle name="Celda de comprobación 26 3" xfId="16557" xr:uid="{00000000-0005-0000-0000-00007D400000}"/>
    <cellStyle name="Celda de comprobación 26 3 2" xfId="16558" xr:uid="{00000000-0005-0000-0000-00007E400000}"/>
    <cellStyle name="Celda de comprobación 26 4" xfId="16559" xr:uid="{00000000-0005-0000-0000-00007F400000}"/>
    <cellStyle name="Celda de comprobación 26 4 2" xfId="16560" xr:uid="{00000000-0005-0000-0000-000080400000}"/>
    <cellStyle name="Celda de comprobación 26 5" xfId="16561" xr:uid="{00000000-0005-0000-0000-000081400000}"/>
    <cellStyle name="Celda de comprobación 26 6" xfId="16562" xr:uid="{00000000-0005-0000-0000-000082400000}"/>
    <cellStyle name="Celda de comprobación 26 7" xfId="16563" xr:uid="{00000000-0005-0000-0000-000083400000}"/>
    <cellStyle name="Celda de comprobación 26 8" xfId="16564" xr:uid="{00000000-0005-0000-0000-000084400000}"/>
    <cellStyle name="Celda de comprobación 26 9" xfId="16565" xr:uid="{00000000-0005-0000-0000-000085400000}"/>
    <cellStyle name="Celda de comprobación 27 10" xfId="16566" xr:uid="{00000000-0005-0000-0000-000086400000}"/>
    <cellStyle name="Celda de comprobación 27 11" xfId="16567" xr:uid="{00000000-0005-0000-0000-000087400000}"/>
    <cellStyle name="Celda de comprobación 27 12" xfId="16568" xr:uid="{00000000-0005-0000-0000-000088400000}"/>
    <cellStyle name="Celda de comprobación 27 13" xfId="16569" xr:uid="{00000000-0005-0000-0000-000089400000}"/>
    <cellStyle name="Celda de comprobación 27 14" xfId="16570" xr:uid="{00000000-0005-0000-0000-00008A400000}"/>
    <cellStyle name="Celda de comprobación 27 15" xfId="16571" xr:uid="{00000000-0005-0000-0000-00008B400000}"/>
    <cellStyle name="Celda de comprobación 27 16" xfId="16572" xr:uid="{00000000-0005-0000-0000-00008C400000}"/>
    <cellStyle name="Celda de comprobación 27 17" xfId="16573" xr:uid="{00000000-0005-0000-0000-00008D400000}"/>
    <cellStyle name="Celda de comprobación 27 18" xfId="16574" xr:uid="{00000000-0005-0000-0000-00008E400000}"/>
    <cellStyle name="Celda de comprobación 27 19" xfId="16575" xr:uid="{00000000-0005-0000-0000-00008F400000}"/>
    <cellStyle name="Celda de comprobación 27 2" xfId="16576" xr:uid="{00000000-0005-0000-0000-000090400000}"/>
    <cellStyle name="Celda de comprobación 27 2 2" xfId="16577" xr:uid="{00000000-0005-0000-0000-000091400000}"/>
    <cellStyle name="Celda de comprobación 27 3" xfId="16578" xr:uid="{00000000-0005-0000-0000-000092400000}"/>
    <cellStyle name="Celda de comprobación 27 3 2" xfId="16579" xr:uid="{00000000-0005-0000-0000-000093400000}"/>
    <cellStyle name="Celda de comprobación 27 4" xfId="16580" xr:uid="{00000000-0005-0000-0000-000094400000}"/>
    <cellStyle name="Celda de comprobación 27 4 2" xfId="16581" xr:uid="{00000000-0005-0000-0000-000095400000}"/>
    <cellStyle name="Celda de comprobación 27 5" xfId="16582" xr:uid="{00000000-0005-0000-0000-000096400000}"/>
    <cellStyle name="Celda de comprobación 27 6" xfId="16583" xr:uid="{00000000-0005-0000-0000-000097400000}"/>
    <cellStyle name="Celda de comprobación 27 7" xfId="16584" xr:uid="{00000000-0005-0000-0000-000098400000}"/>
    <cellStyle name="Celda de comprobación 27 8" xfId="16585" xr:uid="{00000000-0005-0000-0000-000099400000}"/>
    <cellStyle name="Celda de comprobación 27 9" xfId="16586" xr:uid="{00000000-0005-0000-0000-00009A400000}"/>
    <cellStyle name="Celda de comprobación 28 10" xfId="16587" xr:uid="{00000000-0005-0000-0000-00009B400000}"/>
    <cellStyle name="Celda de comprobación 28 11" xfId="16588" xr:uid="{00000000-0005-0000-0000-00009C400000}"/>
    <cellStyle name="Celda de comprobación 28 12" xfId="16589" xr:uid="{00000000-0005-0000-0000-00009D400000}"/>
    <cellStyle name="Celda de comprobación 28 13" xfId="16590" xr:uid="{00000000-0005-0000-0000-00009E400000}"/>
    <cellStyle name="Celda de comprobación 28 14" xfId="16591" xr:uid="{00000000-0005-0000-0000-00009F400000}"/>
    <cellStyle name="Celda de comprobación 28 15" xfId="16592" xr:uid="{00000000-0005-0000-0000-0000A0400000}"/>
    <cellStyle name="Celda de comprobación 28 16" xfId="16593" xr:uid="{00000000-0005-0000-0000-0000A1400000}"/>
    <cellStyle name="Celda de comprobación 28 17" xfId="16594" xr:uid="{00000000-0005-0000-0000-0000A2400000}"/>
    <cellStyle name="Celda de comprobación 28 18" xfId="16595" xr:uid="{00000000-0005-0000-0000-0000A3400000}"/>
    <cellStyle name="Celda de comprobación 28 19" xfId="16596" xr:uid="{00000000-0005-0000-0000-0000A4400000}"/>
    <cellStyle name="Celda de comprobación 28 2" xfId="16597" xr:uid="{00000000-0005-0000-0000-0000A5400000}"/>
    <cellStyle name="Celda de comprobación 28 2 2" xfId="16598" xr:uid="{00000000-0005-0000-0000-0000A6400000}"/>
    <cellStyle name="Celda de comprobación 28 3" xfId="16599" xr:uid="{00000000-0005-0000-0000-0000A7400000}"/>
    <cellStyle name="Celda de comprobación 28 3 2" xfId="16600" xr:uid="{00000000-0005-0000-0000-0000A8400000}"/>
    <cellStyle name="Celda de comprobación 28 4" xfId="16601" xr:uid="{00000000-0005-0000-0000-0000A9400000}"/>
    <cellStyle name="Celda de comprobación 28 4 2" xfId="16602" xr:uid="{00000000-0005-0000-0000-0000AA400000}"/>
    <cellStyle name="Celda de comprobación 28 5" xfId="16603" xr:uid="{00000000-0005-0000-0000-0000AB400000}"/>
    <cellStyle name="Celda de comprobación 28 6" xfId="16604" xr:uid="{00000000-0005-0000-0000-0000AC400000}"/>
    <cellStyle name="Celda de comprobación 28 7" xfId="16605" xr:uid="{00000000-0005-0000-0000-0000AD400000}"/>
    <cellStyle name="Celda de comprobación 28 8" xfId="16606" xr:uid="{00000000-0005-0000-0000-0000AE400000}"/>
    <cellStyle name="Celda de comprobación 28 9" xfId="16607" xr:uid="{00000000-0005-0000-0000-0000AF400000}"/>
    <cellStyle name="Celda de comprobación 29 10" xfId="16608" xr:uid="{00000000-0005-0000-0000-0000B0400000}"/>
    <cellStyle name="Celda de comprobación 29 11" xfId="16609" xr:uid="{00000000-0005-0000-0000-0000B1400000}"/>
    <cellStyle name="Celda de comprobación 29 12" xfId="16610" xr:uid="{00000000-0005-0000-0000-0000B2400000}"/>
    <cellStyle name="Celda de comprobación 29 13" xfId="16611" xr:uid="{00000000-0005-0000-0000-0000B3400000}"/>
    <cellStyle name="Celda de comprobación 29 14" xfId="16612" xr:uid="{00000000-0005-0000-0000-0000B4400000}"/>
    <cellStyle name="Celda de comprobación 29 15" xfId="16613" xr:uid="{00000000-0005-0000-0000-0000B5400000}"/>
    <cellStyle name="Celda de comprobación 29 16" xfId="16614" xr:uid="{00000000-0005-0000-0000-0000B6400000}"/>
    <cellStyle name="Celda de comprobación 29 17" xfId="16615" xr:uid="{00000000-0005-0000-0000-0000B7400000}"/>
    <cellStyle name="Celda de comprobación 29 18" xfId="16616" xr:uid="{00000000-0005-0000-0000-0000B8400000}"/>
    <cellStyle name="Celda de comprobación 29 19" xfId="16617" xr:uid="{00000000-0005-0000-0000-0000B9400000}"/>
    <cellStyle name="Celda de comprobación 29 2" xfId="16618" xr:uid="{00000000-0005-0000-0000-0000BA400000}"/>
    <cellStyle name="Celda de comprobación 29 2 2" xfId="16619" xr:uid="{00000000-0005-0000-0000-0000BB400000}"/>
    <cellStyle name="Celda de comprobación 29 3" xfId="16620" xr:uid="{00000000-0005-0000-0000-0000BC400000}"/>
    <cellStyle name="Celda de comprobación 29 3 2" xfId="16621" xr:uid="{00000000-0005-0000-0000-0000BD400000}"/>
    <cellStyle name="Celda de comprobación 29 4" xfId="16622" xr:uid="{00000000-0005-0000-0000-0000BE400000}"/>
    <cellStyle name="Celda de comprobación 29 4 2" xfId="16623" xr:uid="{00000000-0005-0000-0000-0000BF400000}"/>
    <cellStyle name="Celda de comprobación 29 5" xfId="16624" xr:uid="{00000000-0005-0000-0000-0000C0400000}"/>
    <cellStyle name="Celda de comprobación 29 6" xfId="16625" xr:uid="{00000000-0005-0000-0000-0000C1400000}"/>
    <cellStyle name="Celda de comprobación 29 7" xfId="16626" xr:uid="{00000000-0005-0000-0000-0000C2400000}"/>
    <cellStyle name="Celda de comprobación 29 8" xfId="16627" xr:uid="{00000000-0005-0000-0000-0000C3400000}"/>
    <cellStyle name="Celda de comprobación 29 9" xfId="16628" xr:uid="{00000000-0005-0000-0000-0000C4400000}"/>
    <cellStyle name="Celda de comprobación 3 10" xfId="16629" xr:uid="{00000000-0005-0000-0000-0000C5400000}"/>
    <cellStyle name="Celda de comprobación 3 11" xfId="16630" xr:uid="{00000000-0005-0000-0000-0000C6400000}"/>
    <cellStyle name="Celda de comprobación 3 12" xfId="16631" xr:uid="{00000000-0005-0000-0000-0000C7400000}"/>
    <cellStyle name="Celda de comprobación 3 13" xfId="16632" xr:uid="{00000000-0005-0000-0000-0000C8400000}"/>
    <cellStyle name="Celda de comprobación 3 14" xfId="16633" xr:uid="{00000000-0005-0000-0000-0000C9400000}"/>
    <cellStyle name="Celda de comprobación 3 15" xfId="16634" xr:uid="{00000000-0005-0000-0000-0000CA400000}"/>
    <cellStyle name="Celda de comprobación 3 16" xfId="16635" xr:uid="{00000000-0005-0000-0000-0000CB400000}"/>
    <cellStyle name="Celda de comprobación 3 17" xfId="16636" xr:uid="{00000000-0005-0000-0000-0000CC400000}"/>
    <cellStyle name="Celda de comprobación 3 18" xfId="16637" xr:uid="{00000000-0005-0000-0000-0000CD400000}"/>
    <cellStyle name="Celda de comprobación 3 19" xfId="16638" xr:uid="{00000000-0005-0000-0000-0000CE400000}"/>
    <cellStyle name="Celda de comprobación 3 2" xfId="16639" xr:uid="{00000000-0005-0000-0000-0000CF400000}"/>
    <cellStyle name="Celda de comprobación 3 2 2" xfId="16640" xr:uid="{00000000-0005-0000-0000-0000D0400000}"/>
    <cellStyle name="Celda de comprobación 3 3" xfId="16641" xr:uid="{00000000-0005-0000-0000-0000D1400000}"/>
    <cellStyle name="Celda de comprobación 3 3 2" xfId="16642" xr:uid="{00000000-0005-0000-0000-0000D2400000}"/>
    <cellStyle name="Celda de comprobación 3 4" xfId="16643" xr:uid="{00000000-0005-0000-0000-0000D3400000}"/>
    <cellStyle name="Celda de comprobación 3 4 2" xfId="16644" xr:uid="{00000000-0005-0000-0000-0000D4400000}"/>
    <cellStyle name="Celda de comprobación 3 5" xfId="16645" xr:uid="{00000000-0005-0000-0000-0000D5400000}"/>
    <cellStyle name="Celda de comprobación 3 6" xfId="16646" xr:uid="{00000000-0005-0000-0000-0000D6400000}"/>
    <cellStyle name="Celda de comprobación 3 7" xfId="16647" xr:uid="{00000000-0005-0000-0000-0000D7400000}"/>
    <cellStyle name="Celda de comprobación 3 8" xfId="16648" xr:uid="{00000000-0005-0000-0000-0000D8400000}"/>
    <cellStyle name="Celda de comprobación 3 9" xfId="16649" xr:uid="{00000000-0005-0000-0000-0000D9400000}"/>
    <cellStyle name="Celda de comprobación 30 10" xfId="16650" xr:uid="{00000000-0005-0000-0000-0000DA400000}"/>
    <cellStyle name="Celda de comprobación 30 11" xfId="16651" xr:uid="{00000000-0005-0000-0000-0000DB400000}"/>
    <cellStyle name="Celda de comprobación 30 12" xfId="16652" xr:uid="{00000000-0005-0000-0000-0000DC400000}"/>
    <cellStyle name="Celda de comprobación 30 13" xfId="16653" xr:uid="{00000000-0005-0000-0000-0000DD400000}"/>
    <cellStyle name="Celda de comprobación 30 14" xfId="16654" xr:uid="{00000000-0005-0000-0000-0000DE400000}"/>
    <cellStyle name="Celda de comprobación 30 15" xfId="16655" xr:uid="{00000000-0005-0000-0000-0000DF400000}"/>
    <cellStyle name="Celda de comprobación 30 16" xfId="16656" xr:uid="{00000000-0005-0000-0000-0000E0400000}"/>
    <cellStyle name="Celda de comprobación 30 17" xfId="16657" xr:uid="{00000000-0005-0000-0000-0000E1400000}"/>
    <cellStyle name="Celda de comprobación 30 18" xfId="16658" xr:uid="{00000000-0005-0000-0000-0000E2400000}"/>
    <cellStyle name="Celda de comprobación 30 19" xfId="16659" xr:uid="{00000000-0005-0000-0000-0000E3400000}"/>
    <cellStyle name="Celda de comprobación 30 2" xfId="16660" xr:uid="{00000000-0005-0000-0000-0000E4400000}"/>
    <cellStyle name="Celda de comprobación 30 2 2" xfId="16661" xr:uid="{00000000-0005-0000-0000-0000E5400000}"/>
    <cellStyle name="Celda de comprobación 30 3" xfId="16662" xr:uid="{00000000-0005-0000-0000-0000E6400000}"/>
    <cellStyle name="Celda de comprobación 30 3 2" xfId="16663" xr:uid="{00000000-0005-0000-0000-0000E7400000}"/>
    <cellStyle name="Celda de comprobación 30 4" xfId="16664" xr:uid="{00000000-0005-0000-0000-0000E8400000}"/>
    <cellStyle name="Celda de comprobación 30 4 2" xfId="16665" xr:uid="{00000000-0005-0000-0000-0000E9400000}"/>
    <cellStyle name="Celda de comprobación 30 5" xfId="16666" xr:uid="{00000000-0005-0000-0000-0000EA400000}"/>
    <cellStyle name="Celda de comprobación 30 6" xfId="16667" xr:uid="{00000000-0005-0000-0000-0000EB400000}"/>
    <cellStyle name="Celda de comprobación 30 7" xfId="16668" xr:uid="{00000000-0005-0000-0000-0000EC400000}"/>
    <cellStyle name="Celda de comprobación 30 8" xfId="16669" xr:uid="{00000000-0005-0000-0000-0000ED400000}"/>
    <cellStyle name="Celda de comprobación 30 9" xfId="16670" xr:uid="{00000000-0005-0000-0000-0000EE400000}"/>
    <cellStyle name="Celda de comprobación 31 10" xfId="16671" xr:uid="{00000000-0005-0000-0000-0000EF400000}"/>
    <cellStyle name="Celda de comprobación 31 11" xfId="16672" xr:uid="{00000000-0005-0000-0000-0000F0400000}"/>
    <cellStyle name="Celda de comprobación 31 12" xfId="16673" xr:uid="{00000000-0005-0000-0000-0000F1400000}"/>
    <cellStyle name="Celda de comprobación 31 13" xfId="16674" xr:uid="{00000000-0005-0000-0000-0000F2400000}"/>
    <cellStyle name="Celda de comprobación 31 14" xfId="16675" xr:uid="{00000000-0005-0000-0000-0000F3400000}"/>
    <cellStyle name="Celda de comprobación 31 15" xfId="16676" xr:uid="{00000000-0005-0000-0000-0000F4400000}"/>
    <cellStyle name="Celda de comprobación 31 16" xfId="16677" xr:uid="{00000000-0005-0000-0000-0000F5400000}"/>
    <cellStyle name="Celda de comprobación 31 17" xfId="16678" xr:uid="{00000000-0005-0000-0000-0000F6400000}"/>
    <cellStyle name="Celda de comprobación 31 18" xfId="16679" xr:uid="{00000000-0005-0000-0000-0000F7400000}"/>
    <cellStyle name="Celda de comprobación 31 19" xfId="16680" xr:uid="{00000000-0005-0000-0000-0000F8400000}"/>
    <cellStyle name="Celda de comprobación 31 2" xfId="16681" xr:uid="{00000000-0005-0000-0000-0000F9400000}"/>
    <cellStyle name="Celda de comprobación 31 2 2" xfId="16682" xr:uid="{00000000-0005-0000-0000-0000FA400000}"/>
    <cellStyle name="Celda de comprobación 31 3" xfId="16683" xr:uid="{00000000-0005-0000-0000-0000FB400000}"/>
    <cellStyle name="Celda de comprobación 31 3 2" xfId="16684" xr:uid="{00000000-0005-0000-0000-0000FC400000}"/>
    <cellStyle name="Celda de comprobación 31 4" xfId="16685" xr:uid="{00000000-0005-0000-0000-0000FD400000}"/>
    <cellStyle name="Celda de comprobación 31 4 2" xfId="16686" xr:uid="{00000000-0005-0000-0000-0000FE400000}"/>
    <cellStyle name="Celda de comprobación 31 5" xfId="16687" xr:uid="{00000000-0005-0000-0000-0000FF400000}"/>
    <cellStyle name="Celda de comprobación 31 6" xfId="16688" xr:uid="{00000000-0005-0000-0000-000000410000}"/>
    <cellStyle name="Celda de comprobación 31 7" xfId="16689" xr:uid="{00000000-0005-0000-0000-000001410000}"/>
    <cellStyle name="Celda de comprobación 31 8" xfId="16690" xr:uid="{00000000-0005-0000-0000-000002410000}"/>
    <cellStyle name="Celda de comprobación 31 9" xfId="16691" xr:uid="{00000000-0005-0000-0000-000003410000}"/>
    <cellStyle name="Celda de comprobación 32 10" xfId="16692" xr:uid="{00000000-0005-0000-0000-000004410000}"/>
    <cellStyle name="Celda de comprobación 32 11" xfId="16693" xr:uid="{00000000-0005-0000-0000-000005410000}"/>
    <cellStyle name="Celda de comprobación 32 12" xfId="16694" xr:uid="{00000000-0005-0000-0000-000006410000}"/>
    <cellStyle name="Celda de comprobación 32 13" xfId="16695" xr:uid="{00000000-0005-0000-0000-000007410000}"/>
    <cellStyle name="Celda de comprobación 32 14" xfId="16696" xr:uid="{00000000-0005-0000-0000-000008410000}"/>
    <cellStyle name="Celda de comprobación 32 15" xfId="16697" xr:uid="{00000000-0005-0000-0000-000009410000}"/>
    <cellStyle name="Celda de comprobación 32 16" xfId="16698" xr:uid="{00000000-0005-0000-0000-00000A410000}"/>
    <cellStyle name="Celda de comprobación 32 17" xfId="16699" xr:uid="{00000000-0005-0000-0000-00000B410000}"/>
    <cellStyle name="Celda de comprobación 32 18" xfId="16700" xr:uid="{00000000-0005-0000-0000-00000C410000}"/>
    <cellStyle name="Celda de comprobación 32 19" xfId="16701" xr:uid="{00000000-0005-0000-0000-00000D410000}"/>
    <cellStyle name="Celda de comprobación 32 2" xfId="16702" xr:uid="{00000000-0005-0000-0000-00000E410000}"/>
    <cellStyle name="Celda de comprobación 32 2 2" xfId="16703" xr:uid="{00000000-0005-0000-0000-00000F410000}"/>
    <cellStyle name="Celda de comprobación 32 3" xfId="16704" xr:uid="{00000000-0005-0000-0000-000010410000}"/>
    <cellStyle name="Celda de comprobación 32 3 2" xfId="16705" xr:uid="{00000000-0005-0000-0000-000011410000}"/>
    <cellStyle name="Celda de comprobación 32 4" xfId="16706" xr:uid="{00000000-0005-0000-0000-000012410000}"/>
    <cellStyle name="Celda de comprobación 32 4 2" xfId="16707" xr:uid="{00000000-0005-0000-0000-000013410000}"/>
    <cellStyle name="Celda de comprobación 32 5" xfId="16708" xr:uid="{00000000-0005-0000-0000-000014410000}"/>
    <cellStyle name="Celda de comprobación 32 6" xfId="16709" xr:uid="{00000000-0005-0000-0000-000015410000}"/>
    <cellStyle name="Celda de comprobación 32 7" xfId="16710" xr:uid="{00000000-0005-0000-0000-000016410000}"/>
    <cellStyle name="Celda de comprobación 32 8" xfId="16711" xr:uid="{00000000-0005-0000-0000-000017410000}"/>
    <cellStyle name="Celda de comprobación 32 9" xfId="16712" xr:uid="{00000000-0005-0000-0000-000018410000}"/>
    <cellStyle name="Celda de comprobación 33 10" xfId="16713" xr:uid="{00000000-0005-0000-0000-000019410000}"/>
    <cellStyle name="Celda de comprobación 33 11" xfId="16714" xr:uid="{00000000-0005-0000-0000-00001A410000}"/>
    <cellStyle name="Celda de comprobación 33 12" xfId="16715" xr:uid="{00000000-0005-0000-0000-00001B410000}"/>
    <cellStyle name="Celda de comprobación 33 13" xfId="16716" xr:uid="{00000000-0005-0000-0000-00001C410000}"/>
    <cellStyle name="Celda de comprobación 33 14" xfId="16717" xr:uid="{00000000-0005-0000-0000-00001D410000}"/>
    <cellStyle name="Celda de comprobación 33 15" xfId="16718" xr:uid="{00000000-0005-0000-0000-00001E410000}"/>
    <cellStyle name="Celda de comprobación 33 16" xfId="16719" xr:uid="{00000000-0005-0000-0000-00001F410000}"/>
    <cellStyle name="Celda de comprobación 33 17" xfId="16720" xr:uid="{00000000-0005-0000-0000-000020410000}"/>
    <cellStyle name="Celda de comprobación 33 18" xfId="16721" xr:uid="{00000000-0005-0000-0000-000021410000}"/>
    <cellStyle name="Celda de comprobación 33 19" xfId="16722" xr:uid="{00000000-0005-0000-0000-000022410000}"/>
    <cellStyle name="Celda de comprobación 33 2" xfId="16723" xr:uid="{00000000-0005-0000-0000-000023410000}"/>
    <cellStyle name="Celda de comprobación 33 2 2" xfId="16724" xr:uid="{00000000-0005-0000-0000-000024410000}"/>
    <cellStyle name="Celda de comprobación 33 3" xfId="16725" xr:uid="{00000000-0005-0000-0000-000025410000}"/>
    <cellStyle name="Celda de comprobación 33 3 2" xfId="16726" xr:uid="{00000000-0005-0000-0000-000026410000}"/>
    <cellStyle name="Celda de comprobación 33 4" xfId="16727" xr:uid="{00000000-0005-0000-0000-000027410000}"/>
    <cellStyle name="Celda de comprobación 33 4 2" xfId="16728" xr:uid="{00000000-0005-0000-0000-000028410000}"/>
    <cellStyle name="Celda de comprobación 33 5" xfId="16729" xr:uid="{00000000-0005-0000-0000-000029410000}"/>
    <cellStyle name="Celda de comprobación 33 6" xfId="16730" xr:uid="{00000000-0005-0000-0000-00002A410000}"/>
    <cellStyle name="Celda de comprobación 33 7" xfId="16731" xr:uid="{00000000-0005-0000-0000-00002B410000}"/>
    <cellStyle name="Celda de comprobación 33 8" xfId="16732" xr:uid="{00000000-0005-0000-0000-00002C410000}"/>
    <cellStyle name="Celda de comprobación 33 9" xfId="16733" xr:uid="{00000000-0005-0000-0000-00002D410000}"/>
    <cellStyle name="Celda de comprobación 34 10" xfId="16734" xr:uid="{00000000-0005-0000-0000-00002E410000}"/>
    <cellStyle name="Celda de comprobación 34 11" xfId="16735" xr:uid="{00000000-0005-0000-0000-00002F410000}"/>
    <cellStyle name="Celda de comprobación 34 12" xfId="16736" xr:uid="{00000000-0005-0000-0000-000030410000}"/>
    <cellStyle name="Celda de comprobación 34 13" xfId="16737" xr:uid="{00000000-0005-0000-0000-000031410000}"/>
    <cellStyle name="Celda de comprobación 34 14" xfId="16738" xr:uid="{00000000-0005-0000-0000-000032410000}"/>
    <cellStyle name="Celda de comprobación 34 15" xfId="16739" xr:uid="{00000000-0005-0000-0000-000033410000}"/>
    <cellStyle name="Celda de comprobación 34 16" xfId="16740" xr:uid="{00000000-0005-0000-0000-000034410000}"/>
    <cellStyle name="Celda de comprobación 34 17" xfId="16741" xr:uid="{00000000-0005-0000-0000-000035410000}"/>
    <cellStyle name="Celda de comprobación 34 18" xfId="16742" xr:uid="{00000000-0005-0000-0000-000036410000}"/>
    <cellStyle name="Celda de comprobación 34 19" xfId="16743" xr:uid="{00000000-0005-0000-0000-000037410000}"/>
    <cellStyle name="Celda de comprobación 34 2" xfId="16744" xr:uid="{00000000-0005-0000-0000-000038410000}"/>
    <cellStyle name="Celda de comprobación 34 2 2" xfId="16745" xr:uid="{00000000-0005-0000-0000-000039410000}"/>
    <cellStyle name="Celda de comprobación 34 3" xfId="16746" xr:uid="{00000000-0005-0000-0000-00003A410000}"/>
    <cellStyle name="Celda de comprobación 34 3 2" xfId="16747" xr:uid="{00000000-0005-0000-0000-00003B410000}"/>
    <cellStyle name="Celda de comprobación 34 4" xfId="16748" xr:uid="{00000000-0005-0000-0000-00003C410000}"/>
    <cellStyle name="Celda de comprobación 34 4 2" xfId="16749" xr:uid="{00000000-0005-0000-0000-00003D410000}"/>
    <cellStyle name="Celda de comprobación 34 5" xfId="16750" xr:uid="{00000000-0005-0000-0000-00003E410000}"/>
    <cellStyle name="Celda de comprobación 34 6" xfId="16751" xr:uid="{00000000-0005-0000-0000-00003F410000}"/>
    <cellStyle name="Celda de comprobación 34 7" xfId="16752" xr:uid="{00000000-0005-0000-0000-000040410000}"/>
    <cellStyle name="Celda de comprobación 34 8" xfId="16753" xr:uid="{00000000-0005-0000-0000-000041410000}"/>
    <cellStyle name="Celda de comprobación 34 9" xfId="16754" xr:uid="{00000000-0005-0000-0000-000042410000}"/>
    <cellStyle name="Celda de comprobación 35 10" xfId="16755" xr:uid="{00000000-0005-0000-0000-000043410000}"/>
    <cellStyle name="Celda de comprobación 35 11" xfId="16756" xr:uid="{00000000-0005-0000-0000-000044410000}"/>
    <cellStyle name="Celda de comprobación 35 12" xfId="16757" xr:uid="{00000000-0005-0000-0000-000045410000}"/>
    <cellStyle name="Celda de comprobación 35 13" xfId="16758" xr:uid="{00000000-0005-0000-0000-000046410000}"/>
    <cellStyle name="Celda de comprobación 35 14" xfId="16759" xr:uid="{00000000-0005-0000-0000-000047410000}"/>
    <cellStyle name="Celda de comprobación 35 15" xfId="16760" xr:uid="{00000000-0005-0000-0000-000048410000}"/>
    <cellStyle name="Celda de comprobación 35 16" xfId="16761" xr:uid="{00000000-0005-0000-0000-000049410000}"/>
    <cellStyle name="Celda de comprobación 35 17" xfId="16762" xr:uid="{00000000-0005-0000-0000-00004A410000}"/>
    <cellStyle name="Celda de comprobación 35 18" xfId="16763" xr:uid="{00000000-0005-0000-0000-00004B410000}"/>
    <cellStyle name="Celda de comprobación 35 19" xfId="16764" xr:uid="{00000000-0005-0000-0000-00004C410000}"/>
    <cellStyle name="Celda de comprobación 35 2" xfId="16765" xr:uid="{00000000-0005-0000-0000-00004D410000}"/>
    <cellStyle name="Celda de comprobación 35 2 2" xfId="16766" xr:uid="{00000000-0005-0000-0000-00004E410000}"/>
    <cellStyle name="Celda de comprobación 35 3" xfId="16767" xr:uid="{00000000-0005-0000-0000-00004F410000}"/>
    <cellStyle name="Celda de comprobación 35 3 2" xfId="16768" xr:uid="{00000000-0005-0000-0000-000050410000}"/>
    <cellStyle name="Celda de comprobación 35 4" xfId="16769" xr:uid="{00000000-0005-0000-0000-000051410000}"/>
    <cellStyle name="Celda de comprobación 35 4 2" xfId="16770" xr:uid="{00000000-0005-0000-0000-000052410000}"/>
    <cellStyle name="Celda de comprobación 35 5" xfId="16771" xr:uid="{00000000-0005-0000-0000-000053410000}"/>
    <cellStyle name="Celda de comprobación 35 6" xfId="16772" xr:uid="{00000000-0005-0000-0000-000054410000}"/>
    <cellStyle name="Celda de comprobación 35 7" xfId="16773" xr:uid="{00000000-0005-0000-0000-000055410000}"/>
    <cellStyle name="Celda de comprobación 35 8" xfId="16774" xr:uid="{00000000-0005-0000-0000-000056410000}"/>
    <cellStyle name="Celda de comprobación 35 9" xfId="16775" xr:uid="{00000000-0005-0000-0000-000057410000}"/>
    <cellStyle name="Celda de comprobación 36 10" xfId="16776" xr:uid="{00000000-0005-0000-0000-000058410000}"/>
    <cellStyle name="Celda de comprobación 36 11" xfId="16777" xr:uid="{00000000-0005-0000-0000-000059410000}"/>
    <cellStyle name="Celda de comprobación 36 12" xfId="16778" xr:uid="{00000000-0005-0000-0000-00005A410000}"/>
    <cellStyle name="Celda de comprobación 36 13" xfId="16779" xr:uid="{00000000-0005-0000-0000-00005B410000}"/>
    <cellStyle name="Celda de comprobación 36 14" xfId="16780" xr:uid="{00000000-0005-0000-0000-00005C410000}"/>
    <cellStyle name="Celda de comprobación 36 15" xfId="16781" xr:uid="{00000000-0005-0000-0000-00005D410000}"/>
    <cellStyle name="Celda de comprobación 36 16" xfId="16782" xr:uid="{00000000-0005-0000-0000-00005E410000}"/>
    <cellStyle name="Celda de comprobación 36 17" xfId="16783" xr:uid="{00000000-0005-0000-0000-00005F410000}"/>
    <cellStyle name="Celda de comprobación 36 18" xfId="16784" xr:uid="{00000000-0005-0000-0000-000060410000}"/>
    <cellStyle name="Celda de comprobación 36 19" xfId="16785" xr:uid="{00000000-0005-0000-0000-000061410000}"/>
    <cellStyle name="Celda de comprobación 36 2" xfId="16786" xr:uid="{00000000-0005-0000-0000-000062410000}"/>
    <cellStyle name="Celda de comprobación 36 2 2" xfId="16787" xr:uid="{00000000-0005-0000-0000-000063410000}"/>
    <cellStyle name="Celda de comprobación 36 3" xfId="16788" xr:uid="{00000000-0005-0000-0000-000064410000}"/>
    <cellStyle name="Celda de comprobación 36 3 2" xfId="16789" xr:uid="{00000000-0005-0000-0000-000065410000}"/>
    <cellStyle name="Celda de comprobación 36 4" xfId="16790" xr:uid="{00000000-0005-0000-0000-000066410000}"/>
    <cellStyle name="Celda de comprobación 36 4 2" xfId="16791" xr:uid="{00000000-0005-0000-0000-000067410000}"/>
    <cellStyle name="Celda de comprobación 36 5" xfId="16792" xr:uid="{00000000-0005-0000-0000-000068410000}"/>
    <cellStyle name="Celda de comprobación 36 6" xfId="16793" xr:uid="{00000000-0005-0000-0000-000069410000}"/>
    <cellStyle name="Celda de comprobación 36 7" xfId="16794" xr:uid="{00000000-0005-0000-0000-00006A410000}"/>
    <cellStyle name="Celda de comprobación 36 8" xfId="16795" xr:uid="{00000000-0005-0000-0000-00006B410000}"/>
    <cellStyle name="Celda de comprobación 36 9" xfId="16796" xr:uid="{00000000-0005-0000-0000-00006C410000}"/>
    <cellStyle name="Celda de comprobación 37 10" xfId="16797" xr:uid="{00000000-0005-0000-0000-00006D410000}"/>
    <cellStyle name="Celda de comprobación 37 11" xfId="16798" xr:uid="{00000000-0005-0000-0000-00006E410000}"/>
    <cellStyle name="Celda de comprobación 37 12" xfId="16799" xr:uid="{00000000-0005-0000-0000-00006F410000}"/>
    <cellStyle name="Celda de comprobación 37 13" xfId="16800" xr:uid="{00000000-0005-0000-0000-000070410000}"/>
    <cellStyle name="Celda de comprobación 37 14" xfId="16801" xr:uid="{00000000-0005-0000-0000-000071410000}"/>
    <cellStyle name="Celda de comprobación 37 15" xfId="16802" xr:uid="{00000000-0005-0000-0000-000072410000}"/>
    <cellStyle name="Celda de comprobación 37 16" xfId="16803" xr:uid="{00000000-0005-0000-0000-000073410000}"/>
    <cellStyle name="Celda de comprobación 37 17" xfId="16804" xr:uid="{00000000-0005-0000-0000-000074410000}"/>
    <cellStyle name="Celda de comprobación 37 18" xfId="16805" xr:uid="{00000000-0005-0000-0000-000075410000}"/>
    <cellStyle name="Celda de comprobación 37 19" xfId="16806" xr:uid="{00000000-0005-0000-0000-000076410000}"/>
    <cellStyle name="Celda de comprobación 37 2" xfId="16807" xr:uid="{00000000-0005-0000-0000-000077410000}"/>
    <cellStyle name="Celda de comprobación 37 2 2" xfId="16808" xr:uid="{00000000-0005-0000-0000-000078410000}"/>
    <cellStyle name="Celda de comprobación 37 3" xfId="16809" xr:uid="{00000000-0005-0000-0000-000079410000}"/>
    <cellStyle name="Celda de comprobación 37 3 2" xfId="16810" xr:uid="{00000000-0005-0000-0000-00007A410000}"/>
    <cellStyle name="Celda de comprobación 37 4" xfId="16811" xr:uid="{00000000-0005-0000-0000-00007B410000}"/>
    <cellStyle name="Celda de comprobación 37 4 2" xfId="16812" xr:uid="{00000000-0005-0000-0000-00007C410000}"/>
    <cellStyle name="Celda de comprobación 37 5" xfId="16813" xr:uid="{00000000-0005-0000-0000-00007D410000}"/>
    <cellStyle name="Celda de comprobación 37 6" xfId="16814" xr:uid="{00000000-0005-0000-0000-00007E410000}"/>
    <cellStyle name="Celda de comprobación 37 7" xfId="16815" xr:uid="{00000000-0005-0000-0000-00007F410000}"/>
    <cellStyle name="Celda de comprobación 37 8" xfId="16816" xr:uid="{00000000-0005-0000-0000-000080410000}"/>
    <cellStyle name="Celda de comprobación 37 9" xfId="16817" xr:uid="{00000000-0005-0000-0000-000081410000}"/>
    <cellStyle name="Celda de comprobación 38 10" xfId="16818" xr:uid="{00000000-0005-0000-0000-000082410000}"/>
    <cellStyle name="Celda de comprobación 38 11" xfId="16819" xr:uid="{00000000-0005-0000-0000-000083410000}"/>
    <cellStyle name="Celda de comprobación 38 12" xfId="16820" xr:uid="{00000000-0005-0000-0000-000084410000}"/>
    <cellStyle name="Celda de comprobación 38 13" xfId="16821" xr:uid="{00000000-0005-0000-0000-000085410000}"/>
    <cellStyle name="Celda de comprobación 38 14" xfId="16822" xr:uid="{00000000-0005-0000-0000-000086410000}"/>
    <cellStyle name="Celda de comprobación 38 15" xfId="16823" xr:uid="{00000000-0005-0000-0000-000087410000}"/>
    <cellStyle name="Celda de comprobación 38 16" xfId="16824" xr:uid="{00000000-0005-0000-0000-000088410000}"/>
    <cellStyle name="Celda de comprobación 38 17" xfId="16825" xr:uid="{00000000-0005-0000-0000-000089410000}"/>
    <cellStyle name="Celda de comprobación 38 18" xfId="16826" xr:uid="{00000000-0005-0000-0000-00008A410000}"/>
    <cellStyle name="Celda de comprobación 38 19" xfId="16827" xr:uid="{00000000-0005-0000-0000-00008B410000}"/>
    <cellStyle name="Celda de comprobación 38 2" xfId="16828" xr:uid="{00000000-0005-0000-0000-00008C410000}"/>
    <cellStyle name="Celda de comprobación 38 2 2" xfId="16829" xr:uid="{00000000-0005-0000-0000-00008D410000}"/>
    <cellStyle name="Celda de comprobación 38 3" xfId="16830" xr:uid="{00000000-0005-0000-0000-00008E410000}"/>
    <cellStyle name="Celda de comprobación 38 3 2" xfId="16831" xr:uid="{00000000-0005-0000-0000-00008F410000}"/>
    <cellStyle name="Celda de comprobación 38 4" xfId="16832" xr:uid="{00000000-0005-0000-0000-000090410000}"/>
    <cellStyle name="Celda de comprobación 38 4 2" xfId="16833" xr:uid="{00000000-0005-0000-0000-000091410000}"/>
    <cellStyle name="Celda de comprobación 38 5" xfId="16834" xr:uid="{00000000-0005-0000-0000-000092410000}"/>
    <cellStyle name="Celda de comprobación 38 6" xfId="16835" xr:uid="{00000000-0005-0000-0000-000093410000}"/>
    <cellStyle name="Celda de comprobación 38 7" xfId="16836" xr:uid="{00000000-0005-0000-0000-000094410000}"/>
    <cellStyle name="Celda de comprobación 38 8" xfId="16837" xr:uid="{00000000-0005-0000-0000-000095410000}"/>
    <cellStyle name="Celda de comprobación 38 9" xfId="16838" xr:uid="{00000000-0005-0000-0000-000096410000}"/>
    <cellStyle name="Celda de comprobación 39" xfId="16839" xr:uid="{00000000-0005-0000-0000-000097410000}"/>
    <cellStyle name="Celda de comprobación 39 10" xfId="16840" xr:uid="{00000000-0005-0000-0000-000098410000}"/>
    <cellStyle name="Celda de comprobación 39 11" xfId="16841" xr:uid="{00000000-0005-0000-0000-000099410000}"/>
    <cellStyle name="Celda de comprobación 39 12" xfId="16842" xr:uid="{00000000-0005-0000-0000-00009A410000}"/>
    <cellStyle name="Celda de comprobación 39 13" xfId="16843" xr:uid="{00000000-0005-0000-0000-00009B410000}"/>
    <cellStyle name="Celda de comprobación 39 14" xfId="16844" xr:uid="{00000000-0005-0000-0000-00009C410000}"/>
    <cellStyle name="Celda de comprobación 39 15" xfId="16845" xr:uid="{00000000-0005-0000-0000-00009D410000}"/>
    <cellStyle name="Celda de comprobación 39 16" xfId="16846" xr:uid="{00000000-0005-0000-0000-00009E410000}"/>
    <cellStyle name="Celda de comprobación 39 2" xfId="16847" xr:uid="{00000000-0005-0000-0000-00009F410000}"/>
    <cellStyle name="Celda de comprobación 39 3" xfId="16848" xr:uid="{00000000-0005-0000-0000-0000A0410000}"/>
    <cellStyle name="Celda de comprobación 39 4" xfId="16849" xr:uid="{00000000-0005-0000-0000-0000A1410000}"/>
    <cellStyle name="Celda de comprobación 39 5" xfId="16850" xr:uid="{00000000-0005-0000-0000-0000A2410000}"/>
    <cellStyle name="Celda de comprobación 39 6" xfId="16851" xr:uid="{00000000-0005-0000-0000-0000A3410000}"/>
    <cellStyle name="Celda de comprobación 39 7" xfId="16852" xr:uid="{00000000-0005-0000-0000-0000A4410000}"/>
    <cellStyle name="Celda de comprobación 39 8" xfId="16853" xr:uid="{00000000-0005-0000-0000-0000A5410000}"/>
    <cellStyle name="Celda de comprobación 39 9" xfId="16854" xr:uid="{00000000-0005-0000-0000-0000A6410000}"/>
    <cellStyle name="Celda de comprobación 4 10" xfId="16855" xr:uid="{00000000-0005-0000-0000-0000A7410000}"/>
    <cellStyle name="Celda de comprobación 4 11" xfId="16856" xr:uid="{00000000-0005-0000-0000-0000A8410000}"/>
    <cellStyle name="Celda de comprobación 4 12" xfId="16857" xr:uid="{00000000-0005-0000-0000-0000A9410000}"/>
    <cellStyle name="Celda de comprobación 4 13" xfId="16858" xr:uid="{00000000-0005-0000-0000-0000AA410000}"/>
    <cellStyle name="Celda de comprobación 4 14" xfId="16859" xr:uid="{00000000-0005-0000-0000-0000AB410000}"/>
    <cellStyle name="Celda de comprobación 4 15" xfId="16860" xr:uid="{00000000-0005-0000-0000-0000AC410000}"/>
    <cellStyle name="Celda de comprobación 4 16" xfId="16861" xr:uid="{00000000-0005-0000-0000-0000AD410000}"/>
    <cellStyle name="Celda de comprobación 4 17" xfId="16862" xr:uid="{00000000-0005-0000-0000-0000AE410000}"/>
    <cellStyle name="Celda de comprobación 4 18" xfId="16863" xr:uid="{00000000-0005-0000-0000-0000AF410000}"/>
    <cellStyle name="Celda de comprobación 4 19" xfId="16864" xr:uid="{00000000-0005-0000-0000-0000B0410000}"/>
    <cellStyle name="Celda de comprobación 4 2" xfId="16865" xr:uid="{00000000-0005-0000-0000-0000B1410000}"/>
    <cellStyle name="Celda de comprobación 4 2 2" xfId="16866" xr:uid="{00000000-0005-0000-0000-0000B2410000}"/>
    <cellStyle name="Celda de comprobación 4 3" xfId="16867" xr:uid="{00000000-0005-0000-0000-0000B3410000}"/>
    <cellStyle name="Celda de comprobación 4 3 2" xfId="16868" xr:uid="{00000000-0005-0000-0000-0000B4410000}"/>
    <cellStyle name="Celda de comprobación 4 4" xfId="16869" xr:uid="{00000000-0005-0000-0000-0000B5410000}"/>
    <cellStyle name="Celda de comprobación 4 4 2" xfId="16870" xr:uid="{00000000-0005-0000-0000-0000B6410000}"/>
    <cellStyle name="Celda de comprobación 4 5" xfId="16871" xr:uid="{00000000-0005-0000-0000-0000B7410000}"/>
    <cellStyle name="Celda de comprobación 4 6" xfId="16872" xr:uid="{00000000-0005-0000-0000-0000B8410000}"/>
    <cellStyle name="Celda de comprobación 4 7" xfId="16873" xr:uid="{00000000-0005-0000-0000-0000B9410000}"/>
    <cellStyle name="Celda de comprobación 4 8" xfId="16874" xr:uid="{00000000-0005-0000-0000-0000BA410000}"/>
    <cellStyle name="Celda de comprobación 4 9" xfId="16875" xr:uid="{00000000-0005-0000-0000-0000BB410000}"/>
    <cellStyle name="Celda de comprobación 40" xfId="16876" xr:uid="{00000000-0005-0000-0000-0000BC410000}"/>
    <cellStyle name="Celda de comprobación 40 10" xfId="16877" xr:uid="{00000000-0005-0000-0000-0000BD410000}"/>
    <cellStyle name="Celda de comprobación 40 11" xfId="16878" xr:uid="{00000000-0005-0000-0000-0000BE410000}"/>
    <cellStyle name="Celda de comprobación 40 12" xfId="16879" xr:uid="{00000000-0005-0000-0000-0000BF410000}"/>
    <cellStyle name="Celda de comprobación 40 13" xfId="16880" xr:uid="{00000000-0005-0000-0000-0000C0410000}"/>
    <cellStyle name="Celda de comprobación 40 14" xfId="16881" xr:uid="{00000000-0005-0000-0000-0000C1410000}"/>
    <cellStyle name="Celda de comprobación 40 15" xfId="16882" xr:uid="{00000000-0005-0000-0000-0000C2410000}"/>
    <cellStyle name="Celda de comprobación 40 16" xfId="16883" xr:uid="{00000000-0005-0000-0000-0000C3410000}"/>
    <cellStyle name="Celda de comprobación 40 2" xfId="16884" xr:uid="{00000000-0005-0000-0000-0000C4410000}"/>
    <cellStyle name="Celda de comprobación 40 3" xfId="16885" xr:uid="{00000000-0005-0000-0000-0000C5410000}"/>
    <cellStyle name="Celda de comprobación 40 4" xfId="16886" xr:uid="{00000000-0005-0000-0000-0000C6410000}"/>
    <cellStyle name="Celda de comprobación 40 5" xfId="16887" xr:uid="{00000000-0005-0000-0000-0000C7410000}"/>
    <cellStyle name="Celda de comprobación 40 6" xfId="16888" xr:uid="{00000000-0005-0000-0000-0000C8410000}"/>
    <cellStyle name="Celda de comprobación 40 7" xfId="16889" xr:uid="{00000000-0005-0000-0000-0000C9410000}"/>
    <cellStyle name="Celda de comprobación 40 8" xfId="16890" xr:uid="{00000000-0005-0000-0000-0000CA410000}"/>
    <cellStyle name="Celda de comprobación 40 9" xfId="16891" xr:uid="{00000000-0005-0000-0000-0000CB410000}"/>
    <cellStyle name="Celda de comprobación 41" xfId="16892" xr:uid="{00000000-0005-0000-0000-0000CC410000}"/>
    <cellStyle name="Celda de comprobación 41 10" xfId="16893" xr:uid="{00000000-0005-0000-0000-0000CD410000}"/>
    <cellStyle name="Celda de comprobación 41 11" xfId="16894" xr:uid="{00000000-0005-0000-0000-0000CE410000}"/>
    <cellStyle name="Celda de comprobación 41 12" xfId="16895" xr:uid="{00000000-0005-0000-0000-0000CF410000}"/>
    <cellStyle name="Celda de comprobación 41 13" xfId="16896" xr:uid="{00000000-0005-0000-0000-0000D0410000}"/>
    <cellStyle name="Celda de comprobación 41 14" xfId="16897" xr:uid="{00000000-0005-0000-0000-0000D1410000}"/>
    <cellStyle name="Celda de comprobación 41 15" xfId="16898" xr:uid="{00000000-0005-0000-0000-0000D2410000}"/>
    <cellStyle name="Celda de comprobación 41 16" xfId="16899" xr:uid="{00000000-0005-0000-0000-0000D3410000}"/>
    <cellStyle name="Celda de comprobación 41 2" xfId="16900" xr:uid="{00000000-0005-0000-0000-0000D4410000}"/>
    <cellStyle name="Celda de comprobación 41 3" xfId="16901" xr:uid="{00000000-0005-0000-0000-0000D5410000}"/>
    <cellStyle name="Celda de comprobación 41 4" xfId="16902" xr:uid="{00000000-0005-0000-0000-0000D6410000}"/>
    <cellStyle name="Celda de comprobación 41 5" xfId="16903" xr:uid="{00000000-0005-0000-0000-0000D7410000}"/>
    <cellStyle name="Celda de comprobación 41 6" xfId="16904" xr:uid="{00000000-0005-0000-0000-0000D8410000}"/>
    <cellStyle name="Celda de comprobación 41 7" xfId="16905" xr:uid="{00000000-0005-0000-0000-0000D9410000}"/>
    <cellStyle name="Celda de comprobación 41 8" xfId="16906" xr:uid="{00000000-0005-0000-0000-0000DA410000}"/>
    <cellStyle name="Celda de comprobación 41 9" xfId="16907" xr:uid="{00000000-0005-0000-0000-0000DB410000}"/>
    <cellStyle name="Celda de comprobación 42" xfId="16908" xr:uid="{00000000-0005-0000-0000-0000DC410000}"/>
    <cellStyle name="Celda de comprobación 43" xfId="16909" xr:uid="{00000000-0005-0000-0000-0000DD410000}"/>
    <cellStyle name="Celda de comprobación 44" xfId="16910" xr:uid="{00000000-0005-0000-0000-0000DE410000}"/>
    <cellStyle name="Celda de comprobación 45" xfId="16911" xr:uid="{00000000-0005-0000-0000-0000DF410000}"/>
    <cellStyle name="Celda de comprobación 46" xfId="16912" xr:uid="{00000000-0005-0000-0000-0000E0410000}"/>
    <cellStyle name="Celda de comprobación 47" xfId="16913" xr:uid="{00000000-0005-0000-0000-0000E1410000}"/>
    <cellStyle name="Celda de comprobación 48" xfId="16914" xr:uid="{00000000-0005-0000-0000-0000E2410000}"/>
    <cellStyle name="Celda de comprobación 49" xfId="16915" xr:uid="{00000000-0005-0000-0000-0000E3410000}"/>
    <cellStyle name="Celda de comprobación 5 10" xfId="16916" xr:uid="{00000000-0005-0000-0000-0000E4410000}"/>
    <cellStyle name="Celda de comprobación 5 11" xfId="16917" xr:uid="{00000000-0005-0000-0000-0000E5410000}"/>
    <cellStyle name="Celda de comprobación 5 12" xfId="16918" xr:uid="{00000000-0005-0000-0000-0000E6410000}"/>
    <cellStyle name="Celda de comprobación 5 13" xfId="16919" xr:uid="{00000000-0005-0000-0000-0000E7410000}"/>
    <cellStyle name="Celda de comprobación 5 14" xfId="16920" xr:uid="{00000000-0005-0000-0000-0000E8410000}"/>
    <cellStyle name="Celda de comprobación 5 15" xfId="16921" xr:uid="{00000000-0005-0000-0000-0000E9410000}"/>
    <cellStyle name="Celda de comprobación 5 16" xfId="16922" xr:uid="{00000000-0005-0000-0000-0000EA410000}"/>
    <cellStyle name="Celda de comprobación 5 17" xfId="16923" xr:uid="{00000000-0005-0000-0000-0000EB410000}"/>
    <cellStyle name="Celda de comprobación 5 18" xfId="16924" xr:uid="{00000000-0005-0000-0000-0000EC410000}"/>
    <cellStyle name="Celda de comprobación 5 19" xfId="16925" xr:uid="{00000000-0005-0000-0000-0000ED410000}"/>
    <cellStyle name="Celda de comprobación 5 2" xfId="16926" xr:uid="{00000000-0005-0000-0000-0000EE410000}"/>
    <cellStyle name="Celda de comprobación 5 2 2" xfId="16927" xr:uid="{00000000-0005-0000-0000-0000EF410000}"/>
    <cellStyle name="Celda de comprobación 5 3" xfId="16928" xr:uid="{00000000-0005-0000-0000-0000F0410000}"/>
    <cellStyle name="Celda de comprobación 5 3 2" xfId="16929" xr:uid="{00000000-0005-0000-0000-0000F1410000}"/>
    <cellStyle name="Celda de comprobación 5 4" xfId="16930" xr:uid="{00000000-0005-0000-0000-0000F2410000}"/>
    <cellStyle name="Celda de comprobación 5 4 2" xfId="16931" xr:uid="{00000000-0005-0000-0000-0000F3410000}"/>
    <cellStyle name="Celda de comprobación 5 5" xfId="16932" xr:uid="{00000000-0005-0000-0000-0000F4410000}"/>
    <cellStyle name="Celda de comprobación 5 6" xfId="16933" xr:uid="{00000000-0005-0000-0000-0000F5410000}"/>
    <cellStyle name="Celda de comprobación 5 7" xfId="16934" xr:uid="{00000000-0005-0000-0000-0000F6410000}"/>
    <cellStyle name="Celda de comprobación 5 8" xfId="16935" xr:uid="{00000000-0005-0000-0000-0000F7410000}"/>
    <cellStyle name="Celda de comprobación 5 9" xfId="16936" xr:uid="{00000000-0005-0000-0000-0000F8410000}"/>
    <cellStyle name="Celda de comprobación 50" xfId="16937" xr:uid="{00000000-0005-0000-0000-0000F9410000}"/>
    <cellStyle name="Celda de comprobación 51" xfId="16938" xr:uid="{00000000-0005-0000-0000-0000FA410000}"/>
    <cellStyle name="Celda de comprobación 52" xfId="16939" xr:uid="{00000000-0005-0000-0000-0000FB410000}"/>
    <cellStyle name="Celda de comprobación 53" xfId="16940" xr:uid="{00000000-0005-0000-0000-0000FC410000}"/>
    <cellStyle name="Celda de comprobación 54" xfId="16941" xr:uid="{00000000-0005-0000-0000-0000FD410000}"/>
    <cellStyle name="Celda de comprobación 55" xfId="16942" xr:uid="{00000000-0005-0000-0000-0000FE410000}"/>
    <cellStyle name="Celda de comprobación 56" xfId="16943" xr:uid="{00000000-0005-0000-0000-0000FF410000}"/>
    <cellStyle name="Celda de comprobación 57" xfId="16944" xr:uid="{00000000-0005-0000-0000-000000420000}"/>
    <cellStyle name="Celda de comprobación 58" xfId="16945" xr:uid="{00000000-0005-0000-0000-000001420000}"/>
    <cellStyle name="Celda de comprobación 59" xfId="16946" xr:uid="{00000000-0005-0000-0000-000002420000}"/>
    <cellStyle name="Celda de comprobación 6 10" xfId="16947" xr:uid="{00000000-0005-0000-0000-000003420000}"/>
    <cellStyle name="Celda de comprobación 6 11" xfId="16948" xr:uid="{00000000-0005-0000-0000-000004420000}"/>
    <cellStyle name="Celda de comprobación 6 12" xfId="16949" xr:uid="{00000000-0005-0000-0000-000005420000}"/>
    <cellStyle name="Celda de comprobación 6 13" xfId="16950" xr:uid="{00000000-0005-0000-0000-000006420000}"/>
    <cellStyle name="Celda de comprobación 6 14" xfId="16951" xr:uid="{00000000-0005-0000-0000-000007420000}"/>
    <cellStyle name="Celda de comprobación 6 15" xfId="16952" xr:uid="{00000000-0005-0000-0000-000008420000}"/>
    <cellStyle name="Celda de comprobación 6 16" xfId="16953" xr:uid="{00000000-0005-0000-0000-000009420000}"/>
    <cellStyle name="Celda de comprobación 6 17" xfId="16954" xr:uid="{00000000-0005-0000-0000-00000A420000}"/>
    <cellStyle name="Celda de comprobación 6 18" xfId="16955" xr:uid="{00000000-0005-0000-0000-00000B420000}"/>
    <cellStyle name="Celda de comprobación 6 19" xfId="16956" xr:uid="{00000000-0005-0000-0000-00000C420000}"/>
    <cellStyle name="Celda de comprobación 6 2" xfId="16957" xr:uid="{00000000-0005-0000-0000-00000D420000}"/>
    <cellStyle name="Celda de comprobación 6 2 2" xfId="16958" xr:uid="{00000000-0005-0000-0000-00000E420000}"/>
    <cellStyle name="Celda de comprobación 6 3" xfId="16959" xr:uid="{00000000-0005-0000-0000-00000F420000}"/>
    <cellStyle name="Celda de comprobación 6 3 2" xfId="16960" xr:uid="{00000000-0005-0000-0000-000010420000}"/>
    <cellStyle name="Celda de comprobación 6 4" xfId="16961" xr:uid="{00000000-0005-0000-0000-000011420000}"/>
    <cellStyle name="Celda de comprobación 6 4 2" xfId="16962" xr:uid="{00000000-0005-0000-0000-000012420000}"/>
    <cellStyle name="Celda de comprobación 6 5" xfId="16963" xr:uid="{00000000-0005-0000-0000-000013420000}"/>
    <cellStyle name="Celda de comprobación 6 6" xfId="16964" xr:uid="{00000000-0005-0000-0000-000014420000}"/>
    <cellStyle name="Celda de comprobación 6 7" xfId="16965" xr:uid="{00000000-0005-0000-0000-000015420000}"/>
    <cellStyle name="Celda de comprobación 6 8" xfId="16966" xr:uid="{00000000-0005-0000-0000-000016420000}"/>
    <cellStyle name="Celda de comprobación 6 9" xfId="16967" xr:uid="{00000000-0005-0000-0000-000017420000}"/>
    <cellStyle name="Celda de comprobación 60" xfId="16968" xr:uid="{00000000-0005-0000-0000-000018420000}"/>
    <cellStyle name="Celda de comprobación 61" xfId="16969" xr:uid="{00000000-0005-0000-0000-000019420000}"/>
    <cellStyle name="Celda de comprobación 62" xfId="16970" xr:uid="{00000000-0005-0000-0000-00001A420000}"/>
    <cellStyle name="Celda de comprobación 63" xfId="16971" xr:uid="{00000000-0005-0000-0000-00001B420000}"/>
    <cellStyle name="Celda de comprobación 64" xfId="16972" xr:uid="{00000000-0005-0000-0000-00001C420000}"/>
    <cellStyle name="Celda de comprobación 7 10" xfId="16973" xr:uid="{00000000-0005-0000-0000-00001D420000}"/>
    <cellStyle name="Celda de comprobación 7 11" xfId="16974" xr:uid="{00000000-0005-0000-0000-00001E420000}"/>
    <cellStyle name="Celda de comprobación 7 12" xfId="16975" xr:uid="{00000000-0005-0000-0000-00001F420000}"/>
    <cellStyle name="Celda de comprobación 7 13" xfId="16976" xr:uid="{00000000-0005-0000-0000-000020420000}"/>
    <cellStyle name="Celda de comprobación 7 14" xfId="16977" xr:uid="{00000000-0005-0000-0000-000021420000}"/>
    <cellStyle name="Celda de comprobación 7 15" xfId="16978" xr:uid="{00000000-0005-0000-0000-000022420000}"/>
    <cellStyle name="Celda de comprobación 7 16" xfId="16979" xr:uid="{00000000-0005-0000-0000-000023420000}"/>
    <cellStyle name="Celda de comprobación 7 17" xfId="16980" xr:uid="{00000000-0005-0000-0000-000024420000}"/>
    <cellStyle name="Celda de comprobación 7 18" xfId="16981" xr:uid="{00000000-0005-0000-0000-000025420000}"/>
    <cellStyle name="Celda de comprobación 7 19" xfId="16982" xr:uid="{00000000-0005-0000-0000-000026420000}"/>
    <cellStyle name="Celda de comprobación 7 2" xfId="16983" xr:uid="{00000000-0005-0000-0000-000027420000}"/>
    <cellStyle name="Celda de comprobación 7 2 2" xfId="16984" xr:uid="{00000000-0005-0000-0000-000028420000}"/>
    <cellStyle name="Celda de comprobación 7 3" xfId="16985" xr:uid="{00000000-0005-0000-0000-000029420000}"/>
    <cellStyle name="Celda de comprobación 7 3 2" xfId="16986" xr:uid="{00000000-0005-0000-0000-00002A420000}"/>
    <cellStyle name="Celda de comprobación 7 4" xfId="16987" xr:uid="{00000000-0005-0000-0000-00002B420000}"/>
    <cellStyle name="Celda de comprobación 7 4 2" xfId="16988" xr:uid="{00000000-0005-0000-0000-00002C420000}"/>
    <cellStyle name="Celda de comprobación 7 5" xfId="16989" xr:uid="{00000000-0005-0000-0000-00002D420000}"/>
    <cellStyle name="Celda de comprobación 7 6" xfId="16990" xr:uid="{00000000-0005-0000-0000-00002E420000}"/>
    <cellStyle name="Celda de comprobación 7 7" xfId="16991" xr:uid="{00000000-0005-0000-0000-00002F420000}"/>
    <cellStyle name="Celda de comprobación 7 8" xfId="16992" xr:uid="{00000000-0005-0000-0000-000030420000}"/>
    <cellStyle name="Celda de comprobación 7 9" xfId="16993" xr:uid="{00000000-0005-0000-0000-000031420000}"/>
    <cellStyle name="Celda de comprobación 8 10" xfId="16994" xr:uid="{00000000-0005-0000-0000-000032420000}"/>
    <cellStyle name="Celda de comprobación 8 11" xfId="16995" xr:uid="{00000000-0005-0000-0000-000033420000}"/>
    <cellStyle name="Celda de comprobación 8 12" xfId="16996" xr:uid="{00000000-0005-0000-0000-000034420000}"/>
    <cellStyle name="Celda de comprobación 8 13" xfId="16997" xr:uid="{00000000-0005-0000-0000-000035420000}"/>
    <cellStyle name="Celda de comprobación 8 14" xfId="16998" xr:uid="{00000000-0005-0000-0000-000036420000}"/>
    <cellStyle name="Celda de comprobación 8 15" xfId="16999" xr:uid="{00000000-0005-0000-0000-000037420000}"/>
    <cellStyle name="Celda de comprobación 8 16" xfId="17000" xr:uid="{00000000-0005-0000-0000-000038420000}"/>
    <cellStyle name="Celda de comprobación 8 17" xfId="17001" xr:uid="{00000000-0005-0000-0000-000039420000}"/>
    <cellStyle name="Celda de comprobación 8 18" xfId="17002" xr:uid="{00000000-0005-0000-0000-00003A420000}"/>
    <cellStyle name="Celda de comprobación 8 19" xfId="17003" xr:uid="{00000000-0005-0000-0000-00003B420000}"/>
    <cellStyle name="Celda de comprobación 8 2" xfId="17004" xr:uid="{00000000-0005-0000-0000-00003C420000}"/>
    <cellStyle name="Celda de comprobación 8 2 2" xfId="17005" xr:uid="{00000000-0005-0000-0000-00003D420000}"/>
    <cellStyle name="Celda de comprobación 8 3" xfId="17006" xr:uid="{00000000-0005-0000-0000-00003E420000}"/>
    <cellStyle name="Celda de comprobación 8 3 2" xfId="17007" xr:uid="{00000000-0005-0000-0000-00003F420000}"/>
    <cellStyle name="Celda de comprobación 8 4" xfId="17008" xr:uid="{00000000-0005-0000-0000-000040420000}"/>
    <cellStyle name="Celda de comprobación 8 4 2" xfId="17009" xr:uid="{00000000-0005-0000-0000-000041420000}"/>
    <cellStyle name="Celda de comprobación 8 5" xfId="17010" xr:uid="{00000000-0005-0000-0000-000042420000}"/>
    <cellStyle name="Celda de comprobación 8 6" xfId="17011" xr:uid="{00000000-0005-0000-0000-000043420000}"/>
    <cellStyle name="Celda de comprobación 8 7" xfId="17012" xr:uid="{00000000-0005-0000-0000-000044420000}"/>
    <cellStyle name="Celda de comprobación 8 8" xfId="17013" xr:uid="{00000000-0005-0000-0000-000045420000}"/>
    <cellStyle name="Celda de comprobación 8 9" xfId="17014" xr:uid="{00000000-0005-0000-0000-000046420000}"/>
    <cellStyle name="Celda de comprobación 9 10" xfId="17015" xr:uid="{00000000-0005-0000-0000-000047420000}"/>
    <cellStyle name="Celda de comprobación 9 11" xfId="17016" xr:uid="{00000000-0005-0000-0000-000048420000}"/>
    <cellStyle name="Celda de comprobación 9 12" xfId="17017" xr:uid="{00000000-0005-0000-0000-000049420000}"/>
    <cellStyle name="Celda de comprobación 9 13" xfId="17018" xr:uid="{00000000-0005-0000-0000-00004A420000}"/>
    <cellStyle name="Celda de comprobación 9 14" xfId="17019" xr:uid="{00000000-0005-0000-0000-00004B420000}"/>
    <cellStyle name="Celda de comprobación 9 15" xfId="17020" xr:uid="{00000000-0005-0000-0000-00004C420000}"/>
    <cellStyle name="Celda de comprobación 9 16" xfId="17021" xr:uid="{00000000-0005-0000-0000-00004D420000}"/>
    <cellStyle name="Celda de comprobación 9 17" xfId="17022" xr:uid="{00000000-0005-0000-0000-00004E420000}"/>
    <cellStyle name="Celda de comprobación 9 18" xfId="17023" xr:uid="{00000000-0005-0000-0000-00004F420000}"/>
    <cellStyle name="Celda de comprobación 9 19" xfId="17024" xr:uid="{00000000-0005-0000-0000-000050420000}"/>
    <cellStyle name="Celda de comprobación 9 2" xfId="17025" xr:uid="{00000000-0005-0000-0000-000051420000}"/>
    <cellStyle name="Celda de comprobación 9 2 2" xfId="17026" xr:uid="{00000000-0005-0000-0000-000052420000}"/>
    <cellStyle name="Celda de comprobación 9 3" xfId="17027" xr:uid="{00000000-0005-0000-0000-000053420000}"/>
    <cellStyle name="Celda de comprobación 9 3 2" xfId="17028" xr:uid="{00000000-0005-0000-0000-000054420000}"/>
    <cellStyle name="Celda de comprobación 9 4" xfId="17029" xr:uid="{00000000-0005-0000-0000-000055420000}"/>
    <cellStyle name="Celda de comprobación 9 4 2" xfId="17030" xr:uid="{00000000-0005-0000-0000-000056420000}"/>
    <cellStyle name="Celda de comprobación 9 5" xfId="17031" xr:uid="{00000000-0005-0000-0000-000057420000}"/>
    <cellStyle name="Celda de comprobación 9 6" xfId="17032" xr:uid="{00000000-0005-0000-0000-000058420000}"/>
    <cellStyle name="Celda de comprobación 9 7" xfId="17033" xr:uid="{00000000-0005-0000-0000-000059420000}"/>
    <cellStyle name="Celda de comprobación 9 8" xfId="17034" xr:uid="{00000000-0005-0000-0000-00005A420000}"/>
    <cellStyle name="Celda de comprobación 9 9" xfId="17035" xr:uid="{00000000-0005-0000-0000-00005B420000}"/>
    <cellStyle name="Celda vinculada" xfId="32523" builtinId="24" customBuiltin="1"/>
    <cellStyle name="Celda vinculada 10 10" xfId="17036" xr:uid="{00000000-0005-0000-0000-00005D420000}"/>
    <cellStyle name="Celda vinculada 10 11" xfId="17037" xr:uid="{00000000-0005-0000-0000-00005E420000}"/>
    <cellStyle name="Celda vinculada 10 12" xfId="17038" xr:uid="{00000000-0005-0000-0000-00005F420000}"/>
    <cellStyle name="Celda vinculada 10 13" xfId="17039" xr:uid="{00000000-0005-0000-0000-000060420000}"/>
    <cellStyle name="Celda vinculada 10 14" xfId="17040" xr:uid="{00000000-0005-0000-0000-000061420000}"/>
    <cellStyle name="Celda vinculada 10 15" xfId="17041" xr:uid="{00000000-0005-0000-0000-000062420000}"/>
    <cellStyle name="Celda vinculada 10 16" xfId="17042" xr:uid="{00000000-0005-0000-0000-000063420000}"/>
    <cellStyle name="Celda vinculada 10 17" xfId="17043" xr:uid="{00000000-0005-0000-0000-000064420000}"/>
    <cellStyle name="Celda vinculada 10 18" xfId="17044" xr:uid="{00000000-0005-0000-0000-000065420000}"/>
    <cellStyle name="Celda vinculada 10 19" xfId="17045" xr:uid="{00000000-0005-0000-0000-000066420000}"/>
    <cellStyle name="Celda vinculada 10 2" xfId="17046" xr:uid="{00000000-0005-0000-0000-000067420000}"/>
    <cellStyle name="Celda vinculada 10 2 2" xfId="17047" xr:uid="{00000000-0005-0000-0000-000068420000}"/>
    <cellStyle name="Celda vinculada 10 3" xfId="17048" xr:uid="{00000000-0005-0000-0000-000069420000}"/>
    <cellStyle name="Celda vinculada 10 3 2" xfId="17049" xr:uid="{00000000-0005-0000-0000-00006A420000}"/>
    <cellStyle name="Celda vinculada 10 4" xfId="17050" xr:uid="{00000000-0005-0000-0000-00006B420000}"/>
    <cellStyle name="Celda vinculada 10 4 2" xfId="17051" xr:uid="{00000000-0005-0000-0000-00006C420000}"/>
    <cellStyle name="Celda vinculada 10 5" xfId="17052" xr:uid="{00000000-0005-0000-0000-00006D420000}"/>
    <cellStyle name="Celda vinculada 10 6" xfId="17053" xr:uid="{00000000-0005-0000-0000-00006E420000}"/>
    <cellStyle name="Celda vinculada 10 7" xfId="17054" xr:uid="{00000000-0005-0000-0000-00006F420000}"/>
    <cellStyle name="Celda vinculada 10 8" xfId="17055" xr:uid="{00000000-0005-0000-0000-000070420000}"/>
    <cellStyle name="Celda vinculada 10 9" xfId="17056" xr:uid="{00000000-0005-0000-0000-000071420000}"/>
    <cellStyle name="Celda vinculada 11 10" xfId="17057" xr:uid="{00000000-0005-0000-0000-000072420000}"/>
    <cellStyle name="Celda vinculada 11 11" xfId="17058" xr:uid="{00000000-0005-0000-0000-000073420000}"/>
    <cellStyle name="Celda vinculada 11 12" xfId="17059" xr:uid="{00000000-0005-0000-0000-000074420000}"/>
    <cellStyle name="Celda vinculada 11 13" xfId="17060" xr:uid="{00000000-0005-0000-0000-000075420000}"/>
    <cellStyle name="Celda vinculada 11 14" xfId="17061" xr:uid="{00000000-0005-0000-0000-000076420000}"/>
    <cellStyle name="Celda vinculada 11 15" xfId="17062" xr:uid="{00000000-0005-0000-0000-000077420000}"/>
    <cellStyle name="Celda vinculada 11 16" xfId="17063" xr:uid="{00000000-0005-0000-0000-000078420000}"/>
    <cellStyle name="Celda vinculada 11 17" xfId="17064" xr:uid="{00000000-0005-0000-0000-000079420000}"/>
    <cellStyle name="Celda vinculada 11 18" xfId="17065" xr:uid="{00000000-0005-0000-0000-00007A420000}"/>
    <cellStyle name="Celda vinculada 11 19" xfId="17066" xr:uid="{00000000-0005-0000-0000-00007B420000}"/>
    <cellStyle name="Celda vinculada 11 2" xfId="17067" xr:uid="{00000000-0005-0000-0000-00007C420000}"/>
    <cellStyle name="Celda vinculada 11 2 2" xfId="17068" xr:uid="{00000000-0005-0000-0000-00007D420000}"/>
    <cellStyle name="Celda vinculada 11 3" xfId="17069" xr:uid="{00000000-0005-0000-0000-00007E420000}"/>
    <cellStyle name="Celda vinculada 11 3 2" xfId="17070" xr:uid="{00000000-0005-0000-0000-00007F420000}"/>
    <cellStyle name="Celda vinculada 11 4" xfId="17071" xr:uid="{00000000-0005-0000-0000-000080420000}"/>
    <cellStyle name="Celda vinculada 11 4 2" xfId="17072" xr:uid="{00000000-0005-0000-0000-000081420000}"/>
    <cellStyle name="Celda vinculada 11 5" xfId="17073" xr:uid="{00000000-0005-0000-0000-000082420000}"/>
    <cellStyle name="Celda vinculada 11 6" xfId="17074" xr:uid="{00000000-0005-0000-0000-000083420000}"/>
    <cellStyle name="Celda vinculada 11 7" xfId="17075" xr:uid="{00000000-0005-0000-0000-000084420000}"/>
    <cellStyle name="Celda vinculada 11 8" xfId="17076" xr:uid="{00000000-0005-0000-0000-000085420000}"/>
    <cellStyle name="Celda vinculada 11 9" xfId="17077" xr:uid="{00000000-0005-0000-0000-000086420000}"/>
    <cellStyle name="Celda vinculada 12 10" xfId="17078" xr:uid="{00000000-0005-0000-0000-000087420000}"/>
    <cellStyle name="Celda vinculada 12 11" xfId="17079" xr:uid="{00000000-0005-0000-0000-000088420000}"/>
    <cellStyle name="Celda vinculada 12 12" xfId="17080" xr:uid="{00000000-0005-0000-0000-000089420000}"/>
    <cellStyle name="Celda vinculada 12 13" xfId="17081" xr:uid="{00000000-0005-0000-0000-00008A420000}"/>
    <cellStyle name="Celda vinculada 12 14" xfId="17082" xr:uid="{00000000-0005-0000-0000-00008B420000}"/>
    <cellStyle name="Celda vinculada 12 15" xfId="17083" xr:uid="{00000000-0005-0000-0000-00008C420000}"/>
    <cellStyle name="Celda vinculada 12 16" xfId="17084" xr:uid="{00000000-0005-0000-0000-00008D420000}"/>
    <cellStyle name="Celda vinculada 12 17" xfId="17085" xr:uid="{00000000-0005-0000-0000-00008E420000}"/>
    <cellStyle name="Celda vinculada 12 18" xfId="17086" xr:uid="{00000000-0005-0000-0000-00008F420000}"/>
    <cellStyle name="Celda vinculada 12 19" xfId="17087" xr:uid="{00000000-0005-0000-0000-000090420000}"/>
    <cellStyle name="Celda vinculada 12 2" xfId="17088" xr:uid="{00000000-0005-0000-0000-000091420000}"/>
    <cellStyle name="Celda vinculada 12 2 2" xfId="17089" xr:uid="{00000000-0005-0000-0000-000092420000}"/>
    <cellStyle name="Celda vinculada 12 3" xfId="17090" xr:uid="{00000000-0005-0000-0000-000093420000}"/>
    <cellStyle name="Celda vinculada 12 3 2" xfId="17091" xr:uid="{00000000-0005-0000-0000-000094420000}"/>
    <cellStyle name="Celda vinculada 12 4" xfId="17092" xr:uid="{00000000-0005-0000-0000-000095420000}"/>
    <cellStyle name="Celda vinculada 12 4 2" xfId="17093" xr:uid="{00000000-0005-0000-0000-000096420000}"/>
    <cellStyle name="Celda vinculada 12 5" xfId="17094" xr:uid="{00000000-0005-0000-0000-000097420000}"/>
    <cellStyle name="Celda vinculada 12 6" xfId="17095" xr:uid="{00000000-0005-0000-0000-000098420000}"/>
    <cellStyle name="Celda vinculada 12 7" xfId="17096" xr:uid="{00000000-0005-0000-0000-000099420000}"/>
    <cellStyle name="Celda vinculada 12 8" xfId="17097" xr:uid="{00000000-0005-0000-0000-00009A420000}"/>
    <cellStyle name="Celda vinculada 12 9" xfId="17098" xr:uid="{00000000-0005-0000-0000-00009B420000}"/>
    <cellStyle name="Celda vinculada 13 10" xfId="17099" xr:uid="{00000000-0005-0000-0000-00009C420000}"/>
    <cellStyle name="Celda vinculada 13 11" xfId="17100" xr:uid="{00000000-0005-0000-0000-00009D420000}"/>
    <cellStyle name="Celda vinculada 13 12" xfId="17101" xr:uid="{00000000-0005-0000-0000-00009E420000}"/>
    <cellStyle name="Celda vinculada 13 13" xfId="17102" xr:uid="{00000000-0005-0000-0000-00009F420000}"/>
    <cellStyle name="Celda vinculada 13 14" xfId="17103" xr:uid="{00000000-0005-0000-0000-0000A0420000}"/>
    <cellStyle name="Celda vinculada 13 15" xfId="17104" xr:uid="{00000000-0005-0000-0000-0000A1420000}"/>
    <cellStyle name="Celda vinculada 13 16" xfId="17105" xr:uid="{00000000-0005-0000-0000-0000A2420000}"/>
    <cellStyle name="Celda vinculada 13 17" xfId="17106" xr:uid="{00000000-0005-0000-0000-0000A3420000}"/>
    <cellStyle name="Celda vinculada 13 18" xfId="17107" xr:uid="{00000000-0005-0000-0000-0000A4420000}"/>
    <cellStyle name="Celda vinculada 13 19" xfId="17108" xr:uid="{00000000-0005-0000-0000-0000A5420000}"/>
    <cellStyle name="Celda vinculada 13 2" xfId="17109" xr:uid="{00000000-0005-0000-0000-0000A6420000}"/>
    <cellStyle name="Celda vinculada 13 2 2" xfId="17110" xr:uid="{00000000-0005-0000-0000-0000A7420000}"/>
    <cellStyle name="Celda vinculada 13 3" xfId="17111" xr:uid="{00000000-0005-0000-0000-0000A8420000}"/>
    <cellStyle name="Celda vinculada 13 3 2" xfId="17112" xr:uid="{00000000-0005-0000-0000-0000A9420000}"/>
    <cellStyle name="Celda vinculada 13 4" xfId="17113" xr:uid="{00000000-0005-0000-0000-0000AA420000}"/>
    <cellStyle name="Celda vinculada 13 4 2" xfId="17114" xr:uid="{00000000-0005-0000-0000-0000AB420000}"/>
    <cellStyle name="Celda vinculada 13 5" xfId="17115" xr:uid="{00000000-0005-0000-0000-0000AC420000}"/>
    <cellStyle name="Celda vinculada 13 6" xfId="17116" xr:uid="{00000000-0005-0000-0000-0000AD420000}"/>
    <cellStyle name="Celda vinculada 13 7" xfId="17117" xr:uid="{00000000-0005-0000-0000-0000AE420000}"/>
    <cellStyle name="Celda vinculada 13 8" xfId="17118" xr:uid="{00000000-0005-0000-0000-0000AF420000}"/>
    <cellStyle name="Celda vinculada 13 9" xfId="17119" xr:uid="{00000000-0005-0000-0000-0000B0420000}"/>
    <cellStyle name="Celda vinculada 14 10" xfId="17120" xr:uid="{00000000-0005-0000-0000-0000B1420000}"/>
    <cellStyle name="Celda vinculada 14 11" xfId="17121" xr:uid="{00000000-0005-0000-0000-0000B2420000}"/>
    <cellStyle name="Celda vinculada 14 12" xfId="17122" xr:uid="{00000000-0005-0000-0000-0000B3420000}"/>
    <cellStyle name="Celda vinculada 14 13" xfId="17123" xr:uid="{00000000-0005-0000-0000-0000B4420000}"/>
    <cellStyle name="Celda vinculada 14 14" xfId="17124" xr:uid="{00000000-0005-0000-0000-0000B5420000}"/>
    <cellStyle name="Celda vinculada 14 15" xfId="17125" xr:uid="{00000000-0005-0000-0000-0000B6420000}"/>
    <cellStyle name="Celda vinculada 14 16" xfId="17126" xr:uid="{00000000-0005-0000-0000-0000B7420000}"/>
    <cellStyle name="Celda vinculada 14 17" xfId="17127" xr:uid="{00000000-0005-0000-0000-0000B8420000}"/>
    <cellStyle name="Celda vinculada 14 18" xfId="17128" xr:uid="{00000000-0005-0000-0000-0000B9420000}"/>
    <cellStyle name="Celda vinculada 14 19" xfId="17129" xr:uid="{00000000-0005-0000-0000-0000BA420000}"/>
    <cellStyle name="Celda vinculada 14 2" xfId="17130" xr:uid="{00000000-0005-0000-0000-0000BB420000}"/>
    <cellStyle name="Celda vinculada 14 2 2" xfId="17131" xr:uid="{00000000-0005-0000-0000-0000BC420000}"/>
    <cellStyle name="Celda vinculada 14 3" xfId="17132" xr:uid="{00000000-0005-0000-0000-0000BD420000}"/>
    <cellStyle name="Celda vinculada 14 3 2" xfId="17133" xr:uid="{00000000-0005-0000-0000-0000BE420000}"/>
    <cellStyle name="Celda vinculada 14 4" xfId="17134" xr:uid="{00000000-0005-0000-0000-0000BF420000}"/>
    <cellStyle name="Celda vinculada 14 4 2" xfId="17135" xr:uid="{00000000-0005-0000-0000-0000C0420000}"/>
    <cellStyle name="Celda vinculada 14 5" xfId="17136" xr:uid="{00000000-0005-0000-0000-0000C1420000}"/>
    <cellStyle name="Celda vinculada 14 6" xfId="17137" xr:uid="{00000000-0005-0000-0000-0000C2420000}"/>
    <cellStyle name="Celda vinculada 14 7" xfId="17138" xr:uid="{00000000-0005-0000-0000-0000C3420000}"/>
    <cellStyle name="Celda vinculada 14 8" xfId="17139" xr:uid="{00000000-0005-0000-0000-0000C4420000}"/>
    <cellStyle name="Celda vinculada 14 9" xfId="17140" xr:uid="{00000000-0005-0000-0000-0000C5420000}"/>
    <cellStyle name="Celda vinculada 15 10" xfId="17141" xr:uid="{00000000-0005-0000-0000-0000C6420000}"/>
    <cellStyle name="Celda vinculada 15 11" xfId="17142" xr:uid="{00000000-0005-0000-0000-0000C7420000}"/>
    <cellStyle name="Celda vinculada 15 12" xfId="17143" xr:uid="{00000000-0005-0000-0000-0000C8420000}"/>
    <cellStyle name="Celda vinculada 15 13" xfId="17144" xr:uid="{00000000-0005-0000-0000-0000C9420000}"/>
    <cellStyle name="Celda vinculada 15 14" xfId="17145" xr:uid="{00000000-0005-0000-0000-0000CA420000}"/>
    <cellStyle name="Celda vinculada 15 15" xfId="17146" xr:uid="{00000000-0005-0000-0000-0000CB420000}"/>
    <cellStyle name="Celda vinculada 15 16" xfId="17147" xr:uid="{00000000-0005-0000-0000-0000CC420000}"/>
    <cellStyle name="Celda vinculada 15 17" xfId="17148" xr:uid="{00000000-0005-0000-0000-0000CD420000}"/>
    <cellStyle name="Celda vinculada 15 18" xfId="17149" xr:uid="{00000000-0005-0000-0000-0000CE420000}"/>
    <cellStyle name="Celda vinculada 15 19" xfId="17150" xr:uid="{00000000-0005-0000-0000-0000CF420000}"/>
    <cellStyle name="Celda vinculada 15 2" xfId="17151" xr:uid="{00000000-0005-0000-0000-0000D0420000}"/>
    <cellStyle name="Celda vinculada 15 2 2" xfId="17152" xr:uid="{00000000-0005-0000-0000-0000D1420000}"/>
    <cellStyle name="Celda vinculada 15 3" xfId="17153" xr:uid="{00000000-0005-0000-0000-0000D2420000}"/>
    <cellStyle name="Celda vinculada 15 3 2" xfId="17154" xr:uid="{00000000-0005-0000-0000-0000D3420000}"/>
    <cellStyle name="Celda vinculada 15 4" xfId="17155" xr:uid="{00000000-0005-0000-0000-0000D4420000}"/>
    <cellStyle name="Celda vinculada 15 4 2" xfId="17156" xr:uid="{00000000-0005-0000-0000-0000D5420000}"/>
    <cellStyle name="Celda vinculada 15 5" xfId="17157" xr:uid="{00000000-0005-0000-0000-0000D6420000}"/>
    <cellStyle name="Celda vinculada 15 6" xfId="17158" xr:uid="{00000000-0005-0000-0000-0000D7420000}"/>
    <cellStyle name="Celda vinculada 15 7" xfId="17159" xr:uid="{00000000-0005-0000-0000-0000D8420000}"/>
    <cellStyle name="Celda vinculada 15 8" xfId="17160" xr:uid="{00000000-0005-0000-0000-0000D9420000}"/>
    <cellStyle name="Celda vinculada 15 9" xfId="17161" xr:uid="{00000000-0005-0000-0000-0000DA420000}"/>
    <cellStyle name="Celda vinculada 16 10" xfId="17162" xr:uid="{00000000-0005-0000-0000-0000DB420000}"/>
    <cellStyle name="Celda vinculada 16 11" xfId="17163" xr:uid="{00000000-0005-0000-0000-0000DC420000}"/>
    <cellStyle name="Celda vinculada 16 12" xfId="17164" xr:uid="{00000000-0005-0000-0000-0000DD420000}"/>
    <cellStyle name="Celda vinculada 16 13" xfId="17165" xr:uid="{00000000-0005-0000-0000-0000DE420000}"/>
    <cellStyle name="Celda vinculada 16 14" xfId="17166" xr:uid="{00000000-0005-0000-0000-0000DF420000}"/>
    <cellStyle name="Celda vinculada 16 15" xfId="17167" xr:uid="{00000000-0005-0000-0000-0000E0420000}"/>
    <cellStyle name="Celda vinculada 16 16" xfId="17168" xr:uid="{00000000-0005-0000-0000-0000E1420000}"/>
    <cellStyle name="Celda vinculada 16 17" xfId="17169" xr:uid="{00000000-0005-0000-0000-0000E2420000}"/>
    <cellStyle name="Celda vinculada 16 18" xfId="17170" xr:uid="{00000000-0005-0000-0000-0000E3420000}"/>
    <cellStyle name="Celda vinculada 16 19" xfId="17171" xr:uid="{00000000-0005-0000-0000-0000E4420000}"/>
    <cellStyle name="Celda vinculada 16 2" xfId="17172" xr:uid="{00000000-0005-0000-0000-0000E5420000}"/>
    <cellStyle name="Celda vinculada 16 2 2" xfId="17173" xr:uid="{00000000-0005-0000-0000-0000E6420000}"/>
    <cellStyle name="Celda vinculada 16 3" xfId="17174" xr:uid="{00000000-0005-0000-0000-0000E7420000}"/>
    <cellStyle name="Celda vinculada 16 3 2" xfId="17175" xr:uid="{00000000-0005-0000-0000-0000E8420000}"/>
    <cellStyle name="Celda vinculada 16 4" xfId="17176" xr:uid="{00000000-0005-0000-0000-0000E9420000}"/>
    <cellStyle name="Celda vinculada 16 4 2" xfId="17177" xr:uid="{00000000-0005-0000-0000-0000EA420000}"/>
    <cellStyle name="Celda vinculada 16 5" xfId="17178" xr:uid="{00000000-0005-0000-0000-0000EB420000}"/>
    <cellStyle name="Celda vinculada 16 6" xfId="17179" xr:uid="{00000000-0005-0000-0000-0000EC420000}"/>
    <cellStyle name="Celda vinculada 16 7" xfId="17180" xr:uid="{00000000-0005-0000-0000-0000ED420000}"/>
    <cellStyle name="Celda vinculada 16 8" xfId="17181" xr:uid="{00000000-0005-0000-0000-0000EE420000}"/>
    <cellStyle name="Celda vinculada 16 9" xfId="17182" xr:uid="{00000000-0005-0000-0000-0000EF420000}"/>
    <cellStyle name="Celda vinculada 17 10" xfId="17183" xr:uid="{00000000-0005-0000-0000-0000F0420000}"/>
    <cellStyle name="Celda vinculada 17 11" xfId="17184" xr:uid="{00000000-0005-0000-0000-0000F1420000}"/>
    <cellStyle name="Celda vinculada 17 12" xfId="17185" xr:uid="{00000000-0005-0000-0000-0000F2420000}"/>
    <cellStyle name="Celda vinculada 17 13" xfId="17186" xr:uid="{00000000-0005-0000-0000-0000F3420000}"/>
    <cellStyle name="Celda vinculada 17 14" xfId="17187" xr:uid="{00000000-0005-0000-0000-0000F4420000}"/>
    <cellStyle name="Celda vinculada 17 15" xfId="17188" xr:uid="{00000000-0005-0000-0000-0000F5420000}"/>
    <cellStyle name="Celda vinculada 17 16" xfId="17189" xr:uid="{00000000-0005-0000-0000-0000F6420000}"/>
    <cellStyle name="Celda vinculada 17 17" xfId="17190" xr:uid="{00000000-0005-0000-0000-0000F7420000}"/>
    <cellStyle name="Celda vinculada 17 18" xfId="17191" xr:uid="{00000000-0005-0000-0000-0000F8420000}"/>
    <cellStyle name="Celda vinculada 17 19" xfId="17192" xr:uid="{00000000-0005-0000-0000-0000F9420000}"/>
    <cellStyle name="Celda vinculada 17 2" xfId="17193" xr:uid="{00000000-0005-0000-0000-0000FA420000}"/>
    <cellStyle name="Celda vinculada 17 2 2" xfId="17194" xr:uid="{00000000-0005-0000-0000-0000FB420000}"/>
    <cellStyle name="Celda vinculada 17 3" xfId="17195" xr:uid="{00000000-0005-0000-0000-0000FC420000}"/>
    <cellStyle name="Celda vinculada 17 3 2" xfId="17196" xr:uid="{00000000-0005-0000-0000-0000FD420000}"/>
    <cellStyle name="Celda vinculada 17 4" xfId="17197" xr:uid="{00000000-0005-0000-0000-0000FE420000}"/>
    <cellStyle name="Celda vinculada 17 4 2" xfId="17198" xr:uid="{00000000-0005-0000-0000-0000FF420000}"/>
    <cellStyle name="Celda vinculada 17 5" xfId="17199" xr:uid="{00000000-0005-0000-0000-000000430000}"/>
    <cellStyle name="Celda vinculada 17 6" xfId="17200" xr:uid="{00000000-0005-0000-0000-000001430000}"/>
    <cellStyle name="Celda vinculada 17 7" xfId="17201" xr:uid="{00000000-0005-0000-0000-000002430000}"/>
    <cellStyle name="Celda vinculada 17 8" xfId="17202" xr:uid="{00000000-0005-0000-0000-000003430000}"/>
    <cellStyle name="Celda vinculada 17 9" xfId="17203" xr:uid="{00000000-0005-0000-0000-000004430000}"/>
    <cellStyle name="Celda vinculada 18 10" xfId="17204" xr:uid="{00000000-0005-0000-0000-000005430000}"/>
    <cellStyle name="Celda vinculada 18 11" xfId="17205" xr:uid="{00000000-0005-0000-0000-000006430000}"/>
    <cellStyle name="Celda vinculada 18 12" xfId="17206" xr:uid="{00000000-0005-0000-0000-000007430000}"/>
    <cellStyle name="Celda vinculada 18 13" xfId="17207" xr:uid="{00000000-0005-0000-0000-000008430000}"/>
    <cellStyle name="Celda vinculada 18 14" xfId="17208" xr:uid="{00000000-0005-0000-0000-000009430000}"/>
    <cellStyle name="Celda vinculada 18 15" xfId="17209" xr:uid="{00000000-0005-0000-0000-00000A430000}"/>
    <cellStyle name="Celda vinculada 18 16" xfId="17210" xr:uid="{00000000-0005-0000-0000-00000B430000}"/>
    <cellStyle name="Celda vinculada 18 17" xfId="17211" xr:uid="{00000000-0005-0000-0000-00000C430000}"/>
    <cellStyle name="Celda vinculada 18 18" xfId="17212" xr:uid="{00000000-0005-0000-0000-00000D430000}"/>
    <cellStyle name="Celda vinculada 18 19" xfId="17213" xr:uid="{00000000-0005-0000-0000-00000E430000}"/>
    <cellStyle name="Celda vinculada 18 2" xfId="17214" xr:uid="{00000000-0005-0000-0000-00000F430000}"/>
    <cellStyle name="Celda vinculada 18 2 2" xfId="17215" xr:uid="{00000000-0005-0000-0000-000010430000}"/>
    <cellStyle name="Celda vinculada 18 3" xfId="17216" xr:uid="{00000000-0005-0000-0000-000011430000}"/>
    <cellStyle name="Celda vinculada 18 3 2" xfId="17217" xr:uid="{00000000-0005-0000-0000-000012430000}"/>
    <cellStyle name="Celda vinculada 18 4" xfId="17218" xr:uid="{00000000-0005-0000-0000-000013430000}"/>
    <cellStyle name="Celda vinculada 18 4 2" xfId="17219" xr:uid="{00000000-0005-0000-0000-000014430000}"/>
    <cellStyle name="Celda vinculada 18 5" xfId="17220" xr:uid="{00000000-0005-0000-0000-000015430000}"/>
    <cellStyle name="Celda vinculada 18 6" xfId="17221" xr:uid="{00000000-0005-0000-0000-000016430000}"/>
    <cellStyle name="Celda vinculada 18 7" xfId="17222" xr:uid="{00000000-0005-0000-0000-000017430000}"/>
    <cellStyle name="Celda vinculada 18 8" xfId="17223" xr:uid="{00000000-0005-0000-0000-000018430000}"/>
    <cellStyle name="Celda vinculada 18 9" xfId="17224" xr:uid="{00000000-0005-0000-0000-000019430000}"/>
    <cellStyle name="Celda vinculada 19 10" xfId="17225" xr:uid="{00000000-0005-0000-0000-00001A430000}"/>
    <cellStyle name="Celda vinculada 19 11" xfId="17226" xr:uid="{00000000-0005-0000-0000-00001B430000}"/>
    <cellStyle name="Celda vinculada 19 12" xfId="17227" xr:uid="{00000000-0005-0000-0000-00001C430000}"/>
    <cellStyle name="Celda vinculada 19 13" xfId="17228" xr:uid="{00000000-0005-0000-0000-00001D430000}"/>
    <cellStyle name="Celda vinculada 19 14" xfId="17229" xr:uid="{00000000-0005-0000-0000-00001E430000}"/>
    <cellStyle name="Celda vinculada 19 15" xfId="17230" xr:uid="{00000000-0005-0000-0000-00001F430000}"/>
    <cellStyle name="Celda vinculada 19 16" xfId="17231" xr:uid="{00000000-0005-0000-0000-000020430000}"/>
    <cellStyle name="Celda vinculada 19 17" xfId="17232" xr:uid="{00000000-0005-0000-0000-000021430000}"/>
    <cellStyle name="Celda vinculada 19 18" xfId="17233" xr:uid="{00000000-0005-0000-0000-000022430000}"/>
    <cellStyle name="Celda vinculada 19 19" xfId="17234" xr:uid="{00000000-0005-0000-0000-000023430000}"/>
    <cellStyle name="Celda vinculada 19 2" xfId="17235" xr:uid="{00000000-0005-0000-0000-000024430000}"/>
    <cellStyle name="Celda vinculada 19 2 2" xfId="17236" xr:uid="{00000000-0005-0000-0000-000025430000}"/>
    <cellStyle name="Celda vinculada 19 3" xfId="17237" xr:uid="{00000000-0005-0000-0000-000026430000}"/>
    <cellStyle name="Celda vinculada 19 3 2" xfId="17238" xr:uid="{00000000-0005-0000-0000-000027430000}"/>
    <cellStyle name="Celda vinculada 19 4" xfId="17239" xr:uid="{00000000-0005-0000-0000-000028430000}"/>
    <cellStyle name="Celda vinculada 19 4 2" xfId="17240" xr:uid="{00000000-0005-0000-0000-000029430000}"/>
    <cellStyle name="Celda vinculada 19 5" xfId="17241" xr:uid="{00000000-0005-0000-0000-00002A430000}"/>
    <cellStyle name="Celda vinculada 19 6" xfId="17242" xr:uid="{00000000-0005-0000-0000-00002B430000}"/>
    <cellStyle name="Celda vinculada 19 7" xfId="17243" xr:uid="{00000000-0005-0000-0000-00002C430000}"/>
    <cellStyle name="Celda vinculada 19 8" xfId="17244" xr:uid="{00000000-0005-0000-0000-00002D430000}"/>
    <cellStyle name="Celda vinculada 19 9" xfId="17245" xr:uid="{00000000-0005-0000-0000-00002E430000}"/>
    <cellStyle name="Celda vinculada 2 10" xfId="17246" xr:uid="{00000000-0005-0000-0000-00002F430000}"/>
    <cellStyle name="Celda vinculada 2 11" xfId="17247" xr:uid="{00000000-0005-0000-0000-000030430000}"/>
    <cellStyle name="Celda vinculada 2 12" xfId="17248" xr:uid="{00000000-0005-0000-0000-000031430000}"/>
    <cellStyle name="Celda vinculada 2 13" xfId="17249" xr:uid="{00000000-0005-0000-0000-000032430000}"/>
    <cellStyle name="Celda vinculada 2 14" xfId="17250" xr:uid="{00000000-0005-0000-0000-000033430000}"/>
    <cellStyle name="Celda vinculada 2 15" xfId="17251" xr:uid="{00000000-0005-0000-0000-000034430000}"/>
    <cellStyle name="Celda vinculada 2 16" xfId="17252" xr:uid="{00000000-0005-0000-0000-000035430000}"/>
    <cellStyle name="Celda vinculada 2 17" xfId="17253" xr:uid="{00000000-0005-0000-0000-000036430000}"/>
    <cellStyle name="Celda vinculada 2 18" xfId="17254" xr:uid="{00000000-0005-0000-0000-000037430000}"/>
    <cellStyle name="Celda vinculada 2 19" xfId="17255" xr:uid="{00000000-0005-0000-0000-000038430000}"/>
    <cellStyle name="Celda vinculada 2 2" xfId="17256" xr:uid="{00000000-0005-0000-0000-000039430000}"/>
    <cellStyle name="Celda vinculada 2 2 2" xfId="17257" xr:uid="{00000000-0005-0000-0000-00003A430000}"/>
    <cellStyle name="Celda vinculada 2 3" xfId="17258" xr:uid="{00000000-0005-0000-0000-00003B430000}"/>
    <cellStyle name="Celda vinculada 2 3 2" xfId="17259" xr:uid="{00000000-0005-0000-0000-00003C430000}"/>
    <cellStyle name="Celda vinculada 2 4" xfId="17260" xr:uid="{00000000-0005-0000-0000-00003D430000}"/>
    <cellStyle name="Celda vinculada 2 4 2" xfId="17261" xr:uid="{00000000-0005-0000-0000-00003E430000}"/>
    <cellStyle name="Celda vinculada 2 5" xfId="17262" xr:uid="{00000000-0005-0000-0000-00003F430000}"/>
    <cellStyle name="Celda vinculada 2 6" xfId="17263" xr:uid="{00000000-0005-0000-0000-000040430000}"/>
    <cellStyle name="Celda vinculada 2 7" xfId="17264" xr:uid="{00000000-0005-0000-0000-000041430000}"/>
    <cellStyle name="Celda vinculada 2 8" xfId="17265" xr:uid="{00000000-0005-0000-0000-000042430000}"/>
    <cellStyle name="Celda vinculada 2 9" xfId="17266" xr:uid="{00000000-0005-0000-0000-000043430000}"/>
    <cellStyle name="Celda vinculada 20 10" xfId="17267" xr:uid="{00000000-0005-0000-0000-000044430000}"/>
    <cellStyle name="Celda vinculada 20 11" xfId="17268" xr:uid="{00000000-0005-0000-0000-000045430000}"/>
    <cellStyle name="Celda vinculada 20 12" xfId="17269" xr:uid="{00000000-0005-0000-0000-000046430000}"/>
    <cellStyle name="Celda vinculada 20 13" xfId="17270" xr:uid="{00000000-0005-0000-0000-000047430000}"/>
    <cellStyle name="Celda vinculada 20 14" xfId="17271" xr:uid="{00000000-0005-0000-0000-000048430000}"/>
    <cellStyle name="Celda vinculada 20 15" xfId="17272" xr:uid="{00000000-0005-0000-0000-000049430000}"/>
    <cellStyle name="Celda vinculada 20 16" xfId="17273" xr:uid="{00000000-0005-0000-0000-00004A430000}"/>
    <cellStyle name="Celda vinculada 20 17" xfId="17274" xr:uid="{00000000-0005-0000-0000-00004B430000}"/>
    <cellStyle name="Celda vinculada 20 18" xfId="17275" xr:uid="{00000000-0005-0000-0000-00004C430000}"/>
    <cellStyle name="Celda vinculada 20 19" xfId="17276" xr:uid="{00000000-0005-0000-0000-00004D430000}"/>
    <cellStyle name="Celda vinculada 20 2" xfId="17277" xr:uid="{00000000-0005-0000-0000-00004E430000}"/>
    <cellStyle name="Celda vinculada 20 2 2" xfId="17278" xr:uid="{00000000-0005-0000-0000-00004F430000}"/>
    <cellStyle name="Celda vinculada 20 3" xfId="17279" xr:uid="{00000000-0005-0000-0000-000050430000}"/>
    <cellStyle name="Celda vinculada 20 3 2" xfId="17280" xr:uid="{00000000-0005-0000-0000-000051430000}"/>
    <cellStyle name="Celda vinculada 20 4" xfId="17281" xr:uid="{00000000-0005-0000-0000-000052430000}"/>
    <cellStyle name="Celda vinculada 20 4 2" xfId="17282" xr:uid="{00000000-0005-0000-0000-000053430000}"/>
    <cellStyle name="Celda vinculada 20 5" xfId="17283" xr:uid="{00000000-0005-0000-0000-000054430000}"/>
    <cellStyle name="Celda vinculada 20 6" xfId="17284" xr:uid="{00000000-0005-0000-0000-000055430000}"/>
    <cellStyle name="Celda vinculada 20 7" xfId="17285" xr:uid="{00000000-0005-0000-0000-000056430000}"/>
    <cellStyle name="Celda vinculada 20 8" xfId="17286" xr:uid="{00000000-0005-0000-0000-000057430000}"/>
    <cellStyle name="Celda vinculada 20 9" xfId="17287" xr:uid="{00000000-0005-0000-0000-000058430000}"/>
    <cellStyle name="Celda vinculada 21 10" xfId="17288" xr:uid="{00000000-0005-0000-0000-000059430000}"/>
    <cellStyle name="Celda vinculada 21 11" xfId="17289" xr:uid="{00000000-0005-0000-0000-00005A430000}"/>
    <cellStyle name="Celda vinculada 21 12" xfId="17290" xr:uid="{00000000-0005-0000-0000-00005B430000}"/>
    <cellStyle name="Celda vinculada 21 13" xfId="17291" xr:uid="{00000000-0005-0000-0000-00005C430000}"/>
    <cellStyle name="Celda vinculada 21 14" xfId="17292" xr:uid="{00000000-0005-0000-0000-00005D430000}"/>
    <cellStyle name="Celda vinculada 21 15" xfId="17293" xr:uid="{00000000-0005-0000-0000-00005E430000}"/>
    <cellStyle name="Celda vinculada 21 16" xfId="17294" xr:uid="{00000000-0005-0000-0000-00005F430000}"/>
    <cellStyle name="Celda vinculada 21 17" xfId="17295" xr:uid="{00000000-0005-0000-0000-000060430000}"/>
    <cellStyle name="Celda vinculada 21 18" xfId="17296" xr:uid="{00000000-0005-0000-0000-000061430000}"/>
    <cellStyle name="Celda vinculada 21 19" xfId="17297" xr:uid="{00000000-0005-0000-0000-000062430000}"/>
    <cellStyle name="Celda vinculada 21 2" xfId="17298" xr:uid="{00000000-0005-0000-0000-000063430000}"/>
    <cellStyle name="Celda vinculada 21 2 2" xfId="17299" xr:uid="{00000000-0005-0000-0000-000064430000}"/>
    <cellStyle name="Celda vinculada 21 3" xfId="17300" xr:uid="{00000000-0005-0000-0000-000065430000}"/>
    <cellStyle name="Celda vinculada 21 3 2" xfId="17301" xr:uid="{00000000-0005-0000-0000-000066430000}"/>
    <cellStyle name="Celda vinculada 21 4" xfId="17302" xr:uid="{00000000-0005-0000-0000-000067430000}"/>
    <cellStyle name="Celda vinculada 21 4 2" xfId="17303" xr:uid="{00000000-0005-0000-0000-000068430000}"/>
    <cellStyle name="Celda vinculada 21 5" xfId="17304" xr:uid="{00000000-0005-0000-0000-000069430000}"/>
    <cellStyle name="Celda vinculada 21 6" xfId="17305" xr:uid="{00000000-0005-0000-0000-00006A430000}"/>
    <cellStyle name="Celda vinculada 21 7" xfId="17306" xr:uid="{00000000-0005-0000-0000-00006B430000}"/>
    <cellStyle name="Celda vinculada 21 8" xfId="17307" xr:uid="{00000000-0005-0000-0000-00006C430000}"/>
    <cellStyle name="Celda vinculada 21 9" xfId="17308" xr:uid="{00000000-0005-0000-0000-00006D430000}"/>
    <cellStyle name="Celda vinculada 22 10" xfId="17309" xr:uid="{00000000-0005-0000-0000-00006E430000}"/>
    <cellStyle name="Celda vinculada 22 11" xfId="17310" xr:uid="{00000000-0005-0000-0000-00006F430000}"/>
    <cellStyle name="Celda vinculada 22 12" xfId="17311" xr:uid="{00000000-0005-0000-0000-000070430000}"/>
    <cellStyle name="Celda vinculada 22 13" xfId="17312" xr:uid="{00000000-0005-0000-0000-000071430000}"/>
    <cellStyle name="Celda vinculada 22 14" xfId="17313" xr:uid="{00000000-0005-0000-0000-000072430000}"/>
    <cellStyle name="Celda vinculada 22 15" xfId="17314" xr:uid="{00000000-0005-0000-0000-000073430000}"/>
    <cellStyle name="Celda vinculada 22 16" xfId="17315" xr:uid="{00000000-0005-0000-0000-000074430000}"/>
    <cellStyle name="Celda vinculada 22 17" xfId="17316" xr:uid="{00000000-0005-0000-0000-000075430000}"/>
    <cellStyle name="Celda vinculada 22 18" xfId="17317" xr:uid="{00000000-0005-0000-0000-000076430000}"/>
    <cellStyle name="Celda vinculada 22 19" xfId="17318" xr:uid="{00000000-0005-0000-0000-000077430000}"/>
    <cellStyle name="Celda vinculada 22 2" xfId="17319" xr:uid="{00000000-0005-0000-0000-000078430000}"/>
    <cellStyle name="Celda vinculada 22 2 2" xfId="17320" xr:uid="{00000000-0005-0000-0000-000079430000}"/>
    <cellStyle name="Celda vinculada 22 3" xfId="17321" xr:uid="{00000000-0005-0000-0000-00007A430000}"/>
    <cellStyle name="Celda vinculada 22 3 2" xfId="17322" xr:uid="{00000000-0005-0000-0000-00007B430000}"/>
    <cellStyle name="Celda vinculada 22 4" xfId="17323" xr:uid="{00000000-0005-0000-0000-00007C430000}"/>
    <cellStyle name="Celda vinculada 22 4 2" xfId="17324" xr:uid="{00000000-0005-0000-0000-00007D430000}"/>
    <cellStyle name="Celda vinculada 22 5" xfId="17325" xr:uid="{00000000-0005-0000-0000-00007E430000}"/>
    <cellStyle name="Celda vinculada 22 6" xfId="17326" xr:uid="{00000000-0005-0000-0000-00007F430000}"/>
    <cellStyle name="Celda vinculada 22 7" xfId="17327" xr:uid="{00000000-0005-0000-0000-000080430000}"/>
    <cellStyle name="Celda vinculada 22 8" xfId="17328" xr:uid="{00000000-0005-0000-0000-000081430000}"/>
    <cellStyle name="Celda vinculada 22 9" xfId="17329" xr:uid="{00000000-0005-0000-0000-000082430000}"/>
    <cellStyle name="Celda vinculada 23 10" xfId="17330" xr:uid="{00000000-0005-0000-0000-000083430000}"/>
    <cellStyle name="Celda vinculada 23 11" xfId="17331" xr:uid="{00000000-0005-0000-0000-000084430000}"/>
    <cellStyle name="Celda vinculada 23 12" xfId="17332" xr:uid="{00000000-0005-0000-0000-000085430000}"/>
    <cellStyle name="Celda vinculada 23 13" xfId="17333" xr:uid="{00000000-0005-0000-0000-000086430000}"/>
    <cellStyle name="Celda vinculada 23 14" xfId="17334" xr:uid="{00000000-0005-0000-0000-000087430000}"/>
    <cellStyle name="Celda vinculada 23 15" xfId="17335" xr:uid="{00000000-0005-0000-0000-000088430000}"/>
    <cellStyle name="Celda vinculada 23 16" xfId="17336" xr:uid="{00000000-0005-0000-0000-000089430000}"/>
    <cellStyle name="Celda vinculada 23 17" xfId="17337" xr:uid="{00000000-0005-0000-0000-00008A430000}"/>
    <cellStyle name="Celda vinculada 23 18" xfId="17338" xr:uid="{00000000-0005-0000-0000-00008B430000}"/>
    <cellStyle name="Celda vinculada 23 19" xfId="17339" xr:uid="{00000000-0005-0000-0000-00008C430000}"/>
    <cellStyle name="Celda vinculada 23 2" xfId="17340" xr:uid="{00000000-0005-0000-0000-00008D430000}"/>
    <cellStyle name="Celda vinculada 23 2 2" xfId="17341" xr:uid="{00000000-0005-0000-0000-00008E430000}"/>
    <cellStyle name="Celda vinculada 23 3" xfId="17342" xr:uid="{00000000-0005-0000-0000-00008F430000}"/>
    <cellStyle name="Celda vinculada 23 3 2" xfId="17343" xr:uid="{00000000-0005-0000-0000-000090430000}"/>
    <cellStyle name="Celda vinculada 23 4" xfId="17344" xr:uid="{00000000-0005-0000-0000-000091430000}"/>
    <cellStyle name="Celda vinculada 23 4 2" xfId="17345" xr:uid="{00000000-0005-0000-0000-000092430000}"/>
    <cellStyle name="Celda vinculada 23 5" xfId="17346" xr:uid="{00000000-0005-0000-0000-000093430000}"/>
    <cellStyle name="Celda vinculada 23 6" xfId="17347" xr:uid="{00000000-0005-0000-0000-000094430000}"/>
    <cellStyle name="Celda vinculada 23 7" xfId="17348" xr:uid="{00000000-0005-0000-0000-000095430000}"/>
    <cellStyle name="Celda vinculada 23 8" xfId="17349" xr:uid="{00000000-0005-0000-0000-000096430000}"/>
    <cellStyle name="Celda vinculada 23 9" xfId="17350" xr:uid="{00000000-0005-0000-0000-000097430000}"/>
    <cellStyle name="Celda vinculada 24 10" xfId="17351" xr:uid="{00000000-0005-0000-0000-000098430000}"/>
    <cellStyle name="Celda vinculada 24 11" xfId="17352" xr:uid="{00000000-0005-0000-0000-000099430000}"/>
    <cellStyle name="Celda vinculada 24 12" xfId="17353" xr:uid="{00000000-0005-0000-0000-00009A430000}"/>
    <cellStyle name="Celda vinculada 24 13" xfId="17354" xr:uid="{00000000-0005-0000-0000-00009B430000}"/>
    <cellStyle name="Celda vinculada 24 14" xfId="17355" xr:uid="{00000000-0005-0000-0000-00009C430000}"/>
    <cellStyle name="Celda vinculada 24 15" xfId="17356" xr:uid="{00000000-0005-0000-0000-00009D430000}"/>
    <cellStyle name="Celda vinculada 24 16" xfId="17357" xr:uid="{00000000-0005-0000-0000-00009E430000}"/>
    <cellStyle name="Celda vinculada 24 17" xfId="17358" xr:uid="{00000000-0005-0000-0000-00009F430000}"/>
    <cellStyle name="Celda vinculada 24 18" xfId="17359" xr:uid="{00000000-0005-0000-0000-0000A0430000}"/>
    <cellStyle name="Celda vinculada 24 19" xfId="17360" xr:uid="{00000000-0005-0000-0000-0000A1430000}"/>
    <cellStyle name="Celda vinculada 24 2" xfId="17361" xr:uid="{00000000-0005-0000-0000-0000A2430000}"/>
    <cellStyle name="Celda vinculada 24 2 2" xfId="17362" xr:uid="{00000000-0005-0000-0000-0000A3430000}"/>
    <cellStyle name="Celda vinculada 24 3" xfId="17363" xr:uid="{00000000-0005-0000-0000-0000A4430000}"/>
    <cellStyle name="Celda vinculada 24 3 2" xfId="17364" xr:uid="{00000000-0005-0000-0000-0000A5430000}"/>
    <cellStyle name="Celda vinculada 24 4" xfId="17365" xr:uid="{00000000-0005-0000-0000-0000A6430000}"/>
    <cellStyle name="Celda vinculada 24 4 2" xfId="17366" xr:uid="{00000000-0005-0000-0000-0000A7430000}"/>
    <cellStyle name="Celda vinculada 24 5" xfId="17367" xr:uid="{00000000-0005-0000-0000-0000A8430000}"/>
    <cellStyle name="Celda vinculada 24 6" xfId="17368" xr:uid="{00000000-0005-0000-0000-0000A9430000}"/>
    <cellStyle name="Celda vinculada 24 7" xfId="17369" xr:uid="{00000000-0005-0000-0000-0000AA430000}"/>
    <cellStyle name="Celda vinculada 24 8" xfId="17370" xr:uid="{00000000-0005-0000-0000-0000AB430000}"/>
    <cellStyle name="Celda vinculada 24 9" xfId="17371" xr:uid="{00000000-0005-0000-0000-0000AC430000}"/>
    <cellStyle name="Celda vinculada 25 10" xfId="17372" xr:uid="{00000000-0005-0000-0000-0000AD430000}"/>
    <cellStyle name="Celda vinculada 25 11" xfId="17373" xr:uid="{00000000-0005-0000-0000-0000AE430000}"/>
    <cellStyle name="Celda vinculada 25 12" xfId="17374" xr:uid="{00000000-0005-0000-0000-0000AF430000}"/>
    <cellStyle name="Celda vinculada 25 13" xfId="17375" xr:uid="{00000000-0005-0000-0000-0000B0430000}"/>
    <cellStyle name="Celda vinculada 25 14" xfId="17376" xr:uid="{00000000-0005-0000-0000-0000B1430000}"/>
    <cellStyle name="Celda vinculada 25 15" xfId="17377" xr:uid="{00000000-0005-0000-0000-0000B2430000}"/>
    <cellStyle name="Celda vinculada 25 16" xfId="17378" xr:uid="{00000000-0005-0000-0000-0000B3430000}"/>
    <cellStyle name="Celda vinculada 25 17" xfId="17379" xr:uid="{00000000-0005-0000-0000-0000B4430000}"/>
    <cellStyle name="Celda vinculada 25 18" xfId="17380" xr:uid="{00000000-0005-0000-0000-0000B5430000}"/>
    <cellStyle name="Celda vinculada 25 19" xfId="17381" xr:uid="{00000000-0005-0000-0000-0000B6430000}"/>
    <cellStyle name="Celda vinculada 25 2" xfId="17382" xr:uid="{00000000-0005-0000-0000-0000B7430000}"/>
    <cellStyle name="Celda vinculada 25 2 2" xfId="17383" xr:uid="{00000000-0005-0000-0000-0000B8430000}"/>
    <cellStyle name="Celda vinculada 25 3" xfId="17384" xr:uid="{00000000-0005-0000-0000-0000B9430000}"/>
    <cellStyle name="Celda vinculada 25 3 2" xfId="17385" xr:uid="{00000000-0005-0000-0000-0000BA430000}"/>
    <cellStyle name="Celda vinculada 25 4" xfId="17386" xr:uid="{00000000-0005-0000-0000-0000BB430000}"/>
    <cellStyle name="Celda vinculada 25 4 2" xfId="17387" xr:uid="{00000000-0005-0000-0000-0000BC430000}"/>
    <cellStyle name="Celda vinculada 25 5" xfId="17388" xr:uid="{00000000-0005-0000-0000-0000BD430000}"/>
    <cellStyle name="Celda vinculada 25 6" xfId="17389" xr:uid="{00000000-0005-0000-0000-0000BE430000}"/>
    <cellStyle name="Celda vinculada 25 7" xfId="17390" xr:uid="{00000000-0005-0000-0000-0000BF430000}"/>
    <cellStyle name="Celda vinculada 25 8" xfId="17391" xr:uid="{00000000-0005-0000-0000-0000C0430000}"/>
    <cellStyle name="Celda vinculada 25 9" xfId="17392" xr:uid="{00000000-0005-0000-0000-0000C1430000}"/>
    <cellStyle name="Celda vinculada 26 10" xfId="17393" xr:uid="{00000000-0005-0000-0000-0000C2430000}"/>
    <cellStyle name="Celda vinculada 26 11" xfId="17394" xr:uid="{00000000-0005-0000-0000-0000C3430000}"/>
    <cellStyle name="Celda vinculada 26 12" xfId="17395" xr:uid="{00000000-0005-0000-0000-0000C4430000}"/>
    <cellStyle name="Celda vinculada 26 13" xfId="17396" xr:uid="{00000000-0005-0000-0000-0000C5430000}"/>
    <cellStyle name="Celda vinculada 26 14" xfId="17397" xr:uid="{00000000-0005-0000-0000-0000C6430000}"/>
    <cellStyle name="Celda vinculada 26 15" xfId="17398" xr:uid="{00000000-0005-0000-0000-0000C7430000}"/>
    <cellStyle name="Celda vinculada 26 16" xfId="17399" xr:uid="{00000000-0005-0000-0000-0000C8430000}"/>
    <cellStyle name="Celda vinculada 26 17" xfId="17400" xr:uid="{00000000-0005-0000-0000-0000C9430000}"/>
    <cellStyle name="Celda vinculada 26 18" xfId="17401" xr:uid="{00000000-0005-0000-0000-0000CA430000}"/>
    <cellStyle name="Celda vinculada 26 19" xfId="17402" xr:uid="{00000000-0005-0000-0000-0000CB430000}"/>
    <cellStyle name="Celda vinculada 26 2" xfId="17403" xr:uid="{00000000-0005-0000-0000-0000CC430000}"/>
    <cellStyle name="Celda vinculada 26 2 2" xfId="17404" xr:uid="{00000000-0005-0000-0000-0000CD430000}"/>
    <cellStyle name="Celda vinculada 26 3" xfId="17405" xr:uid="{00000000-0005-0000-0000-0000CE430000}"/>
    <cellStyle name="Celda vinculada 26 3 2" xfId="17406" xr:uid="{00000000-0005-0000-0000-0000CF430000}"/>
    <cellStyle name="Celda vinculada 26 4" xfId="17407" xr:uid="{00000000-0005-0000-0000-0000D0430000}"/>
    <cellStyle name="Celda vinculada 26 4 2" xfId="17408" xr:uid="{00000000-0005-0000-0000-0000D1430000}"/>
    <cellStyle name="Celda vinculada 26 5" xfId="17409" xr:uid="{00000000-0005-0000-0000-0000D2430000}"/>
    <cellStyle name="Celda vinculada 26 6" xfId="17410" xr:uid="{00000000-0005-0000-0000-0000D3430000}"/>
    <cellStyle name="Celda vinculada 26 7" xfId="17411" xr:uid="{00000000-0005-0000-0000-0000D4430000}"/>
    <cellStyle name="Celda vinculada 26 8" xfId="17412" xr:uid="{00000000-0005-0000-0000-0000D5430000}"/>
    <cellStyle name="Celda vinculada 26 9" xfId="17413" xr:uid="{00000000-0005-0000-0000-0000D6430000}"/>
    <cellStyle name="Celda vinculada 27 10" xfId="17414" xr:uid="{00000000-0005-0000-0000-0000D7430000}"/>
    <cellStyle name="Celda vinculada 27 11" xfId="17415" xr:uid="{00000000-0005-0000-0000-0000D8430000}"/>
    <cellStyle name="Celda vinculada 27 12" xfId="17416" xr:uid="{00000000-0005-0000-0000-0000D9430000}"/>
    <cellStyle name="Celda vinculada 27 13" xfId="17417" xr:uid="{00000000-0005-0000-0000-0000DA430000}"/>
    <cellStyle name="Celda vinculada 27 14" xfId="17418" xr:uid="{00000000-0005-0000-0000-0000DB430000}"/>
    <cellStyle name="Celda vinculada 27 15" xfId="17419" xr:uid="{00000000-0005-0000-0000-0000DC430000}"/>
    <cellStyle name="Celda vinculada 27 16" xfId="17420" xr:uid="{00000000-0005-0000-0000-0000DD430000}"/>
    <cellStyle name="Celda vinculada 27 17" xfId="17421" xr:uid="{00000000-0005-0000-0000-0000DE430000}"/>
    <cellStyle name="Celda vinculada 27 18" xfId="17422" xr:uid="{00000000-0005-0000-0000-0000DF430000}"/>
    <cellStyle name="Celda vinculada 27 19" xfId="17423" xr:uid="{00000000-0005-0000-0000-0000E0430000}"/>
    <cellStyle name="Celda vinculada 27 2" xfId="17424" xr:uid="{00000000-0005-0000-0000-0000E1430000}"/>
    <cellStyle name="Celda vinculada 27 2 2" xfId="17425" xr:uid="{00000000-0005-0000-0000-0000E2430000}"/>
    <cellStyle name="Celda vinculada 27 3" xfId="17426" xr:uid="{00000000-0005-0000-0000-0000E3430000}"/>
    <cellStyle name="Celda vinculada 27 3 2" xfId="17427" xr:uid="{00000000-0005-0000-0000-0000E4430000}"/>
    <cellStyle name="Celda vinculada 27 4" xfId="17428" xr:uid="{00000000-0005-0000-0000-0000E5430000}"/>
    <cellStyle name="Celda vinculada 27 4 2" xfId="17429" xr:uid="{00000000-0005-0000-0000-0000E6430000}"/>
    <cellStyle name="Celda vinculada 27 5" xfId="17430" xr:uid="{00000000-0005-0000-0000-0000E7430000}"/>
    <cellStyle name="Celda vinculada 27 6" xfId="17431" xr:uid="{00000000-0005-0000-0000-0000E8430000}"/>
    <cellStyle name="Celda vinculada 27 7" xfId="17432" xr:uid="{00000000-0005-0000-0000-0000E9430000}"/>
    <cellStyle name="Celda vinculada 27 8" xfId="17433" xr:uid="{00000000-0005-0000-0000-0000EA430000}"/>
    <cellStyle name="Celda vinculada 27 9" xfId="17434" xr:uid="{00000000-0005-0000-0000-0000EB430000}"/>
    <cellStyle name="Celda vinculada 28 10" xfId="17435" xr:uid="{00000000-0005-0000-0000-0000EC430000}"/>
    <cellStyle name="Celda vinculada 28 11" xfId="17436" xr:uid="{00000000-0005-0000-0000-0000ED430000}"/>
    <cellStyle name="Celda vinculada 28 12" xfId="17437" xr:uid="{00000000-0005-0000-0000-0000EE430000}"/>
    <cellStyle name="Celda vinculada 28 13" xfId="17438" xr:uid="{00000000-0005-0000-0000-0000EF430000}"/>
    <cellStyle name="Celda vinculada 28 14" xfId="17439" xr:uid="{00000000-0005-0000-0000-0000F0430000}"/>
    <cellStyle name="Celda vinculada 28 15" xfId="17440" xr:uid="{00000000-0005-0000-0000-0000F1430000}"/>
    <cellStyle name="Celda vinculada 28 16" xfId="17441" xr:uid="{00000000-0005-0000-0000-0000F2430000}"/>
    <cellStyle name="Celda vinculada 28 17" xfId="17442" xr:uid="{00000000-0005-0000-0000-0000F3430000}"/>
    <cellStyle name="Celda vinculada 28 18" xfId="17443" xr:uid="{00000000-0005-0000-0000-0000F4430000}"/>
    <cellStyle name="Celda vinculada 28 19" xfId="17444" xr:uid="{00000000-0005-0000-0000-0000F5430000}"/>
    <cellStyle name="Celda vinculada 28 2" xfId="17445" xr:uid="{00000000-0005-0000-0000-0000F6430000}"/>
    <cellStyle name="Celda vinculada 28 2 2" xfId="17446" xr:uid="{00000000-0005-0000-0000-0000F7430000}"/>
    <cellStyle name="Celda vinculada 28 3" xfId="17447" xr:uid="{00000000-0005-0000-0000-0000F8430000}"/>
    <cellStyle name="Celda vinculada 28 3 2" xfId="17448" xr:uid="{00000000-0005-0000-0000-0000F9430000}"/>
    <cellStyle name="Celda vinculada 28 4" xfId="17449" xr:uid="{00000000-0005-0000-0000-0000FA430000}"/>
    <cellStyle name="Celda vinculada 28 4 2" xfId="17450" xr:uid="{00000000-0005-0000-0000-0000FB430000}"/>
    <cellStyle name="Celda vinculada 28 5" xfId="17451" xr:uid="{00000000-0005-0000-0000-0000FC430000}"/>
    <cellStyle name="Celda vinculada 28 6" xfId="17452" xr:uid="{00000000-0005-0000-0000-0000FD430000}"/>
    <cellStyle name="Celda vinculada 28 7" xfId="17453" xr:uid="{00000000-0005-0000-0000-0000FE430000}"/>
    <cellStyle name="Celda vinculada 28 8" xfId="17454" xr:uid="{00000000-0005-0000-0000-0000FF430000}"/>
    <cellStyle name="Celda vinculada 28 9" xfId="17455" xr:uid="{00000000-0005-0000-0000-000000440000}"/>
    <cellStyle name="Celda vinculada 29 10" xfId="17456" xr:uid="{00000000-0005-0000-0000-000001440000}"/>
    <cellStyle name="Celda vinculada 29 11" xfId="17457" xr:uid="{00000000-0005-0000-0000-000002440000}"/>
    <cellStyle name="Celda vinculada 29 12" xfId="17458" xr:uid="{00000000-0005-0000-0000-000003440000}"/>
    <cellStyle name="Celda vinculada 29 13" xfId="17459" xr:uid="{00000000-0005-0000-0000-000004440000}"/>
    <cellStyle name="Celda vinculada 29 14" xfId="17460" xr:uid="{00000000-0005-0000-0000-000005440000}"/>
    <cellStyle name="Celda vinculada 29 15" xfId="17461" xr:uid="{00000000-0005-0000-0000-000006440000}"/>
    <cellStyle name="Celda vinculada 29 16" xfId="17462" xr:uid="{00000000-0005-0000-0000-000007440000}"/>
    <cellStyle name="Celda vinculada 29 17" xfId="17463" xr:uid="{00000000-0005-0000-0000-000008440000}"/>
    <cellStyle name="Celda vinculada 29 18" xfId="17464" xr:uid="{00000000-0005-0000-0000-000009440000}"/>
    <cellStyle name="Celda vinculada 29 19" xfId="17465" xr:uid="{00000000-0005-0000-0000-00000A440000}"/>
    <cellStyle name="Celda vinculada 29 2" xfId="17466" xr:uid="{00000000-0005-0000-0000-00000B440000}"/>
    <cellStyle name="Celda vinculada 29 2 2" xfId="17467" xr:uid="{00000000-0005-0000-0000-00000C440000}"/>
    <cellStyle name="Celda vinculada 29 3" xfId="17468" xr:uid="{00000000-0005-0000-0000-00000D440000}"/>
    <cellStyle name="Celda vinculada 29 3 2" xfId="17469" xr:uid="{00000000-0005-0000-0000-00000E440000}"/>
    <cellStyle name="Celda vinculada 29 4" xfId="17470" xr:uid="{00000000-0005-0000-0000-00000F440000}"/>
    <cellStyle name="Celda vinculada 29 4 2" xfId="17471" xr:uid="{00000000-0005-0000-0000-000010440000}"/>
    <cellStyle name="Celda vinculada 29 5" xfId="17472" xr:uid="{00000000-0005-0000-0000-000011440000}"/>
    <cellStyle name="Celda vinculada 29 6" xfId="17473" xr:uid="{00000000-0005-0000-0000-000012440000}"/>
    <cellStyle name="Celda vinculada 29 7" xfId="17474" xr:uid="{00000000-0005-0000-0000-000013440000}"/>
    <cellStyle name="Celda vinculada 29 8" xfId="17475" xr:uid="{00000000-0005-0000-0000-000014440000}"/>
    <cellStyle name="Celda vinculada 29 9" xfId="17476" xr:uid="{00000000-0005-0000-0000-000015440000}"/>
    <cellStyle name="Celda vinculada 3 10" xfId="17477" xr:uid="{00000000-0005-0000-0000-000016440000}"/>
    <cellStyle name="Celda vinculada 3 11" xfId="17478" xr:uid="{00000000-0005-0000-0000-000017440000}"/>
    <cellStyle name="Celda vinculada 3 12" xfId="17479" xr:uid="{00000000-0005-0000-0000-000018440000}"/>
    <cellStyle name="Celda vinculada 3 13" xfId="17480" xr:uid="{00000000-0005-0000-0000-000019440000}"/>
    <cellStyle name="Celda vinculada 3 14" xfId="17481" xr:uid="{00000000-0005-0000-0000-00001A440000}"/>
    <cellStyle name="Celda vinculada 3 15" xfId="17482" xr:uid="{00000000-0005-0000-0000-00001B440000}"/>
    <cellStyle name="Celda vinculada 3 16" xfId="17483" xr:uid="{00000000-0005-0000-0000-00001C440000}"/>
    <cellStyle name="Celda vinculada 3 17" xfId="17484" xr:uid="{00000000-0005-0000-0000-00001D440000}"/>
    <cellStyle name="Celda vinculada 3 18" xfId="17485" xr:uid="{00000000-0005-0000-0000-00001E440000}"/>
    <cellStyle name="Celda vinculada 3 19" xfId="17486" xr:uid="{00000000-0005-0000-0000-00001F440000}"/>
    <cellStyle name="Celda vinculada 3 2" xfId="17487" xr:uid="{00000000-0005-0000-0000-000020440000}"/>
    <cellStyle name="Celda vinculada 3 2 2" xfId="17488" xr:uid="{00000000-0005-0000-0000-000021440000}"/>
    <cellStyle name="Celda vinculada 3 3" xfId="17489" xr:uid="{00000000-0005-0000-0000-000022440000}"/>
    <cellStyle name="Celda vinculada 3 3 2" xfId="17490" xr:uid="{00000000-0005-0000-0000-000023440000}"/>
    <cellStyle name="Celda vinculada 3 4" xfId="17491" xr:uid="{00000000-0005-0000-0000-000024440000}"/>
    <cellStyle name="Celda vinculada 3 4 2" xfId="17492" xr:uid="{00000000-0005-0000-0000-000025440000}"/>
    <cellStyle name="Celda vinculada 3 5" xfId="17493" xr:uid="{00000000-0005-0000-0000-000026440000}"/>
    <cellStyle name="Celda vinculada 3 6" xfId="17494" xr:uid="{00000000-0005-0000-0000-000027440000}"/>
    <cellStyle name="Celda vinculada 3 7" xfId="17495" xr:uid="{00000000-0005-0000-0000-000028440000}"/>
    <cellStyle name="Celda vinculada 3 8" xfId="17496" xr:uid="{00000000-0005-0000-0000-000029440000}"/>
    <cellStyle name="Celda vinculada 3 9" xfId="17497" xr:uid="{00000000-0005-0000-0000-00002A440000}"/>
    <cellStyle name="Celda vinculada 30 10" xfId="17498" xr:uid="{00000000-0005-0000-0000-00002B440000}"/>
    <cellStyle name="Celda vinculada 30 11" xfId="17499" xr:uid="{00000000-0005-0000-0000-00002C440000}"/>
    <cellStyle name="Celda vinculada 30 12" xfId="17500" xr:uid="{00000000-0005-0000-0000-00002D440000}"/>
    <cellStyle name="Celda vinculada 30 13" xfId="17501" xr:uid="{00000000-0005-0000-0000-00002E440000}"/>
    <cellStyle name="Celda vinculada 30 14" xfId="17502" xr:uid="{00000000-0005-0000-0000-00002F440000}"/>
    <cellStyle name="Celda vinculada 30 15" xfId="17503" xr:uid="{00000000-0005-0000-0000-000030440000}"/>
    <cellStyle name="Celda vinculada 30 16" xfId="17504" xr:uid="{00000000-0005-0000-0000-000031440000}"/>
    <cellStyle name="Celda vinculada 30 17" xfId="17505" xr:uid="{00000000-0005-0000-0000-000032440000}"/>
    <cellStyle name="Celda vinculada 30 18" xfId="17506" xr:uid="{00000000-0005-0000-0000-000033440000}"/>
    <cellStyle name="Celda vinculada 30 19" xfId="17507" xr:uid="{00000000-0005-0000-0000-000034440000}"/>
    <cellStyle name="Celda vinculada 30 2" xfId="17508" xr:uid="{00000000-0005-0000-0000-000035440000}"/>
    <cellStyle name="Celda vinculada 30 2 2" xfId="17509" xr:uid="{00000000-0005-0000-0000-000036440000}"/>
    <cellStyle name="Celda vinculada 30 3" xfId="17510" xr:uid="{00000000-0005-0000-0000-000037440000}"/>
    <cellStyle name="Celda vinculada 30 3 2" xfId="17511" xr:uid="{00000000-0005-0000-0000-000038440000}"/>
    <cellStyle name="Celda vinculada 30 4" xfId="17512" xr:uid="{00000000-0005-0000-0000-000039440000}"/>
    <cellStyle name="Celda vinculada 30 4 2" xfId="17513" xr:uid="{00000000-0005-0000-0000-00003A440000}"/>
    <cellStyle name="Celda vinculada 30 5" xfId="17514" xr:uid="{00000000-0005-0000-0000-00003B440000}"/>
    <cellStyle name="Celda vinculada 30 6" xfId="17515" xr:uid="{00000000-0005-0000-0000-00003C440000}"/>
    <cellStyle name="Celda vinculada 30 7" xfId="17516" xr:uid="{00000000-0005-0000-0000-00003D440000}"/>
    <cellStyle name="Celda vinculada 30 8" xfId="17517" xr:uid="{00000000-0005-0000-0000-00003E440000}"/>
    <cellStyle name="Celda vinculada 30 9" xfId="17518" xr:uid="{00000000-0005-0000-0000-00003F440000}"/>
    <cellStyle name="Celda vinculada 31 10" xfId="17519" xr:uid="{00000000-0005-0000-0000-000040440000}"/>
    <cellStyle name="Celda vinculada 31 11" xfId="17520" xr:uid="{00000000-0005-0000-0000-000041440000}"/>
    <cellStyle name="Celda vinculada 31 12" xfId="17521" xr:uid="{00000000-0005-0000-0000-000042440000}"/>
    <cellStyle name="Celda vinculada 31 13" xfId="17522" xr:uid="{00000000-0005-0000-0000-000043440000}"/>
    <cellStyle name="Celda vinculada 31 14" xfId="17523" xr:uid="{00000000-0005-0000-0000-000044440000}"/>
    <cellStyle name="Celda vinculada 31 15" xfId="17524" xr:uid="{00000000-0005-0000-0000-000045440000}"/>
    <cellStyle name="Celda vinculada 31 16" xfId="17525" xr:uid="{00000000-0005-0000-0000-000046440000}"/>
    <cellStyle name="Celda vinculada 31 17" xfId="17526" xr:uid="{00000000-0005-0000-0000-000047440000}"/>
    <cellStyle name="Celda vinculada 31 18" xfId="17527" xr:uid="{00000000-0005-0000-0000-000048440000}"/>
    <cellStyle name="Celda vinculada 31 19" xfId="17528" xr:uid="{00000000-0005-0000-0000-000049440000}"/>
    <cellStyle name="Celda vinculada 31 2" xfId="17529" xr:uid="{00000000-0005-0000-0000-00004A440000}"/>
    <cellStyle name="Celda vinculada 31 2 2" xfId="17530" xr:uid="{00000000-0005-0000-0000-00004B440000}"/>
    <cellStyle name="Celda vinculada 31 3" xfId="17531" xr:uid="{00000000-0005-0000-0000-00004C440000}"/>
    <cellStyle name="Celda vinculada 31 3 2" xfId="17532" xr:uid="{00000000-0005-0000-0000-00004D440000}"/>
    <cellStyle name="Celda vinculada 31 4" xfId="17533" xr:uid="{00000000-0005-0000-0000-00004E440000}"/>
    <cellStyle name="Celda vinculada 31 4 2" xfId="17534" xr:uid="{00000000-0005-0000-0000-00004F440000}"/>
    <cellStyle name="Celda vinculada 31 5" xfId="17535" xr:uid="{00000000-0005-0000-0000-000050440000}"/>
    <cellStyle name="Celda vinculada 31 6" xfId="17536" xr:uid="{00000000-0005-0000-0000-000051440000}"/>
    <cellStyle name="Celda vinculada 31 7" xfId="17537" xr:uid="{00000000-0005-0000-0000-000052440000}"/>
    <cellStyle name="Celda vinculada 31 8" xfId="17538" xr:uid="{00000000-0005-0000-0000-000053440000}"/>
    <cellStyle name="Celda vinculada 31 9" xfId="17539" xr:uid="{00000000-0005-0000-0000-000054440000}"/>
    <cellStyle name="Celda vinculada 32 10" xfId="17540" xr:uid="{00000000-0005-0000-0000-000055440000}"/>
    <cellStyle name="Celda vinculada 32 11" xfId="17541" xr:uid="{00000000-0005-0000-0000-000056440000}"/>
    <cellStyle name="Celda vinculada 32 12" xfId="17542" xr:uid="{00000000-0005-0000-0000-000057440000}"/>
    <cellStyle name="Celda vinculada 32 13" xfId="17543" xr:uid="{00000000-0005-0000-0000-000058440000}"/>
    <cellStyle name="Celda vinculada 32 14" xfId="17544" xr:uid="{00000000-0005-0000-0000-000059440000}"/>
    <cellStyle name="Celda vinculada 32 15" xfId="17545" xr:uid="{00000000-0005-0000-0000-00005A440000}"/>
    <cellStyle name="Celda vinculada 32 16" xfId="17546" xr:uid="{00000000-0005-0000-0000-00005B440000}"/>
    <cellStyle name="Celda vinculada 32 17" xfId="17547" xr:uid="{00000000-0005-0000-0000-00005C440000}"/>
    <cellStyle name="Celda vinculada 32 18" xfId="17548" xr:uid="{00000000-0005-0000-0000-00005D440000}"/>
    <cellStyle name="Celda vinculada 32 19" xfId="17549" xr:uid="{00000000-0005-0000-0000-00005E440000}"/>
    <cellStyle name="Celda vinculada 32 2" xfId="17550" xr:uid="{00000000-0005-0000-0000-00005F440000}"/>
    <cellStyle name="Celda vinculada 32 2 2" xfId="17551" xr:uid="{00000000-0005-0000-0000-000060440000}"/>
    <cellStyle name="Celda vinculada 32 3" xfId="17552" xr:uid="{00000000-0005-0000-0000-000061440000}"/>
    <cellStyle name="Celda vinculada 32 3 2" xfId="17553" xr:uid="{00000000-0005-0000-0000-000062440000}"/>
    <cellStyle name="Celda vinculada 32 4" xfId="17554" xr:uid="{00000000-0005-0000-0000-000063440000}"/>
    <cellStyle name="Celda vinculada 32 4 2" xfId="17555" xr:uid="{00000000-0005-0000-0000-000064440000}"/>
    <cellStyle name="Celda vinculada 32 5" xfId="17556" xr:uid="{00000000-0005-0000-0000-000065440000}"/>
    <cellStyle name="Celda vinculada 32 6" xfId="17557" xr:uid="{00000000-0005-0000-0000-000066440000}"/>
    <cellStyle name="Celda vinculada 32 7" xfId="17558" xr:uid="{00000000-0005-0000-0000-000067440000}"/>
    <cellStyle name="Celda vinculada 32 8" xfId="17559" xr:uid="{00000000-0005-0000-0000-000068440000}"/>
    <cellStyle name="Celda vinculada 32 9" xfId="17560" xr:uid="{00000000-0005-0000-0000-000069440000}"/>
    <cellStyle name="Celda vinculada 33 10" xfId="17561" xr:uid="{00000000-0005-0000-0000-00006A440000}"/>
    <cellStyle name="Celda vinculada 33 11" xfId="17562" xr:uid="{00000000-0005-0000-0000-00006B440000}"/>
    <cellStyle name="Celda vinculada 33 12" xfId="17563" xr:uid="{00000000-0005-0000-0000-00006C440000}"/>
    <cellStyle name="Celda vinculada 33 13" xfId="17564" xr:uid="{00000000-0005-0000-0000-00006D440000}"/>
    <cellStyle name="Celda vinculada 33 14" xfId="17565" xr:uid="{00000000-0005-0000-0000-00006E440000}"/>
    <cellStyle name="Celda vinculada 33 15" xfId="17566" xr:uid="{00000000-0005-0000-0000-00006F440000}"/>
    <cellStyle name="Celda vinculada 33 16" xfId="17567" xr:uid="{00000000-0005-0000-0000-000070440000}"/>
    <cellStyle name="Celda vinculada 33 17" xfId="17568" xr:uid="{00000000-0005-0000-0000-000071440000}"/>
    <cellStyle name="Celda vinculada 33 18" xfId="17569" xr:uid="{00000000-0005-0000-0000-000072440000}"/>
    <cellStyle name="Celda vinculada 33 19" xfId="17570" xr:uid="{00000000-0005-0000-0000-000073440000}"/>
    <cellStyle name="Celda vinculada 33 2" xfId="17571" xr:uid="{00000000-0005-0000-0000-000074440000}"/>
    <cellStyle name="Celda vinculada 33 2 2" xfId="17572" xr:uid="{00000000-0005-0000-0000-000075440000}"/>
    <cellStyle name="Celda vinculada 33 3" xfId="17573" xr:uid="{00000000-0005-0000-0000-000076440000}"/>
    <cellStyle name="Celda vinculada 33 3 2" xfId="17574" xr:uid="{00000000-0005-0000-0000-000077440000}"/>
    <cellStyle name="Celda vinculada 33 4" xfId="17575" xr:uid="{00000000-0005-0000-0000-000078440000}"/>
    <cellStyle name="Celda vinculada 33 4 2" xfId="17576" xr:uid="{00000000-0005-0000-0000-000079440000}"/>
    <cellStyle name="Celda vinculada 33 5" xfId="17577" xr:uid="{00000000-0005-0000-0000-00007A440000}"/>
    <cellStyle name="Celda vinculada 33 6" xfId="17578" xr:uid="{00000000-0005-0000-0000-00007B440000}"/>
    <cellStyle name="Celda vinculada 33 7" xfId="17579" xr:uid="{00000000-0005-0000-0000-00007C440000}"/>
    <cellStyle name="Celda vinculada 33 8" xfId="17580" xr:uid="{00000000-0005-0000-0000-00007D440000}"/>
    <cellStyle name="Celda vinculada 33 9" xfId="17581" xr:uid="{00000000-0005-0000-0000-00007E440000}"/>
    <cellStyle name="Celda vinculada 34 10" xfId="17582" xr:uid="{00000000-0005-0000-0000-00007F440000}"/>
    <cellStyle name="Celda vinculada 34 11" xfId="17583" xr:uid="{00000000-0005-0000-0000-000080440000}"/>
    <cellStyle name="Celda vinculada 34 12" xfId="17584" xr:uid="{00000000-0005-0000-0000-000081440000}"/>
    <cellStyle name="Celda vinculada 34 13" xfId="17585" xr:uid="{00000000-0005-0000-0000-000082440000}"/>
    <cellStyle name="Celda vinculada 34 14" xfId="17586" xr:uid="{00000000-0005-0000-0000-000083440000}"/>
    <cellStyle name="Celda vinculada 34 15" xfId="17587" xr:uid="{00000000-0005-0000-0000-000084440000}"/>
    <cellStyle name="Celda vinculada 34 16" xfId="17588" xr:uid="{00000000-0005-0000-0000-000085440000}"/>
    <cellStyle name="Celda vinculada 34 17" xfId="17589" xr:uid="{00000000-0005-0000-0000-000086440000}"/>
    <cellStyle name="Celda vinculada 34 18" xfId="17590" xr:uid="{00000000-0005-0000-0000-000087440000}"/>
    <cellStyle name="Celda vinculada 34 19" xfId="17591" xr:uid="{00000000-0005-0000-0000-000088440000}"/>
    <cellStyle name="Celda vinculada 34 2" xfId="17592" xr:uid="{00000000-0005-0000-0000-000089440000}"/>
    <cellStyle name="Celda vinculada 34 2 2" xfId="17593" xr:uid="{00000000-0005-0000-0000-00008A440000}"/>
    <cellStyle name="Celda vinculada 34 3" xfId="17594" xr:uid="{00000000-0005-0000-0000-00008B440000}"/>
    <cellStyle name="Celda vinculada 34 3 2" xfId="17595" xr:uid="{00000000-0005-0000-0000-00008C440000}"/>
    <cellStyle name="Celda vinculada 34 4" xfId="17596" xr:uid="{00000000-0005-0000-0000-00008D440000}"/>
    <cellStyle name="Celda vinculada 34 4 2" xfId="17597" xr:uid="{00000000-0005-0000-0000-00008E440000}"/>
    <cellStyle name="Celda vinculada 34 5" xfId="17598" xr:uid="{00000000-0005-0000-0000-00008F440000}"/>
    <cellStyle name="Celda vinculada 34 6" xfId="17599" xr:uid="{00000000-0005-0000-0000-000090440000}"/>
    <cellStyle name="Celda vinculada 34 7" xfId="17600" xr:uid="{00000000-0005-0000-0000-000091440000}"/>
    <cellStyle name="Celda vinculada 34 8" xfId="17601" xr:uid="{00000000-0005-0000-0000-000092440000}"/>
    <cellStyle name="Celda vinculada 34 9" xfId="17602" xr:uid="{00000000-0005-0000-0000-000093440000}"/>
    <cellStyle name="Celda vinculada 35 10" xfId="17603" xr:uid="{00000000-0005-0000-0000-000094440000}"/>
    <cellStyle name="Celda vinculada 35 11" xfId="17604" xr:uid="{00000000-0005-0000-0000-000095440000}"/>
    <cellStyle name="Celda vinculada 35 12" xfId="17605" xr:uid="{00000000-0005-0000-0000-000096440000}"/>
    <cellStyle name="Celda vinculada 35 13" xfId="17606" xr:uid="{00000000-0005-0000-0000-000097440000}"/>
    <cellStyle name="Celda vinculada 35 14" xfId="17607" xr:uid="{00000000-0005-0000-0000-000098440000}"/>
    <cellStyle name="Celda vinculada 35 15" xfId="17608" xr:uid="{00000000-0005-0000-0000-000099440000}"/>
    <cellStyle name="Celda vinculada 35 16" xfId="17609" xr:uid="{00000000-0005-0000-0000-00009A440000}"/>
    <cellStyle name="Celda vinculada 35 17" xfId="17610" xr:uid="{00000000-0005-0000-0000-00009B440000}"/>
    <cellStyle name="Celda vinculada 35 18" xfId="17611" xr:uid="{00000000-0005-0000-0000-00009C440000}"/>
    <cellStyle name="Celda vinculada 35 19" xfId="17612" xr:uid="{00000000-0005-0000-0000-00009D440000}"/>
    <cellStyle name="Celda vinculada 35 2" xfId="17613" xr:uid="{00000000-0005-0000-0000-00009E440000}"/>
    <cellStyle name="Celda vinculada 35 2 2" xfId="17614" xr:uid="{00000000-0005-0000-0000-00009F440000}"/>
    <cellStyle name="Celda vinculada 35 3" xfId="17615" xr:uid="{00000000-0005-0000-0000-0000A0440000}"/>
    <cellStyle name="Celda vinculada 35 3 2" xfId="17616" xr:uid="{00000000-0005-0000-0000-0000A1440000}"/>
    <cellStyle name="Celda vinculada 35 4" xfId="17617" xr:uid="{00000000-0005-0000-0000-0000A2440000}"/>
    <cellStyle name="Celda vinculada 35 4 2" xfId="17618" xr:uid="{00000000-0005-0000-0000-0000A3440000}"/>
    <cellStyle name="Celda vinculada 35 5" xfId="17619" xr:uid="{00000000-0005-0000-0000-0000A4440000}"/>
    <cellStyle name="Celda vinculada 35 6" xfId="17620" xr:uid="{00000000-0005-0000-0000-0000A5440000}"/>
    <cellStyle name="Celda vinculada 35 7" xfId="17621" xr:uid="{00000000-0005-0000-0000-0000A6440000}"/>
    <cellStyle name="Celda vinculada 35 8" xfId="17622" xr:uid="{00000000-0005-0000-0000-0000A7440000}"/>
    <cellStyle name="Celda vinculada 35 9" xfId="17623" xr:uid="{00000000-0005-0000-0000-0000A8440000}"/>
    <cellStyle name="Celda vinculada 36 10" xfId="17624" xr:uid="{00000000-0005-0000-0000-0000A9440000}"/>
    <cellStyle name="Celda vinculada 36 11" xfId="17625" xr:uid="{00000000-0005-0000-0000-0000AA440000}"/>
    <cellStyle name="Celda vinculada 36 12" xfId="17626" xr:uid="{00000000-0005-0000-0000-0000AB440000}"/>
    <cellStyle name="Celda vinculada 36 13" xfId="17627" xr:uid="{00000000-0005-0000-0000-0000AC440000}"/>
    <cellStyle name="Celda vinculada 36 14" xfId="17628" xr:uid="{00000000-0005-0000-0000-0000AD440000}"/>
    <cellStyle name="Celda vinculada 36 15" xfId="17629" xr:uid="{00000000-0005-0000-0000-0000AE440000}"/>
    <cellStyle name="Celda vinculada 36 16" xfId="17630" xr:uid="{00000000-0005-0000-0000-0000AF440000}"/>
    <cellStyle name="Celda vinculada 36 17" xfId="17631" xr:uid="{00000000-0005-0000-0000-0000B0440000}"/>
    <cellStyle name="Celda vinculada 36 18" xfId="17632" xr:uid="{00000000-0005-0000-0000-0000B1440000}"/>
    <cellStyle name="Celda vinculada 36 19" xfId="17633" xr:uid="{00000000-0005-0000-0000-0000B2440000}"/>
    <cellStyle name="Celda vinculada 36 2" xfId="17634" xr:uid="{00000000-0005-0000-0000-0000B3440000}"/>
    <cellStyle name="Celda vinculada 36 2 2" xfId="17635" xr:uid="{00000000-0005-0000-0000-0000B4440000}"/>
    <cellStyle name="Celda vinculada 36 3" xfId="17636" xr:uid="{00000000-0005-0000-0000-0000B5440000}"/>
    <cellStyle name="Celda vinculada 36 3 2" xfId="17637" xr:uid="{00000000-0005-0000-0000-0000B6440000}"/>
    <cellStyle name="Celda vinculada 36 4" xfId="17638" xr:uid="{00000000-0005-0000-0000-0000B7440000}"/>
    <cellStyle name="Celda vinculada 36 4 2" xfId="17639" xr:uid="{00000000-0005-0000-0000-0000B8440000}"/>
    <cellStyle name="Celda vinculada 36 5" xfId="17640" xr:uid="{00000000-0005-0000-0000-0000B9440000}"/>
    <cellStyle name="Celda vinculada 36 6" xfId="17641" xr:uid="{00000000-0005-0000-0000-0000BA440000}"/>
    <cellStyle name="Celda vinculada 36 7" xfId="17642" xr:uid="{00000000-0005-0000-0000-0000BB440000}"/>
    <cellStyle name="Celda vinculada 36 8" xfId="17643" xr:uid="{00000000-0005-0000-0000-0000BC440000}"/>
    <cellStyle name="Celda vinculada 36 9" xfId="17644" xr:uid="{00000000-0005-0000-0000-0000BD440000}"/>
    <cellStyle name="Celda vinculada 37 10" xfId="17645" xr:uid="{00000000-0005-0000-0000-0000BE440000}"/>
    <cellStyle name="Celda vinculada 37 11" xfId="17646" xr:uid="{00000000-0005-0000-0000-0000BF440000}"/>
    <cellStyle name="Celda vinculada 37 12" xfId="17647" xr:uid="{00000000-0005-0000-0000-0000C0440000}"/>
    <cellStyle name="Celda vinculada 37 13" xfId="17648" xr:uid="{00000000-0005-0000-0000-0000C1440000}"/>
    <cellStyle name="Celda vinculada 37 14" xfId="17649" xr:uid="{00000000-0005-0000-0000-0000C2440000}"/>
    <cellStyle name="Celda vinculada 37 15" xfId="17650" xr:uid="{00000000-0005-0000-0000-0000C3440000}"/>
    <cellStyle name="Celda vinculada 37 16" xfId="17651" xr:uid="{00000000-0005-0000-0000-0000C4440000}"/>
    <cellStyle name="Celda vinculada 37 17" xfId="17652" xr:uid="{00000000-0005-0000-0000-0000C5440000}"/>
    <cellStyle name="Celda vinculada 37 18" xfId="17653" xr:uid="{00000000-0005-0000-0000-0000C6440000}"/>
    <cellStyle name="Celda vinculada 37 19" xfId="17654" xr:uid="{00000000-0005-0000-0000-0000C7440000}"/>
    <cellStyle name="Celda vinculada 37 2" xfId="17655" xr:uid="{00000000-0005-0000-0000-0000C8440000}"/>
    <cellStyle name="Celda vinculada 37 2 2" xfId="17656" xr:uid="{00000000-0005-0000-0000-0000C9440000}"/>
    <cellStyle name="Celda vinculada 37 3" xfId="17657" xr:uid="{00000000-0005-0000-0000-0000CA440000}"/>
    <cellStyle name="Celda vinculada 37 3 2" xfId="17658" xr:uid="{00000000-0005-0000-0000-0000CB440000}"/>
    <cellStyle name="Celda vinculada 37 4" xfId="17659" xr:uid="{00000000-0005-0000-0000-0000CC440000}"/>
    <cellStyle name="Celda vinculada 37 4 2" xfId="17660" xr:uid="{00000000-0005-0000-0000-0000CD440000}"/>
    <cellStyle name="Celda vinculada 37 5" xfId="17661" xr:uid="{00000000-0005-0000-0000-0000CE440000}"/>
    <cellStyle name="Celda vinculada 37 6" xfId="17662" xr:uid="{00000000-0005-0000-0000-0000CF440000}"/>
    <cellStyle name="Celda vinculada 37 7" xfId="17663" xr:uid="{00000000-0005-0000-0000-0000D0440000}"/>
    <cellStyle name="Celda vinculada 37 8" xfId="17664" xr:uid="{00000000-0005-0000-0000-0000D1440000}"/>
    <cellStyle name="Celda vinculada 37 9" xfId="17665" xr:uid="{00000000-0005-0000-0000-0000D2440000}"/>
    <cellStyle name="Celda vinculada 38 10" xfId="17666" xr:uid="{00000000-0005-0000-0000-0000D3440000}"/>
    <cellStyle name="Celda vinculada 38 11" xfId="17667" xr:uid="{00000000-0005-0000-0000-0000D4440000}"/>
    <cellStyle name="Celda vinculada 38 12" xfId="17668" xr:uid="{00000000-0005-0000-0000-0000D5440000}"/>
    <cellStyle name="Celda vinculada 38 13" xfId="17669" xr:uid="{00000000-0005-0000-0000-0000D6440000}"/>
    <cellStyle name="Celda vinculada 38 14" xfId="17670" xr:uid="{00000000-0005-0000-0000-0000D7440000}"/>
    <cellStyle name="Celda vinculada 38 15" xfId="17671" xr:uid="{00000000-0005-0000-0000-0000D8440000}"/>
    <cellStyle name="Celda vinculada 38 16" xfId="17672" xr:uid="{00000000-0005-0000-0000-0000D9440000}"/>
    <cellStyle name="Celda vinculada 38 17" xfId="17673" xr:uid="{00000000-0005-0000-0000-0000DA440000}"/>
    <cellStyle name="Celda vinculada 38 18" xfId="17674" xr:uid="{00000000-0005-0000-0000-0000DB440000}"/>
    <cellStyle name="Celda vinculada 38 19" xfId="17675" xr:uid="{00000000-0005-0000-0000-0000DC440000}"/>
    <cellStyle name="Celda vinculada 38 2" xfId="17676" xr:uid="{00000000-0005-0000-0000-0000DD440000}"/>
    <cellStyle name="Celda vinculada 38 2 2" xfId="17677" xr:uid="{00000000-0005-0000-0000-0000DE440000}"/>
    <cellStyle name="Celda vinculada 38 3" xfId="17678" xr:uid="{00000000-0005-0000-0000-0000DF440000}"/>
    <cellStyle name="Celda vinculada 38 3 2" xfId="17679" xr:uid="{00000000-0005-0000-0000-0000E0440000}"/>
    <cellStyle name="Celda vinculada 38 4" xfId="17680" xr:uid="{00000000-0005-0000-0000-0000E1440000}"/>
    <cellStyle name="Celda vinculada 38 4 2" xfId="17681" xr:uid="{00000000-0005-0000-0000-0000E2440000}"/>
    <cellStyle name="Celda vinculada 38 5" xfId="17682" xr:uid="{00000000-0005-0000-0000-0000E3440000}"/>
    <cellStyle name="Celda vinculada 38 6" xfId="17683" xr:uid="{00000000-0005-0000-0000-0000E4440000}"/>
    <cellStyle name="Celda vinculada 38 7" xfId="17684" xr:uid="{00000000-0005-0000-0000-0000E5440000}"/>
    <cellStyle name="Celda vinculada 38 8" xfId="17685" xr:uid="{00000000-0005-0000-0000-0000E6440000}"/>
    <cellStyle name="Celda vinculada 38 9" xfId="17686" xr:uid="{00000000-0005-0000-0000-0000E7440000}"/>
    <cellStyle name="Celda vinculada 39" xfId="17687" xr:uid="{00000000-0005-0000-0000-0000E8440000}"/>
    <cellStyle name="Celda vinculada 39 10" xfId="17688" xr:uid="{00000000-0005-0000-0000-0000E9440000}"/>
    <cellStyle name="Celda vinculada 39 11" xfId="17689" xr:uid="{00000000-0005-0000-0000-0000EA440000}"/>
    <cellStyle name="Celda vinculada 39 12" xfId="17690" xr:uid="{00000000-0005-0000-0000-0000EB440000}"/>
    <cellStyle name="Celda vinculada 39 13" xfId="17691" xr:uid="{00000000-0005-0000-0000-0000EC440000}"/>
    <cellStyle name="Celda vinculada 39 14" xfId="17692" xr:uid="{00000000-0005-0000-0000-0000ED440000}"/>
    <cellStyle name="Celda vinculada 39 15" xfId="17693" xr:uid="{00000000-0005-0000-0000-0000EE440000}"/>
    <cellStyle name="Celda vinculada 39 16" xfId="17694" xr:uid="{00000000-0005-0000-0000-0000EF440000}"/>
    <cellStyle name="Celda vinculada 39 2" xfId="17695" xr:uid="{00000000-0005-0000-0000-0000F0440000}"/>
    <cellStyle name="Celda vinculada 39 3" xfId="17696" xr:uid="{00000000-0005-0000-0000-0000F1440000}"/>
    <cellStyle name="Celda vinculada 39 4" xfId="17697" xr:uid="{00000000-0005-0000-0000-0000F2440000}"/>
    <cellStyle name="Celda vinculada 39 5" xfId="17698" xr:uid="{00000000-0005-0000-0000-0000F3440000}"/>
    <cellStyle name="Celda vinculada 39 6" xfId="17699" xr:uid="{00000000-0005-0000-0000-0000F4440000}"/>
    <cellStyle name="Celda vinculada 39 7" xfId="17700" xr:uid="{00000000-0005-0000-0000-0000F5440000}"/>
    <cellStyle name="Celda vinculada 39 8" xfId="17701" xr:uid="{00000000-0005-0000-0000-0000F6440000}"/>
    <cellStyle name="Celda vinculada 39 9" xfId="17702" xr:uid="{00000000-0005-0000-0000-0000F7440000}"/>
    <cellStyle name="Celda vinculada 4 10" xfId="17703" xr:uid="{00000000-0005-0000-0000-0000F8440000}"/>
    <cellStyle name="Celda vinculada 4 11" xfId="17704" xr:uid="{00000000-0005-0000-0000-0000F9440000}"/>
    <cellStyle name="Celda vinculada 4 12" xfId="17705" xr:uid="{00000000-0005-0000-0000-0000FA440000}"/>
    <cellStyle name="Celda vinculada 4 13" xfId="17706" xr:uid="{00000000-0005-0000-0000-0000FB440000}"/>
    <cellStyle name="Celda vinculada 4 14" xfId="17707" xr:uid="{00000000-0005-0000-0000-0000FC440000}"/>
    <cellStyle name="Celda vinculada 4 15" xfId="17708" xr:uid="{00000000-0005-0000-0000-0000FD440000}"/>
    <cellStyle name="Celda vinculada 4 16" xfId="17709" xr:uid="{00000000-0005-0000-0000-0000FE440000}"/>
    <cellStyle name="Celda vinculada 4 17" xfId="17710" xr:uid="{00000000-0005-0000-0000-0000FF440000}"/>
    <cellStyle name="Celda vinculada 4 18" xfId="17711" xr:uid="{00000000-0005-0000-0000-000000450000}"/>
    <cellStyle name="Celda vinculada 4 19" xfId="17712" xr:uid="{00000000-0005-0000-0000-000001450000}"/>
    <cellStyle name="Celda vinculada 4 2" xfId="17713" xr:uid="{00000000-0005-0000-0000-000002450000}"/>
    <cellStyle name="Celda vinculada 4 2 2" xfId="17714" xr:uid="{00000000-0005-0000-0000-000003450000}"/>
    <cellStyle name="Celda vinculada 4 3" xfId="17715" xr:uid="{00000000-0005-0000-0000-000004450000}"/>
    <cellStyle name="Celda vinculada 4 3 2" xfId="17716" xr:uid="{00000000-0005-0000-0000-000005450000}"/>
    <cellStyle name="Celda vinculada 4 4" xfId="17717" xr:uid="{00000000-0005-0000-0000-000006450000}"/>
    <cellStyle name="Celda vinculada 4 4 2" xfId="17718" xr:uid="{00000000-0005-0000-0000-000007450000}"/>
    <cellStyle name="Celda vinculada 4 5" xfId="17719" xr:uid="{00000000-0005-0000-0000-000008450000}"/>
    <cellStyle name="Celda vinculada 4 6" xfId="17720" xr:uid="{00000000-0005-0000-0000-000009450000}"/>
    <cellStyle name="Celda vinculada 4 7" xfId="17721" xr:uid="{00000000-0005-0000-0000-00000A450000}"/>
    <cellStyle name="Celda vinculada 4 8" xfId="17722" xr:uid="{00000000-0005-0000-0000-00000B450000}"/>
    <cellStyle name="Celda vinculada 4 9" xfId="17723" xr:uid="{00000000-0005-0000-0000-00000C450000}"/>
    <cellStyle name="Celda vinculada 40" xfId="17724" xr:uid="{00000000-0005-0000-0000-00000D450000}"/>
    <cellStyle name="Celda vinculada 40 10" xfId="17725" xr:uid="{00000000-0005-0000-0000-00000E450000}"/>
    <cellStyle name="Celda vinculada 40 11" xfId="17726" xr:uid="{00000000-0005-0000-0000-00000F450000}"/>
    <cellStyle name="Celda vinculada 40 12" xfId="17727" xr:uid="{00000000-0005-0000-0000-000010450000}"/>
    <cellStyle name="Celda vinculada 40 13" xfId="17728" xr:uid="{00000000-0005-0000-0000-000011450000}"/>
    <cellStyle name="Celda vinculada 40 14" xfId="17729" xr:uid="{00000000-0005-0000-0000-000012450000}"/>
    <cellStyle name="Celda vinculada 40 15" xfId="17730" xr:uid="{00000000-0005-0000-0000-000013450000}"/>
    <cellStyle name="Celda vinculada 40 16" xfId="17731" xr:uid="{00000000-0005-0000-0000-000014450000}"/>
    <cellStyle name="Celda vinculada 40 2" xfId="17732" xr:uid="{00000000-0005-0000-0000-000015450000}"/>
    <cellStyle name="Celda vinculada 40 3" xfId="17733" xr:uid="{00000000-0005-0000-0000-000016450000}"/>
    <cellStyle name="Celda vinculada 40 4" xfId="17734" xr:uid="{00000000-0005-0000-0000-000017450000}"/>
    <cellStyle name="Celda vinculada 40 5" xfId="17735" xr:uid="{00000000-0005-0000-0000-000018450000}"/>
    <cellStyle name="Celda vinculada 40 6" xfId="17736" xr:uid="{00000000-0005-0000-0000-000019450000}"/>
    <cellStyle name="Celda vinculada 40 7" xfId="17737" xr:uid="{00000000-0005-0000-0000-00001A450000}"/>
    <cellStyle name="Celda vinculada 40 8" xfId="17738" xr:uid="{00000000-0005-0000-0000-00001B450000}"/>
    <cellStyle name="Celda vinculada 40 9" xfId="17739" xr:uid="{00000000-0005-0000-0000-00001C450000}"/>
    <cellStyle name="Celda vinculada 41" xfId="17740" xr:uid="{00000000-0005-0000-0000-00001D450000}"/>
    <cellStyle name="Celda vinculada 41 10" xfId="17741" xr:uid="{00000000-0005-0000-0000-00001E450000}"/>
    <cellStyle name="Celda vinculada 41 11" xfId="17742" xr:uid="{00000000-0005-0000-0000-00001F450000}"/>
    <cellStyle name="Celda vinculada 41 12" xfId="17743" xr:uid="{00000000-0005-0000-0000-000020450000}"/>
    <cellStyle name="Celda vinculada 41 13" xfId="17744" xr:uid="{00000000-0005-0000-0000-000021450000}"/>
    <cellStyle name="Celda vinculada 41 14" xfId="17745" xr:uid="{00000000-0005-0000-0000-000022450000}"/>
    <cellStyle name="Celda vinculada 41 15" xfId="17746" xr:uid="{00000000-0005-0000-0000-000023450000}"/>
    <cellStyle name="Celda vinculada 41 16" xfId="17747" xr:uid="{00000000-0005-0000-0000-000024450000}"/>
    <cellStyle name="Celda vinculada 41 2" xfId="17748" xr:uid="{00000000-0005-0000-0000-000025450000}"/>
    <cellStyle name="Celda vinculada 41 3" xfId="17749" xr:uid="{00000000-0005-0000-0000-000026450000}"/>
    <cellStyle name="Celda vinculada 41 4" xfId="17750" xr:uid="{00000000-0005-0000-0000-000027450000}"/>
    <cellStyle name="Celda vinculada 41 5" xfId="17751" xr:uid="{00000000-0005-0000-0000-000028450000}"/>
    <cellStyle name="Celda vinculada 41 6" xfId="17752" xr:uid="{00000000-0005-0000-0000-000029450000}"/>
    <cellStyle name="Celda vinculada 41 7" xfId="17753" xr:uid="{00000000-0005-0000-0000-00002A450000}"/>
    <cellStyle name="Celda vinculada 41 8" xfId="17754" xr:uid="{00000000-0005-0000-0000-00002B450000}"/>
    <cellStyle name="Celda vinculada 41 9" xfId="17755" xr:uid="{00000000-0005-0000-0000-00002C450000}"/>
    <cellStyle name="Celda vinculada 42" xfId="17756" xr:uid="{00000000-0005-0000-0000-00002D450000}"/>
    <cellStyle name="Celda vinculada 43" xfId="17757" xr:uid="{00000000-0005-0000-0000-00002E450000}"/>
    <cellStyle name="Celda vinculada 44" xfId="17758" xr:uid="{00000000-0005-0000-0000-00002F450000}"/>
    <cellStyle name="Celda vinculada 45" xfId="17759" xr:uid="{00000000-0005-0000-0000-000030450000}"/>
    <cellStyle name="Celda vinculada 46" xfId="17760" xr:uid="{00000000-0005-0000-0000-000031450000}"/>
    <cellStyle name="Celda vinculada 47" xfId="17761" xr:uid="{00000000-0005-0000-0000-000032450000}"/>
    <cellStyle name="Celda vinculada 48" xfId="17762" xr:uid="{00000000-0005-0000-0000-000033450000}"/>
    <cellStyle name="Celda vinculada 49" xfId="17763" xr:uid="{00000000-0005-0000-0000-000034450000}"/>
    <cellStyle name="Celda vinculada 5 10" xfId="17764" xr:uid="{00000000-0005-0000-0000-000035450000}"/>
    <cellStyle name="Celda vinculada 5 11" xfId="17765" xr:uid="{00000000-0005-0000-0000-000036450000}"/>
    <cellStyle name="Celda vinculada 5 12" xfId="17766" xr:uid="{00000000-0005-0000-0000-000037450000}"/>
    <cellStyle name="Celda vinculada 5 13" xfId="17767" xr:uid="{00000000-0005-0000-0000-000038450000}"/>
    <cellStyle name="Celda vinculada 5 14" xfId="17768" xr:uid="{00000000-0005-0000-0000-000039450000}"/>
    <cellStyle name="Celda vinculada 5 15" xfId="17769" xr:uid="{00000000-0005-0000-0000-00003A450000}"/>
    <cellStyle name="Celda vinculada 5 16" xfId="17770" xr:uid="{00000000-0005-0000-0000-00003B450000}"/>
    <cellStyle name="Celda vinculada 5 17" xfId="17771" xr:uid="{00000000-0005-0000-0000-00003C450000}"/>
    <cellStyle name="Celda vinculada 5 18" xfId="17772" xr:uid="{00000000-0005-0000-0000-00003D450000}"/>
    <cellStyle name="Celda vinculada 5 19" xfId="17773" xr:uid="{00000000-0005-0000-0000-00003E450000}"/>
    <cellStyle name="Celda vinculada 5 2" xfId="17774" xr:uid="{00000000-0005-0000-0000-00003F450000}"/>
    <cellStyle name="Celda vinculada 5 2 2" xfId="17775" xr:uid="{00000000-0005-0000-0000-000040450000}"/>
    <cellStyle name="Celda vinculada 5 3" xfId="17776" xr:uid="{00000000-0005-0000-0000-000041450000}"/>
    <cellStyle name="Celda vinculada 5 3 2" xfId="17777" xr:uid="{00000000-0005-0000-0000-000042450000}"/>
    <cellStyle name="Celda vinculada 5 4" xfId="17778" xr:uid="{00000000-0005-0000-0000-000043450000}"/>
    <cellStyle name="Celda vinculada 5 4 2" xfId="17779" xr:uid="{00000000-0005-0000-0000-000044450000}"/>
    <cellStyle name="Celda vinculada 5 5" xfId="17780" xr:uid="{00000000-0005-0000-0000-000045450000}"/>
    <cellStyle name="Celda vinculada 5 6" xfId="17781" xr:uid="{00000000-0005-0000-0000-000046450000}"/>
    <cellStyle name="Celda vinculada 5 7" xfId="17782" xr:uid="{00000000-0005-0000-0000-000047450000}"/>
    <cellStyle name="Celda vinculada 5 8" xfId="17783" xr:uid="{00000000-0005-0000-0000-000048450000}"/>
    <cellStyle name="Celda vinculada 5 9" xfId="17784" xr:uid="{00000000-0005-0000-0000-000049450000}"/>
    <cellStyle name="Celda vinculada 50" xfId="17785" xr:uid="{00000000-0005-0000-0000-00004A450000}"/>
    <cellStyle name="Celda vinculada 51" xfId="17786" xr:uid="{00000000-0005-0000-0000-00004B450000}"/>
    <cellStyle name="Celda vinculada 52" xfId="17787" xr:uid="{00000000-0005-0000-0000-00004C450000}"/>
    <cellStyle name="Celda vinculada 53" xfId="17788" xr:uid="{00000000-0005-0000-0000-00004D450000}"/>
    <cellStyle name="Celda vinculada 54" xfId="17789" xr:uid="{00000000-0005-0000-0000-00004E450000}"/>
    <cellStyle name="Celda vinculada 55" xfId="17790" xr:uid="{00000000-0005-0000-0000-00004F450000}"/>
    <cellStyle name="Celda vinculada 56" xfId="17791" xr:uid="{00000000-0005-0000-0000-000050450000}"/>
    <cellStyle name="Celda vinculada 57" xfId="17792" xr:uid="{00000000-0005-0000-0000-000051450000}"/>
    <cellStyle name="Celda vinculada 58" xfId="17793" xr:uid="{00000000-0005-0000-0000-000052450000}"/>
    <cellStyle name="Celda vinculada 59" xfId="17794" xr:uid="{00000000-0005-0000-0000-000053450000}"/>
    <cellStyle name="Celda vinculada 6 10" xfId="17795" xr:uid="{00000000-0005-0000-0000-000054450000}"/>
    <cellStyle name="Celda vinculada 6 11" xfId="17796" xr:uid="{00000000-0005-0000-0000-000055450000}"/>
    <cellStyle name="Celda vinculada 6 12" xfId="17797" xr:uid="{00000000-0005-0000-0000-000056450000}"/>
    <cellStyle name="Celda vinculada 6 13" xfId="17798" xr:uid="{00000000-0005-0000-0000-000057450000}"/>
    <cellStyle name="Celda vinculada 6 14" xfId="17799" xr:uid="{00000000-0005-0000-0000-000058450000}"/>
    <cellStyle name="Celda vinculada 6 15" xfId="17800" xr:uid="{00000000-0005-0000-0000-000059450000}"/>
    <cellStyle name="Celda vinculada 6 16" xfId="17801" xr:uid="{00000000-0005-0000-0000-00005A450000}"/>
    <cellStyle name="Celda vinculada 6 17" xfId="17802" xr:uid="{00000000-0005-0000-0000-00005B450000}"/>
    <cellStyle name="Celda vinculada 6 18" xfId="17803" xr:uid="{00000000-0005-0000-0000-00005C450000}"/>
    <cellStyle name="Celda vinculada 6 19" xfId="17804" xr:uid="{00000000-0005-0000-0000-00005D450000}"/>
    <cellStyle name="Celda vinculada 6 2" xfId="17805" xr:uid="{00000000-0005-0000-0000-00005E450000}"/>
    <cellStyle name="Celda vinculada 6 2 2" xfId="17806" xr:uid="{00000000-0005-0000-0000-00005F450000}"/>
    <cellStyle name="Celda vinculada 6 3" xfId="17807" xr:uid="{00000000-0005-0000-0000-000060450000}"/>
    <cellStyle name="Celda vinculada 6 3 2" xfId="17808" xr:uid="{00000000-0005-0000-0000-000061450000}"/>
    <cellStyle name="Celda vinculada 6 4" xfId="17809" xr:uid="{00000000-0005-0000-0000-000062450000}"/>
    <cellStyle name="Celda vinculada 6 4 2" xfId="17810" xr:uid="{00000000-0005-0000-0000-000063450000}"/>
    <cellStyle name="Celda vinculada 6 5" xfId="17811" xr:uid="{00000000-0005-0000-0000-000064450000}"/>
    <cellStyle name="Celda vinculada 6 6" xfId="17812" xr:uid="{00000000-0005-0000-0000-000065450000}"/>
    <cellStyle name="Celda vinculada 6 7" xfId="17813" xr:uid="{00000000-0005-0000-0000-000066450000}"/>
    <cellStyle name="Celda vinculada 6 8" xfId="17814" xr:uid="{00000000-0005-0000-0000-000067450000}"/>
    <cellStyle name="Celda vinculada 6 9" xfId="17815" xr:uid="{00000000-0005-0000-0000-000068450000}"/>
    <cellStyle name="Celda vinculada 60" xfId="17816" xr:uid="{00000000-0005-0000-0000-000069450000}"/>
    <cellStyle name="Celda vinculada 61" xfId="17817" xr:uid="{00000000-0005-0000-0000-00006A450000}"/>
    <cellStyle name="Celda vinculada 62" xfId="17818" xr:uid="{00000000-0005-0000-0000-00006B450000}"/>
    <cellStyle name="Celda vinculada 63" xfId="17819" xr:uid="{00000000-0005-0000-0000-00006C450000}"/>
    <cellStyle name="Celda vinculada 64" xfId="17820" xr:uid="{00000000-0005-0000-0000-00006D450000}"/>
    <cellStyle name="Celda vinculada 7 10" xfId="17821" xr:uid="{00000000-0005-0000-0000-00006E450000}"/>
    <cellStyle name="Celda vinculada 7 11" xfId="17822" xr:uid="{00000000-0005-0000-0000-00006F450000}"/>
    <cellStyle name="Celda vinculada 7 12" xfId="17823" xr:uid="{00000000-0005-0000-0000-000070450000}"/>
    <cellStyle name="Celda vinculada 7 13" xfId="17824" xr:uid="{00000000-0005-0000-0000-000071450000}"/>
    <cellStyle name="Celda vinculada 7 14" xfId="17825" xr:uid="{00000000-0005-0000-0000-000072450000}"/>
    <cellStyle name="Celda vinculada 7 15" xfId="17826" xr:uid="{00000000-0005-0000-0000-000073450000}"/>
    <cellStyle name="Celda vinculada 7 16" xfId="17827" xr:uid="{00000000-0005-0000-0000-000074450000}"/>
    <cellStyle name="Celda vinculada 7 17" xfId="17828" xr:uid="{00000000-0005-0000-0000-000075450000}"/>
    <cellStyle name="Celda vinculada 7 18" xfId="17829" xr:uid="{00000000-0005-0000-0000-000076450000}"/>
    <cellStyle name="Celda vinculada 7 19" xfId="17830" xr:uid="{00000000-0005-0000-0000-000077450000}"/>
    <cellStyle name="Celda vinculada 7 2" xfId="17831" xr:uid="{00000000-0005-0000-0000-000078450000}"/>
    <cellStyle name="Celda vinculada 7 2 2" xfId="17832" xr:uid="{00000000-0005-0000-0000-000079450000}"/>
    <cellStyle name="Celda vinculada 7 3" xfId="17833" xr:uid="{00000000-0005-0000-0000-00007A450000}"/>
    <cellStyle name="Celda vinculada 7 3 2" xfId="17834" xr:uid="{00000000-0005-0000-0000-00007B450000}"/>
    <cellStyle name="Celda vinculada 7 4" xfId="17835" xr:uid="{00000000-0005-0000-0000-00007C450000}"/>
    <cellStyle name="Celda vinculada 7 4 2" xfId="17836" xr:uid="{00000000-0005-0000-0000-00007D450000}"/>
    <cellStyle name="Celda vinculada 7 5" xfId="17837" xr:uid="{00000000-0005-0000-0000-00007E450000}"/>
    <cellStyle name="Celda vinculada 7 6" xfId="17838" xr:uid="{00000000-0005-0000-0000-00007F450000}"/>
    <cellStyle name="Celda vinculada 7 7" xfId="17839" xr:uid="{00000000-0005-0000-0000-000080450000}"/>
    <cellStyle name="Celda vinculada 7 8" xfId="17840" xr:uid="{00000000-0005-0000-0000-000081450000}"/>
    <cellStyle name="Celda vinculada 7 9" xfId="17841" xr:uid="{00000000-0005-0000-0000-000082450000}"/>
    <cellStyle name="Celda vinculada 8 10" xfId="17842" xr:uid="{00000000-0005-0000-0000-000083450000}"/>
    <cellStyle name="Celda vinculada 8 11" xfId="17843" xr:uid="{00000000-0005-0000-0000-000084450000}"/>
    <cellStyle name="Celda vinculada 8 12" xfId="17844" xr:uid="{00000000-0005-0000-0000-000085450000}"/>
    <cellStyle name="Celda vinculada 8 13" xfId="17845" xr:uid="{00000000-0005-0000-0000-000086450000}"/>
    <cellStyle name="Celda vinculada 8 14" xfId="17846" xr:uid="{00000000-0005-0000-0000-000087450000}"/>
    <cellStyle name="Celda vinculada 8 15" xfId="17847" xr:uid="{00000000-0005-0000-0000-000088450000}"/>
    <cellStyle name="Celda vinculada 8 16" xfId="17848" xr:uid="{00000000-0005-0000-0000-000089450000}"/>
    <cellStyle name="Celda vinculada 8 17" xfId="17849" xr:uid="{00000000-0005-0000-0000-00008A450000}"/>
    <cellStyle name="Celda vinculada 8 18" xfId="17850" xr:uid="{00000000-0005-0000-0000-00008B450000}"/>
    <cellStyle name="Celda vinculada 8 19" xfId="17851" xr:uid="{00000000-0005-0000-0000-00008C450000}"/>
    <cellStyle name="Celda vinculada 8 2" xfId="17852" xr:uid="{00000000-0005-0000-0000-00008D450000}"/>
    <cellStyle name="Celda vinculada 8 2 2" xfId="17853" xr:uid="{00000000-0005-0000-0000-00008E450000}"/>
    <cellStyle name="Celda vinculada 8 3" xfId="17854" xr:uid="{00000000-0005-0000-0000-00008F450000}"/>
    <cellStyle name="Celda vinculada 8 3 2" xfId="17855" xr:uid="{00000000-0005-0000-0000-000090450000}"/>
    <cellStyle name="Celda vinculada 8 4" xfId="17856" xr:uid="{00000000-0005-0000-0000-000091450000}"/>
    <cellStyle name="Celda vinculada 8 4 2" xfId="17857" xr:uid="{00000000-0005-0000-0000-000092450000}"/>
    <cellStyle name="Celda vinculada 8 5" xfId="17858" xr:uid="{00000000-0005-0000-0000-000093450000}"/>
    <cellStyle name="Celda vinculada 8 6" xfId="17859" xr:uid="{00000000-0005-0000-0000-000094450000}"/>
    <cellStyle name="Celda vinculada 8 7" xfId="17860" xr:uid="{00000000-0005-0000-0000-000095450000}"/>
    <cellStyle name="Celda vinculada 8 8" xfId="17861" xr:uid="{00000000-0005-0000-0000-000096450000}"/>
    <cellStyle name="Celda vinculada 8 9" xfId="17862" xr:uid="{00000000-0005-0000-0000-000097450000}"/>
    <cellStyle name="Celda vinculada 9 10" xfId="17863" xr:uid="{00000000-0005-0000-0000-000098450000}"/>
    <cellStyle name="Celda vinculada 9 11" xfId="17864" xr:uid="{00000000-0005-0000-0000-000099450000}"/>
    <cellStyle name="Celda vinculada 9 12" xfId="17865" xr:uid="{00000000-0005-0000-0000-00009A450000}"/>
    <cellStyle name="Celda vinculada 9 13" xfId="17866" xr:uid="{00000000-0005-0000-0000-00009B450000}"/>
    <cellStyle name="Celda vinculada 9 14" xfId="17867" xr:uid="{00000000-0005-0000-0000-00009C450000}"/>
    <cellStyle name="Celda vinculada 9 15" xfId="17868" xr:uid="{00000000-0005-0000-0000-00009D450000}"/>
    <cellStyle name="Celda vinculada 9 16" xfId="17869" xr:uid="{00000000-0005-0000-0000-00009E450000}"/>
    <cellStyle name="Celda vinculada 9 17" xfId="17870" xr:uid="{00000000-0005-0000-0000-00009F450000}"/>
    <cellStyle name="Celda vinculada 9 18" xfId="17871" xr:uid="{00000000-0005-0000-0000-0000A0450000}"/>
    <cellStyle name="Celda vinculada 9 19" xfId="17872" xr:uid="{00000000-0005-0000-0000-0000A1450000}"/>
    <cellStyle name="Celda vinculada 9 2" xfId="17873" xr:uid="{00000000-0005-0000-0000-0000A2450000}"/>
    <cellStyle name="Celda vinculada 9 2 2" xfId="17874" xr:uid="{00000000-0005-0000-0000-0000A3450000}"/>
    <cellStyle name="Celda vinculada 9 3" xfId="17875" xr:uid="{00000000-0005-0000-0000-0000A4450000}"/>
    <cellStyle name="Celda vinculada 9 3 2" xfId="17876" xr:uid="{00000000-0005-0000-0000-0000A5450000}"/>
    <cellStyle name="Celda vinculada 9 4" xfId="17877" xr:uid="{00000000-0005-0000-0000-0000A6450000}"/>
    <cellStyle name="Celda vinculada 9 4 2" xfId="17878" xr:uid="{00000000-0005-0000-0000-0000A7450000}"/>
    <cellStyle name="Celda vinculada 9 5" xfId="17879" xr:uid="{00000000-0005-0000-0000-0000A8450000}"/>
    <cellStyle name="Celda vinculada 9 6" xfId="17880" xr:uid="{00000000-0005-0000-0000-0000A9450000}"/>
    <cellStyle name="Celda vinculada 9 7" xfId="17881" xr:uid="{00000000-0005-0000-0000-0000AA450000}"/>
    <cellStyle name="Celda vinculada 9 8" xfId="17882" xr:uid="{00000000-0005-0000-0000-0000AB450000}"/>
    <cellStyle name="Celda vinculada 9 9" xfId="17883" xr:uid="{00000000-0005-0000-0000-0000AC450000}"/>
    <cellStyle name="Comma 2" xfId="17884" xr:uid="{00000000-0005-0000-0000-0000AD450000}"/>
    <cellStyle name="Comma 2 10" xfId="17885" xr:uid="{00000000-0005-0000-0000-0000AE450000}"/>
    <cellStyle name="Comma 2 11" xfId="17886" xr:uid="{00000000-0005-0000-0000-0000AF450000}"/>
    <cellStyle name="Comma 2 2" xfId="17887" xr:uid="{00000000-0005-0000-0000-0000B0450000}"/>
    <cellStyle name="Comma 2 3" xfId="17888" xr:uid="{00000000-0005-0000-0000-0000B1450000}"/>
    <cellStyle name="Comma 2 4" xfId="17889" xr:uid="{00000000-0005-0000-0000-0000B2450000}"/>
    <cellStyle name="Comma 2 5" xfId="17890" xr:uid="{00000000-0005-0000-0000-0000B3450000}"/>
    <cellStyle name="Comma 2 6" xfId="17891" xr:uid="{00000000-0005-0000-0000-0000B4450000}"/>
    <cellStyle name="Comma 2 7" xfId="17892" xr:uid="{00000000-0005-0000-0000-0000B5450000}"/>
    <cellStyle name="Comma 2 8" xfId="17893" xr:uid="{00000000-0005-0000-0000-0000B6450000}"/>
    <cellStyle name="Comma 2 9" xfId="17894" xr:uid="{00000000-0005-0000-0000-0000B7450000}"/>
    <cellStyle name="Comma 3" xfId="17895" xr:uid="{00000000-0005-0000-0000-0000B8450000}"/>
    <cellStyle name="Diseño" xfId="7" xr:uid="{00000000-0005-0000-0000-0000B9450000}"/>
    <cellStyle name="Diseño 2" xfId="9" xr:uid="{00000000-0005-0000-0000-0000BA450000}"/>
    <cellStyle name="Encabezado 1" xfId="32513" builtinId="16" customBuiltin="1"/>
    <cellStyle name="Encabezado 4" xfId="32516" builtinId="19" customBuiltin="1"/>
    <cellStyle name="Encabezado 4 10 10" xfId="17896" xr:uid="{00000000-0005-0000-0000-0000BD450000}"/>
    <cellStyle name="Encabezado 4 10 11" xfId="17897" xr:uid="{00000000-0005-0000-0000-0000BE450000}"/>
    <cellStyle name="Encabezado 4 10 12" xfId="17898" xr:uid="{00000000-0005-0000-0000-0000BF450000}"/>
    <cellStyle name="Encabezado 4 10 13" xfId="17899" xr:uid="{00000000-0005-0000-0000-0000C0450000}"/>
    <cellStyle name="Encabezado 4 10 14" xfId="17900" xr:uid="{00000000-0005-0000-0000-0000C1450000}"/>
    <cellStyle name="Encabezado 4 10 15" xfId="17901" xr:uid="{00000000-0005-0000-0000-0000C2450000}"/>
    <cellStyle name="Encabezado 4 10 16" xfId="17902" xr:uid="{00000000-0005-0000-0000-0000C3450000}"/>
    <cellStyle name="Encabezado 4 10 17" xfId="17903" xr:uid="{00000000-0005-0000-0000-0000C4450000}"/>
    <cellStyle name="Encabezado 4 10 18" xfId="17904" xr:uid="{00000000-0005-0000-0000-0000C5450000}"/>
    <cellStyle name="Encabezado 4 10 19" xfId="17905" xr:uid="{00000000-0005-0000-0000-0000C6450000}"/>
    <cellStyle name="Encabezado 4 10 2" xfId="17906" xr:uid="{00000000-0005-0000-0000-0000C7450000}"/>
    <cellStyle name="Encabezado 4 10 2 2" xfId="17907" xr:uid="{00000000-0005-0000-0000-0000C8450000}"/>
    <cellStyle name="Encabezado 4 10 3" xfId="17908" xr:uid="{00000000-0005-0000-0000-0000C9450000}"/>
    <cellStyle name="Encabezado 4 10 3 2" xfId="17909" xr:uid="{00000000-0005-0000-0000-0000CA450000}"/>
    <cellStyle name="Encabezado 4 10 4" xfId="17910" xr:uid="{00000000-0005-0000-0000-0000CB450000}"/>
    <cellStyle name="Encabezado 4 10 4 2" xfId="17911" xr:uid="{00000000-0005-0000-0000-0000CC450000}"/>
    <cellStyle name="Encabezado 4 10 5" xfId="17912" xr:uid="{00000000-0005-0000-0000-0000CD450000}"/>
    <cellStyle name="Encabezado 4 10 6" xfId="17913" xr:uid="{00000000-0005-0000-0000-0000CE450000}"/>
    <cellStyle name="Encabezado 4 10 7" xfId="17914" xr:uid="{00000000-0005-0000-0000-0000CF450000}"/>
    <cellStyle name="Encabezado 4 10 8" xfId="17915" xr:uid="{00000000-0005-0000-0000-0000D0450000}"/>
    <cellStyle name="Encabezado 4 10 9" xfId="17916" xr:uid="{00000000-0005-0000-0000-0000D1450000}"/>
    <cellStyle name="Encabezado 4 11 10" xfId="17917" xr:uid="{00000000-0005-0000-0000-0000D2450000}"/>
    <cellStyle name="Encabezado 4 11 11" xfId="17918" xr:uid="{00000000-0005-0000-0000-0000D3450000}"/>
    <cellStyle name="Encabezado 4 11 12" xfId="17919" xr:uid="{00000000-0005-0000-0000-0000D4450000}"/>
    <cellStyle name="Encabezado 4 11 13" xfId="17920" xr:uid="{00000000-0005-0000-0000-0000D5450000}"/>
    <cellStyle name="Encabezado 4 11 14" xfId="17921" xr:uid="{00000000-0005-0000-0000-0000D6450000}"/>
    <cellStyle name="Encabezado 4 11 15" xfId="17922" xr:uid="{00000000-0005-0000-0000-0000D7450000}"/>
    <cellStyle name="Encabezado 4 11 16" xfId="17923" xr:uid="{00000000-0005-0000-0000-0000D8450000}"/>
    <cellStyle name="Encabezado 4 11 17" xfId="17924" xr:uid="{00000000-0005-0000-0000-0000D9450000}"/>
    <cellStyle name="Encabezado 4 11 18" xfId="17925" xr:uid="{00000000-0005-0000-0000-0000DA450000}"/>
    <cellStyle name="Encabezado 4 11 19" xfId="17926" xr:uid="{00000000-0005-0000-0000-0000DB450000}"/>
    <cellStyle name="Encabezado 4 11 2" xfId="17927" xr:uid="{00000000-0005-0000-0000-0000DC450000}"/>
    <cellStyle name="Encabezado 4 11 2 2" xfId="17928" xr:uid="{00000000-0005-0000-0000-0000DD450000}"/>
    <cellStyle name="Encabezado 4 11 3" xfId="17929" xr:uid="{00000000-0005-0000-0000-0000DE450000}"/>
    <cellStyle name="Encabezado 4 11 3 2" xfId="17930" xr:uid="{00000000-0005-0000-0000-0000DF450000}"/>
    <cellStyle name="Encabezado 4 11 4" xfId="17931" xr:uid="{00000000-0005-0000-0000-0000E0450000}"/>
    <cellStyle name="Encabezado 4 11 4 2" xfId="17932" xr:uid="{00000000-0005-0000-0000-0000E1450000}"/>
    <cellStyle name="Encabezado 4 11 5" xfId="17933" xr:uid="{00000000-0005-0000-0000-0000E2450000}"/>
    <cellStyle name="Encabezado 4 11 6" xfId="17934" xr:uid="{00000000-0005-0000-0000-0000E3450000}"/>
    <cellStyle name="Encabezado 4 11 7" xfId="17935" xr:uid="{00000000-0005-0000-0000-0000E4450000}"/>
    <cellStyle name="Encabezado 4 11 8" xfId="17936" xr:uid="{00000000-0005-0000-0000-0000E5450000}"/>
    <cellStyle name="Encabezado 4 11 9" xfId="17937" xr:uid="{00000000-0005-0000-0000-0000E6450000}"/>
    <cellStyle name="Encabezado 4 12 10" xfId="17938" xr:uid="{00000000-0005-0000-0000-0000E7450000}"/>
    <cellStyle name="Encabezado 4 12 11" xfId="17939" xr:uid="{00000000-0005-0000-0000-0000E8450000}"/>
    <cellStyle name="Encabezado 4 12 12" xfId="17940" xr:uid="{00000000-0005-0000-0000-0000E9450000}"/>
    <cellStyle name="Encabezado 4 12 13" xfId="17941" xr:uid="{00000000-0005-0000-0000-0000EA450000}"/>
    <cellStyle name="Encabezado 4 12 14" xfId="17942" xr:uid="{00000000-0005-0000-0000-0000EB450000}"/>
    <cellStyle name="Encabezado 4 12 15" xfId="17943" xr:uid="{00000000-0005-0000-0000-0000EC450000}"/>
    <cellStyle name="Encabezado 4 12 16" xfId="17944" xr:uid="{00000000-0005-0000-0000-0000ED450000}"/>
    <cellStyle name="Encabezado 4 12 17" xfId="17945" xr:uid="{00000000-0005-0000-0000-0000EE450000}"/>
    <cellStyle name="Encabezado 4 12 18" xfId="17946" xr:uid="{00000000-0005-0000-0000-0000EF450000}"/>
    <cellStyle name="Encabezado 4 12 19" xfId="17947" xr:uid="{00000000-0005-0000-0000-0000F0450000}"/>
    <cellStyle name="Encabezado 4 12 2" xfId="17948" xr:uid="{00000000-0005-0000-0000-0000F1450000}"/>
    <cellStyle name="Encabezado 4 12 2 2" xfId="17949" xr:uid="{00000000-0005-0000-0000-0000F2450000}"/>
    <cellStyle name="Encabezado 4 12 3" xfId="17950" xr:uid="{00000000-0005-0000-0000-0000F3450000}"/>
    <cellStyle name="Encabezado 4 12 3 2" xfId="17951" xr:uid="{00000000-0005-0000-0000-0000F4450000}"/>
    <cellStyle name="Encabezado 4 12 4" xfId="17952" xr:uid="{00000000-0005-0000-0000-0000F5450000}"/>
    <cellStyle name="Encabezado 4 12 4 2" xfId="17953" xr:uid="{00000000-0005-0000-0000-0000F6450000}"/>
    <cellStyle name="Encabezado 4 12 5" xfId="17954" xr:uid="{00000000-0005-0000-0000-0000F7450000}"/>
    <cellStyle name="Encabezado 4 12 6" xfId="17955" xr:uid="{00000000-0005-0000-0000-0000F8450000}"/>
    <cellStyle name="Encabezado 4 12 7" xfId="17956" xr:uid="{00000000-0005-0000-0000-0000F9450000}"/>
    <cellStyle name="Encabezado 4 12 8" xfId="17957" xr:uid="{00000000-0005-0000-0000-0000FA450000}"/>
    <cellStyle name="Encabezado 4 12 9" xfId="17958" xr:uid="{00000000-0005-0000-0000-0000FB450000}"/>
    <cellStyle name="Encabezado 4 13 10" xfId="17959" xr:uid="{00000000-0005-0000-0000-0000FC450000}"/>
    <cellStyle name="Encabezado 4 13 11" xfId="17960" xr:uid="{00000000-0005-0000-0000-0000FD450000}"/>
    <cellStyle name="Encabezado 4 13 12" xfId="17961" xr:uid="{00000000-0005-0000-0000-0000FE450000}"/>
    <cellStyle name="Encabezado 4 13 13" xfId="17962" xr:uid="{00000000-0005-0000-0000-0000FF450000}"/>
    <cellStyle name="Encabezado 4 13 14" xfId="17963" xr:uid="{00000000-0005-0000-0000-000000460000}"/>
    <cellStyle name="Encabezado 4 13 15" xfId="17964" xr:uid="{00000000-0005-0000-0000-000001460000}"/>
    <cellStyle name="Encabezado 4 13 16" xfId="17965" xr:uid="{00000000-0005-0000-0000-000002460000}"/>
    <cellStyle name="Encabezado 4 13 17" xfId="17966" xr:uid="{00000000-0005-0000-0000-000003460000}"/>
    <cellStyle name="Encabezado 4 13 18" xfId="17967" xr:uid="{00000000-0005-0000-0000-000004460000}"/>
    <cellStyle name="Encabezado 4 13 19" xfId="17968" xr:uid="{00000000-0005-0000-0000-000005460000}"/>
    <cellStyle name="Encabezado 4 13 2" xfId="17969" xr:uid="{00000000-0005-0000-0000-000006460000}"/>
    <cellStyle name="Encabezado 4 13 2 2" xfId="17970" xr:uid="{00000000-0005-0000-0000-000007460000}"/>
    <cellStyle name="Encabezado 4 13 3" xfId="17971" xr:uid="{00000000-0005-0000-0000-000008460000}"/>
    <cellStyle name="Encabezado 4 13 3 2" xfId="17972" xr:uid="{00000000-0005-0000-0000-000009460000}"/>
    <cellStyle name="Encabezado 4 13 4" xfId="17973" xr:uid="{00000000-0005-0000-0000-00000A460000}"/>
    <cellStyle name="Encabezado 4 13 4 2" xfId="17974" xr:uid="{00000000-0005-0000-0000-00000B460000}"/>
    <cellStyle name="Encabezado 4 13 5" xfId="17975" xr:uid="{00000000-0005-0000-0000-00000C460000}"/>
    <cellStyle name="Encabezado 4 13 6" xfId="17976" xr:uid="{00000000-0005-0000-0000-00000D460000}"/>
    <cellStyle name="Encabezado 4 13 7" xfId="17977" xr:uid="{00000000-0005-0000-0000-00000E460000}"/>
    <cellStyle name="Encabezado 4 13 8" xfId="17978" xr:uid="{00000000-0005-0000-0000-00000F460000}"/>
    <cellStyle name="Encabezado 4 13 9" xfId="17979" xr:uid="{00000000-0005-0000-0000-000010460000}"/>
    <cellStyle name="Encabezado 4 14 10" xfId="17980" xr:uid="{00000000-0005-0000-0000-000011460000}"/>
    <cellStyle name="Encabezado 4 14 11" xfId="17981" xr:uid="{00000000-0005-0000-0000-000012460000}"/>
    <cellStyle name="Encabezado 4 14 12" xfId="17982" xr:uid="{00000000-0005-0000-0000-000013460000}"/>
    <cellStyle name="Encabezado 4 14 13" xfId="17983" xr:uid="{00000000-0005-0000-0000-000014460000}"/>
    <cellStyle name="Encabezado 4 14 14" xfId="17984" xr:uid="{00000000-0005-0000-0000-000015460000}"/>
    <cellStyle name="Encabezado 4 14 15" xfId="17985" xr:uid="{00000000-0005-0000-0000-000016460000}"/>
    <cellStyle name="Encabezado 4 14 16" xfId="17986" xr:uid="{00000000-0005-0000-0000-000017460000}"/>
    <cellStyle name="Encabezado 4 14 17" xfId="17987" xr:uid="{00000000-0005-0000-0000-000018460000}"/>
    <cellStyle name="Encabezado 4 14 18" xfId="17988" xr:uid="{00000000-0005-0000-0000-000019460000}"/>
    <cellStyle name="Encabezado 4 14 19" xfId="17989" xr:uid="{00000000-0005-0000-0000-00001A460000}"/>
    <cellStyle name="Encabezado 4 14 2" xfId="17990" xr:uid="{00000000-0005-0000-0000-00001B460000}"/>
    <cellStyle name="Encabezado 4 14 2 2" xfId="17991" xr:uid="{00000000-0005-0000-0000-00001C460000}"/>
    <cellStyle name="Encabezado 4 14 3" xfId="17992" xr:uid="{00000000-0005-0000-0000-00001D460000}"/>
    <cellStyle name="Encabezado 4 14 3 2" xfId="17993" xr:uid="{00000000-0005-0000-0000-00001E460000}"/>
    <cellStyle name="Encabezado 4 14 4" xfId="17994" xr:uid="{00000000-0005-0000-0000-00001F460000}"/>
    <cellStyle name="Encabezado 4 14 4 2" xfId="17995" xr:uid="{00000000-0005-0000-0000-000020460000}"/>
    <cellStyle name="Encabezado 4 14 5" xfId="17996" xr:uid="{00000000-0005-0000-0000-000021460000}"/>
    <cellStyle name="Encabezado 4 14 6" xfId="17997" xr:uid="{00000000-0005-0000-0000-000022460000}"/>
    <cellStyle name="Encabezado 4 14 7" xfId="17998" xr:uid="{00000000-0005-0000-0000-000023460000}"/>
    <cellStyle name="Encabezado 4 14 8" xfId="17999" xr:uid="{00000000-0005-0000-0000-000024460000}"/>
    <cellStyle name="Encabezado 4 14 9" xfId="18000" xr:uid="{00000000-0005-0000-0000-000025460000}"/>
    <cellStyle name="Encabezado 4 15 10" xfId="18001" xr:uid="{00000000-0005-0000-0000-000026460000}"/>
    <cellStyle name="Encabezado 4 15 11" xfId="18002" xr:uid="{00000000-0005-0000-0000-000027460000}"/>
    <cellStyle name="Encabezado 4 15 12" xfId="18003" xr:uid="{00000000-0005-0000-0000-000028460000}"/>
    <cellStyle name="Encabezado 4 15 13" xfId="18004" xr:uid="{00000000-0005-0000-0000-000029460000}"/>
    <cellStyle name="Encabezado 4 15 14" xfId="18005" xr:uid="{00000000-0005-0000-0000-00002A460000}"/>
    <cellStyle name="Encabezado 4 15 15" xfId="18006" xr:uid="{00000000-0005-0000-0000-00002B460000}"/>
    <cellStyle name="Encabezado 4 15 16" xfId="18007" xr:uid="{00000000-0005-0000-0000-00002C460000}"/>
    <cellStyle name="Encabezado 4 15 17" xfId="18008" xr:uid="{00000000-0005-0000-0000-00002D460000}"/>
    <cellStyle name="Encabezado 4 15 18" xfId="18009" xr:uid="{00000000-0005-0000-0000-00002E460000}"/>
    <cellStyle name="Encabezado 4 15 19" xfId="18010" xr:uid="{00000000-0005-0000-0000-00002F460000}"/>
    <cellStyle name="Encabezado 4 15 2" xfId="18011" xr:uid="{00000000-0005-0000-0000-000030460000}"/>
    <cellStyle name="Encabezado 4 15 2 2" xfId="18012" xr:uid="{00000000-0005-0000-0000-000031460000}"/>
    <cellStyle name="Encabezado 4 15 3" xfId="18013" xr:uid="{00000000-0005-0000-0000-000032460000}"/>
    <cellStyle name="Encabezado 4 15 3 2" xfId="18014" xr:uid="{00000000-0005-0000-0000-000033460000}"/>
    <cellStyle name="Encabezado 4 15 4" xfId="18015" xr:uid="{00000000-0005-0000-0000-000034460000}"/>
    <cellStyle name="Encabezado 4 15 4 2" xfId="18016" xr:uid="{00000000-0005-0000-0000-000035460000}"/>
    <cellStyle name="Encabezado 4 15 5" xfId="18017" xr:uid="{00000000-0005-0000-0000-000036460000}"/>
    <cellStyle name="Encabezado 4 15 6" xfId="18018" xr:uid="{00000000-0005-0000-0000-000037460000}"/>
    <cellStyle name="Encabezado 4 15 7" xfId="18019" xr:uid="{00000000-0005-0000-0000-000038460000}"/>
    <cellStyle name="Encabezado 4 15 8" xfId="18020" xr:uid="{00000000-0005-0000-0000-000039460000}"/>
    <cellStyle name="Encabezado 4 15 9" xfId="18021" xr:uid="{00000000-0005-0000-0000-00003A460000}"/>
    <cellStyle name="Encabezado 4 16 10" xfId="18022" xr:uid="{00000000-0005-0000-0000-00003B460000}"/>
    <cellStyle name="Encabezado 4 16 11" xfId="18023" xr:uid="{00000000-0005-0000-0000-00003C460000}"/>
    <cellStyle name="Encabezado 4 16 12" xfId="18024" xr:uid="{00000000-0005-0000-0000-00003D460000}"/>
    <cellStyle name="Encabezado 4 16 13" xfId="18025" xr:uid="{00000000-0005-0000-0000-00003E460000}"/>
    <cellStyle name="Encabezado 4 16 14" xfId="18026" xr:uid="{00000000-0005-0000-0000-00003F460000}"/>
    <cellStyle name="Encabezado 4 16 15" xfId="18027" xr:uid="{00000000-0005-0000-0000-000040460000}"/>
    <cellStyle name="Encabezado 4 16 16" xfId="18028" xr:uid="{00000000-0005-0000-0000-000041460000}"/>
    <cellStyle name="Encabezado 4 16 17" xfId="18029" xr:uid="{00000000-0005-0000-0000-000042460000}"/>
    <cellStyle name="Encabezado 4 16 18" xfId="18030" xr:uid="{00000000-0005-0000-0000-000043460000}"/>
    <cellStyle name="Encabezado 4 16 19" xfId="18031" xr:uid="{00000000-0005-0000-0000-000044460000}"/>
    <cellStyle name="Encabezado 4 16 2" xfId="18032" xr:uid="{00000000-0005-0000-0000-000045460000}"/>
    <cellStyle name="Encabezado 4 16 2 2" xfId="18033" xr:uid="{00000000-0005-0000-0000-000046460000}"/>
    <cellStyle name="Encabezado 4 16 3" xfId="18034" xr:uid="{00000000-0005-0000-0000-000047460000}"/>
    <cellStyle name="Encabezado 4 16 3 2" xfId="18035" xr:uid="{00000000-0005-0000-0000-000048460000}"/>
    <cellStyle name="Encabezado 4 16 4" xfId="18036" xr:uid="{00000000-0005-0000-0000-000049460000}"/>
    <cellStyle name="Encabezado 4 16 4 2" xfId="18037" xr:uid="{00000000-0005-0000-0000-00004A460000}"/>
    <cellStyle name="Encabezado 4 16 5" xfId="18038" xr:uid="{00000000-0005-0000-0000-00004B460000}"/>
    <cellStyle name="Encabezado 4 16 6" xfId="18039" xr:uid="{00000000-0005-0000-0000-00004C460000}"/>
    <cellStyle name="Encabezado 4 16 7" xfId="18040" xr:uid="{00000000-0005-0000-0000-00004D460000}"/>
    <cellStyle name="Encabezado 4 16 8" xfId="18041" xr:uid="{00000000-0005-0000-0000-00004E460000}"/>
    <cellStyle name="Encabezado 4 16 9" xfId="18042" xr:uid="{00000000-0005-0000-0000-00004F460000}"/>
    <cellStyle name="Encabezado 4 17 10" xfId="18043" xr:uid="{00000000-0005-0000-0000-000050460000}"/>
    <cellStyle name="Encabezado 4 17 11" xfId="18044" xr:uid="{00000000-0005-0000-0000-000051460000}"/>
    <cellStyle name="Encabezado 4 17 12" xfId="18045" xr:uid="{00000000-0005-0000-0000-000052460000}"/>
    <cellStyle name="Encabezado 4 17 13" xfId="18046" xr:uid="{00000000-0005-0000-0000-000053460000}"/>
    <cellStyle name="Encabezado 4 17 14" xfId="18047" xr:uid="{00000000-0005-0000-0000-000054460000}"/>
    <cellStyle name="Encabezado 4 17 15" xfId="18048" xr:uid="{00000000-0005-0000-0000-000055460000}"/>
    <cellStyle name="Encabezado 4 17 16" xfId="18049" xr:uid="{00000000-0005-0000-0000-000056460000}"/>
    <cellStyle name="Encabezado 4 17 17" xfId="18050" xr:uid="{00000000-0005-0000-0000-000057460000}"/>
    <cellStyle name="Encabezado 4 17 18" xfId="18051" xr:uid="{00000000-0005-0000-0000-000058460000}"/>
    <cellStyle name="Encabezado 4 17 19" xfId="18052" xr:uid="{00000000-0005-0000-0000-000059460000}"/>
    <cellStyle name="Encabezado 4 17 2" xfId="18053" xr:uid="{00000000-0005-0000-0000-00005A460000}"/>
    <cellStyle name="Encabezado 4 17 2 2" xfId="18054" xr:uid="{00000000-0005-0000-0000-00005B460000}"/>
    <cellStyle name="Encabezado 4 17 3" xfId="18055" xr:uid="{00000000-0005-0000-0000-00005C460000}"/>
    <cellStyle name="Encabezado 4 17 3 2" xfId="18056" xr:uid="{00000000-0005-0000-0000-00005D460000}"/>
    <cellStyle name="Encabezado 4 17 4" xfId="18057" xr:uid="{00000000-0005-0000-0000-00005E460000}"/>
    <cellStyle name="Encabezado 4 17 4 2" xfId="18058" xr:uid="{00000000-0005-0000-0000-00005F460000}"/>
    <cellStyle name="Encabezado 4 17 5" xfId="18059" xr:uid="{00000000-0005-0000-0000-000060460000}"/>
    <cellStyle name="Encabezado 4 17 6" xfId="18060" xr:uid="{00000000-0005-0000-0000-000061460000}"/>
    <cellStyle name="Encabezado 4 17 7" xfId="18061" xr:uid="{00000000-0005-0000-0000-000062460000}"/>
    <cellStyle name="Encabezado 4 17 8" xfId="18062" xr:uid="{00000000-0005-0000-0000-000063460000}"/>
    <cellStyle name="Encabezado 4 17 9" xfId="18063" xr:uid="{00000000-0005-0000-0000-000064460000}"/>
    <cellStyle name="Encabezado 4 18 10" xfId="18064" xr:uid="{00000000-0005-0000-0000-000065460000}"/>
    <cellStyle name="Encabezado 4 18 11" xfId="18065" xr:uid="{00000000-0005-0000-0000-000066460000}"/>
    <cellStyle name="Encabezado 4 18 12" xfId="18066" xr:uid="{00000000-0005-0000-0000-000067460000}"/>
    <cellStyle name="Encabezado 4 18 13" xfId="18067" xr:uid="{00000000-0005-0000-0000-000068460000}"/>
    <cellStyle name="Encabezado 4 18 14" xfId="18068" xr:uid="{00000000-0005-0000-0000-000069460000}"/>
    <cellStyle name="Encabezado 4 18 15" xfId="18069" xr:uid="{00000000-0005-0000-0000-00006A460000}"/>
    <cellStyle name="Encabezado 4 18 16" xfId="18070" xr:uid="{00000000-0005-0000-0000-00006B460000}"/>
    <cellStyle name="Encabezado 4 18 17" xfId="18071" xr:uid="{00000000-0005-0000-0000-00006C460000}"/>
    <cellStyle name="Encabezado 4 18 18" xfId="18072" xr:uid="{00000000-0005-0000-0000-00006D460000}"/>
    <cellStyle name="Encabezado 4 18 19" xfId="18073" xr:uid="{00000000-0005-0000-0000-00006E460000}"/>
    <cellStyle name="Encabezado 4 18 2" xfId="18074" xr:uid="{00000000-0005-0000-0000-00006F460000}"/>
    <cellStyle name="Encabezado 4 18 2 2" xfId="18075" xr:uid="{00000000-0005-0000-0000-000070460000}"/>
    <cellStyle name="Encabezado 4 18 3" xfId="18076" xr:uid="{00000000-0005-0000-0000-000071460000}"/>
    <cellStyle name="Encabezado 4 18 3 2" xfId="18077" xr:uid="{00000000-0005-0000-0000-000072460000}"/>
    <cellStyle name="Encabezado 4 18 4" xfId="18078" xr:uid="{00000000-0005-0000-0000-000073460000}"/>
    <cellStyle name="Encabezado 4 18 4 2" xfId="18079" xr:uid="{00000000-0005-0000-0000-000074460000}"/>
    <cellStyle name="Encabezado 4 18 5" xfId="18080" xr:uid="{00000000-0005-0000-0000-000075460000}"/>
    <cellStyle name="Encabezado 4 18 6" xfId="18081" xr:uid="{00000000-0005-0000-0000-000076460000}"/>
    <cellStyle name="Encabezado 4 18 7" xfId="18082" xr:uid="{00000000-0005-0000-0000-000077460000}"/>
    <cellStyle name="Encabezado 4 18 8" xfId="18083" xr:uid="{00000000-0005-0000-0000-000078460000}"/>
    <cellStyle name="Encabezado 4 18 9" xfId="18084" xr:uid="{00000000-0005-0000-0000-000079460000}"/>
    <cellStyle name="Encabezado 4 19 10" xfId="18085" xr:uid="{00000000-0005-0000-0000-00007A460000}"/>
    <cellStyle name="Encabezado 4 19 11" xfId="18086" xr:uid="{00000000-0005-0000-0000-00007B460000}"/>
    <cellStyle name="Encabezado 4 19 12" xfId="18087" xr:uid="{00000000-0005-0000-0000-00007C460000}"/>
    <cellStyle name="Encabezado 4 19 13" xfId="18088" xr:uid="{00000000-0005-0000-0000-00007D460000}"/>
    <cellStyle name="Encabezado 4 19 14" xfId="18089" xr:uid="{00000000-0005-0000-0000-00007E460000}"/>
    <cellStyle name="Encabezado 4 19 15" xfId="18090" xr:uid="{00000000-0005-0000-0000-00007F460000}"/>
    <cellStyle name="Encabezado 4 19 16" xfId="18091" xr:uid="{00000000-0005-0000-0000-000080460000}"/>
    <cellStyle name="Encabezado 4 19 17" xfId="18092" xr:uid="{00000000-0005-0000-0000-000081460000}"/>
    <cellStyle name="Encabezado 4 19 18" xfId="18093" xr:uid="{00000000-0005-0000-0000-000082460000}"/>
    <cellStyle name="Encabezado 4 19 19" xfId="18094" xr:uid="{00000000-0005-0000-0000-000083460000}"/>
    <cellStyle name="Encabezado 4 19 2" xfId="18095" xr:uid="{00000000-0005-0000-0000-000084460000}"/>
    <cellStyle name="Encabezado 4 19 2 2" xfId="18096" xr:uid="{00000000-0005-0000-0000-000085460000}"/>
    <cellStyle name="Encabezado 4 19 3" xfId="18097" xr:uid="{00000000-0005-0000-0000-000086460000}"/>
    <cellStyle name="Encabezado 4 19 3 2" xfId="18098" xr:uid="{00000000-0005-0000-0000-000087460000}"/>
    <cellStyle name="Encabezado 4 19 4" xfId="18099" xr:uid="{00000000-0005-0000-0000-000088460000}"/>
    <cellStyle name="Encabezado 4 19 4 2" xfId="18100" xr:uid="{00000000-0005-0000-0000-000089460000}"/>
    <cellStyle name="Encabezado 4 19 5" xfId="18101" xr:uid="{00000000-0005-0000-0000-00008A460000}"/>
    <cellStyle name="Encabezado 4 19 6" xfId="18102" xr:uid="{00000000-0005-0000-0000-00008B460000}"/>
    <cellStyle name="Encabezado 4 19 7" xfId="18103" xr:uid="{00000000-0005-0000-0000-00008C460000}"/>
    <cellStyle name="Encabezado 4 19 8" xfId="18104" xr:uid="{00000000-0005-0000-0000-00008D460000}"/>
    <cellStyle name="Encabezado 4 19 9" xfId="18105" xr:uid="{00000000-0005-0000-0000-00008E460000}"/>
    <cellStyle name="Encabezado 4 2 10" xfId="18106" xr:uid="{00000000-0005-0000-0000-00008F460000}"/>
    <cellStyle name="Encabezado 4 2 11" xfId="18107" xr:uid="{00000000-0005-0000-0000-000090460000}"/>
    <cellStyle name="Encabezado 4 2 12" xfId="18108" xr:uid="{00000000-0005-0000-0000-000091460000}"/>
    <cellStyle name="Encabezado 4 2 13" xfId="18109" xr:uid="{00000000-0005-0000-0000-000092460000}"/>
    <cellStyle name="Encabezado 4 2 14" xfId="18110" xr:uid="{00000000-0005-0000-0000-000093460000}"/>
    <cellStyle name="Encabezado 4 2 15" xfId="18111" xr:uid="{00000000-0005-0000-0000-000094460000}"/>
    <cellStyle name="Encabezado 4 2 16" xfId="18112" xr:uid="{00000000-0005-0000-0000-000095460000}"/>
    <cellStyle name="Encabezado 4 2 17" xfId="18113" xr:uid="{00000000-0005-0000-0000-000096460000}"/>
    <cellStyle name="Encabezado 4 2 18" xfId="18114" xr:uid="{00000000-0005-0000-0000-000097460000}"/>
    <cellStyle name="Encabezado 4 2 19" xfId="18115" xr:uid="{00000000-0005-0000-0000-000098460000}"/>
    <cellStyle name="Encabezado 4 2 2" xfId="18116" xr:uid="{00000000-0005-0000-0000-000099460000}"/>
    <cellStyle name="Encabezado 4 2 2 2" xfId="18117" xr:uid="{00000000-0005-0000-0000-00009A460000}"/>
    <cellStyle name="Encabezado 4 2 3" xfId="18118" xr:uid="{00000000-0005-0000-0000-00009B460000}"/>
    <cellStyle name="Encabezado 4 2 3 2" xfId="18119" xr:uid="{00000000-0005-0000-0000-00009C460000}"/>
    <cellStyle name="Encabezado 4 2 4" xfId="18120" xr:uid="{00000000-0005-0000-0000-00009D460000}"/>
    <cellStyle name="Encabezado 4 2 4 2" xfId="18121" xr:uid="{00000000-0005-0000-0000-00009E460000}"/>
    <cellStyle name="Encabezado 4 2 5" xfId="18122" xr:uid="{00000000-0005-0000-0000-00009F460000}"/>
    <cellStyle name="Encabezado 4 2 6" xfId="18123" xr:uid="{00000000-0005-0000-0000-0000A0460000}"/>
    <cellStyle name="Encabezado 4 2 7" xfId="18124" xr:uid="{00000000-0005-0000-0000-0000A1460000}"/>
    <cellStyle name="Encabezado 4 2 8" xfId="18125" xr:uid="{00000000-0005-0000-0000-0000A2460000}"/>
    <cellStyle name="Encabezado 4 2 9" xfId="18126" xr:uid="{00000000-0005-0000-0000-0000A3460000}"/>
    <cellStyle name="Encabezado 4 20 10" xfId="18127" xr:uid="{00000000-0005-0000-0000-0000A4460000}"/>
    <cellStyle name="Encabezado 4 20 11" xfId="18128" xr:uid="{00000000-0005-0000-0000-0000A5460000}"/>
    <cellStyle name="Encabezado 4 20 12" xfId="18129" xr:uid="{00000000-0005-0000-0000-0000A6460000}"/>
    <cellStyle name="Encabezado 4 20 13" xfId="18130" xr:uid="{00000000-0005-0000-0000-0000A7460000}"/>
    <cellStyle name="Encabezado 4 20 14" xfId="18131" xr:uid="{00000000-0005-0000-0000-0000A8460000}"/>
    <cellStyle name="Encabezado 4 20 15" xfId="18132" xr:uid="{00000000-0005-0000-0000-0000A9460000}"/>
    <cellStyle name="Encabezado 4 20 16" xfId="18133" xr:uid="{00000000-0005-0000-0000-0000AA460000}"/>
    <cellStyle name="Encabezado 4 20 17" xfId="18134" xr:uid="{00000000-0005-0000-0000-0000AB460000}"/>
    <cellStyle name="Encabezado 4 20 18" xfId="18135" xr:uid="{00000000-0005-0000-0000-0000AC460000}"/>
    <cellStyle name="Encabezado 4 20 19" xfId="18136" xr:uid="{00000000-0005-0000-0000-0000AD460000}"/>
    <cellStyle name="Encabezado 4 20 2" xfId="18137" xr:uid="{00000000-0005-0000-0000-0000AE460000}"/>
    <cellStyle name="Encabezado 4 20 2 2" xfId="18138" xr:uid="{00000000-0005-0000-0000-0000AF460000}"/>
    <cellStyle name="Encabezado 4 20 3" xfId="18139" xr:uid="{00000000-0005-0000-0000-0000B0460000}"/>
    <cellStyle name="Encabezado 4 20 3 2" xfId="18140" xr:uid="{00000000-0005-0000-0000-0000B1460000}"/>
    <cellStyle name="Encabezado 4 20 4" xfId="18141" xr:uid="{00000000-0005-0000-0000-0000B2460000}"/>
    <cellStyle name="Encabezado 4 20 4 2" xfId="18142" xr:uid="{00000000-0005-0000-0000-0000B3460000}"/>
    <cellStyle name="Encabezado 4 20 5" xfId="18143" xr:uid="{00000000-0005-0000-0000-0000B4460000}"/>
    <cellStyle name="Encabezado 4 20 6" xfId="18144" xr:uid="{00000000-0005-0000-0000-0000B5460000}"/>
    <cellStyle name="Encabezado 4 20 7" xfId="18145" xr:uid="{00000000-0005-0000-0000-0000B6460000}"/>
    <cellStyle name="Encabezado 4 20 8" xfId="18146" xr:uid="{00000000-0005-0000-0000-0000B7460000}"/>
    <cellStyle name="Encabezado 4 20 9" xfId="18147" xr:uid="{00000000-0005-0000-0000-0000B8460000}"/>
    <cellStyle name="Encabezado 4 21 10" xfId="18148" xr:uid="{00000000-0005-0000-0000-0000B9460000}"/>
    <cellStyle name="Encabezado 4 21 11" xfId="18149" xr:uid="{00000000-0005-0000-0000-0000BA460000}"/>
    <cellStyle name="Encabezado 4 21 12" xfId="18150" xr:uid="{00000000-0005-0000-0000-0000BB460000}"/>
    <cellStyle name="Encabezado 4 21 13" xfId="18151" xr:uid="{00000000-0005-0000-0000-0000BC460000}"/>
    <cellStyle name="Encabezado 4 21 14" xfId="18152" xr:uid="{00000000-0005-0000-0000-0000BD460000}"/>
    <cellStyle name="Encabezado 4 21 15" xfId="18153" xr:uid="{00000000-0005-0000-0000-0000BE460000}"/>
    <cellStyle name="Encabezado 4 21 16" xfId="18154" xr:uid="{00000000-0005-0000-0000-0000BF460000}"/>
    <cellStyle name="Encabezado 4 21 17" xfId="18155" xr:uid="{00000000-0005-0000-0000-0000C0460000}"/>
    <cellStyle name="Encabezado 4 21 18" xfId="18156" xr:uid="{00000000-0005-0000-0000-0000C1460000}"/>
    <cellStyle name="Encabezado 4 21 19" xfId="18157" xr:uid="{00000000-0005-0000-0000-0000C2460000}"/>
    <cellStyle name="Encabezado 4 21 2" xfId="18158" xr:uid="{00000000-0005-0000-0000-0000C3460000}"/>
    <cellStyle name="Encabezado 4 21 2 2" xfId="18159" xr:uid="{00000000-0005-0000-0000-0000C4460000}"/>
    <cellStyle name="Encabezado 4 21 3" xfId="18160" xr:uid="{00000000-0005-0000-0000-0000C5460000}"/>
    <cellStyle name="Encabezado 4 21 3 2" xfId="18161" xr:uid="{00000000-0005-0000-0000-0000C6460000}"/>
    <cellStyle name="Encabezado 4 21 4" xfId="18162" xr:uid="{00000000-0005-0000-0000-0000C7460000}"/>
    <cellStyle name="Encabezado 4 21 4 2" xfId="18163" xr:uid="{00000000-0005-0000-0000-0000C8460000}"/>
    <cellStyle name="Encabezado 4 21 5" xfId="18164" xr:uid="{00000000-0005-0000-0000-0000C9460000}"/>
    <cellStyle name="Encabezado 4 21 6" xfId="18165" xr:uid="{00000000-0005-0000-0000-0000CA460000}"/>
    <cellStyle name="Encabezado 4 21 7" xfId="18166" xr:uid="{00000000-0005-0000-0000-0000CB460000}"/>
    <cellStyle name="Encabezado 4 21 8" xfId="18167" xr:uid="{00000000-0005-0000-0000-0000CC460000}"/>
    <cellStyle name="Encabezado 4 21 9" xfId="18168" xr:uid="{00000000-0005-0000-0000-0000CD460000}"/>
    <cellStyle name="Encabezado 4 22 10" xfId="18169" xr:uid="{00000000-0005-0000-0000-0000CE460000}"/>
    <cellStyle name="Encabezado 4 22 11" xfId="18170" xr:uid="{00000000-0005-0000-0000-0000CF460000}"/>
    <cellStyle name="Encabezado 4 22 12" xfId="18171" xr:uid="{00000000-0005-0000-0000-0000D0460000}"/>
    <cellStyle name="Encabezado 4 22 13" xfId="18172" xr:uid="{00000000-0005-0000-0000-0000D1460000}"/>
    <cellStyle name="Encabezado 4 22 14" xfId="18173" xr:uid="{00000000-0005-0000-0000-0000D2460000}"/>
    <cellStyle name="Encabezado 4 22 15" xfId="18174" xr:uid="{00000000-0005-0000-0000-0000D3460000}"/>
    <cellStyle name="Encabezado 4 22 16" xfId="18175" xr:uid="{00000000-0005-0000-0000-0000D4460000}"/>
    <cellStyle name="Encabezado 4 22 17" xfId="18176" xr:uid="{00000000-0005-0000-0000-0000D5460000}"/>
    <cellStyle name="Encabezado 4 22 18" xfId="18177" xr:uid="{00000000-0005-0000-0000-0000D6460000}"/>
    <cellStyle name="Encabezado 4 22 19" xfId="18178" xr:uid="{00000000-0005-0000-0000-0000D7460000}"/>
    <cellStyle name="Encabezado 4 22 2" xfId="18179" xr:uid="{00000000-0005-0000-0000-0000D8460000}"/>
    <cellStyle name="Encabezado 4 22 2 2" xfId="18180" xr:uid="{00000000-0005-0000-0000-0000D9460000}"/>
    <cellStyle name="Encabezado 4 22 3" xfId="18181" xr:uid="{00000000-0005-0000-0000-0000DA460000}"/>
    <cellStyle name="Encabezado 4 22 3 2" xfId="18182" xr:uid="{00000000-0005-0000-0000-0000DB460000}"/>
    <cellStyle name="Encabezado 4 22 4" xfId="18183" xr:uid="{00000000-0005-0000-0000-0000DC460000}"/>
    <cellStyle name="Encabezado 4 22 4 2" xfId="18184" xr:uid="{00000000-0005-0000-0000-0000DD460000}"/>
    <cellStyle name="Encabezado 4 22 5" xfId="18185" xr:uid="{00000000-0005-0000-0000-0000DE460000}"/>
    <cellStyle name="Encabezado 4 22 6" xfId="18186" xr:uid="{00000000-0005-0000-0000-0000DF460000}"/>
    <cellStyle name="Encabezado 4 22 7" xfId="18187" xr:uid="{00000000-0005-0000-0000-0000E0460000}"/>
    <cellStyle name="Encabezado 4 22 8" xfId="18188" xr:uid="{00000000-0005-0000-0000-0000E1460000}"/>
    <cellStyle name="Encabezado 4 22 9" xfId="18189" xr:uid="{00000000-0005-0000-0000-0000E2460000}"/>
    <cellStyle name="Encabezado 4 23 10" xfId="18190" xr:uid="{00000000-0005-0000-0000-0000E3460000}"/>
    <cellStyle name="Encabezado 4 23 11" xfId="18191" xr:uid="{00000000-0005-0000-0000-0000E4460000}"/>
    <cellStyle name="Encabezado 4 23 12" xfId="18192" xr:uid="{00000000-0005-0000-0000-0000E5460000}"/>
    <cellStyle name="Encabezado 4 23 13" xfId="18193" xr:uid="{00000000-0005-0000-0000-0000E6460000}"/>
    <cellStyle name="Encabezado 4 23 14" xfId="18194" xr:uid="{00000000-0005-0000-0000-0000E7460000}"/>
    <cellStyle name="Encabezado 4 23 15" xfId="18195" xr:uid="{00000000-0005-0000-0000-0000E8460000}"/>
    <cellStyle name="Encabezado 4 23 16" xfId="18196" xr:uid="{00000000-0005-0000-0000-0000E9460000}"/>
    <cellStyle name="Encabezado 4 23 17" xfId="18197" xr:uid="{00000000-0005-0000-0000-0000EA460000}"/>
    <cellStyle name="Encabezado 4 23 18" xfId="18198" xr:uid="{00000000-0005-0000-0000-0000EB460000}"/>
    <cellStyle name="Encabezado 4 23 19" xfId="18199" xr:uid="{00000000-0005-0000-0000-0000EC460000}"/>
    <cellStyle name="Encabezado 4 23 2" xfId="18200" xr:uid="{00000000-0005-0000-0000-0000ED460000}"/>
    <cellStyle name="Encabezado 4 23 2 2" xfId="18201" xr:uid="{00000000-0005-0000-0000-0000EE460000}"/>
    <cellStyle name="Encabezado 4 23 3" xfId="18202" xr:uid="{00000000-0005-0000-0000-0000EF460000}"/>
    <cellStyle name="Encabezado 4 23 3 2" xfId="18203" xr:uid="{00000000-0005-0000-0000-0000F0460000}"/>
    <cellStyle name="Encabezado 4 23 4" xfId="18204" xr:uid="{00000000-0005-0000-0000-0000F1460000}"/>
    <cellStyle name="Encabezado 4 23 4 2" xfId="18205" xr:uid="{00000000-0005-0000-0000-0000F2460000}"/>
    <cellStyle name="Encabezado 4 23 5" xfId="18206" xr:uid="{00000000-0005-0000-0000-0000F3460000}"/>
    <cellStyle name="Encabezado 4 23 6" xfId="18207" xr:uid="{00000000-0005-0000-0000-0000F4460000}"/>
    <cellStyle name="Encabezado 4 23 7" xfId="18208" xr:uid="{00000000-0005-0000-0000-0000F5460000}"/>
    <cellStyle name="Encabezado 4 23 8" xfId="18209" xr:uid="{00000000-0005-0000-0000-0000F6460000}"/>
    <cellStyle name="Encabezado 4 23 9" xfId="18210" xr:uid="{00000000-0005-0000-0000-0000F7460000}"/>
    <cellStyle name="Encabezado 4 24 10" xfId="18211" xr:uid="{00000000-0005-0000-0000-0000F8460000}"/>
    <cellStyle name="Encabezado 4 24 11" xfId="18212" xr:uid="{00000000-0005-0000-0000-0000F9460000}"/>
    <cellStyle name="Encabezado 4 24 12" xfId="18213" xr:uid="{00000000-0005-0000-0000-0000FA460000}"/>
    <cellStyle name="Encabezado 4 24 13" xfId="18214" xr:uid="{00000000-0005-0000-0000-0000FB460000}"/>
    <cellStyle name="Encabezado 4 24 14" xfId="18215" xr:uid="{00000000-0005-0000-0000-0000FC460000}"/>
    <cellStyle name="Encabezado 4 24 15" xfId="18216" xr:uid="{00000000-0005-0000-0000-0000FD460000}"/>
    <cellStyle name="Encabezado 4 24 16" xfId="18217" xr:uid="{00000000-0005-0000-0000-0000FE460000}"/>
    <cellStyle name="Encabezado 4 24 17" xfId="18218" xr:uid="{00000000-0005-0000-0000-0000FF460000}"/>
    <cellStyle name="Encabezado 4 24 18" xfId="18219" xr:uid="{00000000-0005-0000-0000-000000470000}"/>
    <cellStyle name="Encabezado 4 24 19" xfId="18220" xr:uid="{00000000-0005-0000-0000-000001470000}"/>
    <cellStyle name="Encabezado 4 24 2" xfId="18221" xr:uid="{00000000-0005-0000-0000-000002470000}"/>
    <cellStyle name="Encabezado 4 24 2 2" xfId="18222" xr:uid="{00000000-0005-0000-0000-000003470000}"/>
    <cellStyle name="Encabezado 4 24 3" xfId="18223" xr:uid="{00000000-0005-0000-0000-000004470000}"/>
    <cellStyle name="Encabezado 4 24 3 2" xfId="18224" xr:uid="{00000000-0005-0000-0000-000005470000}"/>
    <cellStyle name="Encabezado 4 24 4" xfId="18225" xr:uid="{00000000-0005-0000-0000-000006470000}"/>
    <cellStyle name="Encabezado 4 24 4 2" xfId="18226" xr:uid="{00000000-0005-0000-0000-000007470000}"/>
    <cellStyle name="Encabezado 4 24 5" xfId="18227" xr:uid="{00000000-0005-0000-0000-000008470000}"/>
    <cellStyle name="Encabezado 4 24 6" xfId="18228" xr:uid="{00000000-0005-0000-0000-000009470000}"/>
    <cellStyle name="Encabezado 4 24 7" xfId="18229" xr:uid="{00000000-0005-0000-0000-00000A470000}"/>
    <cellStyle name="Encabezado 4 24 8" xfId="18230" xr:uid="{00000000-0005-0000-0000-00000B470000}"/>
    <cellStyle name="Encabezado 4 24 9" xfId="18231" xr:uid="{00000000-0005-0000-0000-00000C470000}"/>
    <cellStyle name="Encabezado 4 25 10" xfId="18232" xr:uid="{00000000-0005-0000-0000-00000D470000}"/>
    <cellStyle name="Encabezado 4 25 11" xfId="18233" xr:uid="{00000000-0005-0000-0000-00000E470000}"/>
    <cellStyle name="Encabezado 4 25 12" xfId="18234" xr:uid="{00000000-0005-0000-0000-00000F470000}"/>
    <cellStyle name="Encabezado 4 25 13" xfId="18235" xr:uid="{00000000-0005-0000-0000-000010470000}"/>
    <cellStyle name="Encabezado 4 25 14" xfId="18236" xr:uid="{00000000-0005-0000-0000-000011470000}"/>
    <cellStyle name="Encabezado 4 25 15" xfId="18237" xr:uid="{00000000-0005-0000-0000-000012470000}"/>
    <cellStyle name="Encabezado 4 25 16" xfId="18238" xr:uid="{00000000-0005-0000-0000-000013470000}"/>
    <cellStyle name="Encabezado 4 25 17" xfId="18239" xr:uid="{00000000-0005-0000-0000-000014470000}"/>
    <cellStyle name="Encabezado 4 25 18" xfId="18240" xr:uid="{00000000-0005-0000-0000-000015470000}"/>
    <cellStyle name="Encabezado 4 25 19" xfId="18241" xr:uid="{00000000-0005-0000-0000-000016470000}"/>
    <cellStyle name="Encabezado 4 25 2" xfId="18242" xr:uid="{00000000-0005-0000-0000-000017470000}"/>
    <cellStyle name="Encabezado 4 25 2 2" xfId="18243" xr:uid="{00000000-0005-0000-0000-000018470000}"/>
    <cellStyle name="Encabezado 4 25 3" xfId="18244" xr:uid="{00000000-0005-0000-0000-000019470000}"/>
    <cellStyle name="Encabezado 4 25 3 2" xfId="18245" xr:uid="{00000000-0005-0000-0000-00001A470000}"/>
    <cellStyle name="Encabezado 4 25 4" xfId="18246" xr:uid="{00000000-0005-0000-0000-00001B470000}"/>
    <cellStyle name="Encabezado 4 25 4 2" xfId="18247" xr:uid="{00000000-0005-0000-0000-00001C470000}"/>
    <cellStyle name="Encabezado 4 25 5" xfId="18248" xr:uid="{00000000-0005-0000-0000-00001D470000}"/>
    <cellStyle name="Encabezado 4 25 6" xfId="18249" xr:uid="{00000000-0005-0000-0000-00001E470000}"/>
    <cellStyle name="Encabezado 4 25 7" xfId="18250" xr:uid="{00000000-0005-0000-0000-00001F470000}"/>
    <cellStyle name="Encabezado 4 25 8" xfId="18251" xr:uid="{00000000-0005-0000-0000-000020470000}"/>
    <cellStyle name="Encabezado 4 25 9" xfId="18252" xr:uid="{00000000-0005-0000-0000-000021470000}"/>
    <cellStyle name="Encabezado 4 26 10" xfId="18253" xr:uid="{00000000-0005-0000-0000-000022470000}"/>
    <cellStyle name="Encabezado 4 26 11" xfId="18254" xr:uid="{00000000-0005-0000-0000-000023470000}"/>
    <cellStyle name="Encabezado 4 26 12" xfId="18255" xr:uid="{00000000-0005-0000-0000-000024470000}"/>
    <cellStyle name="Encabezado 4 26 13" xfId="18256" xr:uid="{00000000-0005-0000-0000-000025470000}"/>
    <cellStyle name="Encabezado 4 26 14" xfId="18257" xr:uid="{00000000-0005-0000-0000-000026470000}"/>
    <cellStyle name="Encabezado 4 26 15" xfId="18258" xr:uid="{00000000-0005-0000-0000-000027470000}"/>
    <cellStyle name="Encabezado 4 26 16" xfId="18259" xr:uid="{00000000-0005-0000-0000-000028470000}"/>
    <cellStyle name="Encabezado 4 26 17" xfId="18260" xr:uid="{00000000-0005-0000-0000-000029470000}"/>
    <cellStyle name="Encabezado 4 26 18" xfId="18261" xr:uid="{00000000-0005-0000-0000-00002A470000}"/>
    <cellStyle name="Encabezado 4 26 19" xfId="18262" xr:uid="{00000000-0005-0000-0000-00002B470000}"/>
    <cellStyle name="Encabezado 4 26 2" xfId="18263" xr:uid="{00000000-0005-0000-0000-00002C470000}"/>
    <cellStyle name="Encabezado 4 26 2 2" xfId="18264" xr:uid="{00000000-0005-0000-0000-00002D470000}"/>
    <cellStyle name="Encabezado 4 26 3" xfId="18265" xr:uid="{00000000-0005-0000-0000-00002E470000}"/>
    <cellStyle name="Encabezado 4 26 3 2" xfId="18266" xr:uid="{00000000-0005-0000-0000-00002F470000}"/>
    <cellStyle name="Encabezado 4 26 4" xfId="18267" xr:uid="{00000000-0005-0000-0000-000030470000}"/>
    <cellStyle name="Encabezado 4 26 4 2" xfId="18268" xr:uid="{00000000-0005-0000-0000-000031470000}"/>
    <cellStyle name="Encabezado 4 26 5" xfId="18269" xr:uid="{00000000-0005-0000-0000-000032470000}"/>
    <cellStyle name="Encabezado 4 26 6" xfId="18270" xr:uid="{00000000-0005-0000-0000-000033470000}"/>
    <cellStyle name="Encabezado 4 26 7" xfId="18271" xr:uid="{00000000-0005-0000-0000-000034470000}"/>
    <cellStyle name="Encabezado 4 26 8" xfId="18272" xr:uid="{00000000-0005-0000-0000-000035470000}"/>
    <cellStyle name="Encabezado 4 26 9" xfId="18273" xr:uid="{00000000-0005-0000-0000-000036470000}"/>
    <cellStyle name="Encabezado 4 27 10" xfId="18274" xr:uid="{00000000-0005-0000-0000-000037470000}"/>
    <cellStyle name="Encabezado 4 27 11" xfId="18275" xr:uid="{00000000-0005-0000-0000-000038470000}"/>
    <cellStyle name="Encabezado 4 27 12" xfId="18276" xr:uid="{00000000-0005-0000-0000-000039470000}"/>
    <cellStyle name="Encabezado 4 27 13" xfId="18277" xr:uid="{00000000-0005-0000-0000-00003A470000}"/>
    <cellStyle name="Encabezado 4 27 14" xfId="18278" xr:uid="{00000000-0005-0000-0000-00003B470000}"/>
    <cellStyle name="Encabezado 4 27 15" xfId="18279" xr:uid="{00000000-0005-0000-0000-00003C470000}"/>
    <cellStyle name="Encabezado 4 27 16" xfId="18280" xr:uid="{00000000-0005-0000-0000-00003D470000}"/>
    <cellStyle name="Encabezado 4 27 17" xfId="18281" xr:uid="{00000000-0005-0000-0000-00003E470000}"/>
    <cellStyle name="Encabezado 4 27 18" xfId="18282" xr:uid="{00000000-0005-0000-0000-00003F470000}"/>
    <cellStyle name="Encabezado 4 27 19" xfId="18283" xr:uid="{00000000-0005-0000-0000-000040470000}"/>
    <cellStyle name="Encabezado 4 27 2" xfId="18284" xr:uid="{00000000-0005-0000-0000-000041470000}"/>
    <cellStyle name="Encabezado 4 27 2 2" xfId="18285" xr:uid="{00000000-0005-0000-0000-000042470000}"/>
    <cellStyle name="Encabezado 4 27 3" xfId="18286" xr:uid="{00000000-0005-0000-0000-000043470000}"/>
    <cellStyle name="Encabezado 4 27 3 2" xfId="18287" xr:uid="{00000000-0005-0000-0000-000044470000}"/>
    <cellStyle name="Encabezado 4 27 4" xfId="18288" xr:uid="{00000000-0005-0000-0000-000045470000}"/>
    <cellStyle name="Encabezado 4 27 4 2" xfId="18289" xr:uid="{00000000-0005-0000-0000-000046470000}"/>
    <cellStyle name="Encabezado 4 27 5" xfId="18290" xr:uid="{00000000-0005-0000-0000-000047470000}"/>
    <cellStyle name="Encabezado 4 27 6" xfId="18291" xr:uid="{00000000-0005-0000-0000-000048470000}"/>
    <cellStyle name="Encabezado 4 27 7" xfId="18292" xr:uid="{00000000-0005-0000-0000-000049470000}"/>
    <cellStyle name="Encabezado 4 27 8" xfId="18293" xr:uid="{00000000-0005-0000-0000-00004A470000}"/>
    <cellStyle name="Encabezado 4 27 9" xfId="18294" xr:uid="{00000000-0005-0000-0000-00004B470000}"/>
    <cellStyle name="Encabezado 4 28 10" xfId="18295" xr:uid="{00000000-0005-0000-0000-00004C470000}"/>
    <cellStyle name="Encabezado 4 28 11" xfId="18296" xr:uid="{00000000-0005-0000-0000-00004D470000}"/>
    <cellStyle name="Encabezado 4 28 12" xfId="18297" xr:uid="{00000000-0005-0000-0000-00004E470000}"/>
    <cellStyle name="Encabezado 4 28 13" xfId="18298" xr:uid="{00000000-0005-0000-0000-00004F470000}"/>
    <cellStyle name="Encabezado 4 28 14" xfId="18299" xr:uid="{00000000-0005-0000-0000-000050470000}"/>
    <cellStyle name="Encabezado 4 28 15" xfId="18300" xr:uid="{00000000-0005-0000-0000-000051470000}"/>
    <cellStyle name="Encabezado 4 28 16" xfId="18301" xr:uid="{00000000-0005-0000-0000-000052470000}"/>
    <cellStyle name="Encabezado 4 28 17" xfId="18302" xr:uid="{00000000-0005-0000-0000-000053470000}"/>
    <cellStyle name="Encabezado 4 28 18" xfId="18303" xr:uid="{00000000-0005-0000-0000-000054470000}"/>
    <cellStyle name="Encabezado 4 28 19" xfId="18304" xr:uid="{00000000-0005-0000-0000-000055470000}"/>
    <cellStyle name="Encabezado 4 28 2" xfId="18305" xr:uid="{00000000-0005-0000-0000-000056470000}"/>
    <cellStyle name="Encabezado 4 28 2 2" xfId="18306" xr:uid="{00000000-0005-0000-0000-000057470000}"/>
    <cellStyle name="Encabezado 4 28 3" xfId="18307" xr:uid="{00000000-0005-0000-0000-000058470000}"/>
    <cellStyle name="Encabezado 4 28 3 2" xfId="18308" xr:uid="{00000000-0005-0000-0000-000059470000}"/>
    <cellStyle name="Encabezado 4 28 4" xfId="18309" xr:uid="{00000000-0005-0000-0000-00005A470000}"/>
    <cellStyle name="Encabezado 4 28 4 2" xfId="18310" xr:uid="{00000000-0005-0000-0000-00005B470000}"/>
    <cellStyle name="Encabezado 4 28 5" xfId="18311" xr:uid="{00000000-0005-0000-0000-00005C470000}"/>
    <cellStyle name="Encabezado 4 28 6" xfId="18312" xr:uid="{00000000-0005-0000-0000-00005D470000}"/>
    <cellStyle name="Encabezado 4 28 7" xfId="18313" xr:uid="{00000000-0005-0000-0000-00005E470000}"/>
    <cellStyle name="Encabezado 4 28 8" xfId="18314" xr:uid="{00000000-0005-0000-0000-00005F470000}"/>
    <cellStyle name="Encabezado 4 28 9" xfId="18315" xr:uid="{00000000-0005-0000-0000-000060470000}"/>
    <cellStyle name="Encabezado 4 29 10" xfId="18316" xr:uid="{00000000-0005-0000-0000-000061470000}"/>
    <cellStyle name="Encabezado 4 29 11" xfId="18317" xr:uid="{00000000-0005-0000-0000-000062470000}"/>
    <cellStyle name="Encabezado 4 29 12" xfId="18318" xr:uid="{00000000-0005-0000-0000-000063470000}"/>
    <cellStyle name="Encabezado 4 29 13" xfId="18319" xr:uid="{00000000-0005-0000-0000-000064470000}"/>
    <cellStyle name="Encabezado 4 29 14" xfId="18320" xr:uid="{00000000-0005-0000-0000-000065470000}"/>
    <cellStyle name="Encabezado 4 29 15" xfId="18321" xr:uid="{00000000-0005-0000-0000-000066470000}"/>
    <cellStyle name="Encabezado 4 29 16" xfId="18322" xr:uid="{00000000-0005-0000-0000-000067470000}"/>
    <cellStyle name="Encabezado 4 29 17" xfId="18323" xr:uid="{00000000-0005-0000-0000-000068470000}"/>
    <cellStyle name="Encabezado 4 29 18" xfId="18324" xr:uid="{00000000-0005-0000-0000-000069470000}"/>
    <cellStyle name="Encabezado 4 29 19" xfId="18325" xr:uid="{00000000-0005-0000-0000-00006A470000}"/>
    <cellStyle name="Encabezado 4 29 2" xfId="18326" xr:uid="{00000000-0005-0000-0000-00006B470000}"/>
    <cellStyle name="Encabezado 4 29 2 2" xfId="18327" xr:uid="{00000000-0005-0000-0000-00006C470000}"/>
    <cellStyle name="Encabezado 4 29 3" xfId="18328" xr:uid="{00000000-0005-0000-0000-00006D470000}"/>
    <cellStyle name="Encabezado 4 29 3 2" xfId="18329" xr:uid="{00000000-0005-0000-0000-00006E470000}"/>
    <cellStyle name="Encabezado 4 29 4" xfId="18330" xr:uid="{00000000-0005-0000-0000-00006F470000}"/>
    <cellStyle name="Encabezado 4 29 4 2" xfId="18331" xr:uid="{00000000-0005-0000-0000-000070470000}"/>
    <cellStyle name="Encabezado 4 29 5" xfId="18332" xr:uid="{00000000-0005-0000-0000-000071470000}"/>
    <cellStyle name="Encabezado 4 29 6" xfId="18333" xr:uid="{00000000-0005-0000-0000-000072470000}"/>
    <cellStyle name="Encabezado 4 29 7" xfId="18334" xr:uid="{00000000-0005-0000-0000-000073470000}"/>
    <cellStyle name="Encabezado 4 29 8" xfId="18335" xr:uid="{00000000-0005-0000-0000-000074470000}"/>
    <cellStyle name="Encabezado 4 29 9" xfId="18336" xr:uid="{00000000-0005-0000-0000-000075470000}"/>
    <cellStyle name="Encabezado 4 3 10" xfId="18337" xr:uid="{00000000-0005-0000-0000-000076470000}"/>
    <cellStyle name="Encabezado 4 3 11" xfId="18338" xr:uid="{00000000-0005-0000-0000-000077470000}"/>
    <cellStyle name="Encabezado 4 3 12" xfId="18339" xr:uid="{00000000-0005-0000-0000-000078470000}"/>
    <cellStyle name="Encabezado 4 3 13" xfId="18340" xr:uid="{00000000-0005-0000-0000-000079470000}"/>
    <cellStyle name="Encabezado 4 3 14" xfId="18341" xr:uid="{00000000-0005-0000-0000-00007A470000}"/>
    <cellStyle name="Encabezado 4 3 15" xfId="18342" xr:uid="{00000000-0005-0000-0000-00007B470000}"/>
    <cellStyle name="Encabezado 4 3 16" xfId="18343" xr:uid="{00000000-0005-0000-0000-00007C470000}"/>
    <cellStyle name="Encabezado 4 3 17" xfId="18344" xr:uid="{00000000-0005-0000-0000-00007D470000}"/>
    <cellStyle name="Encabezado 4 3 18" xfId="18345" xr:uid="{00000000-0005-0000-0000-00007E470000}"/>
    <cellStyle name="Encabezado 4 3 19" xfId="18346" xr:uid="{00000000-0005-0000-0000-00007F470000}"/>
    <cellStyle name="Encabezado 4 3 2" xfId="18347" xr:uid="{00000000-0005-0000-0000-000080470000}"/>
    <cellStyle name="Encabezado 4 3 2 2" xfId="18348" xr:uid="{00000000-0005-0000-0000-000081470000}"/>
    <cellStyle name="Encabezado 4 3 3" xfId="18349" xr:uid="{00000000-0005-0000-0000-000082470000}"/>
    <cellStyle name="Encabezado 4 3 3 2" xfId="18350" xr:uid="{00000000-0005-0000-0000-000083470000}"/>
    <cellStyle name="Encabezado 4 3 4" xfId="18351" xr:uid="{00000000-0005-0000-0000-000084470000}"/>
    <cellStyle name="Encabezado 4 3 4 2" xfId="18352" xr:uid="{00000000-0005-0000-0000-000085470000}"/>
    <cellStyle name="Encabezado 4 3 5" xfId="18353" xr:uid="{00000000-0005-0000-0000-000086470000}"/>
    <cellStyle name="Encabezado 4 3 6" xfId="18354" xr:uid="{00000000-0005-0000-0000-000087470000}"/>
    <cellStyle name="Encabezado 4 3 7" xfId="18355" xr:uid="{00000000-0005-0000-0000-000088470000}"/>
    <cellStyle name="Encabezado 4 3 8" xfId="18356" xr:uid="{00000000-0005-0000-0000-000089470000}"/>
    <cellStyle name="Encabezado 4 3 9" xfId="18357" xr:uid="{00000000-0005-0000-0000-00008A470000}"/>
    <cellStyle name="Encabezado 4 30 10" xfId="18358" xr:uid="{00000000-0005-0000-0000-00008B470000}"/>
    <cellStyle name="Encabezado 4 30 11" xfId="18359" xr:uid="{00000000-0005-0000-0000-00008C470000}"/>
    <cellStyle name="Encabezado 4 30 12" xfId="18360" xr:uid="{00000000-0005-0000-0000-00008D470000}"/>
    <cellStyle name="Encabezado 4 30 13" xfId="18361" xr:uid="{00000000-0005-0000-0000-00008E470000}"/>
    <cellStyle name="Encabezado 4 30 14" xfId="18362" xr:uid="{00000000-0005-0000-0000-00008F470000}"/>
    <cellStyle name="Encabezado 4 30 15" xfId="18363" xr:uid="{00000000-0005-0000-0000-000090470000}"/>
    <cellStyle name="Encabezado 4 30 16" xfId="18364" xr:uid="{00000000-0005-0000-0000-000091470000}"/>
    <cellStyle name="Encabezado 4 30 17" xfId="18365" xr:uid="{00000000-0005-0000-0000-000092470000}"/>
    <cellStyle name="Encabezado 4 30 18" xfId="18366" xr:uid="{00000000-0005-0000-0000-000093470000}"/>
    <cellStyle name="Encabezado 4 30 19" xfId="18367" xr:uid="{00000000-0005-0000-0000-000094470000}"/>
    <cellStyle name="Encabezado 4 30 2" xfId="18368" xr:uid="{00000000-0005-0000-0000-000095470000}"/>
    <cellStyle name="Encabezado 4 30 2 2" xfId="18369" xr:uid="{00000000-0005-0000-0000-000096470000}"/>
    <cellStyle name="Encabezado 4 30 3" xfId="18370" xr:uid="{00000000-0005-0000-0000-000097470000}"/>
    <cellStyle name="Encabezado 4 30 3 2" xfId="18371" xr:uid="{00000000-0005-0000-0000-000098470000}"/>
    <cellStyle name="Encabezado 4 30 4" xfId="18372" xr:uid="{00000000-0005-0000-0000-000099470000}"/>
    <cellStyle name="Encabezado 4 30 4 2" xfId="18373" xr:uid="{00000000-0005-0000-0000-00009A470000}"/>
    <cellStyle name="Encabezado 4 30 5" xfId="18374" xr:uid="{00000000-0005-0000-0000-00009B470000}"/>
    <cellStyle name="Encabezado 4 30 6" xfId="18375" xr:uid="{00000000-0005-0000-0000-00009C470000}"/>
    <cellStyle name="Encabezado 4 30 7" xfId="18376" xr:uid="{00000000-0005-0000-0000-00009D470000}"/>
    <cellStyle name="Encabezado 4 30 8" xfId="18377" xr:uid="{00000000-0005-0000-0000-00009E470000}"/>
    <cellStyle name="Encabezado 4 30 9" xfId="18378" xr:uid="{00000000-0005-0000-0000-00009F470000}"/>
    <cellStyle name="Encabezado 4 31 10" xfId="18379" xr:uid="{00000000-0005-0000-0000-0000A0470000}"/>
    <cellStyle name="Encabezado 4 31 11" xfId="18380" xr:uid="{00000000-0005-0000-0000-0000A1470000}"/>
    <cellStyle name="Encabezado 4 31 12" xfId="18381" xr:uid="{00000000-0005-0000-0000-0000A2470000}"/>
    <cellStyle name="Encabezado 4 31 13" xfId="18382" xr:uid="{00000000-0005-0000-0000-0000A3470000}"/>
    <cellStyle name="Encabezado 4 31 14" xfId="18383" xr:uid="{00000000-0005-0000-0000-0000A4470000}"/>
    <cellStyle name="Encabezado 4 31 15" xfId="18384" xr:uid="{00000000-0005-0000-0000-0000A5470000}"/>
    <cellStyle name="Encabezado 4 31 16" xfId="18385" xr:uid="{00000000-0005-0000-0000-0000A6470000}"/>
    <cellStyle name="Encabezado 4 31 17" xfId="18386" xr:uid="{00000000-0005-0000-0000-0000A7470000}"/>
    <cellStyle name="Encabezado 4 31 18" xfId="18387" xr:uid="{00000000-0005-0000-0000-0000A8470000}"/>
    <cellStyle name="Encabezado 4 31 19" xfId="18388" xr:uid="{00000000-0005-0000-0000-0000A9470000}"/>
    <cellStyle name="Encabezado 4 31 2" xfId="18389" xr:uid="{00000000-0005-0000-0000-0000AA470000}"/>
    <cellStyle name="Encabezado 4 31 2 2" xfId="18390" xr:uid="{00000000-0005-0000-0000-0000AB470000}"/>
    <cellStyle name="Encabezado 4 31 3" xfId="18391" xr:uid="{00000000-0005-0000-0000-0000AC470000}"/>
    <cellStyle name="Encabezado 4 31 3 2" xfId="18392" xr:uid="{00000000-0005-0000-0000-0000AD470000}"/>
    <cellStyle name="Encabezado 4 31 4" xfId="18393" xr:uid="{00000000-0005-0000-0000-0000AE470000}"/>
    <cellStyle name="Encabezado 4 31 4 2" xfId="18394" xr:uid="{00000000-0005-0000-0000-0000AF470000}"/>
    <cellStyle name="Encabezado 4 31 5" xfId="18395" xr:uid="{00000000-0005-0000-0000-0000B0470000}"/>
    <cellStyle name="Encabezado 4 31 6" xfId="18396" xr:uid="{00000000-0005-0000-0000-0000B1470000}"/>
    <cellStyle name="Encabezado 4 31 7" xfId="18397" xr:uid="{00000000-0005-0000-0000-0000B2470000}"/>
    <cellStyle name="Encabezado 4 31 8" xfId="18398" xr:uid="{00000000-0005-0000-0000-0000B3470000}"/>
    <cellStyle name="Encabezado 4 31 9" xfId="18399" xr:uid="{00000000-0005-0000-0000-0000B4470000}"/>
    <cellStyle name="Encabezado 4 32 10" xfId="18400" xr:uid="{00000000-0005-0000-0000-0000B5470000}"/>
    <cellStyle name="Encabezado 4 32 11" xfId="18401" xr:uid="{00000000-0005-0000-0000-0000B6470000}"/>
    <cellStyle name="Encabezado 4 32 12" xfId="18402" xr:uid="{00000000-0005-0000-0000-0000B7470000}"/>
    <cellStyle name="Encabezado 4 32 13" xfId="18403" xr:uid="{00000000-0005-0000-0000-0000B8470000}"/>
    <cellStyle name="Encabezado 4 32 14" xfId="18404" xr:uid="{00000000-0005-0000-0000-0000B9470000}"/>
    <cellStyle name="Encabezado 4 32 15" xfId="18405" xr:uid="{00000000-0005-0000-0000-0000BA470000}"/>
    <cellStyle name="Encabezado 4 32 16" xfId="18406" xr:uid="{00000000-0005-0000-0000-0000BB470000}"/>
    <cellStyle name="Encabezado 4 32 17" xfId="18407" xr:uid="{00000000-0005-0000-0000-0000BC470000}"/>
    <cellStyle name="Encabezado 4 32 18" xfId="18408" xr:uid="{00000000-0005-0000-0000-0000BD470000}"/>
    <cellStyle name="Encabezado 4 32 19" xfId="18409" xr:uid="{00000000-0005-0000-0000-0000BE470000}"/>
    <cellStyle name="Encabezado 4 32 2" xfId="18410" xr:uid="{00000000-0005-0000-0000-0000BF470000}"/>
    <cellStyle name="Encabezado 4 32 2 2" xfId="18411" xr:uid="{00000000-0005-0000-0000-0000C0470000}"/>
    <cellStyle name="Encabezado 4 32 3" xfId="18412" xr:uid="{00000000-0005-0000-0000-0000C1470000}"/>
    <cellStyle name="Encabezado 4 32 3 2" xfId="18413" xr:uid="{00000000-0005-0000-0000-0000C2470000}"/>
    <cellStyle name="Encabezado 4 32 4" xfId="18414" xr:uid="{00000000-0005-0000-0000-0000C3470000}"/>
    <cellStyle name="Encabezado 4 32 4 2" xfId="18415" xr:uid="{00000000-0005-0000-0000-0000C4470000}"/>
    <cellStyle name="Encabezado 4 32 5" xfId="18416" xr:uid="{00000000-0005-0000-0000-0000C5470000}"/>
    <cellStyle name="Encabezado 4 32 6" xfId="18417" xr:uid="{00000000-0005-0000-0000-0000C6470000}"/>
    <cellStyle name="Encabezado 4 32 7" xfId="18418" xr:uid="{00000000-0005-0000-0000-0000C7470000}"/>
    <cellStyle name="Encabezado 4 32 8" xfId="18419" xr:uid="{00000000-0005-0000-0000-0000C8470000}"/>
    <cellStyle name="Encabezado 4 32 9" xfId="18420" xr:uid="{00000000-0005-0000-0000-0000C9470000}"/>
    <cellStyle name="Encabezado 4 33 10" xfId="18421" xr:uid="{00000000-0005-0000-0000-0000CA470000}"/>
    <cellStyle name="Encabezado 4 33 11" xfId="18422" xr:uid="{00000000-0005-0000-0000-0000CB470000}"/>
    <cellStyle name="Encabezado 4 33 12" xfId="18423" xr:uid="{00000000-0005-0000-0000-0000CC470000}"/>
    <cellStyle name="Encabezado 4 33 13" xfId="18424" xr:uid="{00000000-0005-0000-0000-0000CD470000}"/>
    <cellStyle name="Encabezado 4 33 14" xfId="18425" xr:uid="{00000000-0005-0000-0000-0000CE470000}"/>
    <cellStyle name="Encabezado 4 33 15" xfId="18426" xr:uid="{00000000-0005-0000-0000-0000CF470000}"/>
    <cellStyle name="Encabezado 4 33 16" xfId="18427" xr:uid="{00000000-0005-0000-0000-0000D0470000}"/>
    <cellStyle name="Encabezado 4 33 17" xfId="18428" xr:uid="{00000000-0005-0000-0000-0000D1470000}"/>
    <cellStyle name="Encabezado 4 33 18" xfId="18429" xr:uid="{00000000-0005-0000-0000-0000D2470000}"/>
    <cellStyle name="Encabezado 4 33 19" xfId="18430" xr:uid="{00000000-0005-0000-0000-0000D3470000}"/>
    <cellStyle name="Encabezado 4 33 2" xfId="18431" xr:uid="{00000000-0005-0000-0000-0000D4470000}"/>
    <cellStyle name="Encabezado 4 33 2 2" xfId="18432" xr:uid="{00000000-0005-0000-0000-0000D5470000}"/>
    <cellStyle name="Encabezado 4 33 3" xfId="18433" xr:uid="{00000000-0005-0000-0000-0000D6470000}"/>
    <cellStyle name="Encabezado 4 33 3 2" xfId="18434" xr:uid="{00000000-0005-0000-0000-0000D7470000}"/>
    <cellStyle name="Encabezado 4 33 4" xfId="18435" xr:uid="{00000000-0005-0000-0000-0000D8470000}"/>
    <cellStyle name="Encabezado 4 33 4 2" xfId="18436" xr:uid="{00000000-0005-0000-0000-0000D9470000}"/>
    <cellStyle name="Encabezado 4 33 5" xfId="18437" xr:uid="{00000000-0005-0000-0000-0000DA470000}"/>
    <cellStyle name="Encabezado 4 33 6" xfId="18438" xr:uid="{00000000-0005-0000-0000-0000DB470000}"/>
    <cellStyle name="Encabezado 4 33 7" xfId="18439" xr:uid="{00000000-0005-0000-0000-0000DC470000}"/>
    <cellStyle name="Encabezado 4 33 8" xfId="18440" xr:uid="{00000000-0005-0000-0000-0000DD470000}"/>
    <cellStyle name="Encabezado 4 33 9" xfId="18441" xr:uid="{00000000-0005-0000-0000-0000DE470000}"/>
    <cellStyle name="Encabezado 4 34 10" xfId="18442" xr:uid="{00000000-0005-0000-0000-0000DF470000}"/>
    <cellStyle name="Encabezado 4 34 11" xfId="18443" xr:uid="{00000000-0005-0000-0000-0000E0470000}"/>
    <cellStyle name="Encabezado 4 34 12" xfId="18444" xr:uid="{00000000-0005-0000-0000-0000E1470000}"/>
    <cellStyle name="Encabezado 4 34 13" xfId="18445" xr:uid="{00000000-0005-0000-0000-0000E2470000}"/>
    <cellStyle name="Encabezado 4 34 14" xfId="18446" xr:uid="{00000000-0005-0000-0000-0000E3470000}"/>
    <cellStyle name="Encabezado 4 34 15" xfId="18447" xr:uid="{00000000-0005-0000-0000-0000E4470000}"/>
    <cellStyle name="Encabezado 4 34 16" xfId="18448" xr:uid="{00000000-0005-0000-0000-0000E5470000}"/>
    <cellStyle name="Encabezado 4 34 17" xfId="18449" xr:uid="{00000000-0005-0000-0000-0000E6470000}"/>
    <cellStyle name="Encabezado 4 34 18" xfId="18450" xr:uid="{00000000-0005-0000-0000-0000E7470000}"/>
    <cellStyle name="Encabezado 4 34 19" xfId="18451" xr:uid="{00000000-0005-0000-0000-0000E8470000}"/>
    <cellStyle name="Encabezado 4 34 2" xfId="18452" xr:uid="{00000000-0005-0000-0000-0000E9470000}"/>
    <cellStyle name="Encabezado 4 34 2 2" xfId="18453" xr:uid="{00000000-0005-0000-0000-0000EA470000}"/>
    <cellStyle name="Encabezado 4 34 3" xfId="18454" xr:uid="{00000000-0005-0000-0000-0000EB470000}"/>
    <cellStyle name="Encabezado 4 34 3 2" xfId="18455" xr:uid="{00000000-0005-0000-0000-0000EC470000}"/>
    <cellStyle name="Encabezado 4 34 4" xfId="18456" xr:uid="{00000000-0005-0000-0000-0000ED470000}"/>
    <cellStyle name="Encabezado 4 34 4 2" xfId="18457" xr:uid="{00000000-0005-0000-0000-0000EE470000}"/>
    <cellStyle name="Encabezado 4 34 5" xfId="18458" xr:uid="{00000000-0005-0000-0000-0000EF470000}"/>
    <cellStyle name="Encabezado 4 34 6" xfId="18459" xr:uid="{00000000-0005-0000-0000-0000F0470000}"/>
    <cellStyle name="Encabezado 4 34 7" xfId="18460" xr:uid="{00000000-0005-0000-0000-0000F1470000}"/>
    <cellStyle name="Encabezado 4 34 8" xfId="18461" xr:uid="{00000000-0005-0000-0000-0000F2470000}"/>
    <cellStyle name="Encabezado 4 34 9" xfId="18462" xr:uid="{00000000-0005-0000-0000-0000F3470000}"/>
    <cellStyle name="Encabezado 4 35 10" xfId="18463" xr:uid="{00000000-0005-0000-0000-0000F4470000}"/>
    <cellStyle name="Encabezado 4 35 11" xfId="18464" xr:uid="{00000000-0005-0000-0000-0000F5470000}"/>
    <cellStyle name="Encabezado 4 35 12" xfId="18465" xr:uid="{00000000-0005-0000-0000-0000F6470000}"/>
    <cellStyle name="Encabezado 4 35 13" xfId="18466" xr:uid="{00000000-0005-0000-0000-0000F7470000}"/>
    <cellStyle name="Encabezado 4 35 14" xfId="18467" xr:uid="{00000000-0005-0000-0000-0000F8470000}"/>
    <cellStyle name="Encabezado 4 35 15" xfId="18468" xr:uid="{00000000-0005-0000-0000-0000F9470000}"/>
    <cellStyle name="Encabezado 4 35 16" xfId="18469" xr:uid="{00000000-0005-0000-0000-0000FA470000}"/>
    <cellStyle name="Encabezado 4 35 17" xfId="18470" xr:uid="{00000000-0005-0000-0000-0000FB470000}"/>
    <cellStyle name="Encabezado 4 35 18" xfId="18471" xr:uid="{00000000-0005-0000-0000-0000FC470000}"/>
    <cellStyle name="Encabezado 4 35 19" xfId="18472" xr:uid="{00000000-0005-0000-0000-0000FD470000}"/>
    <cellStyle name="Encabezado 4 35 2" xfId="18473" xr:uid="{00000000-0005-0000-0000-0000FE470000}"/>
    <cellStyle name="Encabezado 4 35 2 2" xfId="18474" xr:uid="{00000000-0005-0000-0000-0000FF470000}"/>
    <cellStyle name="Encabezado 4 35 3" xfId="18475" xr:uid="{00000000-0005-0000-0000-000000480000}"/>
    <cellStyle name="Encabezado 4 35 3 2" xfId="18476" xr:uid="{00000000-0005-0000-0000-000001480000}"/>
    <cellStyle name="Encabezado 4 35 4" xfId="18477" xr:uid="{00000000-0005-0000-0000-000002480000}"/>
    <cellStyle name="Encabezado 4 35 4 2" xfId="18478" xr:uid="{00000000-0005-0000-0000-000003480000}"/>
    <cellStyle name="Encabezado 4 35 5" xfId="18479" xr:uid="{00000000-0005-0000-0000-000004480000}"/>
    <cellStyle name="Encabezado 4 35 6" xfId="18480" xr:uid="{00000000-0005-0000-0000-000005480000}"/>
    <cellStyle name="Encabezado 4 35 7" xfId="18481" xr:uid="{00000000-0005-0000-0000-000006480000}"/>
    <cellStyle name="Encabezado 4 35 8" xfId="18482" xr:uid="{00000000-0005-0000-0000-000007480000}"/>
    <cellStyle name="Encabezado 4 35 9" xfId="18483" xr:uid="{00000000-0005-0000-0000-000008480000}"/>
    <cellStyle name="Encabezado 4 36 10" xfId="18484" xr:uid="{00000000-0005-0000-0000-000009480000}"/>
    <cellStyle name="Encabezado 4 36 11" xfId="18485" xr:uid="{00000000-0005-0000-0000-00000A480000}"/>
    <cellStyle name="Encabezado 4 36 12" xfId="18486" xr:uid="{00000000-0005-0000-0000-00000B480000}"/>
    <cellStyle name="Encabezado 4 36 13" xfId="18487" xr:uid="{00000000-0005-0000-0000-00000C480000}"/>
    <cellStyle name="Encabezado 4 36 14" xfId="18488" xr:uid="{00000000-0005-0000-0000-00000D480000}"/>
    <cellStyle name="Encabezado 4 36 15" xfId="18489" xr:uid="{00000000-0005-0000-0000-00000E480000}"/>
    <cellStyle name="Encabezado 4 36 16" xfId="18490" xr:uid="{00000000-0005-0000-0000-00000F480000}"/>
    <cellStyle name="Encabezado 4 36 17" xfId="18491" xr:uid="{00000000-0005-0000-0000-000010480000}"/>
    <cellStyle name="Encabezado 4 36 18" xfId="18492" xr:uid="{00000000-0005-0000-0000-000011480000}"/>
    <cellStyle name="Encabezado 4 36 19" xfId="18493" xr:uid="{00000000-0005-0000-0000-000012480000}"/>
    <cellStyle name="Encabezado 4 36 2" xfId="18494" xr:uid="{00000000-0005-0000-0000-000013480000}"/>
    <cellStyle name="Encabezado 4 36 2 2" xfId="18495" xr:uid="{00000000-0005-0000-0000-000014480000}"/>
    <cellStyle name="Encabezado 4 36 3" xfId="18496" xr:uid="{00000000-0005-0000-0000-000015480000}"/>
    <cellStyle name="Encabezado 4 36 3 2" xfId="18497" xr:uid="{00000000-0005-0000-0000-000016480000}"/>
    <cellStyle name="Encabezado 4 36 4" xfId="18498" xr:uid="{00000000-0005-0000-0000-000017480000}"/>
    <cellStyle name="Encabezado 4 36 4 2" xfId="18499" xr:uid="{00000000-0005-0000-0000-000018480000}"/>
    <cellStyle name="Encabezado 4 36 5" xfId="18500" xr:uid="{00000000-0005-0000-0000-000019480000}"/>
    <cellStyle name="Encabezado 4 36 6" xfId="18501" xr:uid="{00000000-0005-0000-0000-00001A480000}"/>
    <cellStyle name="Encabezado 4 36 7" xfId="18502" xr:uid="{00000000-0005-0000-0000-00001B480000}"/>
    <cellStyle name="Encabezado 4 36 8" xfId="18503" xr:uid="{00000000-0005-0000-0000-00001C480000}"/>
    <cellStyle name="Encabezado 4 36 9" xfId="18504" xr:uid="{00000000-0005-0000-0000-00001D480000}"/>
    <cellStyle name="Encabezado 4 37 10" xfId="18505" xr:uid="{00000000-0005-0000-0000-00001E480000}"/>
    <cellStyle name="Encabezado 4 37 11" xfId="18506" xr:uid="{00000000-0005-0000-0000-00001F480000}"/>
    <cellStyle name="Encabezado 4 37 12" xfId="18507" xr:uid="{00000000-0005-0000-0000-000020480000}"/>
    <cellStyle name="Encabezado 4 37 13" xfId="18508" xr:uid="{00000000-0005-0000-0000-000021480000}"/>
    <cellStyle name="Encabezado 4 37 14" xfId="18509" xr:uid="{00000000-0005-0000-0000-000022480000}"/>
    <cellStyle name="Encabezado 4 37 15" xfId="18510" xr:uid="{00000000-0005-0000-0000-000023480000}"/>
    <cellStyle name="Encabezado 4 37 16" xfId="18511" xr:uid="{00000000-0005-0000-0000-000024480000}"/>
    <cellStyle name="Encabezado 4 37 17" xfId="18512" xr:uid="{00000000-0005-0000-0000-000025480000}"/>
    <cellStyle name="Encabezado 4 37 18" xfId="18513" xr:uid="{00000000-0005-0000-0000-000026480000}"/>
    <cellStyle name="Encabezado 4 37 19" xfId="18514" xr:uid="{00000000-0005-0000-0000-000027480000}"/>
    <cellStyle name="Encabezado 4 37 2" xfId="18515" xr:uid="{00000000-0005-0000-0000-000028480000}"/>
    <cellStyle name="Encabezado 4 37 2 2" xfId="18516" xr:uid="{00000000-0005-0000-0000-000029480000}"/>
    <cellStyle name="Encabezado 4 37 3" xfId="18517" xr:uid="{00000000-0005-0000-0000-00002A480000}"/>
    <cellStyle name="Encabezado 4 37 3 2" xfId="18518" xr:uid="{00000000-0005-0000-0000-00002B480000}"/>
    <cellStyle name="Encabezado 4 37 4" xfId="18519" xr:uid="{00000000-0005-0000-0000-00002C480000}"/>
    <cellStyle name="Encabezado 4 37 4 2" xfId="18520" xr:uid="{00000000-0005-0000-0000-00002D480000}"/>
    <cellStyle name="Encabezado 4 37 5" xfId="18521" xr:uid="{00000000-0005-0000-0000-00002E480000}"/>
    <cellStyle name="Encabezado 4 37 6" xfId="18522" xr:uid="{00000000-0005-0000-0000-00002F480000}"/>
    <cellStyle name="Encabezado 4 37 7" xfId="18523" xr:uid="{00000000-0005-0000-0000-000030480000}"/>
    <cellStyle name="Encabezado 4 37 8" xfId="18524" xr:uid="{00000000-0005-0000-0000-000031480000}"/>
    <cellStyle name="Encabezado 4 37 9" xfId="18525" xr:uid="{00000000-0005-0000-0000-000032480000}"/>
    <cellStyle name="Encabezado 4 38 10" xfId="18526" xr:uid="{00000000-0005-0000-0000-000033480000}"/>
    <cellStyle name="Encabezado 4 38 11" xfId="18527" xr:uid="{00000000-0005-0000-0000-000034480000}"/>
    <cellStyle name="Encabezado 4 38 12" xfId="18528" xr:uid="{00000000-0005-0000-0000-000035480000}"/>
    <cellStyle name="Encabezado 4 38 13" xfId="18529" xr:uid="{00000000-0005-0000-0000-000036480000}"/>
    <cellStyle name="Encabezado 4 38 14" xfId="18530" xr:uid="{00000000-0005-0000-0000-000037480000}"/>
    <cellStyle name="Encabezado 4 38 15" xfId="18531" xr:uid="{00000000-0005-0000-0000-000038480000}"/>
    <cellStyle name="Encabezado 4 38 16" xfId="18532" xr:uid="{00000000-0005-0000-0000-000039480000}"/>
    <cellStyle name="Encabezado 4 38 17" xfId="18533" xr:uid="{00000000-0005-0000-0000-00003A480000}"/>
    <cellStyle name="Encabezado 4 38 18" xfId="18534" xr:uid="{00000000-0005-0000-0000-00003B480000}"/>
    <cellStyle name="Encabezado 4 38 19" xfId="18535" xr:uid="{00000000-0005-0000-0000-00003C480000}"/>
    <cellStyle name="Encabezado 4 38 2" xfId="18536" xr:uid="{00000000-0005-0000-0000-00003D480000}"/>
    <cellStyle name="Encabezado 4 38 2 2" xfId="18537" xr:uid="{00000000-0005-0000-0000-00003E480000}"/>
    <cellStyle name="Encabezado 4 38 3" xfId="18538" xr:uid="{00000000-0005-0000-0000-00003F480000}"/>
    <cellStyle name="Encabezado 4 38 3 2" xfId="18539" xr:uid="{00000000-0005-0000-0000-000040480000}"/>
    <cellStyle name="Encabezado 4 38 4" xfId="18540" xr:uid="{00000000-0005-0000-0000-000041480000}"/>
    <cellStyle name="Encabezado 4 38 4 2" xfId="18541" xr:uid="{00000000-0005-0000-0000-000042480000}"/>
    <cellStyle name="Encabezado 4 38 5" xfId="18542" xr:uid="{00000000-0005-0000-0000-000043480000}"/>
    <cellStyle name="Encabezado 4 38 6" xfId="18543" xr:uid="{00000000-0005-0000-0000-000044480000}"/>
    <cellStyle name="Encabezado 4 38 7" xfId="18544" xr:uid="{00000000-0005-0000-0000-000045480000}"/>
    <cellStyle name="Encabezado 4 38 8" xfId="18545" xr:uid="{00000000-0005-0000-0000-000046480000}"/>
    <cellStyle name="Encabezado 4 38 9" xfId="18546" xr:uid="{00000000-0005-0000-0000-000047480000}"/>
    <cellStyle name="Encabezado 4 39" xfId="18547" xr:uid="{00000000-0005-0000-0000-000048480000}"/>
    <cellStyle name="Encabezado 4 39 10" xfId="18548" xr:uid="{00000000-0005-0000-0000-000049480000}"/>
    <cellStyle name="Encabezado 4 39 11" xfId="18549" xr:uid="{00000000-0005-0000-0000-00004A480000}"/>
    <cellStyle name="Encabezado 4 39 12" xfId="18550" xr:uid="{00000000-0005-0000-0000-00004B480000}"/>
    <cellStyle name="Encabezado 4 39 13" xfId="18551" xr:uid="{00000000-0005-0000-0000-00004C480000}"/>
    <cellStyle name="Encabezado 4 39 14" xfId="18552" xr:uid="{00000000-0005-0000-0000-00004D480000}"/>
    <cellStyle name="Encabezado 4 39 15" xfId="18553" xr:uid="{00000000-0005-0000-0000-00004E480000}"/>
    <cellStyle name="Encabezado 4 39 16" xfId="18554" xr:uid="{00000000-0005-0000-0000-00004F480000}"/>
    <cellStyle name="Encabezado 4 39 2" xfId="18555" xr:uid="{00000000-0005-0000-0000-000050480000}"/>
    <cellStyle name="Encabezado 4 39 3" xfId="18556" xr:uid="{00000000-0005-0000-0000-000051480000}"/>
    <cellStyle name="Encabezado 4 39 4" xfId="18557" xr:uid="{00000000-0005-0000-0000-000052480000}"/>
    <cellStyle name="Encabezado 4 39 5" xfId="18558" xr:uid="{00000000-0005-0000-0000-000053480000}"/>
    <cellStyle name="Encabezado 4 39 6" xfId="18559" xr:uid="{00000000-0005-0000-0000-000054480000}"/>
    <cellStyle name="Encabezado 4 39 7" xfId="18560" xr:uid="{00000000-0005-0000-0000-000055480000}"/>
    <cellStyle name="Encabezado 4 39 8" xfId="18561" xr:uid="{00000000-0005-0000-0000-000056480000}"/>
    <cellStyle name="Encabezado 4 39 9" xfId="18562" xr:uid="{00000000-0005-0000-0000-000057480000}"/>
    <cellStyle name="Encabezado 4 4 10" xfId="18563" xr:uid="{00000000-0005-0000-0000-000058480000}"/>
    <cellStyle name="Encabezado 4 4 11" xfId="18564" xr:uid="{00000000-0005-0000-0000-000059480000}"/>
    <cellStyle name="Encabezado 4 4 12" xfId="18565" xr:uid="{00000000-0005-0000-0000-00005A480000}"/>
    <cellStyle name="Encabezado 4 4 13" xfId="18566" xr:uid="{00000000-0005-0000-0000-00005B480000}"/>
    <cellStyle name="Encabezado 4 4 14" xfId="18567" xr:uid="{00000000-0005-0000-0000-00005C480000}"/>
    <cellStyle name="Encabezado 4 4 15" xfId="18568" xr:uid="{00000000-0005-0000-0000-00005D480000}"/>
    <cellStyle name="Encabezado 4 4 16" xfId="18569" xr:uid="{00000000-0005-0000-0000-00005E480000}"/>
    <cellStyle name="Encabezado 4 4 17" xfId="18570" xr:uid="{00000000-0005-0000-0000-00005F480000}"/>
    <cellStyle name="Encabezado 4 4 18" xfId="18571" xr:uid="{00000000-0005-0000-0000-000060480000}"/>
    <cellStyle name="Encabezado 4 4 19" xfId="18572" xr:uid="{00000000-0005-0000-0000-000061480000}"/>
    <cellStyle name="Encabezado 4 4 2" xfId="18573" xr:uid="{00000000-0005-0000-0000-000062480000}"/>
    <cellStyle name="Encabezado 4 4 2 2" xfId="18574" xr:uid="{00000000-0005-0000-0000-000063480000}"/>
    <cellStyle name="Encabezado 4 4 3" xfId="18575" xr:uid="{00000000-0005-0000-0000-000064480000}"/>
    <cellStyle name="Encabezado 4 4 3 2" xfId="18576" xr:uid="{00000000-0005-0000-0000-000065480000}"/>
    <cellStyle name="Encabezado 4 4 4" xfId="18577" xr:uid="{00000000-0005-0000-0000-000066480000}"/>
    <cellStyle name="Encabezado 4 4 4 2" xfId="18578" xr:uid="{00000000-0005-0000-0000-000067480000}"/>
    <cellStyle name="Encabezado 4 4 5" xfId="18579" xr:uid="{00000000-0005-0000-0000-000068480000}"/>
    <cellStyle name="Encabezado 4 4 6" xfId="18580" xr:uid="{00000000-0005-0000-0000-000069480000}"/>
    <cellStyle name="Encabezado 4 4 7" xfId="18581" xr:uid="{00000000-0005-0000-0000-00006A480000}"/>
    <cellStyle name="Encabezado 4 4 8" xfId="18582" xr:uid="{00000000-0005-0000-0000-00006B480000}"/>
    <cellStyle name="Encabezado 4 4 9" xfId="18583" xr:uid="{00000000-0005-0000-0000-00006C480000}"/>
    <cellStyle name="Encabezado 4 40" xfId="18584" xr:uid="{00000000-0005-0000-0000-00006D480000}"/>
    <cellStyle name="Encabezado 4 40 10" xfId="18585" xr:uid="{00000000-0005-0000-0000-00006E480000}"/>
    <cellStyle name="Encabezado 4 40 11" xfId="18586" xr:uid="{00000000-0005-0000-0000-00006F480000}"/>
    <cellStyle name="Encabezado 4 40 12" xfId="18587" xr:uid="{00000000-0005-0000-0000-000070480000}"/>
    <cellStyle name="Encabezado 4 40 13" xfId="18588" xr:uid="{00000000-0005-0000-0000-000071480000}"/>
    <cellStyle name="Encabezado 4 40 14" xfId="18589" xr:uid="{00000000-0005-0000-0000-000072480000}"/>
    <cellStyle name="Encabezado 4 40 15" xfId="18590" xr:uid="{00000000-0005-0000-0000-000073480000}"/>
    <cellStyle name="Encabezado 4 40 16" xfId="18591" xr:uid="{00000000-0005-0000-0000-000074480000}"/>
    <cellStyle name="Encabezado 4 40 2" xfId="18592" xr:uid="{00000000-0005-0000-0000-000075480000}"/>
    <cellStyle name="Encabezado 4 40 3" xfId="18593" xr:uid="{00000000-0005-0000-0000-000076480000}"/>
    <cellStyle name="Encabezado 4 40 4" xfId="18594" xr:uid="{00000000-0005-0000-0000-000077480000}"/>
    <cellStyle name="Encabezado 4 40 5" xfId="18595" xr:uid="{00000000-0005-0000-0000-000078480000}"/>
    <cellStyle name="Encabezado 4 40 6" xfId="18596" xr:uid="{00000000-0005-0000-0000-000079480000}"/>
    <cellStyle name="Encabezado 4 40 7" xfId="18597" xr:uid="{00000000-0005-0000-0000-00007A480000}"/>
    <cellStyle name="Encabezado 4 40 8" xfId="18598" xr:uid="{00000000-0005-0000-0000-00007B480000}"/>
    <cellStyle name="Encabezado 4 40 9" xfId="18599" xr:uid="{00000000-0005-0000-0000-00007C480000}"/>
    <cellStyle name="Encabezado 4 41" xfId="18600" xr:uid="{00000000-0005-0000-0000-00007D480000}"/>
    <cellStyle name="Encabezado 4 41 10" xfId="18601" xr:uid="{00000000-0005-0000-0000-00007E480000}"/>
    <cellStyle name="Encabezado 4 41 11" xfId="18602" xr:uid="{00000000-0005-0000-0000-00007F480000}"/>
    <cellStyle name="Encabezado 4 41 12" xfId="18603" xr:uid="{00000000-0005-0000-0000-000080480000}"/>
    <cellStyle name="Encabezado 4 41 13" xfId="18604" xr:uid="{00000000-0005-0000-0000-000081480000}"/>
    <cellStyle name="Encabezado 4 41 14" xfId="18605" xr:uid="{00000000-0005-0000-0000-000082480000}"/>
    <cellStyle name="Encabezado 4 41 15" xfId="18606" xr:uid="{00000000-0005-0000-0000-000083480000}"/>
    <cellStyle name="Encabezado 4 41 16" xfId="18607" xr:uid="{00000000-0005-0000-0000-000084480000}"/>
    <cellStyle name="Encabezado 4 41 2" xfId="18608" xr:uid="{00000000-0005-0000-0000-000085480000}"/>
    <cellStyle name="Encabezado 4 41 3" xfId="18609" xr:uid="{00000000-0005-0000-0000-000086480000}"/>
    <cellStyle name="Encabezado 4 41 4" xfId="18610" xr:uid="{00000000-0005-0000-0000-000087480000}"/>
    <cellStyle name="Encabezado 4 41 5" xfId="18611" xr:uid="{00000000-0005-0000-0000-000088480000}"/>
    <cellStyle name="Encabezado 4 41 6" xfId="18612" xr:uid="{00000000-0005-0000-0000-000089480000}"/>
    <cellStyle name="Encabezado 4 41 7" xfId="18613" xr:uid="{00000000-0005-0000-0000-00008A480000}"/>
    <cellStyle name="Encabezado 4 41 8" xfId="18614" xr:uid="{00000000-0005-0000-0000-00008B480000}"/>
    <cellStyle name="Encabezado 4 41 9" xfId="18615" xr:uid="{00000000-0005-0000-0000-00008C480000}"/>
    <cellStyle name="Encabezado 4 42" xfId="18616" xr:uid="{00000000-0005-0000-0000-00008D480000}"/>
    <cellStyle name="Encabezado 4 43" xfId="18617" xr:uid="{00000000-0005-0000-0000-00008E480000}"/>
    <cellStyle name="Encabezado 4 44" xfId="18618" xr:uid="{00000000-0005-0000-0000-00008F480000}"/>
    <cellStyle name="Encabezado 4 45" xfId="18619" xr:uid="{00000000-0005-0000-0000-000090480000}"/>
    <cellStyle name="Encabezado 4 46" xfId="18620" xr:uid="{00000000-0005-0000-0000-000091480000}"/>
    <cellStyle name="Encabezado 4 47" xfId="18621" xr:uid="{00000000-0005-0000-0000-000092480000}"/>
    <cellStyle name="Encabezado 4 48" xfId="18622" xr:uid="{00000000-0005-0000-0000-000093480000}"/>
    <cellStyle name="Encabezado 4 49" xfId="18623" xr:uid="{00000000-0005-0000-0000-000094480000}"/>
    <cellStyle name="Encabezado 4 5 10" xfId="18624" xr:uid="{00000000-0005-0000-0000-000095480000}"/>
    <cellStyle name="Encabezado 4 5 11" xfId="18625" xr:uid="{00000000-0005-0000-0000-000096480000}"/>
    <cellStyle name="Encabezado 4 5 12" xfId="18626" xr:uid="{00000000-0005-0000-0000-000097480000}"/>
    <cellStyle name="Encabezado 4 5 13" xfId="18627" xr:uid="{00000000-0005-0000-0000-000098480000}"/>
    <cellStyle name="Encabezado 4 5 14" xfId="18628" xr:uid="{00000000-0005-0000-0000-000099480000}"/>
    <cellStyle name="Encabezado 4 5 15" xfId="18629" xr:uid="{00000000-0005-0000-0000-00009A480000}"/>
    <cellStyle name="Encabezado 4 5 16" xfId="18630" xr:uid="{00000000-0005-0000-0000-00009B480000}"/>
    <cellStyle name="Encabezado 4 5 17" xfId="18631" xr:uid="{00000000-0005-0000-0000-00009C480000}"/>
    <cellStyle name="Encabezado 4 5 18" xfId="18632" xr:uid="{00000000-0005-0000-0000-00009D480000}"/>
    <cellStyle name="Encabezado 4 5 19" xfId="18633" xr:uid="{00000000-0005-0000-0000-00009E480000}"/>
    <cellStyle name="Encabezado 4 5 2" xfId="18634" xr:uid="{00000000-0005-0000-0000-00009F480000}"/>
    <cellStyle name="Encabezado 4 5 2 2" xfId="18635" xr:uid="{00000000-0005-0000-0000-0000A0480000}"/>
    <cellStyle name="Encabezado 4 5 3" xfId="18636" xr:uid="{00000000-0005-0000-0000-0000A1480000}"/>
    <cellStyle name="Encabezado 4 5 3 2" xfId="18637" xr:uid="{00000000-0005-0000-0000-0000A2480000}"/>
    <cellStyle name="Encabezado 4 5 4" xfId="18638" xr:uid="{00000000-0005-0000-0000-0000A3480000}"/>
    <cellStyle name="Encabezado 4 5 4 2" xfId="18639" xr:uid="{00000000-0005-0000-0000-0000A4480000}"/>
    <cellStyle name="Encabezado 4 5 5" xfId="18640" xr:uid="{00000000-0005-0000-0000-0000A5480000}"/>
    <cellStyle name="Encabezado 4 5 6" xfId="18641" xr:uid="{00000000-0005-0000-0000-0000A6480000}"/>
    <cellStyle name="Encabezado 4 5 7" xfId="18642" xr:uid="{00000000-0005-0000-0000-0000A7480000}"/>
    <cellStyle name="Encabezado 4 5 8" xfId="18643" xr:uid="{00000000-0005-0000-0000-0000A8480000}"/>
    <cellStyle name="Encabezado 4 5 9" xfId="18644" xr:uid="{00000000-0005-0000-0000-0000A9480000}"/>
    <cellStyle name="Encabezado 4 50" xfId="18645" xr:uid="{00000000-0005-0000-0000-0000AA480000}"/>
    <cellStyle name="Encabezado 4 51" xfId="18646" xr:uid="{00000000-0005-0000-0000-0000AB480000}"/>
    <cellStyle name="Encabezado 4 52" xfId="18647" xr:uid="{00000000-0005-0000-0000-0000AC480000}"/>
    <cellStyle name="Encabezado 4 53" xfId="18648" xr:uid="{00000000-0005-0000-0000-0000AD480000}"/>
    <cellStyle name="Encabezado 4 54" xfId="18649" xr:uid="{00000000-0005-0000-0000-0000AE480000}"/>
    <cellStyle name="Encabezado 4 55" xfId="18650" xr:uid="{00000000-0005-0000-0000-0000AF480000}"/>
    <cellStyle name="Encabezado 4 56" xfId="18651" xr:uid="{00000000-0005-0000-0000-0000B0480000}"/>
    <cellStyle name="Encabezado 4 57" xfId="18652" xr:uid="{00000000-0005-0000-0000-0000B1480000}"/>
    <cellStyle name="Encabezado 4 58" xfId="18653" xr:uid="{00000000-0005-0000-0000-0000B2480000}"/>
    <cellStyle name="Encabezado 4 59" xfId="18654" xr:uid="{00000000-0005-0000-0000-0000B3480000}"/>
    <cellStyle name="Encabezado 4 6 10" xfId="18655" xr:uid="{00000000-0005-0000-0000-0000B4480000}"/>
    <cellStyle name="Encabezado 4 6 11" xfId="18656" xr:uid="{00000000-0005-0000-0000-0000B5480000}"/>
    <cellStyle name="Encabezado 4 6 12" xfId="18657" xr:uid="{00000000-0005-0000-0000-0000B6480000}"/>
    <cellStyle name="Encabezado 4 6 13" xfId="18658" xr:uid="{00000000-0005-0000-0000-0000B7480000}"/>
    <cellStyle name="Encabezado 4 6 14" xfId="18659" xr:uid="{00000000-0005-0000-0000-0000B8480000}"/>
    <cellStyle name="Encabezado 4 6 15" xfId="18660" xr:uid="{00000000-0005-0000-0000-0000B9480000}"/>
    <cellStyle name="Encabezado 4 6 16" xfId="18661" xr:uid="{00000000-0005-0000-0000-0000BA480000}"/>
    <cellStyle name="Encabezado 4 6 17" xfId="18662" xr:uid="{00000000-0005-0000-0000-0000BB480000}"/>
    <cellStyle name="Encabezado 4 6 18" xfId="18663" xr:uid="{00000000-0005-0000-0000-0000BC480000}"/>
    <cellStyle name="Encabezado 4 6 19" xfId="18664" xr:uid="{00000000-0005-0000-0000-0000BD480000}"/>
    <cellStyle name="Encabezado 4 6 2" xfId="18665" xr:uid="{00000000-0005-0000-0000-0000BE480000}"/>
    <cellStyle name="Encabezado 4 6 2 2" xfId="18666" xr:uid="{00000000-0005-0000-0000-0000BF480000}"/>
    <cellStyle name="Encabezado 4 6 3" xfId="18667" xr:uid="{00000000-0005-0000-0000-0000C0480000}"/>
    <cellStyle name="Encabezado 4 6 3 2" xfId="18668" xr:uid="{00000000-0005-0000-0000-0000C1480000}"/>
    <cellStyle name="Encabezado 4 6 4" xfId="18669" xr:uid="{00000000-0005-0000-0000-0000C2480000}"/>
    <cellStyle name="Encabezado 4 6 4 2" xfId="18670" xr:uid="{00000000-0005-0000-0000-0000C3480000}"/>
    <cellStyle name="Encabezado 4 6 5" xfId="18671" xr:uid="{00000000-0005-0000-0000-0000C4480000}"/>
    <cellStyle name="Encabezado 4 6 6" xfId="18672" xr:uid="{00000000-0005-0000-0000-0000C5480000}"/>
    <cellStyle name="Encabezado 4 6 7" xfId="18673" xr:uid="{00000000-0005-0000-0000-0000C6480000}"/>
    <cellStyle name="Encabezado 4 6 8" xfId="18674" xr:uid="{00000000-0005-0000-0000-0000C7480000}"/>
    <cellStyle name="Encabezado 4 6 9" xfId="18675" xr:uid="{00000000-0005-0000-0000-0000C8480000}"/>
    <cellStyle name="Encabezado 4 60" xfId="18676" xr:uid="{00000000-0005-0000-0000-0000C9480000}"/>
    <cellStyle name="Encabezado 4 61" xfId="18677" xr:uid="{00000000-0005-0000-0000-0000CA480000}"/>
    <cellStyle name="Encabezado 4 62" xfId="18678" xr:uid="{00000000-0005-0000-0000-0000CB480000}"/>
    <cellStyle name="Encabezado 4 63" xfId="18679" xr:uid="{00000000-0005-0000-0000-0000CC480000}"/>
    <cellStyle name="Encabezado 4 64" xfId="18680" xr:uid="{00000000-0005-0000-0000-0000CD480000}"/>
    <cellStyle name="Encabezado 4 7 10" xfId="18681" xr:uid="{00000000-0005-0000-0000-0000CE480000}"/>
    <cellStyle name="Encabezado 4 7 11" xfId="18682" xr:uid="{00000000-0005-0000-0000-0000CF480000}"/>
    <cellStyle name="Encabezado 4 7 12" xfId="18683" xr:uid="{00000000-0005-0000-0000-0000D0480000}"/>
    <cellStyle name="Encabezado 4 7 13" xfId="18684" xr:uid="{00000000-0005-0000-0000-0000D1480000}"/>
    <cellStyle name="Encabezado 4 7 14" xfId="18685" xr:uid="{00000000-0005-0000-0000-0000D2480000}"/>
    <cellStyle name="Encabezado 4 7 15" xfId="18686" xr:uid="{00000000-0005-0000-0000-0000D3480000}"/>
    <cellStyle name="Encabezado 4 7 16" xfId="18687" xr:uid="{00000000-0005-0000-0000-0000D4480000}"/>
    <cellStyle name="Encabezado 4 7 17" xfId="18688" xr:uid="{00000000-0005-0000-0000-0000D5480000}"/>
    <cellStyle name="Encabezado 4 7 18" xfId="18689" xr:uid="{00000000-0005-0000-0000-0000D6480000}"/>
    <cellStyle name="Encabezado 4 7 19" xfId="18690" xr:uid="{00000000-0005-0000-0000-0000D7480000}"/>
    <cellStyle name="Encabezado 4 7 2" xfId="18691" xr:uid="{00000000-0005-0000-0000-0000D8480000}"/>
    <cellStyle name="Encabezado 4 7 2 2" xfId="18692" xr:uid="{00000000-0005-0000-0000-0000D9480000}"/>
    <cellStyle name="Encabezado 4 7 3" xfId="18693" xr:uid="{00000000-0005-0000-0000-0000DA480000}"/>
    <cellStyle name="Encabezado 4 7 3 2" xfId="18694" xr:uid="{00000000-0005-0000-0000-0000DB480000}"/>
    <cellStyle name="Encabezado 4 7 4" xfId="18695" xr:uid="{00000000-0005-0000-0000-0000DC480000}"/>
    <cellStyle name="Encabezado 4 7 4 2" xfId="18696" xr:uid="{00000000-0005-0000-0000-0000DD480000}"/>
    <cellStyle name="Encabezado 4 7 5" xfId="18697" xr:uid="{00000000-0005-0000-0000-0000DE480000}"/>
    <cellStyle name="Encabezado 4 7 6" xfId="18698" xr:uid="{00000000-0005-0000-0000-0000DF480000}"/>
    <cellStyle name="Encabezado 4 7 7" xfId="18699" xr:uid="{00000000-0005-0000-0000-0000E0480000}"/>
    <cellStyle name="Encabezado 4 7 8" xfId="18700" xr:uid="{00000000-0005-0000-0000-0000E1480000}"/>
    <cellStyle name="Encabezado 4 7 9" xfId="18701" xr:uid="{00000000-0005-0000-0000-0000E2480000}"/>
    <cellStyle name="Encabezado 4 8 10" xfId="18702" xr:uid="{00000000-0005-0000-0000-0000E3480000}"/>
    <cellStyle name="Encabezado 4 8 11" xfId="18703" xr:uid="{00000000-0005-0000-0000-0000E4480000}"/>
    <cellStyle name="Encabezado 4 8 12" xfId="18704" xr:uid="{00000000-0005-0000-0000-0000E5480000}"/>
    <cellStyle name="Encabezado 4 8 13" xfId="18705" xr:uid="{00000000-0005-0000-0000-0000E6480000}"/>
    <cellStyle name="Encabezado 4 8 14" xfId="18706" xr:uid="{00000000-0005-0000-0000-0000E7480000}"/>
    <cellStyle name="Encabezado 4 8 15" xfId="18707" xr:uid="{00000000-0005-0000-0000-0000E8480000}"/>
    <cellStyle name="Encabezado 4 8 16" xfId="18708" xr:uid="{00000000-0005-0000-0000-0000E9480000}"/>
    <cellStyle name="Encabezado 4 8 17" xfId="18709" xr:uid="{00000000-0005-0000-0000-0000EA480000}"/>
    <cellStyle name="Encabezado 4 8 18" xfId="18710" xr:uid="{00000000-0005-0000-0000-0000EB480000}"/>
    <cellStyle name="Encabezado 4 8 19" xfId="18711" xr:uid="{00000000-0005-0000-0000-0000EC480000}"/>
    <cellStyle name="Encabezado 4 8 2" xfId="18712" xr:uid="{00000000-0005-0000-0000-0000ED480000}"/>
    <cellStyle name="Encabezado 4 8 2 2" xfId="18713" xr:uid="{00000000-0005-0000-0000-0000EE480000}"/>
    <cellStyle name="Encabezado 4 8 3" xfId="18714" xr:uid="{00000000-0005-0000-0000-0000EF480000}"/>
    <cellStyle name="Encabezado 4 8 3 2" xfId="18715" xr:uid="{00000000-0005-0000-0000-0000F0480000}"/>
    <cellStyle name="Encabezado 4 8 4" xfId="18716" xr:uid="{00000000-0005-0000-0000-0000F1480000}"/>
    <cellStyle name="Encabezado 4 8 4 2" xfId="18717" xr:uid="{00000000-0005-0000-0000-0000F2480000}"/>
    <cellStyle name="Encabezado 4 8 5" xfId="18718" xr:uid="{00000000-0005-0000-0000-0000F3480000}"/>
    <cellStyle name="Encabezado 4 8 6" xfId="18719" xr:uid="{00000000-0005-0000-0000-0000F4480000}"/>
    <cellStyle name="Encabezado 4 8 7" xfId="18720" xr:uid="{00000000-0005-0000-0000-0000F5480000}"/>
    <cellStyle name="Encabezado 4 8 8" xfId="18721" xr:uid="{00000000-0005-0000-0000-0000F6480000}"/>
    <cellStyle name="Encabezado 4 8 9" xfId="18722" xr:uid="{00000000-0005-0000-0000-0000F7480000}"/>
    <cellStyle name="Encabezado 4 9 10" xfId="18723" xr:uid="{00000000-0005-0000-0000-0000F8480000}"/>
    <cellStyle name="Encabezado 4 9 11" xfId="18724" xr:uid="{00000000-0005-0000-0000-0000F9480000}"/>
    <cellStyle name="Encabezado 4 9 12" xfId="18725" xr:uid="{00000000-0005-0000-0000-0000FA480000}"/>
    <cellStyle name="Encabezado 4 9 13" xfId="18726" xr:uid="{00000000-0005-0000-0000-0000FB480000}"/>
    <cellStyle name="Encabezado 4 9 14" xfId="18727" xr:uid="{00000000-0005-0000-0000-0000FC480000}"/>
    <cellStyle name="Encabezado 4 9 15" xfId="18728" xr:uid="{00000000-0005-0000-0000-0000FD480000}"/>
    <cellStyle name="Encabezado 4 9 16" xfId="18729" xr:uid="{00000000-0005-0000-0000-0000FE480000}"/>
    <cellStyle name="Encabezado 4 9 17" xfId="18730" xr:uid="{00000000-0005-0000-0000-0000FF480000}"/>
    <cellStyle name="Encabezado 4 9 18" xfId="18731" xr:uid="{00000000-0005-0000-0000-000000490000}"/>
    <cellStyle name="Encabezado 4 9 19" xfId="18732" xr:uid="{00000000-0005-0000-0000-000001490000}"/>
    <cellStyle name="Encabezado 4 9 2" xfId="18733" xr:uid="{00000000-0005-0000-0000-000002490000}"/>
    <cellStyle name="Encabezado 4 9 2 2" xfId="18734" xr:uid="{00000000-0005-0000-0000-000003490000}"/>
    <cellStyle name="Encabezado 4 9 3" xfId="18735" xr:uid="{00000000-0005-0000-0000-000004490000}"/>
    <cellStyle name="Encabezado 4 9 3 2" xfId="18736" xr:uid="{00000000-0005-0000-0000-000005490000}"/>
    <cellStyle name="Encabezado 4 9 4" xfId="18737" xr:uid="{00000000-0005-0000-0000-000006490000}"/>
    <cellStyle name="Encabezado 4 9 4 2" xfId="18738" xr:uid="{00000000-0005-0000-0000-000007490000}"/>
    <cellStyle name="Encabezado 4 9 5" xfId="18739" xr:uid="{00000000-0005-0000-0000-000008490000}"/>
    <cellStyle name="Encabezado 4 9 6" xfId="18740" xr:uid="{00000000-0005-0000-0000-000009490000}"/>
    <cellStyle name="Encabezado 4 9 7" xfId="18741" xr:uid="{00000000-0005-0000-0000-00000A490000}"/>
    <cellStyle name="Encabezado 4 9 8" xfId="18742" xr:uid="{00000000-0005-0000-0000-00000B490000}"/>
    <cellStyle name="Encabezado 4 9 9" xfId="18743" xr:uid="{00000000-0005-0000-0000-00000C490000}"/>
    <cellStyle name="Énfasis1" xfId="4" builtinId="29" customBuiltin="1"/>
    <cellStyle name="Énfasis1 10 10" xfId="18744" xr:uid="{00000000-0005-0000-0000-00000E490000}"/>
    <cellStyle name="Énfasis1 10 11" xfId="18745" xr:uid="{00000000-0005-0000-0000-00000F490000}"/>
    <cellStyle name="Énfasis1 10 12" xfId="18746" xr:uid="{00000000-0005-0000-0000-000010490000}"/>
    <cellStyle name="Énfasis1 10 13" xfId="18747" xr:uid="{00000000-0005-0000-0000-000011490000}"/>
    <cellStyle name="Énfasis1 10 14" xfId="18748" xr:uid="{00000000-0005-0000-0000-000012490000}"/>
    <cellStyle name="Énfasis1 10 15" xfId="18749" xr:uid="{00000000-0005-0000-0000-000013490000}"/>
    <cellStyle name="Énfasis1 10 16" xfId="18750" xr:uid="{00000000-0005-0000-0000-000014490000}"/>
    <cellStyle name="Énfasis1 10 17" xfId="18751" xr:uid="{00000000-0005-0000-0000-000015490000}"/>
    <cellStyle name="Énfasis1 10 18" xfId="18752" xr:uid="{00000000-0005-0000-0000-000016490000}"/>
    <cellStyle name="Énfasis1 10 19" xfId="18753" xr:uid="{00000000-0005-0000-0000-000017490000}"/>
    <cellStyle name="Énfasis1 10 2" xfId="18754" xr:uid="{00000000-0005-0000-0000-000018490000}"/>
    <cellStyle name="Énfasis1 10 2 2" xfId="18755" xr:uid="{00000000-0005-0000-0000-000019490000}"/>
    <cellStyle name="Énfasis1 10 3" xfId="18756" xr:uid="{00000000-0005-0000-0000-00001A490000}"/>
    <cellStyle name="Énfasis1 10 3 2" xfId="18757" xr:uid="{00000000-0005-0000-0000-00001B490000}"/>
    <cellStyle name="Énfasis1 10 4" xfId="18758" xr:uid="{00000000-0005-0000-0000-00001C490000}"/>
    <cellStyle name="Énfasis1 10 4 2" xfId="18759" xr:uid="{00000000-0005-0000-0000-00001D490000}"/>
    <cellStyle name="Énfasis1 10 5" xfId="18760" xr:uid="{00000000-0005-0000-0000-00001E490000}"/>
    <cellStyle name="Énfasis1 10 6" xfId="18761" xr:uid="{00000000-0005-0000-0000-00001F490000}"/>
    <cellStyle name="Énfasis1 10 7" xfId="18762" xr:uid="{00000000-0005-0000-0000-000020490000}"/>
    <cellStyle name="Énfasis1 10 8" xfId="18763" xr:uid="{00000000-0005-0000-0000-000021490000}"/>
    <cellStyle name="Énfasis1 10 9" xfId="18764" xr:uid="{00000000-0005-0000-0000-000022490000}"/>
    <cellStyle name="Énfasis1 11 10" xfId="18765" xr:uid="{00000000-0005-0000-0000-000023490000}"/>
    <cellStyle name="Énfasis1 11 11" xfId="18766" xr:uid="{00000000-0005-0000-0000-000024490000}"/>
    <cellStyle name="Énfasis1 11 12" xfId="18767" xr:uid="{00000000-0005-0000-0000-000025490000}"/>
    <cellStyle name="Énfasis1 11 13" xfId="18768" xr:uid="{00000000-0005-0000-0000-000026490000}"/>
    <cellStyle name="Énfasis1 11 14" xfId="18769" xr:uid="{00000000-0005-0000-0000-000027490000}"/>
    <cellStyle name="Énfasis1 11 15" xfId="18770" xr:uid="{00000000-0005-0000-0000-000028490000}"/>
    <cellStyle name="Énfasis1 11 16" xfId="18771" xr:uid="{00000000-0005-0000-0000-000029490000}"/>
    <cellStyle name="Énfasis1 11 17" xfId="18772" xr:uid="{00000000-0005-0000-0000-00002A490000}"/>
    <cellStyle name="Énfasis1 11 18" xfId="18773" xr:uid="{00000000-0005-0000-0000-00002B490000}"/>
    <cellStyle name="Énfasis1 11 19" xfId="18774" xr:uid="{00000000-0005-0000-0000-00002C490000}"/>
    <cellStyle name="Énfasis1 11 2" xfId="18775" xr:uid="{00000000-0005-0000-0000-00002D490000}"/>
    <cellStyle name="Énfasis1 11 2 2" xfId="18776" xr:uid="{00000000-0005-0000-0000-00002E490000}"/>
    <cellStyle name="Énfasis1 11 3" xfId="18777" xr:uid="{00000000-0005-0000-0000-00002F490000}"/>
    <cellStyle name="Énfasis1 11 3 2" xfId="18778" xr:uid="{00000000-0005-0000-0000-000030490000}"/>
    <cellStyle name="Énfasis1 11 4" xfId="18779" xr:uid="{00000000-0005-0000-0000-000031490000}"/>
    <cellStyle name="Énfasis1 11 4 2" xfId="18780" xr:uid="{00000000-0005-0000-0000-000032490000}"/>
    <cellStyle name="Énfasis1 11 5" xfId="18781" xr:uid="{00000000-0005-0000-0000-000033490000}"/>
    <cellStyle name="Énfasis1 11 6" xfId="18782" xr:uid="{00000000-0005-0000-0000-000034490000}"/>
    <cellStyle name="Énfasis1 11 7" xfId="18783" xr:uid="{00000000-0005-0000-0000-000035490000}"/>
    <cellStyle name="Énfasis1 11 8" xfId="18784" xr:uid="{00000000-0005-0000-0000-000036490000}"/>
    <cellStyle name="Énfasis1 11 9" xfId="18785" xr:uid="{00000000-0005-0000-0000-000037490000}"/>
    <cellStyle name="Énfasis1 12 10" xfId="18786" xr:uid="{00000000-0005-0000-0000-000038490000}"/>
    <cellStyle name="Énfasis1 12 11" xfId="18787" xr:uid="{00000000-0005-0000-0000-000039490000}"/>
    <cellStyle name="Énfasis1 12 12" xfId="18788" xr:uid="{00000000-0005-0000-0000-00003A490000}"/>
    <cellStyle name="Énfasis1 12 13" xfId="18789" xr:uid="{00000000-0005-0000-0000-00003B490000}"/>
    <cellStyle name="Énfasis1 12 14" xfId="18790" xr:uid="{00000000-0005-0000-0000-00003C490000}"/>
    <cellStyle name="Énfasis1 12 15" xfId="18791" xr:uid="{00000000-0005-0000-0000-00003D490000}"/>
    <cellStyle name="Énfasis1 12 16" xfId="18792" xr:uid="{00000000-0005-0000-0000-00003E490000}"/>
    <cellStyle name="Énfasis1 12 17" xfId="18793" xr:uid="{00000000-0005-0000-0000-00003F490000}"/>
    <cellStyle name="Énfasis1 12 18" xfId="18794" xr:uid="{00000000-0005-0000-0000-000040490000}"/>
    <cellStyle name="Énfasis1 12 19" xfId="18795" xr:uid="{00000000-0005-0000-0000-000041490000}"/>
    <cellStyle name="Énfasis1 12 2" xfId="18796" xr:uid="{00000000-0005-0000-0000-000042490000}"/>
    <cellStyle name="Énfasis1 12 2 2" xfId="18797" xr:uid="{00000000-0005-0000-0000-000043490000}"/>
    <cellStyle name="Énfasis1 12 3" xfId="18798" xr:uid="{00000000-0005-0000-0000-000044490000}"/>
    <cellStyle name="Énfasis1 12 3 2" xfId="18799" xr:uid="{00000000-0005-0000-0000-000045490000}"/>
    <cellStyle name="Énfasis1 12 4" xfId="18800" xr:uid="{00000000-0005-0000-0000-000046490000}"/>
    <cellStyle name="Énfasis1 12 4 2" xfId="18801" xr:uid="{00000000-0005-0000-0000-000047490000}"/>
    <cellStyle name="Énfasis1 12 5" xfId="18802" xr:uid="{00000000-0005-0000-0000-000048490000}"/>
    <cellStyle name="Énfasis1 12 6" xfId="18803" xr:uid="{00000000-0005-0000-0000-000049490000}"/>
    <cellStyle name="Énfasis1 12 7" xfId="18804" xr:uid="{00000000-0005-0000-0000-00004A490000}"/>
    <cellStyle name="Énfasis1 12 8" xfId="18805" xr:uid="{00000000-0005-0000-0000-00004B490000}"/>
    <cellStyle name="Énfasis1 12 9" xfId="18806" xr:uid="{00000000-0005-0000-0000-00004C490000}"/>
    <cellStyle name="Énfasis1 13 10" xfId="18807" xr:uid="{00000000-0005-0000-0000-00004D490000}"/>
    <cellStyle name="Énfasis1 13 11" xfId="18808" xr:uid="{00000000-0005-0000-0000-00004E490000}"/>
    <cellStyle name="Énfasis1 13 12" xfId="18809" xr:uid="{00000000-0005-0000-0000-00004F490000}"/>
    <cellStyle name="Énfasis1 13 13" xfId="18810" xr:uid="{00000000-0005-0000-0000-000050490000}"/>
    <cellStyle name="Énfasis1 13 14" xfId="18811" xr:uid="{00000000-0005-0000-0000-000051490000}"/>
    <cellStyle name="Énfasis1 13 15" xfId="18812" xr:uid="{00000000-0005-0000-0000-000052490000}"/>
    <cellStyle name="Énfasis1 13 16" xfId="18813" xr:uid="{00000000-0005-0000-0000-000053490000}"/>
    <cellStyle name="Énfasis1 13 17" xfId="18814" xr:uid="{00000000-0005-0000-0000-000054490000}"/>
    <cellStyle name="Énfasis1 13 18" xfId="18815" xr:uid="{00000000-0005-0000-0000-000055490000}"/>
    <cellStyle name="Énfasis1 13 19" xfId="18816" xr:uid="{00000000-0005-0000-0000-000056490000}"/>
    <cellStyle name="Énfasis1 13 2" xfId="18817" xr:uid="{00000000-0005-0000-0000-000057490000}"/>
    <cellStyle name="Énfasis1 13 2 2" xfId="18818" xr:uid="{00000000-0005-0000-0000-000058490000}"/>
    <cellStyle name="Énfasis1 13 3" xfId="18819" xr:uid="{00000000-0005-0000-0000-000059490000}"/>
    <cellStyle name="Énfasis1 13 3 2" xfId="18820" xr:uid="{00000000-0005-0000-0000-00005A490000}"/>
    <cellStyle name="Énfasis1 13 4" xfId="18821" xr:uid="{00000000-0005-0000-0000-00005B490000}"/>
    <cellStyle name="Énfasis1 13 4 2" xfId="18822" xr:uid="{00000000-0005-0000-0000-00005C490000}"/>
    <cellStyle name="Énfasis1 13 5" xfId="18823" xr:uid="{00000000-0005-0000-0000-00005D490000}"/>
    <cellStyle name="Énfasis1 13 6" xfId="18824" xr:uid="{00000000-0005-0000-0000-00005E490000}"/>
    <cellStyle name="Énfasis1 13 7" xfId="18825" xr:uid="{00000000-0005-0000-0000-00005F490000}"/>
    <cellStyle name="Énfasis1 13 8" xfId="18826" xr:uid="{00000000-0005-0000-0000-000060490000}"/>
    <cellStyle name="Énfasis1 13 9" xfId="18827" xr:uid="{00000000-0005-0000-0000-000061490000}"/>
    <cellStyle name="Énfasis1 14 10" xfId="18828" xr:uid="{00000000-0005-0000-0000-000062490000}"/>
    <cellStyle name="Énfasis1 14 11" xfId="18829" xr:uid="{00000000-0005-0000-0000-000063490000}"/>
    <cellStyle name="Énfasis1 14 12" xfId="18830" xr:uid="{00000000-0005-0000-0000-000064490000}"/>
    <cellStyle name="Énfasis1 14 13" xfId="18831" xr:uid="{00000000-0005-0000-0000-000065490000}"/>
    <cellStyle name="Énfasis1 14 14" xfId="18832" xr:uid="{00000000-0005-0000-0000-000066490000}"/>
    <cellStyle name="Énfasis1 14 15" xfId="18833" xr:uid="{00000000-0005-0000-0000-000067490000}"/>
    <cellStyle name="Énfasis1 14 16" xfId="18834" xr:uid="{00000000-0005-0000-0000-000068490000}"/>
    <cellStyle name="Énfasis1 14 17" xfId="18835" xr:uid="{00000000-0005-0000-0000-000069490000}"/>
    <cellStyle name="Énfasis1 14 18" xfId="18836" xr:uid="{00000000-0005-0000-0000-00006A490000}"/>
    <cellStyle name="Énfasis1 14 19" xfId="18837" xr:uid="{00000000-0005-0000-0000-00006B490000}"/>
    <cellStyle name="Énfasis1 14 2" xfId="18838" xr:uid="{00000000-0005-0000-0000-00006C490000}"/>
    <cellStyle name="Énfasis1 14 2 2" xfId="18839" xr:uid="{00000000-0005-0000-0000-00006D490000}"/>
    <cellStyle name="Énfasis1 14 3" xfId="18840" xr:uid="{00000000-0005-0000-0000-00006E490000}"/>
    <cellStyle name="Énfasis1 14 3 2" xfId="18841" xr:uid="{00000000-0005-0000-0000-00006F490000}"/>
    <cellStyle name="Énfasis1 14 4" xfId="18842" xr:uid="{00000000-0005-0000-0000-000070490000}"/>
    <cellStyle name="Énfasis1 14 4 2" xfId="18843" xr:uid="{00000000-0005-0000-0000-000071490000}"/>
    <cellStyle name="Énfasis1 14 5" xfId="18844" xr:uid="{00000000-0005-0000-0000-000072490000}"/>
    <cellStyle name="Énfasis1 14 6" xfId="18845" xr:uid="{00000000-0005-0000-0000-000073490000}"/>
    <cellStyle name="Énfasis1 14 7" xfId="18846" xr:uid="{00000000-0005-0000-0000-000074490000}"/>
    <cellStyle name="Énfasis1 14 8" xfId="18847" xr:uid="{00000000-0005-0000-0000-000075490000}"/>
    <cellStyle name="Énfasis1 14 9" xfId="18848" xr:uid="{00000000-0005-0000-0000-000076490000}"/>
    <cellStyle name="Énfasis1 15 10" xfId="18849" xr:uid="{00000000-0005-0000-0000-000077490000}"/>
    <cellStyle name="Énfasis1 15 11" xfId="18850" xr:uid="{00000000-0005-0000-0000-000078490000}"/>
    <cellStyle name="Énfasis1 15 12" xfId="18851" xr:uid="{00000000-0005-0000-0000-000079490000}"/>
    <cellStyle name="Énfasis1 15 13" xfId="18852" xr:uid="{00000000-0005-0000-0000-00007A490000}"/>
    <cellStyle name="Énfasis1 15 14" xfId="18853" xr:uid="{00000000-0005-0000-0000-00007B490000}"/>
    <cellStyle name="Énfasis1 15 15" xfId="18854" xr:uid="{00000000-0005-0000-0000-00007C490000}"/>
    <cellStyle name="Énfasis1 15 16" xfId="18855" xr:uid="{00000000-0005-0000-0000-00007D490000}"/>
    <cellStyle name="Énfasis1 15 17" xfId="18856" xr:uid="{00000000-0005-0000-0000-00007E490000}"/>
    <cellStyle name="Énfasis1 15 18" xfId="18857" xr:uid="{00000000-0005-0000-0000-00007F490000}"/>
    <cellStyle name="Énfasis1 15 19" xfId="18858" xr:uid="{00000000-0005-0000-0000-000080490000}"/>
    <cellStyle name="Énfasis1 15 2" xfId="18859" xr:uid="{00000000-0005-0000-0000-000081490000}"/>
    <cellStyle name="Énfasis1 15 2 2" xfId="18860" xr:uid="{00000000-0005-0000-0000-000082490000}"/>
    <cellStyle name="Énfasis1 15 3" xfId="18861" xr:uid="{00000000-0005-0000-0000-000083490000}"/>
    <cellStyle name="Énfasis1 15 3 2" xfId="18862" xr:uid="{00000000-0005-0000-0000-000084490000}"/>
    <cellStyle name="Énfasis1 15 4" xfId="18863" xr:uid="{00000000-0005-0000-0000-000085490000}"/>
    <cellStyle name="Énfasis1 15 4 2" xfId="18864" xr:uid="{00000000-0005-0000-0000-000086490000}"/>
    <cellStyle name="Énfasis1 15 5" xfId="18865" xr:uid="{00000000-0005-0000-0000-000087490000}"/>
    <cellStyle name="Énfasis1 15 6" xfId="18866" xr:uid="{00000000-0005-0000-0000-000088490000}"/>
    <cellStyle name="Énfasis1 15 7" xfId="18867" xr:uid="{00000000-0005-0000-0000-000089490000}"/>
    <cellStyle name="Énfasis1 15 8" xfId="18868" xr:uid="{00000000-0005-0000-0000-00008A490000}"/>
    <cellStyle name="Énfasis1 15 9" xfId="18869" xr:uid="{00000000-0005-0000-0000-00008B490000}"/>
    <cellStyle name="Énfasis1 16 10" xfId="18870" xr:uid="{00000000-0005-0000-0000-00008C490000}"/>
    <cellStyle name="Énfasis1 16 11" xfId="18871" xr:uid="{00000000-0005-0000-0000-00008D490000}"/>
    <cellStyle name="Énfasis1 16 12" xfId="18872" xr:uid="{00000000-0005-0000-0000-00008E490000}"/>
    <cellStyle name="Énfasis1 16 13" xfId="18873" xr:uid="{00000000-0005-0000-0000-00008F490000}"/>
    <cellStyle name="Énfasis1 16 14" xfId="18874" xr:uid="{00000000-0005-0000-0000-000090490000}"/>
    <cellStyle name="Énfasis1 16 15" xfId="18875" xr:uid="{00000000-0005-0000-0000-000091490000}"/>
    <cellStyle name="Énfasis1 16 16" xfId="18876" xr:uid="{00000000-0005-0000-0000-000092490000}"/>
    <cellStyle name="Énfasis1 16 17" xfId="18877" xr:uid="{00000000-0005-0000-0000-000093490000}"/>
    <cellStyle name="Énfasis1 16 18" xfId="18878" xr:uid="{00000000-0005-0000-0000-000094490000}"/>
    <cellStyle name="Énfasis1 16 19" xfId="18879" xr:uid="{00000000-0005-0000-0000-000095490000}"/>
    <cellStyle name="Énfasis1 16 2" xfId="18880" xr:uid="{00000000-0005-0000-0000-000096490000}"/>
    <cellStyle name="Énfasis1 16 2 2" xfId="18881" xr:uid="{00000000-0005-0000-0000-000097490000}"/>
    <cellStyle name="Énfasis1 16 3" xfId="18882" xr:uid="{00000000-0005-0000-0000-000098490000}"/>
    <cellStyle name="Énfasis1 16 3 2" xfId="18883" xr:uid="{00000000-0005-0000-0000-000099490000}"/>
    <cellStyle name="Énfasis1 16 4" xfId="18884" xr:uid="{00000000-0005-0000-0000-00009A490000}"/>
    <cellStyle name="Énfasis1 16 4 2" xfId="18885" xr:uid="{00000000-0005-0000-0000-00009B490000}"/>
    <cellStyle name="Énfasis1 16 5" xfId="18886" xr:uid="{00000000-0005-0000-0000-00009C490000}"/>
    <cellStyle name="Énfasis1 16 6" xfId="18887" xr:uid="{00000000-0005-0000-0000-00009D490000}"/>
    <cellStyle name="Énfasis1 16 7" xfId="18888" xr:uid="{00000000-0005-0000-0000-00009E490000}"/>
    <cellStyle name="Énfasis1 16 8" xfId="18889" xr:uid="{00000000-0005-0000-0000-00009F490000}"/>
    <cellStyle name="Énfasis1 16 9" xfId="18890" xr:uid="{00000000-0005-0000-0000-0000A0490000}"/>
    <cellStyle name="Énfasis1 17 10" xfId="18891" xr:uid="{00000000-0005-0000-0000-0000A1490000}"/>
    <cellStyle name="Énfasis1 17 11" xfId="18892" xr:uid="{00000000-0005-0000-0000-0000A2490000}"/>
    <cellStyle name="Énfasis1 17 12" xfId="18893" xr:uid="{00000000-0005-0000-0000-0000A3490000}"/>
    <cellStyle name="Énfasis1 17 13" xfId="18894" xr:uid="{00000000-0005-0000-0000-0000A4490000}"/>
    <cellStyle name="Énfasis1 17 14" xfId="18895" xr:uid="{00000000-0005-0000-0000-0000A5490000}"/>
    <cellStyle name="Énfasis1 17 15" xfId="18896" xr:uid="{00000000-0005-0000-0000-0000A6490000}"/>
    <cellStyle name="Énfasis1 17 16" xfId="18897" xr:uid="{00000000-0005-0000-0000-0000A7490000}"/>
    <cellStyle name="Énfasis1 17 17" xfId="18898" xr:uid="{00000000-0005-0000-0000-0000A8490000}"/>
    <cellStyle name="Énfasis1 17 18" xfId="18899" xr:uid="{00000000-0005-0000-0000-0000A9490000}"/>
    <cellStyle name="Énfasis1 17 19" xfId="18900" xr:uid="{00000000-0005-0000-0000-0000AA490000}"/>
    <cellStyle name="Énfasis1 17 2" xfId="18901" xr:uid="{00000000-0005-0000-0000-0000AB490000}"/>
    <cellStyle name="Énfasis1 17 2 2" xfId="18902" xr:uid="{00000000-0005-0000-0000-0000AC490000}"/>
    <cellStyle name="Énfasis1 17 3" xfId="18903" xr:uid="{00000000-0005-0000-0000-0000AD490000}"/>
    <cellStyle name="Énfasis1 17 3 2" xfId="18904" xr:uid="{00000000-0005-0000-0000-0000AE490000}"/>
    <cellStyle name="Énfasis1 17 4" xfId="18905" xr:uid="{00000000-0005-0000-0000-0000AF490000}"/>
    <cellStyle name="Énfasis1 17 4 2" xfId="18906" xr:uid="{00000000-0005-0000-0000-0000B0490000}"/>
    <cellStyle name="Énfasis1 17 5" xfId="18907" xr:uid="{00000000-0005-0000-0000-0000B1490000}"/>
    <cellStyle name="Énfasis1 17 6" xfId="18908" xr:uid="{00000000-0005-0000-0000-0000B2490000}"/>
    <cellStyle name="Énfasis1 17 7" xfId="18909" xr:uid="{00000000-0005-0000-0000-0000B3490000}"/>
    <cellStyle name="Énfasis1 17 8" xfId="18910" xr:uid="{00000000-0005-0000-0000-0000B4490000}"/>
    <cellStyle name="Énfasis1 17 9" xfId="18911" xr:uid="{00000000-0005-0000-0000-0000B5490000}"/>
    <cellStyle name="Énfasis1 18 10" xfId="18912" xr:uid="{00000000-0005-0000-0000-0000B6490000}"/>
    <cellStyle name="Énfasis1 18 11" xfId="18913" xr:uid="{00000000-0005-0000-0000-0000B7490000}"/>
    <cellStyle name="Énfasis1 18 12" xfId="18914" xr:uid="{00000000-0005-0000-0000-0000B8490000}"/>
    <cellStyle name="Énfasis1 18 13" xfId="18915" xr:uid="{00000000-0005-0000-0000-0000B9490000}"/>
    <cellStyle name="Énfasis1 18 14" xfId="18916" xr:uid="{00000000-0005-0000-0000-0000BA490000}"/>
    <cellStyle name="Énfasis1 18 15" xfId="18917" xr:uid="{00000000-0005-0000-0000-0000BB490000}"/>
    <cellStyle name="Énfasis1 18 16" xfId="18918" xr:uid="{00000000-0005-0000-0000-0000BC490000}"/>
    <cellStyle name="Énfasis1 18 17" xfId="18919" xr:uid="{00000000-0005-0000-0000-0000BD490000}"/>
    <cellStyle name="Énfasis1 18 18" xfId="18920" xr:uid="{00000000-0005-0000-0000-0000BE490000}"/>
    <cellStyle name="Énfasis1 18 19" xfId="18921" xr:uid="{00000000-0005-0000-0000-0000BF490000}"/>
    <cellStyle name="Énfasis1 18 2" xfId="18922" xr:uid="{00000000-0005-0000-0000-0000C0490000}"/>
    <cellStyle name="Énfasis1 18 2 2" xfId="18923" xr:uid="{00000000-0005-0000-0000-0000C1490000}"/>
    <cellStyle name="Énfasis1 18 3" xfId="18924" xr:uid="{00000000-0005-0000-0000-0000C2490000}"/>
    <cellStyle name="Énfasis1 18 3 2" xfId="18925" xr:uid="{00000000-0005-0000-0000-0000C3490000}"/>
    <cellStyle name="Énfasis1 18 4" xfId="18926" xr:uid="{00000000-0005-0000-0000-0000C4490000}"/>
    <cellStyle name="Énfasis1 18 4 2" xfId="18927" xr:uid="{00000000-0005-0000-0000-0000C5490000}"/>
    <cellStyle name="Énfasis1 18 5" xfId="18928" xr:uid="{00000000-0005-0000-0000-0000C6490000}"/>
    <cellStyle name="Énfasis1 18 6" xfId="18929" xr:uid="{00000000-0005-0000-0000-0000C7490000}"/>
    <cellStyle name="Énfasis1 18 7" xfId="18930" xr:uid="{00000000-0005-0000-0000-0000C8490000}"/>
    <cellStyle name="Énfasis1 18 8" xfId="18931" xr:uid="{00000000-0005-0000-0000-0000C9490000}"/>
    <cellStyle name="Énfasis1 18 9" xfId="18932" xr:uid="{00000000-0005-0000-0000-0000CA490000}"/>
    <cellStyle name="Énfasis1 19 10" xfId="18933" xr:uid="{00000000-0005-0000-0000-0000CB490000}"/>
    <cellStyle name="Énfasis1 19 11" xfId="18934" xr:uid="{00000000-0005-0000-0000-0000CC490000}"/>
    <cellStyle name="Énfasis1 19 12" xfId="18935" xr:uid="{00000000-0005-0000-0000-0000CD490000}"/>
    <cellStyle name="Énfasis1 19 13" xfId="18936" xr:uid="{00000000-0005-0000-0000-0000CE490000}"/>
    <cellStyle name="Énfasis1 19 14" xfId="18937" xr:uid="{00000000-0005-0000-0000-0000CF490000}"/>
    <cellStyle name="Énfasis1 19 15" xfId="18938" xr:uid="{00000000-0005-0000-0000-0000D0490000}"/>
    <cellStyle name="Énfasis1 19 16" xfId="18939" xr:uid="{00000000-0005-0000-0000-0000D1490000}"/>
    <cellStyle name="Énfasis1 19 17" xfId="18940" xr:uid="{00000000-0005-0000-0000-0000D2490000}"/>
    <cellStyle name="Énfasis1 19 18" xfId="18941" xr:uid="{00000000-0005-0000-0000-0000D3490000}"/>
    <cellStyle name="Énfasis1 19 19" xfId="18942" xr:uid="{00000000-0005-0000-0000-0000D4490000}"/>
    <cellStyle name="Énfasis1 19 2" xfId="18943" xr:uid="{00000000-0005-0000-0000-0000D5490000}"/>
    <cellStyle name="Énfasis1 19 2 2" xfId="18944" xr:uid="{00000000-0005-0000-0000-0000D6490000}"/>
    <cellStyle name="Énfasis1 19 3" xfId="18945" xr:uid="{00000000-0005-0000-0000-0000D7490000}"/>
    <cellStyle name="Énfasis1 19 3 2" xfId="18946" xr:uid="{00000000-0005-0000-0000-0000D8490000}"/>
    <cellStyle name="Énfasis1 19 4" xfId="18947" xr:uid="{00000000-0005-0000-0000-0000D9490000}"/>
    <cellStyle name="Énfasis1 19 4 2" xfId="18948" xr:uid="{00000000-0005-0000-0000-0000DA490000}"/>
    <cellStyle name="Énfasis1 19 5" xfId="18949" xr:uid="{00000000-0005-0000-0000-0000DB490000}"/>
    <cellStyle name="Énfasis1 19 6" xfId="18950" xr:uid="{00000000-0005-0000-0000-0000DC490000}"/>
    <cellStyle name="Énfasis1 19 7" xfId="18951" xr:uid="{00000000-0005-0000-0000-0000DD490000}"/>
    <cellStyle name="Énfasis1 19 8" xfId="18952" xr:uid="{00000000-0005-0000-0000-0000DE490000}"/>
    <cellStyle name="Énfasis1 19 9" xfId="18953" xr:uid="{00000000-0005-0000-0000-0000DF490000}"/>
    <cellStyle name="Énfasis1 2 10" xfId="18954" xr:uid="{00000000-0005-0000-0000-0000E0490000}"/>
    <cellStyle name="Énfasis1 2 11" xfId="18955" xr:uid="{00000000-0005-0000-0000-0000E1490000}"/>
    <cellStyle name="Énfasis1 2 12" xfId="18956" xr:uid="{00000000-0005-0000-0000-0000E2490000}"/>
    <cellStyle name="Énfasis1 2 13" xfId="18957" xr:uid="{00000000-0005-0000-0000-0000E3490000}"/>
    <cellStyle name="Énfasis1 2 14" xfId="18958" xr:uid="{00000000-0005-0000-0000-0000E4490000}"/>
    <cellStyle name="Énfasis1 2 15" xfId="18959" xr:uid="{00000000-0005-0000-0000-0000E5490000}"/>
    <cellStyle name="Énfasis1 2 16" xfId="18960" xr:uid="{00000000-0005-0000-0000-0000E6490000}"/>
    <cellStyle name="Énfasis1 2 17" xfId="18961" xr:uid="{00000000-0005-0000-0000-0000E7490000}"/>
    <cellStyle name="Énfasis1 2 18" xfId="18962" xr:uid="{00000000-0005-0000-0000-0000E8490000}"/>
    <cellStyle name="Énfasis1 2 19" xfId="18963" xr:uid="{00000000-0005-0000-0000-0000E9490000}"/>
    <cellStyle name="Énfasis1 2 2" xfId="18964" xr:uid="{00000000-0005-0000-0000-0000EA490000}"/>
    <cellStyle name="Énfasis1 2 2 2" xfId="18965" xr:uid="{00000000-0005-0000-0000-0000EB490000}"/>
    <cellStyle name="Énfasis1 2 3" xfId="18966" xr:uid="{00000000-0005-0000-0000-0000EC490000}"/>
    <cellStyle name="Énfasis1 2 3 2" xfId="18967" xr:uid="{00000000-0005-0000-0000-0000ED490000}"/>
    <cellStyle name="Énfasis1 2 4" xfId="18968" xr:uid="{00000000-0005-0000-0000-0000EE490000}"/>
    <cellStyle name="Énfasis1 2 4 2" xfId="18969" xr:uid="{00000000-0005-0000-0000-0000EF490000}"/>
    <cellStyle name="Énfasis1 2 5" xfId="18970" xr:uid="{00000000-0005-0000-0000-0000F0490000}"/>
    <cellStyle name="Énfasis1 2 6" xfId="18971" xr:uid="{00000000-0005-0000-0000-0000F1490000}"/>
    <cellStyle name="Énfasis1 2 7" xfId="18972" xr:uid="{00000000-0005-0000-0000-0000F2490000}"/>
    <cellStyle name="Énfasis1 2 8" xfId="18973" xr:uid="{00000000-0005-0000-0000-0000F3490000}"/>
    <cellStyle name="Énfasis1 2 9" xfId="18974" xr:uid="{00000000-0005-0000-0000-0000F4490000}"/>
    <cellStyle name="Énfasis1 20 10" xfId="18975" xr:uid="{00000000-0005-0000-0000-0000F5490000}"/>
    <cellStyle name="Énfasis1 20 11" xfId="18976" xr:uid="{00000000-0005-0000-0000-0000F6490000}"/>
    <cellStyle name="Énfasis1 20 12" xfId="18977" xr:uid="{00000000-0005-0000-0000-0000F7490000}"/>
    <cellStyle name="Énfasis1 20 13" xfId="18978" xr:uid="{00000000-0005-0000-0000-0000F8490000}"/>
    <cellStyle name="Énfasis1 20 14" xfId="18979" xr:uid="{00000000-0005-0000-0000-0000F9490000}"/>
    <cellStyle name="Énfasis1 20 15" xfId="18980" xr:uid="{00000000-0005-0000-0000-0000FA490000}"/>
    <cellStyle name="Énfasis1 20 16" xfId="18981" xr:uid="{00000000-0005-0000-0000-0000FB490000}"/>
    <cellStyle name="Énfasis1 20 17" xfId="18982" xr:uid="{00000000-0005-0000-0000-0000FC490000}"/>
    <cellStyle name="Énfasis1 20 18" xfId="18983" xr:uid="{00000000-0005-0000-0000-0000FD490000}"/>
    <cellStyle name="Énfasis1 20 19" xfId="18984" xr:uid="{00000000-0005-0000-0000-0000FE490000}"/>
    <cellStyle name="Énfasis1 20 2" xfId="18985" xr:uid="{00000000-0005-0000-0000-0000FF490000}"/>
    <cellStyle name="Énfasis1 20 2 2" xfId="18986" xr:uid="{00000000-0005-0000-0000-0000004A0000}"/>
    <cellStyle name="Énfasis1 20 3" xfId="18987" xr:uid="{00000000-0005-0000-0000-0000014A0000}"/>
    <cellStyle name="Énfasis1 20 3 2" xfId="18988" xr:uid="{00000000-0005-0000-0000-0000024A0000}"/>
    <cellStyle name="Énfasis1 20 4" xfId="18989" xr:uid="{00000000-0005-0000-0000-0000034A0000}"/>
    <cellStyle name="Énfasis1 20 4 2" xfId="18990" xr:uid="{00000000-0005-0000-0000-0000044A0000}"/>
    <cellStyle name="Énfasis1 20 5" xfId="18991" xr:uid="{00000000-0005-0000-0000-0000054A0000}"/>
    <cellStyle name="Énfasis1 20 6" xfId="18992" xr:uid="{00000000-0005-0000-0000-0000064A0000}"/>
    <cellStyle name="Énfasis1 20 7" xfId="18993" xr:uid="{00000000-0005-0000-0000-0000074A0000}"/>
    <cellStyle name="Énfasis1 20 8" xfId="18994" xr:uid="{00000000-0005-0000-0000-0000084A0000}"/>
    <cellStyle name="Énfasis1 20 9" xfId="18995" xr:uid="{00000000-0005-0000-0000-0000094A0000}"/>
    <cellStyle name="Énfasis1 21 10" xfId="18996" xr:uid="{00000000-0005-0000-0000-00000A4A0000}"/>
    <cellStyle name="Énfasis1 21 11" xfId="18997" xr:uid="{00000000-0005-0000-0000-00000B4A0000}"/>
    <cellStyle name="Énfasis1 21 12" xfId="18998" xr:uid="{00000000-0005-0000-0000-00000C4A0000}"/>
    <cellStyle name="Énfasis1 21 13" xfId="18999" xr:uid="{00000000-0005-0000-0000-00000D4A0000}"/>
    <cellStyle name="Énfasis1 21 14" xfId="19000" xr:uid="{00000000-0005-0000-0000-00000E4A0000}"/>
    <cellStyle name="Énfasis1 21 15" xfId="19001" xr:uid="{00000000-0005-0000-0000-00000F4A0000}"/>
    <cellStyle name="Énfasis1 21 16" xfId="19002" xr:uid="{00000000-0005-0000-0000-0000104A0000}"/>
    <cellStyle name="Énfasis1 21 17" xfId="19003" xr:uid="{00000000-0005-0000-0000-0000114A0000}"/>
    <cellStyle name="Énfasis1 21 18" xfId="19004" xr:uid="{00000000-0005-0000-0000-0000124A0000}"/>
    <cellStyle name="Énfasis1 21 19" xfId="19005" xr:uid="{00000000-0005-0000-0000-0000134A0000}"/>
    <cellStyle name="Énfasis1 21 2" xfId="19006" xr:uid="{00000000-0005-0000-0000-0000144A0000}"/>
    <cellStyle name="Énfasis1 21 2 2" xfId="19007" xr:uid="{00000000-0005-0000-0000-0000154A0000}"/>
    <cellStyle name="Énfasis1 21 3" xfId="19008" xr:uid="{00000000-0005-0000-0000-0000164A0000}"/>
    <cellStyle name="Énfasis1 21 3 2" xfId="19009" xr:uid="{00000000-0005-0000-0000-0000174A0000}"/>
    <cellStyle name="Énfasis1 21 4" xfId="19010" xr:uid="{00000000-0005-0000-0000-0000184A0000}"/>
    <cellStyle name="Énfasis1 21 4 2" xfId="19011" xr:uid="{00000000-0005-0000-0000-0000194A0000}"/>
    <cellStyle name="Énfasis1 21 5" xfId="19012" xr:uid="{00000000-0005-0000-0000-00001A4A0000}"/>
    <cellStyle name="Énfasis1 21 6" xfId="19013" xr:uid="{00000000-0005-0000-0000-00001B4A0000}"/>
    <cellStyle name="Énfasis1 21 7" xfId="19014" xr:uid="{00000000-0005-0000-0000-00001C4A0000}"/>
    <cellStyle name="Énfasis1 21 8" xfId="19015" xr:uid="{00000000-0005-0000-0000-00001D4A0000}"/>
    <cellStyle name="Énfasis1 21 9" xfId="19016" xr:uid="{00000000-0005-0000-0000-00001E4A0000}"/>
    <cellStyle name="Énfasis1 22 10" xfId="19017" xr:uid="{00000000-0005-0000-0000-00001F4A0000}"/>
    <cellStyle name="Énfasis1 22 11" xfId="19018" xr:uid="{00000000-0005-0000-0000-0000204A0000}"/>
    <cellStyle name="Énfasis1 22 12" xfId="19019" xr:uid="{00000000-0005-0000-0000-0000214A0000}"/>
    <cellStyle name="Énfasis1 22 13" xfId="19020" xr:uid="{00000000-0005-0000-0000-0000224A0000}"/>
    <cellStyle name="Énfasis1 22 14" xfId="19021" xr:uid="{00000000-0005-0000-0000-0000234A0000}"/>
    <cellStyle name="Énfasis1 22 15" xfId="19022" xr:uid="{00000000-0005-0000-0000-0000244A0000}"/>
    <cellStyle name="Énfasis1 22 16" xfId="19023" xr:uid="{00000000-0005-0000-0000-0000254A0000}"/>
    <cellStyle name="Énfasis1 22 17" xfId="19024" xr:uid="{00000000-0005-0000-0000-0000264A0000}"/>
    <cellStyle name="Énfasis1 22 18" xfId="19025" xr:uid="{00000000-0005-0000-0000-0000274A0000}"/>
    <cellStyle name="Énfasis1 22 19" xfId="19026" xr:uid="{00000000-0005-0000-0000-0000284A0000}"/>
    <cellStyle name="Énfasis1 22 2" xfId="19027" xr:uid="{00000000-0005-0000-0000-0000294A0000}"/>
    <cellStyle name="Énfasis1 22 2 2" xfId="19028" xr:uid="{00000000-0005-0000-0000-00002A4A0000}"/>
    <cellStyle name="Énfasis1 22 3" xfId="19029" xr:uid="{00000000-0005-0000-0000-00002B4A0000}"/>
    <cellStyle name="Énfasis1 22 3 2" xfId="19030" xr:uid="{00000000-0005-0000-0000-00002C4A0000}"/>
    <cellStyle name="Énfasis1 22 4" xfId="19031" xr:uid="{00000000-0005-0000-0000-00002D4A0000}"/>
    <cellStyle name="Énfasis1 22 4 2" xfId="19032" xr:uid="{00000000-0005-0000-0000-00002E4A0000}"/>
    <cellStyle name="Énfasis1 22 5" xfId="19033" xr:uid="{00000000-0005-0000-0000-00002F4A0000}"/>
    <cellStyle name="Énfasis1 22 6" xfId="19034" xr:uid="{00000000-0005-0000-0000-0000304A0000}"/>
    <cellStyle name="Énfasis1 22 7" xfId="19035" xr:uid="{00000000-0005-0000-0000-0000314A0000}"/>
    <cellStyle name="Énfasis1 22 8" xfId="19036" xr:uid="{00000000-0005-0000-0000-0000324A0000}"/>
    <cellStyle name="Énfasis1 22 9" xfId="19037" xr:uid="{00000000-0005-0000-0000-0000334A0000}"/>
    <cellStyle name="Énfasis1 23 10" xfId="19038" xr:uid="{00000000-0005-0000-0000-0000344A0000}"/>
    <cellStyle name="Énfasis1 23 11" xfId="19039" xr:uid="{00000000-0005-0000-0000-0000354A0000}"/>
    <cellStyle name="Énfasis1 23 12" xfId="19040" xr:uid="{00000000-0005-0000-0000-0000364A0000}"/>
    <cellStyle name="Énfasis1 23 13" xfId="19041" xr:uid="{00000000-0005-0000-0000-0000374A0000}"/>
    <cellStyle name="Énfasis1 23 14" xfId="19042" xr:uid="{00000000-0005-0000-0000-0000384A0000}"/>
    <cellStyle name="Énfasis1 23 15" xfId="19043" xr:uid="{00000000-0005-0000-0000-0000394A0000}"/>
    <cellStyle name="Énfasis1 23 16" xfId="19044" xr:uid="{00000000-0005-0000-0000-00003A4A0000}"/>
    <cellStyle name="Énfasis1 23 17" xfId="19045" xr:uid="{00000000-0005-0000-0000-00003B4A0000}"/>
    <cellStyle name="Énfasis1 23 18" xfId="19046" xr:uid="{00000000-0005-0000-0000-00003C4A0000}"/>
    <cellStyle name="Énfasis1 23 19" xfId="19047" xr:uid="{00000000-0005-0000-0000-00003D4A0000}"/>
    <cellStyle name="Énfasis1 23 2" xfId="19048" xr:uid="{00000000-0005-0000-0000-00003E4A0000}"/>
    <cellStyle name="Énfasis1 23 2 2" xfId="19049" xr:uid="{00000000-0005-0000-0000-00003F4A0000}"/>
    <cellStyle name="Énfasis1 23 3" xfId="19050" xr:uid="{00000000-0005-0000-0000-0000404A0000}"/>
    <cellStyle name="Énfasis1 23 3 2" xfId="19051" xr:uid="{00000000-0005-0000-0000-0000414A0000}"/>
    <cellStyle name="Énfasis1 23 4" xfId="19052" xr:uid="{00000000-0005-0000-0000-0000424A0000}"/>
    <cellStyle name="Énfasis1 23 4 2" xfId="19053" xr:uid="{00000000-0005-0000-0000-0000434A0000}"/>
    <cellStyle name="Énfasis1 23 5" xfId="19054" xr:uid="{00000000-0005-0000-0000-0000444A0000}"/>
    <cellStyle name="Énfasis1 23 6" xfId="19055" xr:uid="{00000000-0005-0000-0000-0000454A0000}"/>
    <cellStyle name="Énfasis1 23 7" xfId="19056" xr:uid="{00000000-0005-0000-0000-0000464A0000}"/>
    <cellStyle name="Énfasis1 23 8" xfId="19057" xr:uid="{00000000-0005-0000-0000-0000474A0000}"/>
    <cellStyle name="Énfasis1 23 9" xfId="19058" xr:uid="{00000000-0005-0000-0000-0000484A0000}"/>
    <cellStyle name="Énfasis1 24 10" xfId="19059" xr:uid="{00000000-0005-0000-0000-0000494A0000}"/>
    <cellStyle name="Énfasis1 24 11" xfId="19060" xr:uid="{00000000-0005-0000-0000-00004A4A0000}"/>
    <cellStyle name="Énfasis1 24 12" xfId="19061" xr:uid="{00000000-0005-0000-0000-00004B4A0000}"/>
    <cellStyle name="Énfasis1 24 13" xfId="19062" xr:uid="{00000000-0005-0000-0000-00004C4A0000}"/>
    <cellStyle name="Énfasis1 24 14" xfId="19063" xr:uid="{00000000-0005-0000-0000-00004D4A0000}"/>
    <cellStyle name="Énfasis1 24 15" xfId="19064" xr:uid="{00000000-0005-0000-0000-00004E4A0000}"/>
    <cellStyle name="Énfasis1 24 16" xfId="19065" xr:uid="{00000000-0005-0000-0000-00004F4A0000}"/>
    <cellStyle name="Énfasis1 24 17" xfId="19066" xr:uid="{00000000-0005-0000-0000-0000504A0000}"/>
    <cellStyle name="Énfasis1 24 18" xfId="19067" xr:uid="{00000000-0005-0000-0000-0000514A0000}"/>
    <cellStyle name="Énfasis1 24 19" xfId="19068" xr:uid="{00000000-0005-0000-0000-0000524A0000}"/>
    <cellStyle name="Énfasis1 24 2" xfId="19069" xr:uid="{00000000-0005-0000-0000-0000534A0000}"/>
    <cellStyle name="Énfasis1 24 2 2" xfId="19070" xr:uid="{00000000-0005-0000-0000-0000544A0000}"/>
    <cellStyle name="Énfasis1 24 3" xfId="19071" xr:uid="{00000000-0005-0000-0000-0000554A0000}"/>
    <cellStyle name="Énfasis1 24 3 2" xfId="19072" xr:uid="{00000000-0005-0000-0000-0000564A0000}"/>
    <cellStyle name="Énfasis1 24 4" xfId="19073" xr:uid="{00000000-0005-0000-0000-0000574A0000}"/>
    <cellStyle name="Énfasis1 24 4 2" xfId="19074" xr:uid="{00000000-0005-0000-0000-0000584A0000}"/>
    <cellStyle name="Énfasis1 24 5" xfId="19075" xr:uid="{00000000-0005-0000-0000-0000594A0000}"/>
    <cellStyle name="Énfasis1 24 6" xfId="19076" xr:uid="{00000000-0005-0000-0000-00005A4A0000}"/>
    <cellStyle name="Énfasis1 24 7" xfId="19077" xr:uid="{00000000-0005-0000-0000-00005B4A0000}"/>
    <cellStyle name="Énfasis1 24 8" xfId="19078" xr:uid="{00000000-0005-0000-0000-00005C4A0000}"/>
    <cellStyle name="Énfasis1 24 9" xfId="19079" xr:uid="{00000000-0005-0000-0000-00005D4A0000}"/>
    <cellStyle name="Énfasis1 25 10" xfId="19080" xr:uid="{00000000-0005-0000-0000-00005E4A0000}"/>
    <cellStyle name="Énfasis1 25 11" xfId="19081" xr:uid="{00000000-0005-0000-0000-00005F4A0000}"/>
    <cellStyle name="Énfasis1 25 12" xfId="19082" xr:uid="{00000000-0005-0000-0000-0000604A0000}"/>
    <cellStyle name="Énfasis1 25 13" xfId="19083" xr:uid="{00000000-0005-0000-0000-0000614A0000}"/>
    <cellStyle name="Énfasis1 25 14" xfId="19084" xr:uid="{00000000-0005-0000-0000-0000624A0000}"/>
    <cellStyle name="Énfasis1 25 15" xfId="19085" xr:uid="{00000000-0005-0000-0000-0000634A0000}"/>
    <cellStyle name="Énfasis1 25 16" xfId="19086" xr:uid="{00000000-0005-0000-0000-0000644A0000}"/>
    <cellStyle name="Énfasis1 25 17" xfId="19087" xr:uid="{00000000-0005-0000-0000-0000654A0000}"/>
    <cellStyle name="Énfasis1 25 18" xfId="19088" xr:uid="{00000000-0005-0000-0000-0000664A0000}"/>
    <cellStyle name="Énfasis1 25 19" xfId="19089" xr:uid="{00000000-0005-0000-0000-0000674A0000}"/>
    <cellStyle name="Énfasis1 25 2" xfId="19090" xr:uid="{00000000-0005-0000-0000-0000684A0000}"/>
    <cellStyle name="Énfasis1 25 2 2" xfId="19091" xr:uid="{00000000-0005-0000-0000-0000694A0000}"/>
    <cellStyle name="Énfasis1 25 3" xfId="19092" xr:uid="{00000000-0005-0000-0000-00006A4A0000}"/>
    <cellStyle name="Énfasis1 25 3 2" xfId="19093" xr:uid="{00000000-0005-0000-0000-00006B4A0000}"/>
    <cellStyle name="Énfasis1 25 4" xfId="19094" xr:uid="{00000000-0005-0000-0000-00006C4A0000}"/>
    <cellStyle name="Énfasis1 25 4 2" xfId="19095" xr:uid="{00000000-0005-0000-0000-00006D4A0000}"/>
    <cellStyle name="Énfasis1 25 5" xfId="19096" xr:uid="{00000000-0005-0000-0000-00006E4A0000}"/>
    <cellStyle name="Énfasis1 25 6" xfId="19097" xr:uid="{00000000-0005-0000-0000-00006F4A0000}"/>
    <cellStyle name="Énfasis1 25 7" xfId="19098" xr:uid="{00000000-0005-0000-0000-0000704A0000}"/>
    <cellStyle name="Énfasis1 25 8" xfId="19099" xr:uid="{00000000-0005-0000-0000-0000714A0000}"/>
    <cellStyle name="Énfasis1 25 9" xfId="19100" xr:uid="{00000000-0005-0000-0000-0000724A0000}"/>
    <cellStyle name="Énfasis1 26 10" xfId="19101" xr:uid="{00000000-0005-0000-0000-0000734A0000}"/>
    <cellStyle name="Énfasis1 26 11" xfId="19102" xr:uid="{00000000-0005-0000-0000-0000744A0000}"/>
    <cellStyle name="Énfasis1 26 12" xfId="19103" xr:uid="{00000000-0005-0000-0000-0000754A0000}"/>
    <cellStyle name="Énfasis1 26 13" xfId="19104" xr:uid="{00000000-0005-0000-0000-0000764A0000}"/>
    <cellStyle name="Énfasis1 26 14" xfId="19105" xr:uid="{00000000-0005-0000-0000-0000774A0000}"/>
    <cellStyle name="Énfasis1 26 15" xfId="19106" xr:uid="{00000000-0005-0000-0000-0000784A0000}"/>
    <cellStyle name="Énfasis1 26 16" xfId="19107" xr:uid="{00000000-0005-0000-0000-0000794A0000}"/>
    <cellStyle name="Énfasis1 26 17" xfId="19108" xr:uid="{00000000-0005-0000-0000-00007A4A0000}"/>
    <cellStyle name="Énfasis1 26 18" xfId="19109" xr:uid="{00000000-0005-0000-0000-00007B4A0000}"/>
    <cellStyle name="Énfasis1 26 19" xfId="19110" xr:uid="{00000000-0005-0000-0000-00007C4A0000}"/>
    <cellStyle name="Énfasis1 26 2" xfId="19111" xr:uid="{00000000-0005-0000-0000-00007D4A0000}"/>
    <cellStyle name="Énfasis1 26 2 2" xfId="19112" xr:uid="{00000000-0005-0000-0000-00007E4A0000}"/>
    <cellStyle name="Énfasis1 26 3" xfId="19113" xr:uid="{00000000-0005-0000-0000-00007F4A0000}"/>
    <cellStyle name="Énfasis1 26 3 2" xfId="19114" xr:uid="{00000000-0005-0000-0000-0000804A0000}"/>
    <cellStyle name="Énfasis1 26 4" xfId="19115" xr:uid="{00000000-0005-0000-0000-0000814A0000}"/>
    <cellStyle name="Énfasis1 26 4 2" xfId="19116" xr:uid="{00000000-0005-0000-0000-0000824A0000}"/>
    <cellStyle name="Énfasis1 26 5" xfId="19117" xr:uid="{00000000-0005-0000-0000-0000834A0000}"/>
    <cellStyle name="Énfasis1 26 6" xfId="19118" xr:uid="{00000000-0005-0000-0000-0000844A0000}"/>
    <cellStyle name="Énfasis1 26 7" xfId="19119" xr:uid="{00000000-0005-0000-0000-0000854A0000}"/>
    <cellStyle name="Énfasis1 26 8" xfId="19120" xr:uid="{00000000-0005-0000-0000-0000864A0000}"/>
    <cellStyle name="Énfasis1 26 9" xfId="19121" xr:uid="{00000000-0005-0000-0000-0000874A0000}"/>
    <cellStyle name="Énfasis1 27 10" xfId="19122" xr:uid="{00000000-0005-0000-0000-0000884A0000}"/>
    <cellStyle name="Énfasis1 27 11" xfId="19123" xr:uid="{00000000-0005-0000-0000-0000894A0000}"/>
    <cellStyle name="Énfasis1 27 12" xfId="19124" xr:uid="{00000000-0005-0000-0000-00008A4A0000}"/>
    <cellStyle name="Énfasis1 27 13" xfId="19125" xr:uid="{00000000-0005-0000-0000-00008B4A0000}"/>
    <cellStyle name="Énfasis1 27 14" xfId="19126" xr:uid="{00000000-0005-0000-0000-00008C4A0000}"/>
    <cellStyle name="Énfasis1 27 15" xfId="19127" xr:uid="{00000000-0005-0000-0000-00008D4A0000}"/>
    <cellStyle name="Énfasis1 27 16" xfId="19128" xr:uid="{00000000-0005-0000-0000-00008E4A0000}"/>
    <cellStyle name="Énfasis1 27 17" xfId="19129" xr:uid="{00000000-0005-0000-0000-00008F4A0000}"/>
    <cellStyle name="Énfasis1 27 18" xfId="19130" xr:uid="{00000000-0005-0000-0000-0000904A0000}"/>
    <cellStyle name="Énfasis1 27 19" xfId="19131" xr:uid="{00000000-0005-0000-0000-0000914A0000}"/>
    <cellStyle name="Énfasis1 27 2" xfId="19132" xr:uid="{00000000-0005-0000-0000-0000924A0000}"/>
    <cellStyle name="Énfasis1 27 2 2" xfId="19133" xr:uid="{00000000-0005-0000-0000-0000934A0000}"/>
    <cellStyle name="Énfasis1 27 3" xfId="19134" xr:uid="{00000000-0005-0000-0000-0000944A0000}"/>
    <cellStyle name="Énfasis1 27 3 2" xfId="19135" xr:uid="{00000000-0005-0000-0000-0000954A0000}"/>
    <cellStyle name="Énfasis1 27 4" xfId="19136" xr:uid="{00000000-0005-0000-0000-0000964A0000}"/>
    <cellStyle name="Énfasis1 27 4 2" xfId="19137" xr:uid="{00000000-0005-0000-0000-0000974A0000}"/>
    <cellStyle name="Énfasis1 27 5" xfId="19138" xr:uid="{00000000-0005-0000-0000-0000984A0000}"/>
    <cellStyle name="Énfasis1 27 6" xfId="19139" xr:uid="{00000000-0005-0000-0000-0000994A0000}"/>
    <cellStyle name="Énfasis1 27 7" xfId="19140" xr:uid="{00000000-0005-0000-0000-00009A4A0000}"/>
    <cellStyle name="Énfasis1 27 8" xfId="19141" xr:uid="{00000000-0005-0000-0000-00009B4A0000}"/>
    <cellStyle name="Énfasis1 27 9" xfId="19142" xr:uid="{00000000-0005-0000-0000-00009C4A0000}"/>
    <cellStyle name="Énfasis1 28 10" xfId="19143" xr:uid="{00000000-0005-0000-0000-00009D4A0000}"/>
    <cellStyle name="Énfasis1 28 11" xfId="19144" xr:uid="{00000000-0005-0000-0000-00009E4A0000}"/>
    <cellStyle name="Énfasis1 28 12" xfId="19145" xr:uid="{00000000-0005-0000-0000-00009F4A0000}"/>
    <cellStyle name="Énfasis1 28 13" xfId="19146" xr:uid="{00000000-0005-0000-0000-0000A04A0000}"/>
    <cellStyle name="Énfasis1 28 14" xfId="19147" xr:uid="{00000000-0005-0000-0000-0000A14A0000}"/>
    <cellStyle name="Énfasis1 28 15" xfId="19148" xr:uid="{00000000-0005-0000-0000-0000A24A0000}"/>
    <cellStyle name="Énfasis1 28 16" xfId="19149" xr:uid="{00000000-0005-0000-0000-0000A34A0000}"/>
    <cellStyle name="Énfasis1 28 17" xfId="19150" xr:uid="{00000000-0005-0000-0000-0000A44A0000}"/>
    <cellStyle name="Énfasis1 28 18" xfId="19151" xr:uid="{00000000-0005-0000-0000-0000A54A0000}"/>
    <cellStyle name="Énfasis1 28 19" xfId="19152" xr:uid="{00000000-0005-0000-0000-0000A64A0000}"/>
    <cellStyle name="Énfasis1 28 2" xfId="19153" xr:uid="{00000000-0005-0000-0000-0000A74A0000}"/>
    <cellStyle name="Énfasis1 28 2 2" xfId="19154" xr:uid="{00000000-0005-0000-0000-0000A84A0000}"/>
    <cellStyle name="Énfasis1 28 3" xfId="19155" xr:uid="{00000000-0005-0000-0000-0000A94A0000}"/>
    <cellStyle name="Énfasis1 28 3 2" xfId="19156" xr:uid="{00000000-0005-0000-0000-0000AA4A0000}"/>
    <cellStyle name="Énfasis1 28 4" xfId="19157" xr:uid="{00000000-0005-0000-0000-0000AB4A0000}"/>
    <cellStyle name="Énfasis1 28 4 2" xfId="19158" xr:uid="{00000000-0005-0000-0000-0000AC4A0000}"/>
    <cellStyle name="Énfasis1 28 5" xfId="19159" xr:uid="{00000000-0005-0000-0000-0000AD4A0000}"/>
    <cellStyle name="Énfasis1 28 6" xfId="19160" xr:uid="{00000000-0005-0000-0000-0000AE4A0000}"/>
    <cellStyle name="Énfasis1 28 7" xfId="19161" xr:uid="{00000000-0005-0000-0000-0000AF4A0000}"/>
    <cellStyle name="Énfasis1 28 8" xfId="19162" xr:uid="{00000000-0005-0000-0000-0000B04A0000}"/>
    <cellStyle name="Énfasis1 28 9" xfId="19163" xr:uid="{00000000-0005-0000-0000-0000B14A0000}"/>
    <cellStyle name="Énfasis1 29 10" xfId="19164" xr:uid="{00000000-0005-0000-0000-0000B24A0000}"/>
    <cellStyle name="Énfasis1 29 11" xfId="19165" xr:uid="{00000000-0005-0000-0000-0000B34A0000}"/>
    <cellStyle name="Énfasis1 29 12" xfId="19166" xr:uid="{00000000-0005-0000-0000-0000B44A0000}"/>
    <cellStyle name="Énfasis1 29 13" xfId="19167" xr:uid="{00000000-0005-0000-0000-0000B54A0000}"/>
    <cellStyle name="Énfasis1 29 14" xfId="19168" xr:uid="{00000000-0005-0000-0000-0000B64A0000}"/>
    <cellStyle name="Énfasis1 29 15" xfId="19169" xr:uid="{00000000-0005-0000-0000-0000B74A0000}"/>
    <cellStyle name="Énfasis1 29 16" xfId="19170" xr:uid="{00000000-0005-0000-0000-0000B84A0000}"/>
    <cellStyle name="Énfasis1 29 17" xfId="19171" xr:uid="{00000000-0005-0000-0000-0000B94A0000}"/>
    <cellStyle name="Énfasis1 29 18" xfId="19172" xr:uid="{00000000-0005-0000-0000-0000BA4A0000}"/>
    <cellStyle name="Énfasis1 29 19" xfId="19173" xr:uid="{00000000-0005-0000-0000-0000BB4A0000}"/>
    <cellStyle name="Énfasis1 29 2" xfId="19174" xr:uid="{00000000-0005-0000-0000-0000BC4A0000}"/>
    <cellStyle name="Énfasis1 29 2 2" xfId="19175" xr:uid="{00000000-0005-0000-0000-0000BD4A0000}"/>
    <cellStyle name="Énfasis1 29 3" xfId="19176" xr:uid="{00000000-0005-0000-0000-0000BE4A0000}"/>
    <cellStyle name="Énfasis1 29 3 2" xfId="19177" xr:uid="{00000000-0005-0000-0000-0000BF4A0000}"/>
    <cellStyle name="Énfasis1 29 4" xfId="19178" xr:uid="{00000000-0005-0000-0000-0000C04A0000}"/>
    <cellStyle name="Énfasis1 29 4 2" xfId="19179" xr:uid="{00000000-0005-0000-0000-0000C14A0000}"/>
    <cellStyle name="Énfasis1 29 5" xfId="19180" xr:uid="{00000000-0005-0000-0000-0000C24A0000}"/>
    <cellStyle name="Énfasis1 29 6" xfId="19181" xr:uid="{00000000-0005-0000-0000-0000C34A0000}"/>
    <cellStyle name="Énfasis1 29 7" xfId="19182" xr:uid="{00000000-0005-0000-0000-0000C44A0000}"/>
    <cellStyle name="Énfasis1 29 8" xfId="19183" xr:uid="{00000000-0005-0000-0000-0000C54A0000}"/>
    <cellStyle name="Énfasis1 29 9" xfId="19184" xr:uid="{00000000-0005-0000-0000-0000C64A0000}"/>
    <cellStyle name="Énfasis1 3 10" xfId="19185" xr:uid="{00000000-0005-0000-0000-0000C74A0000}"/>
    <cellStyle name="Énfasis1 3 11" xfId="19186" xr:uid="{00000000-0005-0000-0000-0000C84A0000}"/>
    <cellStyle name="Énfasis1 3 12" xfId="19187" xr:uid="{00000000-0005-0000-0000-0000C94A0000}"/>
    <cellStyle name="Énfasis1 3 13" xfId="19188" xr:uid="{00000000-0005-0000-0000-0000CA4A0000}"/>
    <cellStyle name="Énfasis1 3 14" xfId="19189" xr:uid="{00000000-0005-0000-0000-0000CB4A0000}"/>
    <cellStyle name="Énfasis1 3 15" xfId="19190" xr:uid="{00000000-0005-0000-0000-0000CC4A0000}"/>
    <cellStyle name="Énfasis1 3 16" xfId="19191" xr:uid="{00000000-0005-0000-0000-0000CD4A0000}"/>
    <cellStyle name="Énfasis1 3 17" xfId="19192" xr:uid="{00000000-0005-0000-0000-0000CE4A0000}"/>
    <cellStyle name="Énfasis1 3 18" xfId="19193" xr:uid="{00000000-0005-0000-0000-0000CF4A0000}"/>
    <cellStyle name="Énfasis1 3 19" xfId="19194" xr:uid="{00000000-0005-0000-0000-0000D04A0000}"/>
    <cellStyle name="Énfasis1 3 2" xfId="19195" xr:uid="{00000000-0005-0000-0000-0000D14A0000}"/>
    <cellStyle name="Énfasis1 3 2 2" xfId="19196" xr:uid="{00000000-0005-0000-0000-0000D24A0000}"/>
    <cellStyle name="Énfasis1 3 3" xfId="19197" xr:uid="{00000000-0005-0000-0000-0000D34A0000}"/>
    <cellStyle name="Énfasis1 3 3 2" xfId="19198" xr:uid="{00000000-0005-0000-0000-0000D44A0000}"/>
    <cellStyle name="Énfasis1 3 4" xfId="19199" xr:uid="{00000000-0005-0000-0000-0000D54A0000}"/>
    <cellStyle name="Énfasis1 3 4 2" xfId="19200" xr:uid="{00000000-0005-0000-0000-0000D64A0000}"/>
    <cellStyle name="Énfasis1 3 5" xfId="19201" xr:uid="{00000000-0005-0000-0000-0000D74A0000}"/>
    <cellStyle name="Énfasis1 3 6" xfId="19202" xr:uid="{00000000-0005-0000-0000-0000D84A0000}"/>
    <cellStyle name="Énfasis1 3 7" xfId="19203" xr:uid="{00000000-0005-0000-0000-0000D94A0000}"/>
    <cellStyle name="Énfasis1 3 8" xfId="19204" xr:uid="{00000000-0005-0000-0000-0000DA4A0000}"/>
    <cellStyle name="Énfasis1 3 9" xfId="19205" xr:uid="{00000000-0005-0000-0000-0000DB4A0000}"/>
    <cellStyle name="Énfasis1 30 10" xfId="19206" xr:uid="{00000000-0005-0000-0000-0000DC4A0000}"/>
    <cellStyle name="Énfasis1 30 11" xfId="19207" xr:uid="{00000000-0005-0000-0000-0000DD4A0000}"/>
    <cellStyle name="Énfasis1 30 12" xfId="19208" xr:uid="{00000000-0005-0000-0000-0000DE4A0000}"/>
    <cellStyle name="Énfasis1 30 13" xfId="19209" xr:uid="{00000000-0005-0000-0000-0000DF4A0000}"/>
    <cellStyle name="Énfasis1 30 14" xfId="19210" xr:uid="{00000000-0005-0000-0000-0000E04A0000}"/>
    <cellStyle name="Énfasis1 30 15" xfId="19211" xr:uid="{00000000-0005-0000-0000-0000E14A0000}"/>
    <cellStyle name="Énfasis1 30 16" xfId="19212" xr:uid="{00000000-0005-0000-0000-0000E24A0000}"/>
    <cellStyle name="Énfasis1 30 17" xfId="19213" xr:uid="{00000000-0005-0000-0000-0000E34A0000}"/>
    <cellStyle name="Énfasis1 30 18" xfId="19214" xr:uid="{00000000-0005-0000-0000-0000E44A0000}"/>
    <cellStyle name="Énfasis1 30 19" xfId="19215" xr:uid="{00000000-0005-0000-0000-0000E54A0000}"/>
    <cellStyle name="Énfasis1 30 2" xfId="19216" xr:uid="{00000000-0005-0000-0000-0000E64A0000}"/>
    <cellStyle name="Énfasis1 30 2 2" xfId="19217" xr:uid="{00000000-0005-0000-0000-0000E74A0000}"/>
    <cellStyle name="Énfasis1 30 3" xfId="19218" xr:uid="{00000000-0005-0000-0000-0000E84A0000}"/>
    <cellStyle name="Énfasis1 30 3 2" xfId="19219" xr:uid="{00000000-0005-0000-0000-0000E94A0000}"/>
    <cellStyle name="Énfasis1 30 4" xfId="19220" xr:uid="{00000000-0005-0000-0000-0000EA4A0000}"/>
    <cellStyle name="Énfasis1 30 4 2" xfId="19221" xr:uid="{00000000-0005-0000-0000-0000EB4A0000}"/>
    <cellStyle name="Énfasis1 30 5" xfId="19222" xr:uid="{00000000-0005-0000-0000-0000EC4A0000}"/>
    <cellStyle name="Énfasis1 30 6" xfId="19223" xr:uid="{00000000-0005-0000-0000-0000ED4A0000}"/>
    <cellStyle name="Énfasis1 30 7" xfId="19224" xr:uid="{00000000-0005-0000-0000-0000EE4A0000}"/>
    <cellStyle name="Énfasis1 30 8" xfId="19225" xr:uid="{00000000-0005-0000-0000-0000EF4A0000}"/>
    <cellStyle name="Énfasis1 30 9" xfId="19226" xr:uid="{00000000-0005-0000-0000-0000F04A0000}"/>
    <cellStyle name="Énfasis1 31 10" xfId="19227" xr:uid="{00000000-0005-0000-0000-0000F14A0000}"/>
    <cellStyle name="Énfasis1 31 11" xfId="19228" xr:uid="{00000000-0005-0000-0000-0000F24A0000}"/>
    <cellStyle name="Énfasis1 31 12" xfId="19229" xr:uid="{00000000-0005-0000-0000-0000F34A0000}"/>
    <cellStyle name="Énfasis1 31 13" xfId="19230" xr:uid="{00000000-0005-0000-0000-0000F44A0000}"/>
    <cellStyle name="Énfasis1 31 14" xfId="19231" xr:uid="{00000000-0005-0000-0000-0000F54A0000}"/>
    <cellStyle name="Énfasis1 31 15" xfId="19232" xr:uid="{00000000-0005-0000-0000-0000F64A0000}"/>
    <cellStyle name="Énfasis1 31 16" xfId="19233" xr:uid="{00000000-0005-0000-0000-0000F74A0000}"/>
    <cellStyle name="Énfasis1 31 17" xfId="19234" xr:uid="{00000000-0005-0000-0000-0000F84A0000}"/>
    <cellStyle name="Énfasis1 31 18" xfId="19235" xr:uid="{00000000-0005-0000-0000-0000F94A0000}"/>
    <cellStyle name="Énfasis1 31 19" xfId="19236" xr:uid="{00000000-0005-0000-0000-0000FA4A0000}"/>
    <cellStyle name="Énfasis1 31 2" xfId="19237" xr:uid="{00000000-0005-0000-0000-0000FB4A0000}"/>
    <cellStyle name="Énfasis1 31 2 2" xfId="19238" xr:uid="{00000000-0005-0000-0000-0000FC4A0000}"/>
    <cellStyle name="Énfasis1 31 3" xfId="19239" xr:uid="{00000000-0005-0000-0000-0000FD4A0000}"/>
    <cellStyle name="Énfasis1 31 3 2" xfId="19240" xr:uid="{00000000-0005-0000-0000-0000FE4A0000}"/>
    <cellStyle name="Énfasis1 31 4" xfId="19241" xr:uid="{00000000-0005-0000-0000-0000FF4A0000}"/>
    <cellStyle name="Énfasis1 31 4 2" xfId="19242" xr:uid="{00000000-0005-0000-0000-0000004B0000}"/>
    <cellStyle name="Énfasis1 31 5" xfId="19243" xr:uid="{00000000-0005-0000-0000-0000014B0000}"/>
    <cellStyle name="Énfasis1 31 6" xfId="19244" xr:uid="{00000000-0005-0000-0000-0000024B0000}"/>
    <cellStyle name="Énfasis1 31 7" xfId="19245" xr:uid="{00000000-0005-0000-0000-0000034B0000}"/>
    <cellStyle name="Énfasis1 31 8" xfId="19246" xr:uid="{00000000-0005-0000-0000-0000044B0000}"/>
    <cellStyle name="Énfasis1 31 9" xfId="19247" xr:uid="{00000000-0005-0000-0000-0000054B0000}"/>
    <cellStyle name="Énfasis1 32 10" xfId="19248" xr:uid="{00000000-0005-0000-0000-0000064B0000}"/>
    <cellStyle name="Énfasis1 32 11" xfId="19249" xr:uid="{00000000-0005-0000-0000-0000074B0000}"/>
    <cellStyle name="Énfasis1 32 12" xfId="19250" xr:uid="{00000000-0005-0000-0000-0000084B0000}"/>
    <cellStyle name="Énfasis1 32 13" xfId="19251" xr:uid="{00000000-0005-0000-0000-0000094B0000}"/>
    <cellStyle name="Énfasis1 32 14" xfId="19252" xr:uid="{00000000-0005-0000-0000-00000A4B0000}"/>
    <cellStyle name="Énfasis1 32 15" xfId="19253" xr:uid="{00000000-0005-0000-0000-00000B4B0000}"/>
    <cellStyle name="Énfasis1 32 16" xfId="19254" xr:uid="{00000000-0005-0000-0000-00000C4B0000}"/>
    <cellStyle name="Énfasis1 32 17" xfId="19255" xr:uid="{00000000-0005-0000-0000-00000D4B0000}"/>
    <cellStyle name="Énfasis1 32 18" xfId="19256" xr:uid="{00000000-0005-0000-0000-00000E4B0000}"/>
    <cellStyle name="Énfasis1 32 19" xfId="19257" xr:uid="{00000000-0005-0000-0000-00000F4B0000}"/>
    <cellStyle name="Énfasis1 32 2" xfId="19258" xr:uid="{00000000-0005-0000-0000-0000104B0000}"/>
    <cellStyle name="Énfasis1 32 2 2" xfId="19259" xr:uid="{00000000-0005-0000-0000-0000114B0000}"/>
    <cellStyle name="Énfasis1 32 3" xfId="19260" xr:uid="{00000000-0005-0000-0000-0000124B0000}"/>
    <cellStyle name="Énfasis1 32 3 2" xfId="19261" xr:uid="{00000000-0005-0000-0000-0000134B0000}"/>
    <cellStyle name="Énfasis1 32 4" xfId="19262" xr:uid="{00000000-0005-0000-0000-0000144B0000}"/>
    <cellStyle name="Énfasis1 32 4 2" xfId="19263" xr:uid="{00000000-0005-0000-0000-0000154B0000}"/>
    <cellStyle name="Énfasis1 32 5" xfId="19264" xr:uid="{00000000-0005-0000-0000-0000164B0000}"/>
    <cellStyle name="Énfasis1 32 6" xfId="19265" xr:uid="{00000000-0005-0000-0000-0000174B0000}"/>
    <cellStyle name="Énfasis1 32 7" xfId="19266" xr:uid="{00000000-0005-0000-0000-0000184B0000}"/>
    <cellStyle name="Énfasis1 32 8" xfId="19267" xr:uid="{00000000-0005-0000-0000-0000194B0000}"/>
    <cellStyle name="Énfasis1 32 9" xfId="19268" xr:uid="{00000000-0005-0000-0000-00001A4B0000}"/>
    <cellStyle name="Énfasis1 33 10" xfId="19269" xr:uid="{00000000-0005-0000-0000-00001B4B0000}"/>
    <cellStyle name="Énfasis1 33 11" xfId="19270" xr:uid="{00000000-0005-0000-0000-00001C4B0000}"/>
    <cellStyle name="Énfasis1 33 12" xfId="19271" xr:uid="{00000000-0005-0000-0000-00001D4B0000}"/>
    <cellStyle name="Énfasis1 33 13" xfId="19272" xr:uid="{00000000-0005-0000-0000-00001E4B0000}"/>
    <cellStyle name="Énfasis1 33 14" xfId="19273" xr:uid="{00000000-0005-0000-0000-00001F4B0000}"/>
    <cellStyle name="Énfasis1 33 15" xfId="19274" xr:uid="{00000000-0005-0000-0000-0000204B0000}"/>
    <cellStyle name="Énfasis1 33 16" xfId="19275" xr:uid="{00000000-0005-0000-0000-0000214B0000}"/>
    <cellStyle name="Énfasis1 33 17" xfId="19276" xr:uid="{00000000-0005-0000-0000-0000224B0000}"/>
    <cellStyle name="Énfasis1 33 18" xfId="19277" xr:uid="{00000000-0005-0000-0000-0000234B0000}"/>
    <cellStyle name="Énfasis1 33 19" xfId="19278" xr:uid="{00000000-0005-0000-0000-0000244B0000}"/>
    <cellStyle name="Énfasis1 33 2" xfId="19279" xr:uid="{00000000-0005-0000-0000-0000254B0000}"/>
    <cellStyle name="Énfasis1 33 2 2" xfId="19280" xr:uid="{00000000-0005-0000-0000-0000264B0000}"/>
    <cellStyle name="Énfasis1 33 3" xfId="19281" xr:uid="{00000000-0005-0000-0000-0000274B0000}"/>
    <cellStyle name="Énfasis1 33 3 2" xfId="19282" xr:uid="{00000000-0005-0000-0000-0000284B0000}"/>
    <cellStyle name="Énfasis1 33 4" xfId="19283" xr:uid="{00000000-0005-0000-0000-0000294B0000}"/>
    <cellStyle name="Énfasis1 33 4 2" xfId="19284" xr:uid="{00000000-0005-0000-0000-00002A4B0000}"/>
    <cellStyle name="Énfasis1 33 5" xfId="19285" xr:uid="{00000000-0005-0000-0000-00002B4B0000}"/>
    <cellStyle name="Énfasis1 33 6" xfId="19286" xr:uid="{00000000-0005-0000-0000-00002C4B0000}"/>
    <cellStyle name="Énfasis1 33 7" xfId="19287" xr:uid="{00000000-0005-0000-0000-00002D4B0000}"/>
    <cellStyle name="Énfasis1 33 8" xfId="19288" xr:uid="{00000000-0005-0000-0000-00002E4B0000}"/>
    <cellStyle name="Énfasis1 33 9" xfId="19289" xr:uid="{00000000-0005-0000-0000-00002F4B0000}"/>
    <cellStyle name="Énfasis1 34 10" xfId="19290" xr:uid="{00000000-0005-0000-0000-0000304B0000}"/>
    <cellStyle name="Énfasis1 34 11" xfId="19291" xr:uid="{00000000-0005-0000-0000-0000314B0000}"/>
    <cellStyle name="Énfasis1 34 12" xfId="19292" xr:uid="{00000000-0005-0000-0000-0000324B0000}"/>
    <cellStyle name="Énfasis1 34 13" xfId="19293" xr:uid="{00000000-0005-0000-0000-0000334B0000}"/>
    <cellStyle name="Énfasis1 34 14" xfId="19294" xr:uid="{00000000-0005-0000-0000-0000344B0000}"/>
    <cellStyle name="Énfasis1 34 15" xfId="19295" xr:uid="{00000000-0005-0000-0000-0000354B0000}"/>
    <cellStyle name="Énfasis1 34 16" xfId="19296" xr:uid="{00000000-0005-0000-0000-0000364B0000}"/>
    <cellStyle name="Énfasis1 34 17" xfId="19297" xr:uid="{00000000-0005-0000-0000-0000374B0000}"/>
    <cellStyle name="Énfasis1 34 18" xfId="19298" xr:uid="{00000000-0005-0000-0000-0000384B0000}"/>
    <cellStyle name="Énfasis1 34 19" xfId="19299" xr:uid="{00000000-0005-0000-0000-0000394B0000}"/>
    <cellStyle name="Énfasis1 34 2" xfId="19300" xr:uid="{00000000-0005-0000-0000-00003A4B0000}"/>
    <cellStyle name="Énfasis1 34 2 2" xfId="19301" xr:uid="{00000000-0005-0000-0000-00003B4B0000}"/>
    <cellStyle name="Énfasis1 34 3" xfId="19302" xr:uid="{00000000-0005-0000-0000-00003C4B0000}"/>
    <cellStyle name="Énfasis1 34 3 2" xfId="19303" xr:uid="{00000000-0005-0000-0000-00003D4B0000}"/>
    <cellStyle name="Énfasis1 34 4" xfId="19304" xr:uid="{00000000-0005-0000-0000-00003E4B0000}"/>
    <cellStyle name="Énfasis1 34 4 2" xfId="19305" xr:uid="{00000000-0005-0000-0000-00003F4B0000}"/>
    <cellStyle name="Énfasis1 34 5" xfId="19306" xr:uid="{00000000-0005-0000-0000-0000404B0000}"/>
    <cellStyle name="Énfasis1 34 6" xfId="19307" xr:uid="{00000000-0005-0000-0000-0000414B0000}"/>
    <cellStyle name="Énfasis1 34 7" xfId="19308" xr:uid="{00000000-0005-0000-0000-0000424B0000}"/>
    <cellStyle name="Énfasis1 34 8" xfId="19309" xr:uid="{00000000-0005-0000-0000-0000434B0000}"/>
    <cellStyle name="Énfasis1 34 9" xfId="19310" xr:uid="{00000000-0005-0000-0000-0000444B0000}"/>
    <cellStyle name="Énfasis1 35 10" xfId="19311" xr:uid="{00000000-0005-0000-0000-0000454B0000}"/>
    <cellStyle name="Énfasis1 35 11" xfId="19312" xr:uid="{00000000-0005-0000-0000-0000464B0000}"/>
    <cellStyle name="Énfasis1 35 12" xfId="19313" xr:uid="{00000000-0005-0000-0000-0000474B0000}"/>
    <cellStyle name="Énfasis1 35 13" xfId="19314" xr:uid="{00000000-0005-0000-0000-0000484B0000}"/>
    <cellStyle name="Énfasis1 35 14" xfId="19315" xr:uid="{00000000-0005-0000-0000-0000494B0000}"/>
    <cellStyle name="Énfasis1 35 15" xfId="19316" xr:uid="{00000000-0005-0000-0000-00004A4B0000}"/>
    <cellStyle name="Énfasis1 35 16" xfId="19317" xr:uid="{00000000-0005-0000-0000-00004B4B0000}"/>
    <cellStyle name="Énfasis1 35 17" xfId="19318" xr:uid="{00000000-0005-0000-0000-00004C4B0000}"/>
    <cellStyle name="Énfasis1 35 18" xfId="19319" xr:uid="{00000000-0005-0000-0000-00004D4B0000}"/>
    <cellStyle name="Énfasis1 35 19" xfId="19320" xr:uid="{00000000-0005-0000-0000-00004E4B0000}"/>
    <cellStyle name="Énfasis1 35 2" xfId="19321" xr:uid="{00000000-0005-0000-0000-00004F4B0000}"/>
    <cellStyle name="Énfasis1 35 2 2" xfId="19322" xr:uid="{00000000-0005-0000-0000-0000504B0000}"/>
    <cellStyle name="Énfasis1 35 3" xfId="19323" xr:uid="{00000000-0005-0000-0000-0000514B0000}"/>
    <cellStyle name="Énfasis1 35 3 2" xfId="19324" xr:uid="{00000000-0005-0000-0000-0000524B0000}"/>
    <cellStyle name="Énfasis1 35 4" xfId="19325" xr:uid="{00000000-0005-0000-0000-0000534B0000}"/>
    <cellStyle name="Énfasis1 35 4 2" xfId="19326" xr:uid="{00000000-0005-0000-0000-0000544B0000}"/>
    <cellStyle name="Énfasis1 35 5" xfId="19327" xr:uid="{00000000-0005-0000-0000-0000554B0000}"/>
    <cellStyle name="Énfasis1 35 6" xfId="19328" xr:uid="{00000000-0005-0000-0000-0000564B0000}"/>
    <cellStyle name="Énfasis1 35 7" xfId="19329" xr:uid="{00000000-0005-0000-0000-0000574B0000}"/>
    <cellStyle name="Énfasis1 35 8" xfId="19330" xr:uid="{00000000-0005-0000-0000-0000584B0000}"/>
    <cellStyle name="Énfasis1 35 9" xfId="19331" xr:uid="{00000000-0005-0000-0000-0000594B0000}"/>
    <cellStyle name="Énfasis1 36 10" xfId="19332" xr:uid="{00000000-0005-0000-0000-00005A4B0000}"/>
    <cellStyle name="Énfasis1 36 11" xfId="19333" xr:uid="{00000000-0005-0000-0000-00005B4B0000}"/>
    <cellStyle name="Énfasis1 36 12" xfId="19334" xr:uid="{00000000-0005-0000-0000-00005C4B0000}"/>
    <cellStyle name="Énfasis1 36 13" xfId="19335" xr:uid="{00000000-0005-0000-0000-00005D4B0000}"/>
    <cellStyle name="Énfasis1 36 14" xfId="19336" xr:uid="{00000000-0005-0000-0000-00005E4B0000}"/>
    <cellStyle name="Énfasis1 36 15" xfId="19337" xr:uid="{00000000-0005-0000-0000-00005F4B0000}"/>
    <cellStyle name="Énfasis1 36 16" xfId="19338" xr:uid="{00000000-0005-0000-0000-0000604B0000}"/>
    <cellStyle name="Énfasis1 36 17" xfId="19339" xr:uid="{00000000-0005-0000-0000-0000614B0000}"/>
    <cellStyle name="Énfasis1 36 18" xfId="19340" xr:uid="{00000000-0005-0000-0000-0000624B0000}"/>
    <cellStyle name="Énfasis1 36 19" xfId="19341" xr:uid="{00000000-0005-0000-0000-0000634B0000}"/>
    <cellStyle name="Énfasis1 36 2" xfId="19342" xr:uid="{00000000-0005-0000-0000-0000644B0000}"/>
    <cellStyle name="Énfasis1 36 2 2" xfId="19343" xr:uid="{00000000-0005-0000-0000-0000654B0000}"/>
    <cellStyle name="Énfasis1 36 3" xfId="19344" xr:uid="{00000000-0005-0000-0000-0000664B0000}"/>
    <cellStyle name="Énfasis1 36 3 2" xfId="19345" xr:uid="{00000000-0005-0000-0000-0000674B0000}"/>
    <cellStyle name="Énfasis1 36 4" xfId="19346" xr:uid="{00000000-0005-0000-0000-0000684B0000}"/>
    <cellStyle name="Énfasis1 36 4 2" xfId="19347" xr:uid="{00000000-0005-0000-0000-0000694B0000}"/>
    <cellStyle name="Énfasis1 36 5" xfId="19348" xr:uid="{00000000-0005-0000-0000-00006A4B0000}"/>
    <cellStyle name="Énfasis1 36 6" xfId="19349" xr:uid="{00000000-0005-0000-0000-00006B4B0000}"/>
    <cellStyle name="Énfasis1 36 7" xfId="19350" xr:uid="{00000000-0005-0000-0000-00006C4B0000}"/>
    <cellStyle name="Énfasis1 36 8" xfId="19351" xr:uid="{00000000-0005-0000-0000-00006D4B0000}"/>
    <cellStyle name="Énfasis1 36 9" xfId="19352" xr:uid="{00000000-0005-0000-0000-00006E4B0000}"/>
    <cellStyle name="Énfasis1 37 10" xfId="19353" xr:uid="{00000000-0005-0000-0000-00006F4B0000}"/>
    <cellStyle name="Énfasis1 37 11" xfId="19354" xr:uid="{00000000-0005-0000-0000-0000704B0000}"/>
    <cellStyle name="Énfasis1 37 12" xfId="19355" xr:uid="{00000000-0005-0000-0000-0000714B0000}"/>
    <cellStyle name="Énfasis1 37 13" xfId="19356" xr:uid="{00000000-0005-0000-0000-0000724B0000}"/>
    <cellStyle name="Énfasis1 37 14" xfId="19357" xr:uid="{00000000-0005-0000-0000-0000734B0000}"/>
    <cellStyle name="Énfasis1 37 15" xfId="19358" xr:uid="{00000000-0005-0000-0000-0000744B0000}"/>
    <cellStyle name="Énfasis1 37 16" xfId="19359" xr:uid="{00000000-0005-0000-0000-0000754B0000}"/>
    <cellStyle name="Énfasis1 37 17" xfId="19360" xr:uid="{00000000-0005-0000-0000-0000764B0000}"/>
    <cellStyle name="Énfasis1 37 18" xfId="19361" xr:uid="{00000000-0005-0000-0000-0000774B0000}"/>
    <cellStyle name="Énfasis1 37 19" xfId="19362" xr:uid="{00000000-0005-0000-0000-0000784B0000}"/>
    <cellStyle name="Énfasis1 37 2" xfId="19363" xr:uid="{00000000-0005-0000-0000-0000794B0000}"/>
    <cellStyle name="Énfasis1 37 2 2" xfId="19364" xr:uid="{00000000-0005-0000-0000-00007A4B0000}"/>
    <cellStyle name="Énfasis1 37 3" xfId="19365" xr:uid="{00000000-0005-0000-0000-00007B4B0000}"/>
    <cellStyle name="Énfasis1 37 3 2" xfId="19366" xr:uid="{00000000-0005-0000-0000-00007C4B0000}"/>
    <cellStyle name="Énfasis1 37 4" xfId="19367" xr:uid="{00000000-0005-0000-0000-00007D4B0000}"/>
    <cellStyle name="Énfasis1 37 4 2" xfId="19368" xr:uid="{00000000-0005-0000-0000-00007E4B0000}"/>
    <cellStyle name="Énfasis1 37 5" xfId="19369" xr:uid="{00000000-0005-0000-0000-00007F4B0000}"/>
    <cellStyle name="Énfasis1 37 6" xfId="19370" xr:uid="{00000000-0005-0000-0000-0000804B0000}"/>
    <cellStyle name="Énfasis1 37 7" xfId="19371" xr:uid="{00000000-0005-0000-0000-0000814B0000}"/>
    <cellStyle name="Énfasis1 37 8" xfId="19372" xr:uid="{00000000-0005-0000-0000-0000824B0000}"/>
    <cellStyle name="Énfasis1 37 9" xfId="19373" xr:uid="{00000000-0005-0000-0000-0000834B0000}"/>
    <cellStyle name="Énfasis1 38 10" xfId="19374" xr:uid="{00000000-0005-0000-0000-0000844B0000}"/>
    <cellStyle name="Énfasis1 38 11" xfId="19375" xr:uid="{00000000-0005-0000-0000-0000854B0000}"/>
    <cellStyle name="Énfasis1 38 12" xfId="19376" xr:uid="{00000000-0005-0000-0000-0000864B0000}"/>
    <cellStyle name="Énfasis1 38 13" xfId="19377" xr:uid="{00000000-0005-0000-0000-0000874B0000}"/>
    <cellStyle name="Énfasis1 38 14" xfId="19378" xr:uid="{00000000-0005-0000-0000-0000884B0000}"/>
    <cellStyle name="Énfasis1 38 15" xfId="19379" xr:uid="{00000000-0005-0000-0000-0000894B0000}"/>
    <cellStyle name="Énfasis1 38 16" xfId="19380" xr:uid="{00000000-0005-0000-0000-00008A4B0000}"/>
    <cellStyle name="Énfasis1 38 17" xfId="19381" xr:uid="{00000000-0005-0000-0000-00008B4B0000}"/>
    <cellStyle name="Énfasis1 38 18" xfId="19382" xr:uid="{00000000-0005-0000-0000-00008C4B0000}"/>
    <cellStyle name="Énfasis1 38 19" xfId="19383" xr:uid="{00000000-0005-0000-0000-00008D4B0000}"/>
    <cellStyle name="Énfasis1 38 2" xfId="19384" xr:uid="{00000000-0005-0000-0000-00008E4B0000}"/>
    <cellStyle name="Énfasis1 38 2 2" xfId="19385" xr:uid="{00000000-0005-0000-0000-00008F4B0000}"/>
    <cellStyle name="Énfasis1 38 3" xfId="19386" xr:uid="{00000000-0005-0000-0000-0000904B0000}"/>
    <cellStyle name="Énfasis1 38 3 2" xfId="19387" xr:uid="{00000000-0005-0000-0000-0000914B0000}"/>
    <cellStyle name="Énfasis1 38 4" xfId="19388" xr:uid="{00000000-0005-0000-0000-0000924B0000}"/>
    <cellStyle name="Énfasis1 38 4 2" xfId="19389" xr:uid="{00000000-0005-0000-0000-0000934B0000}"/>
    <cellStyle name="Énfasis1 38 5" xfId="19390" xr:uid="{00000000-0005-0000-0000-0000944B0000}"/>
    <cellStyle name="Énfasis1 38 6" xfId="19391" xr:uid="{00000000-0005-0000-0000-0000954B0000}"/>
    <cellStyle name="Énfasis1 38 7" xfId="19392" xr:uid="{00000000-0005-0000-0000-0000964B0000}"/>
    <cellStyle name="Énfasis1 38 8" xfId="19393" xr:uid="{00000000-0005-0000-0000-0000974B0000}"/>
    <cellStyle name="Énfasis1 38 9" xfId="19394" xr:uid="{00000000-0005-0000-0000-0000984B0000}"/>
    <cellStyle name="Énfasis1 39" xfId="19395" xr:uid="{00000000-0005-0000-0000-0000994B0000}"/>
    <cellStyle name="Énfasis1 39 10" xfId="19396" xr:uid="{00000000-0005-0000-0000-00009A4B0000}"/>
    <cellStyle name="Énfasis1 39 11" xfId="19397" xr:uid="{00000000-0005-0000-0000-00009B4B0000}"/>
    <cellStyle name="Énfasis1 39 12" xfId="19398" xr:uid="{00000000-0005-0000-0000-00009C4B0000}"/>
    <cellStyle name="Énfasis1 39 13" xfId="19399" xr:uid="{00000000-0005-0000-0000-00009D4B0000}"/>
    <cellStyle name="Énfasis1 39 14" xfId="19400" xr:uid="{00000000-0005-0000-0000-00009E4B0000}"/>
    <cellStyle name="Énfasis1 39 15" xfId="19401" xr:uid="{00000000-0005-0000-0000-00009F4B0000}"/>
    <cellStyle name="Énfasis1 39 16" xfId="19402" xr:uid="{00000000-0005-0000-0000-0000A04B0000}"/>
    <cellStyle name="Énfasis1 39 2" xfId="19403" xr:uid="{00000000-0005-0000-0000-0000A14B0000}"/>
    <cellStyle name="Énfasis1 39 3" xfId="19404" xr:uid="{00000000-0005-0000-0000-0000A24B0000}"/>
    <cellStyle name="Énfasis1 39 4" xfId="19405" xr:uid="{00000000-0005-0000-0000-0000A34B0000}"/>
    <cellStyle name="Énfasis1 39 5" xfId="19406" xr:uid="{00000000-0005-0000-0000-0000A44B0000}"/>
    <cellStyle name="Énfasis1 39 6" xfId="19407" xr:uid="{00000000-0005-0000-0000-0000A54B0000}"/>
    <cellStyle name="Énfasis1 39 7" xfId="19408" xr:uid="{00000000-0005-0000-0000-0000A64B0000}"/>
    <cellStyle name="Énfasis1 39 8" xfId="19409" xr:uid="{00000000-0005-0000-0000-0000A74B0000}"/>
    <cellStyle name="Énfasis1 39 9" xfId="19410" xr:uid="{00000000-0005-0000-0000-0000A84B0000}"/>
    <cellStyle name="Énfasis1 4 10" xfId="19411" xr:uid="{00000000-0005-0000-0000-0000A94B0000}"/>
    <cellStyle name="Énfasis1 4 11" xfId="19412" xr:uid="{00000000-0005-0000-0000-0000AA4B0000}"/>
    <cellStyle name="Énfasis1 4 12" xfId="19413" xr:uid="{00000000-0005-0000-0000-0000AB4B0000}"/>
    <cellStyle name="Énfasis1 4 13" xfId="19414" xr:uid="{00000000-0005-0000-0000-0000AC4B0000}"/>
    <cellStyle name="Énfasis1 4 14" xfId="19415" xr:uid="{00000000-0005-0000-0000-0000AD4B0000}"/>
    <cellStyle name="Énfasis1 4 15" xfId="19416" xr:uid="{00000000-0005-0000-0000-0000AE4B0000}"/>
    <cellStyle name="Énfasis1 4 16" xfId="19417" xr:uid="{00000000-0005-0000-0000-0000AF4B0000}"/>
    <cellStyle name="Énfasis1 4 17" xfId="19418" xr:uid="{00000000-0005-0000-0000-0000B04B0000}"/>
    <cellStyle name="Énfasis1 4 18" xfId="19419" xr:uid="{00000000-0005-0000-0000-0000B14B0000}"/>
    <cellStyle name="Énfasis1 4 19" xfId="19420" xr:uid="{00000000-0005-0000-0000-0000B24B0000}"/>
    <cellStyle name="Énfasis1 4 2" xfId="19421" xr:uid="{00000000-0005-0000-0000-0000B34B0000}"/>
    <cellStyle name="Énfasis1 4 2 2" xfId="19422" xr:uid="{00000000-0005-0000-0000-0000B44B0000}"/>
    <cellStyle name="Énfasis1 4 3" xfId="19423" xr:uid="{00000000-0005-0000-0000-0000B54B0000}"/>
    <cellStyle name="Énfasis1 4 3 2" xfId="19424" xr:uid="{00000000-0005-0000-0000-0000B64B0000}"/>
    <cellStyle name="Énfasis1 4 4" xfId="19425" xr:uid="{00000000-0005-0000-0000-0000B74B0000}"/>
    <cellStyle name="Énfasis1 4 4 2" xfId="19426" xr:uid="{00000000-0005-0000-0000-0000B84B0000}"/>
    <cellStyle name="Énfasis1 4 5" xfId="19427" xr:uid="{00000000-0005-0000-0000-0000B94B0000}"/>
    <cellStyle name="Énfasis1 4 6" xfId="19428" xr:uid="{00000000-0005-0000-0000-0000BA4B0000}"/>
    <cellStyle name="Énfasis1 4 7" xfId="19429" xr:uid="{00000000-0005-0000-0000-0000BB4B0000}"/>
    <cellStyle name="Énfasis1 4 8" xfId="19430" xr:uid="{00000000-0005-0000-0000-0000BC4B0000}"/>
    <cellStyle name="Énfasis1 4 9" xfId="19431" xr:uid="{00000000-0005-0000-0000-0000BD4B0000}"/>
    <cellStyle name="Énfasis1 40" xfId="19432" xr:uid="{00000000-0005-0000-0000-0000BE4B0000}"/>
    <cellStyle name="Énfasis1 40 10" xfId="19433" xr:uid="{00000000-0005-0000-0000-0000BF4B0000}"/>
    <cellStyle name="Énfasis1 40 11" xfId="19434" xr:uid="{00000000-0005-0000-0000-0000C04B0000}"/>
    <cellStyle name="Énfasis1 40 12" xfId="19435" xr:uid="{00000000-0005-0000-0000-0000C14B0000}"/>
    <cellStyle name="Énfasis1 40 13" xfId="19436" xr:uid="{00000000-0005-0000-0000-0000C24B0000}"/>
    <cellStyle name="Énfasis1 40 14" xfId="19437" xr:uid="{00000000-0005-0000-0000-0000C34B0000}"/>
    <cellStyle name="Énfasis1 40 15" xfId="19438" xr:uid="{00000000-0005-0000-0000-0000C44B0000}"/>
    <cellStyle name="Énfasis1 40 16" xfId="19439" xr:uid="{00000000-0005-0000-0000-0000C54B0000}"/>
    <cellStyle name="Énfasis1 40 2" xfId="19440" xr:uid="{00000000-0005-0000-0000-0000C64B0000}"/>
    <cellStyle name="Énfasis1 40 3" xfId="19441" xr:uid="{00000000-0005-0000-0000-0000C74B0000}"/>
    <cellStyle name="Énfasis1 40 4" xfId="19442" xr:uid="{00000000-0005-0000-0000-0000C84B0000}"/>
    <cellStyle name="Énfasis1 40 5" xfId="19443" xr:uid="{00000000-0005-0000-0000-0000C94B0000}"/>
    <cellStyle name="Énfasis1 40 6" xfId="19444" xr:uid="{00000000-0005-0000-0000-0000CA4B0000}"/>
    <cellStyle name="Énfasis1 40 7" xfId="19445" xr:uid="{00000000-0005-0000-0000-0000CB4B0000}"/>
    <cellStyle name="Énfasis1 40 8" xfId="19446" xr:uid="{00000000-0005-0000-0000-0000CC4B0000}"/>
    <cellStyle name="Énfasis1 40 9" xfId="19447" xr:uid="{00000000-0005-0000-0000-0000CD4B0000}"/>
    <cellStyle name="Énfasis1 41" xfId="19448" xr:uid="{00000000-0005-0000-0000-0000CE4B0000}"/>
    <cellStyle name="Énfasis1 41 10" xfId="19449" xr:uid="{00000000-0005-0000-0000-0000CF4B0000}"/>
    <cellStyle name="Énfasis1 41 11" xfId="19450" xr:uid="{00000000-0005-0000-0000-0000D04B0000}"/>
    <cellStyle name="Énfasis1 41 12" xfId="19451" xr:uid="{00000000-0005-0000-0000-0000D14B0000}"/>
    <cellStyle name="Énfasis1 41 13" xfId="19452" xr:uid="{00000000-0005-0000-0000-0000D24B0000}"/>
    <cellStyle name="Énfasis1 41 14" xfId="19453" xr:uid="{00000000-0005-0000-0000-0000D34B0000}"/>
    <cellStyle name="Énfasis1 41 15" xfId="19454" xr:uid="{00000000-0005-0000-0000-0000D44B0000}"/>
    <cellStyle name="Énfasis1 41 16" xfId="19455" xr:uid="{00000000-0005-0000-0000-0000D54B0000}"/>
    <cellStyle name="Énfasis1 41 2" xfId="19456" xr:uid="{00000000-0005-0000-0000-0000D64B0000}"/>
    <cellStyle name="Énfasis1 41 3" xfId="19457" xr:uid="{00000000-0005-0000-0000-0000D74B0000}"/>
    <cellStyle name="Énfasis1 41 4" xfId="19458" xr:uid="{00000000-0005-0000-0000-0000D84B0000}"/>
    <cellStyle name="Énfasis1 41 5" xfId="19459" xr:uid="{00000000-0005-0000-0000-0000D94B0000}"/>
    <cellStyle name="Énfasis1 41 6" xfId="19460" xr:uid="{00000000-0005-0000-0000-0000DA4B0000}"/>
    <cellStyle name="Énfasis1 41 7" xfId="19461" xr:uid="{00000000-0005-0000-0000-0000DB4B0000}"/>
    <cellStyle name="Énfasis1 41 8" xfId="19462" xr:uid="{00000000-0005-0000-0000-0000DC4B0000}"/>
    <cellStyle name="Énfasis1 41 9" xfId="19463" xr:uid="{00000000-0005-0000-0000-0000DD4B0000}"/>
    <cellStyle name="Énfasis1 42" xfId="19464" xr:uid="{00000000-0005-0000-0000-0000DE4B0000}"/>
    <cellStyle name="Énfasis1 43" xfId="19465" xr:uid="{00000000-0005-0000-0000-0000DF4B0000}"/>
    <cellStyle name="Énfasis1 44" xfId="19466" xr:uid="{00000000-0005-0000-0000-0000E04B0000}"/>
    <cellStyle name="Énfasis1 45" xfId="19467" xr:uid="{00000000-0005-0000-0000-0000E14B0000}"/>
    <cellStyle name="Énfasis1 46" xfId="19468" xr:uid="{00000000-0005-0000-0000-0000E24B0000}"/>
    <cellStyle name="Énfasis1 47" xfId="19469" xr:uid="{00000000-0005-0000-0000-0000E34B0000}"/>
    <cellStyle name="Énfasis1 48" xfId="19470" xr:uid="{00000000-0005-0000-0000-0000E44B0000}"/>
    <cellStyle name="Énfasis1 49" xfId="19471" xr:uid="{00000000-0005-0000-0000-0000E54B0000}"/>
    <cellStyle name="Énfasis1 5 10" xfId="19472" xr:uid="{00000000-0005-0000-0000-0000E64B0000}"/>
    <cellStyle name="Énfasis1 5 11" xfId="19473" xr:uid="{00000000-0005-0000-0000-0000E74B0000}"/>
    <cellStyle name="Énfasis1 5 12" xfId="19474" xr:uid="{00000000-0005-0000-0000-0000E84B0000}"/>
    <cellStyle name="Énfasis1 5 13" xfId="19475" xr:uid="{00000000-0005-0000-0000-0000E94B0000}"/>
    <cellStyle name="Énfasis1 5 14" xfId="19476" xr:uid="{00000000-0005-0000-0000-0000EA4B0000}"/>
    <cellStyle name="Énfasis1 5 15" xfId="19477" xr:uid="{00000000-0005-0000-0000-0000EB4B0000}"/>
    <cellStyle name="Énfasis1 5 16" xfId="19478" xr:uid="{00000000-0005-0000-0000-0000EC4B0000}"/>
    <cellStyle name="Énfasis1 5 17" xfId="19479" xr:uid="{00000000-0005-0000-0000-0000ED4B0000}"/>
    <cellStyle name="Énfasis1 5 18" xfId="19480" xr:uid="{00000000-0005-0000-0000-0000EE4B0000}"/>
    <cellStyle name="Énfasis1 5 19" xfId="19481" xr:uid="{00000000-0005-0000-0000-0000EF4B0000}"/>
    <cellStyle name="Énfasis1 5 2" xfId="19482" xr:uid="{00000000-0005-0000-0000-0000F04B0000}"/>
    <cellStyle name="Énfasis1 5 2 2" xfId="19483" xr:uid="{00000000-0005-0000-0000-0000F14B0000}"/>
    <cellStyle name="Énfasis1 5 3" xfId="19484" xr:uid="{00000000-0005-0000-0000-0000F24B0000}"/>
    <cellStyle name="Énfasis1 5 3 2" xfId="19485" xr:uid="{00000000-0005-0000-0000-0000F34B0000}"/>
    <cellStyle name="Énfasis1 5 4" xfId="19486" xr:uid="{00000000-0005-0000-0000-0000F44B0000}"/>
    <cellStyle name="Énfasis1 5 4 2" xfId="19487" xr:uid="{00000000-0005-0000-0000-0000F54B0000}"/>
    <cellStyle name="Énfasis1 5 5" xfId="19488" xr:uid="{00000000-0005-0000-0000-0000F64B0000}"/>
    <cellStyle name="Énfasis1 5 6" xfId="19489" xr:uid="{00000000-0005-0000-0000-0000F74B0000}"/>
    <cellStyle name="Énfasis1 5 7" xfId="19490" xr:uid="{00000000-0005-0000-0000-0000F84B0000}"/>
    <cellStyle name="Énfasis1 5 8" xfId="19491" xr:uid="{00000000-0005-0000-0000-0000F94B0000}"/>
    <cellStyle name="Énfasis1 5 9" xfId="19492" xr:uid="{00000000-0005-0000-0000-0000FA4B0000}"/>
    <cellStyle name="Énfasis1 50" xfId="19493" xr:uid="{00000000-0005-0000-0000-0000FB4B0000}"/>
    <cellStyle name="Énfasis1 51" xfId="19494" xr:uid="{00000000-0005-0000-0000-0000FC4B0000}"/>
    <cellStyle name="Énfasis1 52" xfId="19495" xr:uid="{00000000-0005-0000-0000-0000FD4B0000}"/>
    <cellStyle name="Énfasis1 53" xfId="19496" xr:uid="{00000000-0005-0000-0000-0000FE4B0000}"/>
    <cellStyle name="Énfasis1 54" xfId="19497" xr:uid="{00000000-0005-0000-0000-0000FF4B0000}"/>
    <cellStyle name="Énfasis1 55" xfId="19498" xr:uid="{00000000-0005-0000-0000-0000004C0000}"/>
    <cellStyle name="Énfasis1 56" xfId="19499" xr:uid="{00000000-0005-0000-0000-0000014C0000}"/>
    <cellStyle name="Énfasis1 57" xfId="19500" xr:uid="{00000000-0005-0000-0000-0000024C0000}"/>
    <cellStyle name="Énfasis1 58" xfId="19501" xr:uid="{00000000-0005-0000-0000-0000034C0000}"/>
    <cellStyle name="Énfasis1 59" xfId="19502" xr:uid="{00000000-0005-0000-0000-0000044C0000}"/>
    <cellStyle name="Énfasis1 6 10" xfId="19503" xr:uid="{00000000-0005-0000-0000-0000054C0000}"/>
    <cellStyle name="Énfasis1 6 11" xfId="19504" xr:uid="{00000000-0005-0000-0000-0000064C0000}"/>
    <cellStyle name="Énfasis1 6 12" xfId="19505" xr:uid="{00000000-0005-0000-0000-0000074C0000}"/>
    <cellStyle name="Énfasis1 6 13" xfId="19506" xr:uid="{00000000-0005-0000-0000-0000084C0000}"/>
    <cellStyle name="Énfasis1 6 14" xfId="19507" xr:uid="{00000000-0005-0000-0000-0000094C0000}"/>
    <cellStyle name="Énfasis1 6 15" xfId="19508" xr:uid="{00000000-0005-0000-0000-00000A4C0000}"/>
    <cellStyle name="Énfasis1 6 16" xfId="19509" xr:uid="{00000000-0005-0000-0000-00000B4C0000}"/>
    <cellStyle name="Énfasis1 6 17" xfId="19510" xr:uid="{00000000-0005-0000-0000-00000C4C0000}"/>
    <cellStyle name="Énfasis1 6 18" xfId="19511" xr:uid="{00000000-0005-0000-0000-00000D4C0000}"/>
    <cellStyle name="Énfasis1 6 19" xfId="19512" xr:uid="{00000000-0005-0000-0000-00000E4C0000}"/>
    <cellStyle name="Énfasis1 6 2" xfId="19513" xr:uid="{00000000-0005-0000-0000-00000F4C0000}"/>
    <cellStyle name="Énfasis1 6 2 2" xfId="19514" xr:uid="{00000000-0005-0000-0000-0000104C0000}"/>
    <cellStyle name="Énfasis1 6 3" xfId="19515" xr:uid="{00000000-0005-0000-0000-0000114C0000}"/>
    <cellStyle name="Énfasis1 6 3 2" xfId="19516" xr:uid="{00000000-0005-0000-0000-0000124C0000}"/>
    <cellStyle name="Énfasis1 6 4" xfId="19517" xr:uid="{00000000-0005-0000-0000-0000134C0000}"/>
    <cellStyle name="Énfasis1 6 4 2" xfId="19518" xr:uid="{00000000-0005-0000-0000-0000144C0000}"/>
    <cellStyle name="Énfasis1 6 5" xfId="19519" xr:uid="{00000000-0005-0000-0000-0000154C0000}"/>
    <cellStyle name="Énfasis1 6 6" xfId="19520" xr:uid="{00000000-0005-0000-0000-0000164C0000}"/>
    <cellStyle name="Énfasis1 6 7" xfId="19521" xr:uid="{00000000-0005-0000-0000-0000174C0000}"/>
    <cellStyle name="Énfasis1 6 8" xfId="19522" xr:uid="{00000000-0005-0000-0000-0000184C0000}"/>
    <cellStyle name="Énfasis1 6 9" xfId="19523" xr:uid="{00000000-0005-0000-0000-0000194C0000}"/>
    <cellStyle name="Énfasis1 60" xfId="19524" xr:uid="{00000000-0005-0000-0000-00001A4C0000}"/>
    <cellStyle name="Énfasis1 61" xfId="19525" xr:uid="{00000000-0005-0000-0000-00001B4C0000}"/>
    <cellStyle name="Énfasis1 62" xfId="19526" xr:uid="{00000000-0005-0000-0000-00001C4C0000}"/>
    <cellStyle name="Énfasis1 63" xfId="19527" xr:uid="{00000000-0005-0000-0000-00001D4C0000}"/>
    <cellStyle name="Énfasis1 64" xfId="19528" xr:uid="{00000000-0005-0000-0000-00001E4C0000}"/>
    <cellStyle name="Énfasis1 7 10" xfId="19529" xr:uid="{00000000-0005-0000-0000-00001F4C0000}"/>
    <cellStyle name="Énfasis1 7 11" xfId="19530" xr:uid="{00000000-0005-0000-0000-0000204C0000}"/>
    <cellStyle name="Énfasis1 7 12" xfId="19531" xr:uid="{00000000-0005-0000-0000-0000214C0000}"/>
    <cellStyle name="Énfasis1 7 13" xfId="19532" xr:uid="{00000000-0005-0000-0000-0000224C0000}"/>
    <cellStyle name="Énfasis1 7 14" xfId="19533" xr:uid="{00000000-0005-0000-0000-0000234C0000}"/>
    <cellStyle name="Énfasis1 7 15" xfId="19534" xr:uid="{00000000-0005-0000-0000-0000244C0000}"/>
    <cellStyle name="Énfasis1 7 16" xfId="19535" xr:uid="{00000000-0005-0000-0000-0000254C0000}"/>
    <cellStyle name="Énfasis1 7 17" xfId="19536" xr:uid="{00000000-0005-0000-0000-0000264C0000}"/>
    <cellStyle name="Énfasis1 7 18" xfId="19537" xr:uid="{00000000-0005-0000-0000-0000274C0000}"/>
    <cellStyle name="Énfasis1 7 19" xfId="19538" xr:uid="{00000000-0005-0000-0000-0000284C0000}"/>
    <cellStyle name="Énfasis1 7 2" xfId="19539" xr:uid="{00000000-0005-0000-0000-0000294C0000}"/>
    <cellStyle name="Énfasis1 7 2 2" xfId="19540" xr:uid="{00000000-0005-0000-0000-00002A4C0000}"/>
    <cellStyle name="Énfasis1 7 3" xfId="19541" xr:uid="{00000000-0005-0000-0000-00002B4C0000}"/>
    <cellStyle name="Énfasis1 7 3 2" xfId="19542" xr:uid="{00000000-0005-0000-0000-00002C4C0000}"/>
    <cellStyle name="Énfasis1 7 4" xfId="19543" xr:uid="{00000000-0005-0000-0000-00002D4C0000}"/>
    <cellStyle name="Énfasis1 7 4 2" xfId="19544" xr:uid="{00000000-0005-0000-0000-00002E4C0000}"/>
    <cellStyle name="Énfasis1 7 5" xfId="19545" xr:uid="{00000000-0005-0000-0000-00002F4C0000}"/>
    <cellStyle name="Énfasis1 7 6" xfId="19546" xr:uid="{00000000-0005-0000-0000-0000304C0000}"/>
    <cellStyle name="Énfasis1 7 7" xfId="19547" xr:uid="{00000000-0005-0000-0000-0000314C0000}"/>
    <cellStyle name="Énfasis1 7 8" xfId="19548" xr:uid="{00000000-0005-0000-0000-0000324C0000}"/>
    <cellStyle name="Énfasis1 7 9" xfId="19549" xr:uid="{00000000-0005-0000-0000-0000334C0000}"/>
    <cellStyle name="Énfasis1 8 10" xfId="19550" xr:uid="{00000000-0005-0000-0000-0000344C0000}"/>
    <cellStyle name="Énfasis1 8 11" xfId="19551" xr:uid="{00000000-0005-0000-0000-0000354C0000}"/>
    <cellStyle name="Énfasis1 8 12" xfId="19552" xr:uid="{00000000-0005-0000-0000-0000364C0000}"/>
    <cellStyle name="Énfasis1 8 13" xfId="19553" xr:uid="{00000000-0005-0000-0000-0000374C0000}"/>
    <cellStyle name="Énfasis1 8 14" xfId="19554" xr:uid="{00000000-0005-0000-0000-0000384C0000}"/>
    <cellStyle name="Énfasis1 8 15" xfId="19555" xr:uid="{00000000-0005-0000-0000-0000394C0000}"/>
    <cellStyle name="Énfasis1 8 16" xfId="19556" xr:uid="{00000000-0005-0000-0000-00003A4C0000}"/>
    <cellStyle name="Énfasis1 8 17" xfId="19557" xr:uid="{00000000-0005-0000-0000-00003B4C0000}"/>
    <cellStyle name="Énfasis1 8 18" xfId="19558" xr:uid="{00000000-0005-0000-0000-00003C4C0000}"/>
    <cellStyle name="Énfasis1 8 19" xfId="19559" xr:uid="{00000000-0005-0000-0000-00003D4C0000}"/>
    <cellStyle name="Énfasis1 8 2" xfId="19560" xr:uid="{00000000-0005-0000-0000-00003E4C0000}"/>
    <cellStyle name="Énfasis1 8 2 2" xfId="19561" xr:uid="{00000000-0005-0000-0000-00003F4C0000}"/>
    <cellStyle name="Énfasis1 8 3" xfId="19562" xr:uid="{00000000-0005-0000-0000-0000404C0000}"/>
    <cellStyle name="Énfasis1 8 3 2" xfId="19563" xr:uid="{00000000-0005-0000-0000-0000414C0000}"/>
    <cellStyle name="Énfasis1 8 4" xfId="19564" xr:uid="{00000000-0005-0000-0000-0000424C0000}"/>
    <cellStyle name="Énfasis1 8 4 2" xfId="19565" xr:uid="{00000000-0005-0000-0000-0000434C0000}"/>
    <cellStyle name="Énfasis1 8 5" xfId="19566" xr:uid="{00000000-0005-0000-0000-0000444C0000}"/>
    <cellStyle name="Énfasis1 8 6" xfId="19567" xr:uid="{00000000-0005-0000-0000-0000454C0000}"/>
    <cellStyle name="Énfasis1 8 7" xfId="19568" xr:uid="{00000000-0005-0000-0000-0000464C0000}"/>
    <cellStyle name="Énfasis1 8 8" xfId="19569" xr:uid="{00000000-0005-0000-0000-0000474C0000}"/>
    <cellStyle name="Énfasis1 8 9" xfId="19570" xr:uid="{00000000-0005-0000-0000-0000484C0000}"/>
    <cellStyle name="Énfasis1 9 10" xfId="19571" xr:uid="{00000000-0005-0000-0000-0000494C0000}"/>
    <cellStyle name="Énfasis1 9 11" xfId="19572" xr:uid="{00000000-0005-0000-0000-00004A4C0000}"/>
    <cellStyle name="Énfasis1 9 12" xfId="19573" xr:uid="{00000000-0005-0000-0000-00004B4C0000}"/>
    <cellStyle name="Énfasis1 9 13" xfId="19574" xr:uid="{00000000-0005-0000-0000-00004C4C0000}"/>
    <cellStyle name="Énfasis1 9 14" xfId="19575" xr:uid="{00000000-0005-0000-0000-00004D4C0000}"/>
    <cellStyle name="Énfasis1 9 15" xfId="19576" xr:uid="{00000000-0005-0000-0000-00004E4C0000}"/>
    <cellStyle name="Énfasis1 9 16" xfId="19577" xr:uid="{00000000-0005-0000-0000-00004F4C0000}"/>
    <cellStyle name="Énfasis1 9 17" xfId="19578" xr:uid="{00000000-0005-0000-0000-0000504C0000}"/>
    <cellStyle name="Énfasis1 9 18" xfId="19579" xr:uid="{00000000-0005-0000-0000-0000514C0000}"/>
    <cellStyle name="Énfasis1 9 19" xfId="19580" xr:uid="{00000000-0005-0000-0000-0000524C0000}"/>
    <cellStyle name="Énfasis1 9 2" xfId="19581" xr:uid="{00000000-0005-0000-0000-0000534C0000}"/>
    <cellStyle name="Énfasis1 9 2 2" xfId="19582" xr:uid="{00000000-0005-0000-0000-0000544C0000}"/>
    <cellStyle name="Énfasis1 9 3" xfId="19583" xr:uid="{00000000-0005-0000-0000-0000554C0000}"/>
    <cellStyle name="Énfasis1 9 3 2" xfId="19584" xr:uid="{00000000-0005-0000-0000-0000564C0000}"/>
    <cellStyle name="Énfasis1 9 4" xfId="19585" xr:uid="{00000000-0005-0000-0000-0000574C0000}"/>
    <cellStyle name="Énfasis1 9 4 2" xfId="19586" xr:uid="{00000000-0005-0000-0000-0000584C0000}"/>
    <cellStyle name="Énfasis1 9 5" xfId="19587" xr:uid="{00000000-0005-0000-0000-0000594C0000}"/>
    <cellStyle name="Énfasis1 9 6" xfId="19588" xr:uid="{00000000-0005-0000-0000-00005A4C0000}"/>
    <cellStyle name="Énfasis1 9 7" xfId="19589" xr:uid="{00000000-0005-0000-0000-00005B4C0000}"/>
    <cellStyle name="Énfasis1 9 8" xfId="19590" xr:uid="{00000000-0005-0000-0000-00005C4C0000}"/>
    <cellStyle name="Énfasis1 9 9" xfId="19591" xr:uid="{00000000-0005-0000-0000-00005D4C0000}"/>
    <cellStyle name="Énfasis2" xfId="32532" builtinId="33" customBuiltin="1"/>
    <cellStyle name="Énfasis2 10 10" xfId="19592" xr:uid="{00000000-0005-0000-0000-00005F4C0000}"/>
    <cellStyle name="Énfasis2 10 11" xfId="19593" xr:uid="{00000000-0005-0000-0000-0000604C0000}"/>
    <cellStyle name="Énfasis2 10 12" xfId="19594" xr:uid="{00000000-0005-0000-0000-0000614C0000}"/>
    <cellStyle name="Énfasis2 10 13" xfId="19595" xr:uid="{00000000-0005-0000-0000-0000624C0000}"/>
    <cellStyle name="Énfasis2 10 14" xfId="19596" xr:uid="{00000000-0005-0000-0000-0000634C0000}"/>
    <cellStyle name="Énfasis2 10 15" xfId="19597" xr:uid="{00000000-0005-0000-0000-0000644C0000}"/>
    <cellStyle name="Énfasis2 10 16" xfId="19598" xr:uid="{00000000-0005-0000-0000-0000654C0000}"/>
    <cellStyle name="Énfasis2 10 17" xfId="19599" xr:uid="{00000000-0005-0000-0000-0000664C0000}"/>
    <cellStyle name="Énfasis2 10 18" xfId="19600" xr:uid="{00000000-0005-0000-0000-0000674C0000}"/>
    <cellStyle name="Énfasis2 10 19" xfId="19601" xr:uid="{00000000-0005-0000-0000-0000684C0000}"/>
    <cellStyle name="Énfasis2 10 2" xfId="19602" xr:uid="{00000000-0005-0000-0000-0000694C0000}"/>
    <cellStyle name="Énfasis2 10 2 2" xfId="19603" xr:uid="{00000000-0005-0000-0000-00006A4C0000}"/>
    <cellStyle name="Énfasis2 10 3" xfId="19604" xr:uid="{00000000-0005-0000-0000-00006B4C0000}"/>
    <cellStyle name="Énfasis2 10 3 2" xfId="19605" xr:uid="{00000000-0005-0000-0000-00006C4C0000}"/>
    <cellStyle name="Énfasis2 10 4" xfId="19606" xr:uid="{00000000-0005-0000-0000-00006D4C0000}"/>
    <cellStyle name="Énfasis2 10 4 2" xfId="19607" xr:uid="{00000000-0005-0000-0000-00006E4C0000}"/>
    <cellStyle name="Énfasis2 10 5" xfId="19608" xr:uid="{00000000-0005-0000-0000-00006F4C0000}"/>
    <cellStyle name="Énfasis2 10 6" xfId="19609" xr:uid="{00000000-0005-0000-0000-0000704C0000}"/>
    <cellStyle name="Énfasis2 10 7" xfId="19610" xr:uid="{00000000-0005-0000-0000-0000714C0000}"/>
    <cellStyle name="Énfasis2 10 8" xfId="19611" xr:uid="{00000000-0005-0000-0000-0000724C0000}"/>
    <cellStyle name="Énfasis2 10 9" xfId="19612" xr:uid="{00000000-0005-0000-0000-0000734C0000}"/>
    <cellStyle name="Énfasis2 11 10" xfId="19613" xr:uid="{00000000-0005-0000-0000-0000744C0000}"/>
    <cellStyle name="Énfasis2 11 11" xfId="19614" xr:uid="{00000000-0005-0000-0000-0000754C0000}"/>
    <cellStyle name="Énfasis2 11 12" xfId="19615" xr:uid="{00000000-0005-0000-0000-0000764C0000}"/>
    <cellStyle name="Énfasis2 11 13" xfId="19616" xr:uid="{00000000-0005-0000-0000-0000774C0000}"/>
    <cellStyle name="Énfasis2 11 14" xfId="19617" xr:uid="{00000000-0005-0000-0000-0000784C0000}"/>
    <cellStyle name="Énfasis2 11 15" xfId="19618" xr:uid="{00000000-0005-0000-0000-0000794C0000}"/>
    <cellStyle name="Énfasis2 11 16" xfId="19619" xr:uid="{00000000-0005-0000-0000-00007A4C0000}"/>
    <cellStyle name="Énfasis2 11 17" xfId="19620" xr:uid="{00000000-0005-0000-0000-00007B4C0000}"/>
    <cellStyle name="Énfasis2 11 18" xfId="19621" xr:uid="{00000000-0005-0000-0000-00007C4C0000}"/>
    <cellStyle name="Énfasis2 11 19" xfId="19622" xr:uid="{00000000-0005-0000-0000-00007D4C0000}"/>
    <cellStyle name="Énfasis2 11 2" xfId="19623" xr:uid="{00000000-0005-0000-0000-00007E4C0000}"/>
    <cellStyle name="Énfasis2 11 2 2" xfId="19624" xr:uid="{00000000-0005-0000-0000-00007F4C0000}"/>
    <cellStyle name="Énfasis2 11 3" xfId="19625" xr:uid="{00000000-0005-0000-0000-0000804C0000}"/>
    <cellStyle name="Énfasis2 11 3 2" xfId="19626" xr:uid="{00000000-0005-0000-0000-0000814C0000}"/>
    <cellStyle name="Énfasis2 11 4" xfId="19627" xr:uid="{00000000-0005-0000-0000-0000824C0000}"/>
    <cellStyle name="Énfasis2 11 4 2" xfId="19628" xr:uid="{00000000-0005-0000-0000-0000834C0000}"/>
    <cellStyle name="Énfasis2 11 5" xfId="19629" xr:uid="{00000000-0005-0000-0000-0000844C0000}"/>
    <cellStyle name="Énfasis2 11 6" xfId="19630" xr:uid="{00000000-0005-0000-0000-0000854C0000}"/>
    <cellStyle name="Énfasis2 11 7" xfId="19631" xr:uid="{00000000-0005-0000-0000-0000864C0000}"/>
    <cellStyle name="Énfasis2 11 8" xfId="19632" xr:uid="{00000000-0005-0000-0000-0000874C0000}"/>
    <cellStyle name="Énfasis2 11 9" xfId="19633" xr:uid="{00000000-0005-0000-0000-0000884C0000}"/>
    <cellStyle name="Énfasis2 12 10" xfId="19634" xr:uid="{00000000-0005-0000-0000-0000894C0000}"/>
    <cellStyle name="Énfasis2 12 11" xfId="19635" xr:uid="{00000000-0005-0000-0000-00008A4C0000}"/>
    <cellStyle name="Énfasis2 12 12" xfId="19636" xr:uid="{00000000-0005-0000-0000-00008B4C0000}"/>
    <cellStyle name="Énfasis2 12 13" xfId="19637" xr:uid="{00000000-0005-0000-0000-00008C4C0000}"/>
    <cellStyle name="Énfasis2 12 14" xfId="19638" xr:uid="{00000000-0005-0000-0000-00008D4C0000}"/>
    <cellStyle name="Énfasis2 12 15" xfId="19639" xr:uid="{00000000-0005-0000-0000-00008E4C0000}"/>
    <cellStyle name="Énfasis2 12 16" xfId="19640" xr:uid="{00000000-0005-0000-0000-00008F4C0000}"/>
    <cellStyle name="Énfasis2 12 17" xfId="19641" xr:uid="{00000000-0005-0000-0000-0000904C0000}"/>
    <cellStyle name="Énfasis2 12 18" xfId="19642" xr:uid="{00000000-0005-0000-0000-0000914C0000}"/>
    <cellStyle name="Énfasis2 12 19" xfId="19643" xr:uid="{00000000-0005-0000-0000-0000924C0000}"/>
    <cellStyle name="Énfasis2 12 2" xfId="19644" xr:uid="{00000000-0005-0000-0000-0000934C0000}"/>
    <cellStyle name="Énfasis2 12 2 2" xfId="19645" xr:uid="{00000000-0005-0000-0000-0000944C0000}"/>
    <cellStyle name="Énfasis2 12 3" xfId="19646" xr:uid="{00000000-0005-0000-0000-0000954C0000}"/>
    <cellStyle name="Énfasis2 12 3 2" xfId="19647" xr:uid="{00000000-0005-0000-0000-0000964C0000}"/>
    <cellStyle name="Énfasis2 12 4" xfId="19648" xr:uid="{00000000-0005-0000-0000-0000974C0000}"/>
    <cellStyle name="Énfasis2 12 4 2" xfId="19649" xr:uid="{00000000-0005-0000-0000-0000984C0000}"/>
    <cellStyle name="Énfasis2 12 5" xfId="19650" xr:uid="{00000000-0005-0000-0000-0000994C0000}"/>
    <cellStyle name="Énfasis2 12 6" xfId="19651" xr:uid="{00000000-0005-0000-0000-00009A4C0000}"/>
    <cellStyle name="Énfasis2 12 7" xfId="19652" xr:uid="{00000000-0005-0000-0000-00009B4C0000}"/>
    <cellStyle name="Énfasis2 12 8" xfId="19653" xr:uid="{00000000-0005-0000-0000-00009C4C0000}"/>
    <cellStyle name="Énfasis2 12 9" xfId="19654" xr:uid="{00000000-0005-0000-0000-00009D4C0000}"/>
    <cellStyle name="Énfasis2 13 10" xfId="19655" xr:uid="{00000000-0005-0000-0000-00009E4C0000}"/>
    <cellStyle name="Énfasis2 13 11" xfId="19656" xr:uid="{00000000-0005-0000-0000-00009F4C0000}"/>
    <cellStyle name="Énfasis2 13 12" xfId="19657" xr:uid="{00000000-0005-0000-0000-0000A04C0000}"/>
    <cellStyle name="Énfasis2 13 13" xfId="19658" xr:uid="{00000000-0005-0000-0000-0000A14C0000}"/>
    <cellStyle name="Énfasis2 13 14" xfId="19659" xr:uid="{00000000-0005-0000-0000-0000A24C0000}"/>
    <cellStyle name="Énfasis2 13 15" xfId="19660" xr:uid="{00000000-0005-0000-0000-0000A34C0000}"/>
    <cellStyle name="Énfasis2 13 16" xfId="19661" xr:uid="{00000000-0005-0000-0000-0000A44C0000}"/>
    <cellStyle name="Énfasis2 13 17" xfId="19662" xr:uid="{00000000-0005-0000-0000-0000A54C0000}"/>
    <cellStyle name="Énfasis2 13 18" xfId="19663" xr:uid="{00000000-0005-0000-0000-0000A64C0000}"/>
    <cellStyle name="Énfasis2 13 19" xfId="19664" xr:uid="{00000000-0005-0000-0000-0000A74C0000}"/>
    <cellStyle name="Énfasis2 13 2" xfId="19665" xr:uid="{00000000-0005-0000-0000-0000A84C0000}"/>
    <cellStyle name="Énfasis2 13 2 2" xfId="19666" xr:uid="{00000000-0005-0000-0000-0000A94C0000}"/>
    <cellStyle name="Énfasis2 13 3" xfId="19667" xr:uid="{00000000-0005-0000-0000-0000AA4C0000}"/>
    <cellStyle name="Énfasis2 13 3 2" xfId="19668" xr:uid="{00000000-0005-0000-0000-0000AB4C0000}"/>
    <cellStyle name="Énfasis2 13 4" xfId="19669" xr:uid="{00000000-0005-0000-0000-0000AC4C0000}"/>
    <cellStyle name="Énfasis2 13 4 2" xfId="19670" xr:uid="{00000000-0005-0000-0000-0000AD4C0000}"/>
    <cellStyle name="Énfasis2 13 5" xfId="19671" xr:uid="{00000000-0005-0000-0000-0000AE4C0000}"/>
    <cellStyle name="Énfasis2 13 6" xfId="19672" xr:uid="{00000000-0005-0000-0000-0000AF4C0000}"/>
    <cellStyle name="Énfasis2 13 7" xfId="19673" xr:uid="{00000000-0005-0000-0000-0000B04C0000}"/>
    <cellStyle name="Énfasis2 13 8" xfId="19674" xr:uid="{00000000-0005-0000-0000-0000B14C0000}"/>
    <cellStyle name="Énfasis2 13 9" xfId="19675" xr:uid="{00000000-0005-0000-0000-0000B24C0000}"/>
    <cellStyle name="Énfasis2 14 10" xfId="19676" xr:uid="{00000000-0005-0000-0000-0000B34C0000}"/>
    <cellStyle name="Énfasis2 14 11" xfId="19677" xr:uid="{00000000-0005-0000-0000-0000B44C0000}"/>
    <cellStyle name="Énfasis2 14 12" xfId="19678" xr:uid="{00000000-0005-0000-0000-0000B54C0000}"/>
    <cellStyle name="Énfasis2 14 13" xfId="19679" xr:uid="{00000000-0005-0000-0000-0000B64C0000}"/>
    <cellStyle name="Énfasis2 14 14" xfId="19680" xr:uid="{00000000-0005-0000-0000-0000B74C0000}"/>
    <cellStyle name="Énfasis2 14 15" xfId="19681" xr:uid="{00000000-0005-0000-0000-0000B84C0000}"/>
    <cellStyle name="Énfasis2 14 16" xfId="19682" xr:uid="{00000000-0005-0000-0000-0000B94C0000}"/>
    <cellStyle name="Énfasis2 14 17" xfId="19683" xr:uid="{00000000-0005-0000-0000-0000BA4C0000}"/>
    <cellStyle name="Énfasis2 14 18" xfId="19684" xr:uid="{00000000-0005-0000-0000-0000BB4C0000}"/>
    <cellStyle name="Énfasis2 14 19" xfId="19685" xr:uid="{00000000-0005-0000-0000-0000BC4C0000}"/>
    <cellStyle name="Énfasis2 14 2" xfId="19686" xr:uid="{00000000-0005-0000-0000-0000BD4C0000}"/>
    <cellStyle name="Énfasis2 14 2 2" xfId="19687" xr:uid="{00000000-0005-0000-0000-0000BE4C0000}"/>
    <cellStyle name="Énfasis2 14 3" xfId="19688" xr:uid="{00000000-0005-0000-0000-0000BF4C0000}"/>
    <cellStyle name="Énfasis2 14 3 2" xfId="19689" xr:uid="{00000000-0005-0000-0000-0000C04C0000}"/>
    <cellStyle name="Énfasis2 14 4" xfId="19690" xr:uid="{00000000-0005-0000-0000-0000C14C0000}"/>
    <cellStyle name="Énfasis2 14 4 2" xfId="19691" xr:uid="{00000000-0005-0000-0000-0000C24C0000}"/>
    <cellStyle name="Énfasis2 14 5" xfId="19692" xr:uid="{00000000-0005-0000-0000-0000C34C0000}"/>
    <cellStyle name="Énfasis2 14 6" xfId="19693" xr:uid="{00000000-0005-0000-0000-0000C44C0000}"/>
    <cellStyle name="Énfasis2 14 7" xfId="19694" xr:uid="{00000000-0005-0000-0000-0000C54C0000}"/>
    <cellStyle name="Énfasis2 14 8" xfId="19695" xr:uid="{00000000-0005-0000-0000-0000C64C0000}"/>
    <cellStyle name="Énfasis2 14 9" xfId="19696" xr:uid="{00000000-0005-0000-0000-0000C74C0000}"/>
    <cellStyle name="Énfasis2 15 10" xfId="19697" xr:uid="{00000000-0005-0000-0000-0000C84C0000}"/>
    <cellStyle name="Énfasis2 15 11" xfId="19698" xr:uid="{00000000-0005-0000-0000-0000C94C0000}"/>
    <cellStyle name="Énfasis2 15 12" xfId="19699" xr:uid="{00000000-0005-0000-0000-0000CA4C0000}"/>
    <cellStyle name="Énfasis2 15 13" xfId="19700" xr:uid="{00000000-0005-0000-0000-0000CB4C0000}"/>
    <cellStyle name="Énfasis2 15 14" xfId="19701" xr:uid="{00000000-0005-0000-0000-0000CC4C0000}"/>
    <cellStyle name="Énfasis2 15 15" xfId="19702" xr:uid="{00000000-0005-0000-0000-0000CD4C0000}"/>
    <cellStyle name="Énfasis2 15 16" xfId="19703" xr:uid="{00000000-0005-0000-0000-0000CE4C0000}"/>
    <cellStyle name="Énfasis2 15 17" xfId="19704" xr:uid="{00000000-0005-0000-0000-0000CF4C0000}"/>
    <cellStyle name="Énfasis2 15 18" xfId="19705" xr:uid="{00000000-0005-0000-0000-0000D04C0000}"/>
    <cellStyle name="Énfasis2 15 19" xfId="19706" xr:uid="{00000000-0005-0000-0000-0000D14C0000}"/>
    <cellStyle name="Énfasis2 15 2" xfId="19707" xr:uid="{00000000-0005-0000-0000-0000D24C0000}"/>
    <cellStyle name="Énfasis2 15 2 2" xfId="19708" xr:uid="{00000000-0005-0000-0000-0000D34C0000}"/>
    <cellStyle name="Énfasis2 15 3" xfId="19709" xr:uid="{00000000-0005-0000-0000-0000D44C0000}"/>
    <cellStyle name="Énfasis2 15 3 2" xfId="19710" xr:uid="{00000000-0005-0000-0000-0000D54C0000}"/>
    <cellStyle name="Énfasis2 15 4" xfId="19711" xr:uid="{00000000-0005-0000-0000-0000D64C0000}"/>
    <cellStyle name="Énfasis2 15 4 2" xfId="19712" xr:uid="{00000000-0005-0000-0000-0000D74C0000}"/>
    <cellStyle name="Énfasis2 15 5" xfId="19713" xr:uid="{00000000-0005-0000-0000-0000D84C0000}"/>
    <cellStyle name="Énfasis2 15 6" xfId="19714" xr:uid="{00000000-0005-0000-0000-0000D94C0000}"/>
    <cellStyle name="Énfasis2 15 7" xfId="19715" xr:uid="{00000000-0005-0000-0000-0000DA4C0000}"/>
    <cellStyle name="Énfasis2 15 8" xfId="19716" xr:uid="{00000000-0005-0000-0000-0000DB4C0000}"/>
    <cellStyle name="Énfasis2 15 9" xfId="19717" xr:uid="{00000000-0005-0000-0000-0000DC4C0000}"/>
    <cellStyle name="Énfasis2 16 10" xfId="19718" xr:uid="{00000000-0005-0000-0000-0000DD4C0000}"/>
    <cellStyle name="Énfasis2 16 11" xfId="19719" xr:uid="{00000000-0005-0000-0000-0000DE4C0000}"/>
    <cellStyle name="Énfasis2 16 12" xfId="19720" xr:uid="{00000000-0005-0000-0000-0000DF4C0000}"/>
    <cellStyle name="Énfasis2 16 13" xfId="19721" xr:uid="{00000000-0005-0000-0000-0000E04C0000}"/>
    <cellStyle name="Énfasis2 16 14" xfId="19722" xr:uid="{00000000-0005-0000-0000-0000E14C0000}"/>
    <cellStyle name="Énfasis2 16 15" xfId="19723" xr:uid="{00000000-0005-0000-0000-0000E24C0000}"/>
    <cellStyle name="Énfasis2 16 16" xfId="19724" xr:uid="{00000000-0005-0000-0000-0000E34C0000}"/>
    <cellStyle name="Énfasis2 16 17" xfId="19725" xr:uid="{00000000-0005-0000-0000-0000E44C0000}"/>
    <cellStyle name="Énfasis2 16 18" xfId="19726" xr:uid="{00000000-0005-0000-0000-0000E54C0000}"/>
    <cellStyle name="Énfasis2 16 19" xfId="19727" xr:uid="{00000000-0005-0000-0000-0000E64C0000}"/>
    <cellStyle name="Énfasis2 16 2" xfId="19728" xr:uid="{00000000-0005-0000-0000-0000E74C0000}"/>
    <cellStyle name="Énfasis2 16 2 2" xfId="19729" xr:uid="{00000000-0005-0000-0000-0000E84C0000}"/>
    <cellStyle name="Énfasis2 16 3" xfId="19730" xr:uid="{00000000-0005-0000-0000-0000E94C0000}"/>
    <cellStyle name="Énfasis2 16 3 2" xfId="19731" xr:uid="{00000000-0005-0000-0000-0000EA4C0000}"/>
    <cellStyle name="Énfasis2 16 4" xfId="19732" xr:uid="{00000000-0005-0000-0000-0000EB4C0000}"/>
    <cellStyle name="Énfasis2 16 4 2" xfId="19733" xr:uid="{00000000-0005-0000-0000-0000EC4C0000}"/>
    <cellStyle name="Énfasis2 16 5" xfId="19734" xr:uid="{00000000-0005-0000-0000-0000ED4C0000}"/>
    <cellStyle name="Énfasis2 16 6" xfId="19735" xr:uid="{00000000-0005-0000-0000-0000EE4C0000}"/>
    <cellStyle name="Énfasis2 16 7" xfId="19736" xr:uid="{00000000-0005-0000-0000-0000EF4C0000}"/>
    <cellStyle name="Énfasis2 16 8" xfId="19737" xr:uid="{00000000-0005-0000-0000-0000F04C0000}"/>
    <cellStyle name="Énfasis2 16 9" xfId="19738" xr:uid="{00000000-0005-0000-0000-0000F14C0000}"/>
    <cellStyle name="Énfasis2 17 10" xfId="19739" xr:uid="{00000000-0005-0000-0000-0000F24C0000}"/>
    <cellStyle name="Énfasis2 17 11" xfId="19740" xr:uid="{00000000-0005-0000-0000-0000F34C0000}"/>
    <cellStyle name="Énfasis2 17 12" xfId="19741" xr:uid="{00000000-0005-0000-0000-0000F44C0000}"/>
    <cellStyle name="Énfasis2 17 13" xfId="19742" xr:uid="{00000000-0005-0000-0000-0000F54C0000}"/>
    <cellStyle name="Énfasis2 17 14" xfId="19743" xr:uid="{00000000-0005-0000-0000-0000F64C0000}"/>
    <cellStyle name="Énfasis2 17 15" xfId="19744" xr:uid="{00000000-0005-0000-0000-0000F74C0000}"/>
    <cellStyle name="Énfasis2 17 16" xfId="19745" xr:uid="{00000000-0005-0000-0000-0000F84C0000}"/>
    <cellStyle name="Énfasis2 17 17" xfId="19746" xr:uid="{00000000-0005-0000-0000-0000F94C0000}"/>
    <cellStyle name="Énfasis2 17 18" xfId="19747" xr:uid="{00000000-0005-0000-0000-0000FA4C0000}"/>
    <cellStyle name="Énfasis2 17 19" xfId="19748" xr:uid="{00000000-0005-0000-0000-0000FB4C0000}"/>
    <cellStyle name="Énfasis2 17 2" xfId="19749" xr:uid="{00000000-0005-0000-0000-0000FC4C0000}"/>
    <cellStyle name="Énfasis2 17 2 2" xfId="19750" xr:uid="{00000000-0005-0000-0000-0000FD4C0000}"/>
    <cellStyle name="Énfasis2 17 3" xfId="19751" xr:uid="{00000000-0005-0000-0000-0000FE4C0000}"/>
    <cellStyle name="Énfasis2 17 3 2" xfId="19752" xr:uid="{00000000-0005-0000-0000-0000FF4C0000}"/>
    <cellStyle name="Énfasis2 17 4" xfId="19753" xr:uid="{00000000-0005-0000-0000-0000004D0000}"/>
    <cellStyle name="Énfasis2 17 4 2" xfId="19754" xr:uid="{00000000-0005-0000-0000-0000014D0000}"/>
    <cellStyle name="Énfasis2 17 5" xfId="19755" xr:uid="{00000000-0005-0000-0000-0000024D0000}"/>
    <cellStyle name="Énfasis2 17 6" xfId="19756" xr:uid="{00000000-0005-0000-0000-0000034D0000}"/>
    <cellStyle name="Énfasis2 17 7" xfId="19757" xr:uid="{00000000-0005-0000-0000-0000044D0000}"/>
    <cellStyle name="Énfasis2 17 8" xfId="19758" xr:uid="{00000000-0005-0000-0000-0000054D0000}"/>
    <cellStyle name="Énfasis2 17 9" xfId="19759" xr:uid="{00000000-0005-0000-0000-0000064D0000}"/>
    <cellStyle name="Énfasis2 18 10" xfId="19760" xr:uid="{00000000-0005-0000-0000-0000074D0000}"/>
    <cellStyle name="Énfasis2 18 11" xfId="19761" xr:uid="{00000000-0005-0000-0000-0000084D0000}"/>
    <cellStyle name="Énfasis2 18 12" xfId="19762" xr:uid="{00000000-0005-0000-0000-0000094D0000}"/>
    <cellStyle name="Énfasis2 18 13" xfId="19763" xr:uid="{00000000-0005-0000-0000-00000A4D0000}"/>
    <cellStyle name="Énfasis2 18 14" xfId="19764" xr:uid="{00000000-0005-0000-0000-00000B4D0000}"/>
    <cellStyle name="Énfasis2 18 15" xfId="19765" xr:uid="{00000000-0005-0000-0000-00000C4D0000}"/>
    <cellStyle name="Énfasis2 18 16" xfId="19766" xr:uid="{00000000-0005-0000-0000-00000D4D0000}"/>
    <cellStyle name="Énfasis2 18 17" xfId="19767" xr:uid="{00000000-0005-0000-0000-00000E4D0000}"/>
    <cellStyle name="Énfasis2 18 18" xfId="19768" xr:uid="{00000000-0005-0000-0000-00000F4D0000}"/>
    <cellStyle name="Énfasis2 18 19" xfId="19769" xr:uid="{00000000-0005-0000-0000-0000104D0000}"/>
    <cellStyle name="Énfasis2 18 2" xfId="19770" xr:uid="{00000000-0005-0000-0000-0000114D0000}"/>
    <cellStyle name="Énfasis2 18 2 2" xfId="19771" xr:uid="{00000000-0005-0000-0000-0000124D0000}"/>
    <cellStyle name="Énfasis2 18 3" xfId="19772" xr:uid="{00000000-0005-0000-0000-0000134D0000}"/>
    <cellStyle name="Énfasis2 18 3 2" xfId="19773" xr:uid="{00000000-0005-0000-0000-0000144D0000}"/>
    <cellStyle name="Énfasis2 18 4" xfId="19774" xr:uid="{00000000-0005-0000-0000-0000154D0000}"/>
    <cellStyle name="Énfasis2 18 4 2" xfId="19775" xr:uid="{00000000-0005-0000-0000-0000164D0000}"/>
    <cellStyle name="Énfasis2 18 5" xfId="19776" xr:uid="{00000000-0005-0000-0000-0000174D0000}"/>
    <cellStyle name="Énfasis2 18 6" xfId="19777" xr:uid="{00000000-0005-0000-0000-0000184D0000}"/>
    <cellStyle name="Énfasis2 18 7" xfId="19778" xr:uid="{00000000-0005-0000-0000-0000194D0000}"/>
    <cellStyle name="Énfasis2 18 8" xfId="19779" xr:uid="{00000000-0005-0000-0000-00001A4D0000}"/>
    <cellStyle name="Énfasis2 18 9" xfId="19780" xr:uid="{00000000-0005-0000-0000-00001B4D0000}"/>
    <cellStyle name="Énfasis2 19 10" xfId="19781" xr:uid="{00000000-0005-0000-0000-00001C4D0000}"/>
    <cellStyle name="Énfasis2 19 11" xfId="19782" xr:uid="{00000000-0005-0000-0000-00001D4D0000}"/>
    <cellStyle name="Énfasis2 19 12" xfId="19783" xr:uid="{00000000-0005-0000-0000-00001E4D0000}"/>
    <cellStyle name="Énfasis2 19 13" xfId="19784" xr:uid="{00000000-0005-0000-0000-00001F4D0000}"/>
    <cellStyle name="Énfasis2 19 14" xfId="19785" xr:uid="{00000000-0005-0000-0000-0000204D0000}"/>
    <cellStyle name="Énfasis2 19 15" xfId="19786" xr:uid="{00000000-0005-0000-0000-0000214D0000}"/>
    <cellStyle name="Énfasis2 19 16" xfId="19787" xr:uid="{00000000-0005-0000-0000-0000224D0000}"/>
    <cellStyle name="Énfasis2 19 17" xfId="19788" xr:uid="{00000000-0005-0000-0000-0000234D0000}"/>
    <cellStyle name="Énfasis2 19 18" xfId="19789" xr:uid="{00000000-0005-0000-0000-0000244D0000}"/>
    <cellStyle name="Énfasis2 19 19" xfId="19790" xr:uid="{00000000-0005-0000-0000-0000254D0000}"/>
    <cellStyle name="Énfasis2 19 2" xfId="19791" xr:uid="{00000000-0005-0000-0000-0000264D0000}"/>
    <cellStyle name="Énfasis2 19 2 2" xfId="19792" xr:uid="{00000000-0005-0000-0000-0000274D0000}"/>
    <cellStyle name="Énfasis2 19 3" xfId="19793" xr:uid="{00000000-0005-0000-0000-0000284D0000}"/>
    <cellStyle name="Énfasis2 19 3 2" xfId="19794" xr:uid="{00000000-0005-0000-0000-0000294D0000}"/>
    <cellStyle name="Énfasis2 19 4" xfId="19795" xr:uid="{00000000-0005-0000-0000-00002A4D0000}"/>
    <cellStyle name="Énfasis2 19 4 2" xfId="19796" xr:uid="{00000000-0005-0000-0000-00002B4D0000}"/>
    <cellStyle name="Énfasis2 19 5" xfId="19797" xr:uid="{00000000-0005-0000-0000-00002C4D0000}"/>
    <cellStyle name="Énfasis2 19 6" xfId="19798" xr:uid="{00000000-0005-0000-0000-00002D4D0000}"/>
    <cellStyle name="Énfasis2 19 7" xfId="19799" xr:uid="{00000000-0005-0000-0000-00002E4D0000}"/>
    <cellStyle name="Énfasis2 19 8" xfId="19800" xr:uid="{00000000-0005-0000-0000-00002F4D0000}"/>
    <cellStyle name="Énfasis2 19 9" xfId="19801" xr:uid="{00000000-0005-0000-0000-0000304D0000}"/>
    <cellStyle name="Énfasis2 2 10" xfId="19802" xr:uid="{00000000-0005-0000-0000-0000314D0000}"/>
    <cellStyle name="Énfasis2 2 11" xfId="19803" xr:uid="{00000000-0005-0000-0000-0000324D0000}"/>
    <cellStyle name="Énfasis2 2 12" xfId="19804" xr:uid="{00000000-0005-0000-0000-0000334D0000}"/>
    <cellStyle name="Énfasis2 2 13" xfId="19805" xr:uid="{00000000-0005-0000-0000-0000344D0000}"/>
    <cellStyle name="Énfasis2 2 14" xfId="19806" xr:uid="{00000000-0005-0000-0000-0000354D0000}"/>
    <cellStyle name="Énfasis2 2 15" xfId="19807" xr:uid="{00000000-0005-0000-0000-0000364D0000}"/>
    <cellStyle name="Énfasis2 2 16" xfId="19808" xr:uid="{00000000-0005-0000-0000-0000374D0000}"/>
    <cellStyle name="Énfasis2 2 17" xfId="19809" xr:uid="{00000000-0005-0000-0000-0000384D0000}"/>
    <cellStyle name="Énfasis2 2 18" xfId="19810" xr:uid="{00000000-0005-0000-0000-0000394D0000}"/>
    <cellStyle name="Énfasis2 2 19" xfId="19811" xr:uid="{00000000-0005-0000-0000-00003A4D0000}"/>
    <cellStyle name="Énfasis2 2 2" xfId="19812" xr:uid="{00000000-0005-0000-0000-00003B4D0000}"/>
    <cellStyle name="Énfasis2 2 2 2" xfId="19813" xr:uid="{00000000-0005-0000-0000-00003C4D0000}"/>
    <cellStyle name="Énfasis2 2 3" xfId="19814" xr:uid="{00000000-0005-0000-0000-00003D4D0000}"/>
    <cellStyle name="Énfasis2 2 3 2" xfId="19815" xr:uid="{00000000-0005-0000-0000-00003E4D0000}"/>
    <cellStyle name="Énfasis2 2 4" xfId="19816" xr:uid="{00000000-0005-0000-0000-00003F4D0000}"/>
    <cellStyle name="Énfasis2 2 4 2" xfId="19817" xr:uid="{00000000-0005-0000-0000-0000404D0000}"/>
    <cellStyle name="Énfasis2 2 5" xfId="19818" xr:uid="{00000000-0005-0000-0000-0000414D0000}"/>
    <cellStyle name="Énfasis2 2 6" xfId="19819" xr:uid="{00000000-0005-0000-0000-0000424D0000}"/>
    <cellStyle name="Énfasis2 2 7" xfId="19820" xr:uid="{00000000-0005-0000-0000-0000434D0000}"/>
    <cellStyle name="Énfasis2 2 8" xfId="19821" xr:uid="{00000000-0005-0000-0000-0000444D0000}"/>
    <cellStyle name="Énfasis2 2 9" xfId="19822" xr:uid="{00000000-0005-0000-0000-0000454D0000}"/>
    <cellStyle name="Énfasis2 20 10" xfId="19823" xr:uid="{00000000-0005-0000-0000-0000464D0000}"/>
    <cellStyle name="Énfasis2 20 11" xfId="19824" xr:uid="{00000000-0005-0000-0000-0000474D0000}"/>
    <cellStyle name="Énfasis2 20 12" xfId="19825" xr:uid="{00000000-0005-0000-0000-0000484D0000}"/>
    <cellStyle name="Énfasis2 20 13" xfId="19826" xr:uid="{00000000-0005-0000-0000-0000494D0000}"/>
    <cellStyle name="Énfasis2 20 14" xfId="19827" xr:uid="{00000000-0005-0000-0000-00004A4D0000}"/>
    <cellStyle name="Énfasis2 20 15" xfId="19828" xr:uid="{00000000-0005-0000-0000-00004B4D0000}"/>
    <cellStyle name="Énfasis2 20 16" xfId="19829" xr:uid="{00000000-0005-0000-0000-00004C4D0000}"/>
    <cellStyle name="Énfasis2 20 17" xfId="19830" xr:uid="{00000000-0005-0000-0000-00004D4D0000}"/>
    <cellStyle name="Énfasis2 20 18" xfId="19831" xr:uid="{00000000-0005-0000-0000-00004E4D0000}"/>
    <cellStyle name="Énfasis2 20 19" xfId="19832" xr:uid="{00000000-0005-0000-0000-00004F4D0000}"/>
    <cellStyle name="Énfasis2 20 2" xfId="19833" xr:uid="{00000000-0005-0000-0000-0000504D0000}"/>
    <cellStyle name="Énfasis2 20 2 2" xfId="19834" xr:uid="{00000000-0005-0000-0000-0000514D0000}"/>
    <cellStyle name="Énfasis2 20 3" xfId="19835" xr:uid="{00000000-0005-0000-0000-0000524D0000}"/>
    <cellStyle name="Énfasis2 20 3 2" xfId="19836" xr:uid="{00000000-0005-0000-0000-0000534D0000}"/>
    <cellStyle name="Énfasis2 20 4" xfId="19837" xr:uid="{00000000-0005-0000-0000-0000544D0000}"/>
    <cellStyle name="Énfasis2 20 4 2" xfId="19838" xr:uid="{00000000-0005-0000-0000-0000554D0000}"/>
    <cellStyle name="Énfasis2 20 5" xfId="19839" xr:uid="{00000000-0005-0000-0000-0000564D0000}"/>
    <cellStyle name="Énfasis2 20 6" xfId="19840" xr:uid="{00000000-0005-0000-0000-0000574D0000}"/>
    <cellStyle name="Énfasis2 20 7" xfId="19841" xr:uid="{00000000-0005-0000-0000-0000584D0000}"/>
    <cellStyle name="Énfasis2 20 8" xfId="19842" xr:uid="{00000000-0005-0000-0000-0000594D0000}"/>
    <cellStyle name="Énfasis2 20 9" xfId="19843" xr:uid="{00000000-0005-0000-0000-00005A4D0000}"/>
    <cellStyle name="Énfasis2 21 10" xfId="19844" xr:uid="{00000000-0005-0000-0000-00005B4D0000}"/>
    <cellStyle name="Énfasis2 21 11" xfId="19845" xr:uid="{00000000-0005-0000-0000-00005C4D0000}"/>
    <cellStyle name="Énfasis2 21 12" xfId="19846" xr:uid="{00000000-0005-0000-0000-00005D4D0000}"/>
    <cellStyle name="Énfasis2 21 13" xfId="19847" xr:uid="{00000000-0005-0000-0000-00005E4D0000}"/>
    <cellStyle name="Énfasis2 21 14" xfId="19848" xr:uid="{00000000-0005-0000-0000-00005F4D0000}"/>
    <cellStyle name="Énfasis2 21 15" xfId="19849" xr:uid="{00000000-0005-0000-0000-0000604D0000}"/>
    <cellStyle name="Énfasis2 21 16" xfId="19850" xr:uid="{00000000-0005-0000-0000-0000614D0000}"/>
    <cellStyle name="Énfasis2 21 17" xfId="19851" xr:uid="{00000000-0005-0000-0000-0000624D0000}"/>
    <cellStyle name="Énfasis2 21 18" xfId="19852" xr:uid="{00000000-0005-0000-0000-0000634D0000}"/>
    <cellStyle name="Énfasis2 21 19" xfId="19853" xr:uid="{00000000-0005-0000-0000-0000644D0000}"/>
    <cellStyle name="Énfasis2 21 2" xfId="19854" xr:uid="{00000000-0005-0000-0000-0000654D0000}"/>
    <cellStyle name="Énfasis2 21 2 2" xfId="19855" xr:uid="{00000000-0005-0000-0000-0000664D0000}"/>
    <cellStyle name="Énfasis2 21 3" xfId="19856" xr:uid="{00000000-0005-0000-0000-0000674D0000}"/>
    <cellStyle name="Énfasis2 21 3 2" xfId="19857" xr:uid="{00000000-0005-0000-0000-0000684D0000}"/>
    <cellStyle name="Énfasis2 21 4" xfId="19858" xr:uid="{00000000-0005-0000-0000-0000694D0000}"/>
    <cellStyle name="Énfasis2 21 4 2" xfId="19859" xr:uid="{00000000-0005-0000-0000-00006A4D0000}"/>
    <cellStyle name="Énfasis2 21 5" xfId="19860" xr:uid="{00000000-0005-0000-0000-00006B4D0000}"/>
    <cellStyle name="Énfasis2 21 6" xfId="19861" xr:uid="{00000000-0005-0000-0000-00006C4D0000}"/>
    <cellStyle name="Énfasis2 21 7" xfId="19862" xr:uid="{00000000-0005-0000-0000-00006D4D0000}"/>
    <cellStyle name="Énfasis2 21 8" xfId="19863" xr:uid="{00000000-0005-0000-0000-00006E4D0000}"/>
    <cellStyle name="Énfasis2 21 9" xfId="19864" xr:uid="{00000000-0005-0000-0000-00006F4D0000}"/>
    <cellStyle name="Énfasis2 22 10" xfId="19865" xr:uid="{00000000-0005-0000-0000-0000704D0000}"/>
    <cellStyle name="Énfasis2 22 11" xfId="19866" xr:uid="{00000000-0005-0000-0000-0000714D0000}"/>
    <cellStyle name="Énfasis2 22 12" xfId="19867" xr:uid="{00000000-0005-0000-0000-0000724D0000}"/>
    <cellStyle name="Énfasis2 22 13" xfId="19868" xr:uid="{00000000-0005-0000-0000-0000734D0000}"/>
    <cellStyle name="Énfasis2 22 14" xfId="19869" xr:uid="{00000000-0005-0000-0000-0000744D0000}"/>
    <cellStyle name="Énfasis2 22 15" xfId="19870" xr:uid="{00000000-0005-0000-0000-0000754D0000}"/>
    <cellStyle name="Énfasis2 22 16" xfId="19871" xr:uid="{00000000-0005-0000-0000-0000764D0000}"/>
    <cellStyle name="Énfasis2 22 17" xfId="19872" xr:uid="{00000000-0005-0000-0000-0000774D0000}"/>
    <cellStyle name="Énfasis2 22 18" xfId="19873" xr:uid="{00000000-0005-0000-0000-0000784D0000}"/>
    <cellStyle name="Énfasis2 22 19" xfId="19874" xr:uid="{00000000-0005-0000-0000-0000794D0000}"/>
    <cellStyle name="Énfasis2 22 2" xfId="19875" xr:uid="{00000000-0005-0000-0000-00007A4D0000}"/>
    <cellStyle name="Énfasis2 22 2 2" xfId="19876" xr:uid="{00000000-0005-0000-0000-00007B4D0000}"/>
    <cellStyle name="Énfasis2 22 3" xfId="19877" xr:uid="{00000000-0005-0000-0000-00007C4D0000}"/>
    <cellStyle name="Énfasis2 22 3 2" xfId="19878" xr:uid="{00000000-0005-0000-0000-00007D4D0000}"/>
    <cellStyle name="Énfasis2 22 4" xfId="19879" xr:uid="{00000000-0005-0000-0000-00007E4D0000}"/>
    <cellStyle name="Énfasis2 22 4 2" xfId="19880" xr:uid="{00000000-0005-0000-0000-00007F4D0000}"/>
    <cellStyle name="Énfasis2 22 5" xfId="19881" xr:uid="{00000000-0005-0000-0000-0000804D0000}"/>
    <cellStyle name="Énfasis2 22 6" xfId="19882" xr:uid="{00000000-0005-0000-0000-0000814D0000}"/>
    <cellStyle name="Énfasis2 22 7" xfId="19883" xr:uid="{00000000-0005-0000-0000-0000824D0000}"/>
    <cellStyle name="Énfasis2 22 8" xfId="19884" xr:uid="{00000000-0005-0000-0000-0000834D0000}"/>
    <cellStyle name="Énfasis2 22 9" xfId="19885" xr:uid="{00000000-0005-0000-0000-0000844D0000}"/>
    <cellStyle name="Énfasis2 23 10" xfId="19886" xr:uid="{00000000-0005-0000-0000-0000854D0000}"/>
    <cellStyle name="Énfasis2 23 11" xfId="19887" xr:uid="{00000000-0005-0000-0000-0000864D0000}"/>
    <cellStyle name="Énfasis2 23 12" xfId="19888" xr:uid="{00000000-0005-0000-0000-0000874D0000}"/>
    <cellStyle name="Énfasis2 23 13" xfId="19889" xr:uid="{00000000-0005-0000-0000-0000884D0000}"/>
    <cellStyle name="Énfasis2 23 14" xfId="19890" xr:uid="{00000000-0005-0000-0000-0000894D0000}"/>
    <cellStyle name="Énfasis2 23 15" xfId="19891" xr:uid="{00000000-0005-0000-0000-00008A4D0000}"/>
    <cellStyle name="Énfasis2 23 16" xfId="19892" xr:uid="{00000000-0005-0000-0000-00008B4D0000}"/>
    <cellStyle name="Énfasis2 23 17" xfId="19893" xr:uid="{00000000-0005-0000-0000-00008C4D0000}"/>
    <cellStyle name="Énfasis2 23 18" xfId="19894" xr:uid="{00000000-0005-0000-0000-00008D4D0000}"/>
    <cellStyle name="Énfasis2 23 19" xfId="19895" xr:uid="{00000000-0005-0000-0000-00008E4D0000}"/>
    <cellStyle name="Énfasis2 23 2" xfId="19896" xr:uid="{00000000-0005-0000-0000-00008F4D0000}"/>
    <cellStyle name="Énfasis2 23 2 2" xfId="19897" xr:uid="{00000000-0005-0000-0000-0000904D0000}"/>
    <cellStyle name="Énfasis2 23 3" xfId="19898" xr:uid="{00000000-0005-0000-0000-0000914D0000}"/>
    <cellStyle name="Énfasis2 23 3 2" xfId="19899" xr:uid="{00000000-0005-0000-0000-0000924D0000}"/>
    <cellStyle name="Énfasis2 23 4" xfId="19900" xr:uid="{00000000-0005-0000-0000-0000934D0000}"/>
    <cellStyle name="Énfasis2 23 4 2" xfId="19901" xr:uid="{00000000-0005-0000-0000-0000944D0000}"/>
    <cellStyle name="Énfasis2 23 5" xfId="19902" xr:uid="{00000000-0005-0000-0000-0000954D0000}"/>
    <cellStyle name="Énfasis2 23 6" xfId="19903" xr:uid="{00000000-0005-0000-0000-0000964D0000}"/>
    <cellStyle name="Énfasis2 23 7" xfId="19904" xr:uid="{00000000-0005-0000-0000-0000974D0000}"/>
    <cellStyle name="Énfasis2 23 8" xfId="19905" xr:uid="{00000000-0005-0000-0000-0000984D0000}"/>
    <cellStyle name="Énfasis2 23 9" xfId="19906" xr:uid="{00000000-0005-0000-0000-0000994D0000}"/>
    <cellStyle name="Énfasis2 24 10" xfId="19907" xr:uid="{00000000-0005-0000-0000-00009A4D0000}"/>
    <cellStyle name="Énfasis2 24 11" xfId="19908" xr:uid="{00000000-0005-0000-0000-00009B4D0000}"/>
    <cellStyle name="Énfasis2 24 12" xfId="19909" xr:uid="{00000000-0005-0000-0000-00009C4D0000}"/>
    <cellStyle name="Énfasis2 24 13" xfId="19910" xr:uid="{00000000-0005-0000-0000-00009D4D0000}"/>
    <cellStyle name="Énfasis2 24 14" xfId="19911" xr:uid="{00000000-0005-0000-0000-00009E4D0000}"/>
    <cellStyle name="Énfasis2 24 15" xfId="19912" xr:uid="{00000000-0005-0000-0000-00009F4D0000}"/>
    <cellStyle name="Énfasis2 24 16" xfId="19913" xr:uid="{00000000-0005-0000-0000-0000A04D0000}"/>
    <cellStyle name="Énfasis2 24 17" xfId="19914" xr:uid="{00000000-0005-0000-0000-0000A14D0000}"/>
    <cellStyle name="Énfasis2 24 18" xfId="19915" xr:uid="{00000000-0005-0000-0000-0000A24D0000}"/>
    <cellStyle name="Énfasis2 24 19" xfId="19916" xr:uid="{00000000-0005-0000-0000-0000A34D0000}"/>
    <cellStyle name="Énfasis2 24 2" xfId="19917" xr:uid="{00000000-0005-0000-0000-0000A44D0000}"/>
    <cellStyle name="Énfasis2 24 2 2" xfId="19918" xr:uid="{00000000-0005-0000-0000-0000A54D0000}"/>
    <cellStyle name="Énfasis2 24 3" xfId="19919" xr:uid="{00000000-0005-0000-0000-0000A64D0000}"/>
    <cellStyle name="Énfasis2 24 3 2" xfId="19920" xr:uid="{00000000-0005-0000-0000-0000A74D0000}"/>
    <cellStyle name="Énfasis2 24 4" xfId="19921" xr:uid="{00000000-0005-0000-0000-0000A84D0000}"/>
    <cellStyle name="Énfasis2 24 4 2" xfId="19922" xr:uid="{00000000-0005-0000-0000-0000A94D0000}"/>
    <cellStyle name="Énfasis2 24 5" xfId="19923" xr:uid="{00000000-0005-0000-0000-0000AA4D0000}"/>
    <cellStyle name="Énfasis2 24 6" xfId="19924" xr:uid="{00000000-0005-0000-0000-0000AB4D0000}"/>
    <cellStyle name="Énfasis2 24 7" xfId="19925" xr:uid="{00000000-0005-0000-0000-0000AC4D0000}"/>
    <cellStyle name="Énfasis2 24 8" xfId="19926" xr:uid="{00000000-0005-0000-0000-0000AD4D0000}"/>
    <cellStyle name="Énfasis2 24 9" xfId="19927" xr:uid="{00000000-0005-0000-0000-0000AE4D0000}"/>
    <cellStyle name="Énfasis2 25 10" xfId="19928" xr:uid="{00000000-0005-0000-0000-0000AF4D0000}"/>
    <cellStyle name="Énfasis2 25 11" xfId="19929" xr:uid="{00000000-0005-0000-0000-0000B04D0000}"/>
    <cellStyle name="Énfasis2 25 12" xfId="19930" xr:uid="{00000000-0005-0000-0000-0000B14D0000}"/>
    <cellStyle name="Énfasis2 25 13" xfId="19931" xr:uid="{00000000-0005-0000-0000-0000B24D0000}"/>
    <cellStyle name="Énfasis2 25 14" xfId="19932" xr:uid="{00000000-0005-0000-0000-0000B34D0000}"/>
    <cellStyle name="Énfasis2 25 15" xfId="19933" xr:uid="{00000000-0005-0000-0000-0000B44D0000}"/>
    <cellStyle name="Énfasis2 25 16" xfId="19934" xr:uid="{00000000-0005-0000-0000-0000B54D0000}"/>
    <cellStyle name="Énfasis2 25 17" xfId="19935" xr:uid="{00000000-0005-0000-0000-0000B64D0000}"/>
    <cellStyle name="Énfasis2 25 18" xfId="19936" xr:uid="{00000000-0005-0000-0000-0000B74D0000}"/>
    <cellStyle name="Énfasis2 25 19" xfId="19937" xr:uid="{00000000-0005-0000-0000-0000B84D0000}"/>
    <cellStyle name="Énfasis2 25 2" xfId="19938" xr:uid="{00000000-0005-0000-0000-0000B94D0000}"/>
    <cellStyle name="Énfasis2 25 2 2" xfId="19939" xr:uid="{00000000-0005-0000-0000-0000BA4D0000}"/>
    <cellStyle name="Énfasis2 25 3" xfId="19940" xr:uid="{00000000-0005-0000-0000-0000BB4D0000}"/>
    <cellStyle name="Énfasis2 25 3 2" xfId="19941" xr:uid="{00000000-0005-0000-0000-0000BC4D0000}"/>
    <cellStyle name="Énfasis2 25 4" xfId="19942" xr:uid="{00000000-0005-0000-0000-0000BD4D0000}"/>
    <cellStyle name="Énfasis2 25 4 2" xfId="19943" xr:uid="{00000000-0005-0000-0000-0000BE4D0000}"/>
    <cellStyle name="Énfasis2 25 5" xfId="19944" xr:uid="{00000000-0005-0000-0000-0000BF4D0000}"/>
    <cellStyle name="Énfasis2 25 6" xfId="19945" xr:uid="{00000000-0005-0000-0000-0000C04D0000}"/>
    <cellStyle name="Énfasis2 25 7" xfId="19946" xr:uid="{00000000-0005-0000-0000-0000C14D0000}"/>
    <cellStyle name="Énfasis2 25 8" xfId="19947" xr:uid="{00000000-0005-0000-0000-0000C24D0000}"/>
    <cellStyle name="Énfasis2 25 9" xfId="19948" xr:uid="{00000000-0005-0000-0000-0000C34D0000}"/>
    <cellStyle name="Énfasis2 26 10" xfId="19949" xr:uid="{00000000-0005-0000-0000-0000C44D0000}"/>
    <cellStyle name="Énfasis2 26 11" xfId="19950" xr:uid="{00000000-0005-0000-0000-0000C54D0000}"/>
    <cellStyle name="Énfasis2 26 12" xfId="19951" xr:uid="{00000000-0005-0000-0000-0000C64D0000}"/>
    <cellStyle name="Énfasis2 26 13" xfId="19952" xr:uid="{00000000-0005-0000-0000-0000C74D0000}"/>
    <cellStyle name="Énfasis2 26 14" xfId="19953" xr:uid="{00000000-0005-0000-0000-0000C84D0000}"/>
    <cellStyle name="Énfasis2 26 15" xfId="19954" xr:uid="{00000000-0005-0000-0000-0000C94D0000}"/>
    <cellStyle name="Énfasis2 26 16" xfId="19955" xr:uid="{00000000-0005-0000-0000-0000CA4D0000}"/>
    <cellStyle name="Énfasis2 26 17" xfId="19956" xr:uid="{00000000-0005-0000-0000-0000CB4D0000}"/>
    <cellStyle name="Énfasis2 26 18" xfId="19957" xr:uid="{00000000-0005-0000-0000-0000CC4D0000}"/>
    <cellStyle name="Énfasis2 26 19" xfId="19958" xr:uid="{00000000-0005-0000-0000-0000CD4D0000}"/>
    <cellStyle name="Énfasis2 26 2" xfId="19959" xr:uid="{00000000-0005-0000-0000-0000CE4D0000}"/>
    <cellStyle name="Énfasis2 26 2 2" xfId="19960" xr:uid="{00000000-0005-0000-0000-0000CF4D0000}"/>
    <cellStyle name="Énfasis2 26 3" xfId="19961" xr:uid="{00000000-0005-0000-0000-0000D04D0000}"/>
    <cellStyle name="Énfasis2 26 3 2" xfId="19962" xr:uid="{00000000-0005-0000-0000-0000D14D0000}"/>
    <cellStyle name="Énfasis2 26 4" xfId="19963" xr:uid="{00000000-0005-0000-0000-0000D24D0000}"/>
    <cellStyle name="Énfasis2 26 4 2" xfId="19964" xr:uid="{00000000-0005-0000-0000-0000D34D0000}"/>
    <cellStyle name="Énfasis2 26 5" xfId="19965" xr:uid="{00000000-0005-0000-0000-0000D44D0000}"/>
    <cellStyle name="Énfasis2 26 6" xfId="19966" xr:uid="{00000000-0005-0000-0000-0000D54D0000}"/>
    <cellStyle name="Énfasis2 26 7" xfId="19967" xr:uid="{00000000-0005-0000-0000-0000D64D0000}"/>
    <cellStyle name="Énfasis2 26 8" xfId="19968" xr:uid="{00000000-0005-0000-0000-0000D74D0000}"/>
    <cellStyle name="Énfasis2 26 9" xfId="19969" xr:uid="{00000000-0005-0000-0000-0000D84D0000}"/>
    <cellStyle name="Énfasis2 27 10" xfId="19970" xr:uid="{00000000-0005-0000-0000-0000D94D0000}"/>
    <cellStyle name="Énfasis2 27 11" xfId="19971" xr:uid="{00000000-0005-0000-0000-0000DA4D0000}"/>
    <cellStyle name="Énfasis2 27 12" xfId="19972" xr:uid="{00000000-0005-0000-0000-0000DB4D0000}"/>
    <cellStyle name="Énfasis2 27 13" xfId="19973" xr:uid="{00000000-0005-0000-0000-0000DC4D0000}"/>
    <cellStyle name="Énfasis2 27 14" xfId="19974" xr:uid="{00000000-0005-0000-0000-0000DD4D0000}"/>
    <cellStyle name="Énfasis2 27 15" xfId="19975" xr:uid="{00000000-0005-0000-0000-0000DE4D0000}"/>
    <cellStyle name="Énfasis2 27 16" xfId="19976" xr:uid="{00000000-0005-0000-0000-0000DF4D0000}"/>
    <cellStyle name="Énfasis2 27 17" xfId="19977" xr:uid="{00000000-0005-0000-0000-0000E04D0000}"/>
    <cellStyle name="Énfasis2 27 18" xfId="19978" xr:uid="{00000000-0005-0000-0000-0000E14D0000}"/>
    <cellStyle name="Énfasis2 27 19" xfId="19979" xr:uid="{00000000-0005-0000-0000-0000E24D0000}"/>
    <cellStyle name="Énfasis2 27 2" xfId="19980" xr:uid="{00000000-0005-0000-0000-0000E34D0000}"/>
    <cellStyle name="Énfasis2 27 2 2" xfId="19981" xr:uid="{00000000-0005-0000-0000-0000E44D0000}"/>
    <cellStyle name="Énfasis2 27 3" xfId="19982" xr:uid="{00000000-0005-0000-0000-0000E54D0000}"/>
    <cellStyle name="Énfasis2 27 3 2" xfId="19983" xr:uid="{00000000-0005-0000-0000-0000E64D0000}"/>
    <cellStyle name="Énfasis2 27 4" xfId="19984" xr:uid="{00000000-0005-0000-0000-0000E74D0000}"/>
    <cellStyle name="Énfasis2 27 4 2" xfId="19985" xr:uid="{00000000-0005-0000-0000-0000E84D0000}"/>
    <cellStyle name="Énfasis2 27 5" xfId="19986" xr:uid="{00000000-0005-0000-0000-0000E94D0000}"/>
    <cellStyle name="Énfasis2 27 6" xfId="19987" xr:uid="{00000000-0005-0000-0000-0000EA4D0000}"/>
    <cellStyle name="Énfasis2 27 7" xfId="19988" xr:uid="{00000000-0005-0000-0000-0000EB4D0000}"/>
    <cellStyle name="Énfasis2 27 8" xfId="19989" xr:uid="{00000000-0005-0000-0000-0000EC4D0000}"/>
    <cellStyle name="Énfasis2 27 9" xfId="19990" xr:uid="{00000000-0005-0000-0000-0000ED4D0000}"/>
    <cellStyle name="Énfasis2 28 10" xfId="19991" xr:uid="{00000000-0005-0000-0000-0000EE4D0000}"/>
    <cellStyle name="Énfasis2 28 11" xfId="19992" xr:uid="{00000000-0005-0000-0000-0000EF4D0000}"/>
    <cellStyle name="Énfasis2 28 12" xfId="19993" xr:uid="{00000000-0005-0000-0000-0000F04D0000}"/>
    <cellStyle name="Énfasis2 28 13" xfId="19994" xr:uid="{00000000-0005-0000-0000-0000F14D0000}"/>
    <cellStyle name="Énfasis2 28 14" xfId="19995" xr:uid="{00000000-0005-0000-0000-0000F24D0000}"/>
    <cellStyle name="Énfasis2 28 15" xfId="19996" xr:uid="{00000000-0005-0000-0000-0000F34D0000}"/>
    <cellStyle name="Énfasis2 28 16" xfId="19997" xr:uid="{00000000-0005-0000-0000-0000F44D0000}"/>
    <cellStyle name="Énfasis2 28 17" xfId="19998" xr:uid="{00000000-0005-0000-0000-0000F54D0000}"/>
    <cellStyle name="Énfasis2 28 18" xfId="19999" xr:uid="{00000000-0005-0000-0000-0000F64D0000}"/>
    <cellStyle name="Énfasis2 28 19" xfId="20000" xr:uid="{00000000-0005-0000-0000-0000F74D0000}"/>
    <cellStyle name="Énfasis2 28 2" xfId="20001" xr:uid="{00000000-0005-0000-0000-0000F84D0000}"/>
    <cellStyle name="Énfasis2 28 2 2" xfId="20002" xr:uid="{00000000-0005-0000-0000-0000F94D0000}"/>
    <cellStyle name="Énfasis2 28 3" xfId="20003" xr:uid="{00000000-0005-0000-0000-0000FA4D0000}"/>
    <cellStyle name="Énfasis2 28 3 2" xfId="20004" xr:uid="{00000000-0005-0000-0000-0000FB4D0000}"/>
    <cellStyle name="Énfasis2 28 4" xfId="20005" xr:uid="{00000000-0005-0000-0000-0000FC4D0000}"/>
    <cellStyle name="Énfasis2 28 4 2" xfId="20006" xr:uid="{00000000-0005-0000-0000-0000FD4D0000}"/>
    <cellStyle name="Énfasis2 28 5" xfId="20007" xr:uid="{00000000-0005-0000-0000-0000FE4D0000}"/>
    <cellStyle name="Énfasis2 28 6" xfId="20008" xr:uid="{00000000-0005-0000-0000-0000FF4D0000}"/>
    <cellStyle name="Énfasis2 28 7" xfId="20009" xr:uid="{00000000-0005-0000-0000-0000004E0000}"/>
    <cellStyle name="Énfasis2 28 8" xfId="20010" xr:uid="{00000000-0005-0000-0000-0000014E0000}"/>
    <cellStyle name="Énfasis2 28 9" xfId="20011" xr:uid="{00000000-0005-0000-0000-0000024E0000}"/>
    <cellStyle name="Énfasis2 29 10" xfId="20012" xr:uid="{00000000-0005-0000-0000-0000034E0000}"/>
    <cellStyle name="Énfasis2 29 11" xfId="20013" xr:uid="{00000000-0005-0000-0000-0000044E0000}"/>
    <cellStyle name="Énfasis2 29 12" xfId="20014" xr:uid="{00000000-0005-0000-0000-0000054E0000}"/>
    <cellStyle name="Énfasis2 29 13" xfId="20015" xr:uid="{00000000-0005-0000-0000-0000064E0000}"/>
    <cellStyle name="Énfasis2 29 14" xfId="20016" xr:uid="{00000000-0005-0000-0000-0000074E0000}"/>
    <cellStyle name="Énfasis2 29 15" xfId="20017" xr:uid="{00000000-0005-0000-0000-0000084E0000}"/>
    <cellStyle name="Énfasis2 29 16" xfId="20018" xr:uid="{00000000-0005-0000-0000-0000094E0000}"/>
    <cellStyle name="Énfasis2 29 17" xfId="20019" xr:uid="{00000000-0005-0000-0000-00000A4E0000}"/>
    <cellStyle name="Énfasis2 29 18" xfId="20020" xr:uid="{00000000-0005-0000-0000-00000B4E0000}"/>
    <cellStyle name="Énfasis2 29 19" xfId="20021" xr:uid="{00000000-0005-0000-0000-00000C4E0000}"/>
    <cellStyle name="Énfasis2 29 2" xfId="20022" xr:uid="{00000000-0005-0000-0000-00000D4E0000}"/>
    <cellStyle name="Énfasis2 29 2 2" xfId="20023" xr:uid="{00000000-0005-0000-0000-00000E4E0000}"/>
    <cellStyle name="Énfasis2 29 3" xfId="20024" xr:uid="{00000000-0005-0000-0000-00000F4E0000}"/>
    <cellStyle name="Énfasis2 29 3 2" xfId="20025" xr:uid="{00000000-0005-0000-0000-0000104E0000}"/>
    <cellStyle name="Énfasis2 29 4" xfId="20026" xr:uid="{00000000-0005-0000-0000-0000114E0000}"/>
    <cellStyle name="Énfasis2 29 4 2" xfId="20027" xr:uid="{00000000-0005-0000-0000-0000124E0000}"/>
    <cellStyle name="Énfasis2 29 5" xfId="20028" xr:uid="{00000000-0005-0000-0000-0000134E0000}"/>
    <cellStyle name="Énfasis2 29 6" xfId="20029" xr:uid="{00000000-0005-0000-0000-0000144E0000}"/>
    <cellStyle name="Énfasis2 29 7" xfId="20030" xr:uid="{00000000-0005-0000-0000-0000154E0000}"/>
    <cellStyle name="Énfasis2 29 8" xfId="20031" xr:uid="{00000000-0005-0000-0000-0000164E0000}"/>
    <cellStyle name="Énfasis2 29 9" xfId="20032" xr:uid="{00000000-0005-0000-0000-0000174E0000}"/>
    <cellStyle name="Énfasis2 3 10" xfId="20033" xr:uid="{00000000-0005-0000-0000-0000184E0000}"/>
    <cellStyle name="Énfasis2 3 11" xfId="20034" xr:uid="{00000000-0005-0000-0000-0000194E0000}"/>
    <cellStyle name="Énfasis2 3 12" xfId="20035" xr:uid="{00000000-0005-0000-0000-00001A4E0000}"/>
    <cellStyle name="Énfasis2 3 13" xfId="20036" xr:uid="{00000000-0005-0000-0000-00001B4E0000}"/>
    <cellStyle name="Énfasis2 3 14" xfId="20037" xr:uid="{00000000-0005-0000-0000-00001C4E0000}"/>
    <cellStyle name="Énfasis2 3 15" xfId="20038" xr:uid="{00000000-0005-0000-0000-00001D4E0000}"/>
    <cellStyle name="Énfasis2 3 16" xfId="20039" xr:uid="{00000000-0005-0000-0000-00001E4E0000}"/>
    <cellStyle name="Énfasis2 3 17" xfId="20040" xr:uid="{00000000-0005-0000-0000-00001F4E0000}"/>
    <cellStyle name="Énfasis2 3 18" xfId="20041" xr:uid="{00000000-0005-0000-0000-0000204E0000}"/>
    <cellStyle name="Énfasis2 3 19" xfId="20042" xr:uid="{00000000-0005-0000-0000-0000214E0000}"/>
    <cellStyle name="Énfasis2 3 2" xfId="20043" xr:uid="{00000000-0005-0000-0000-0000224E0000}"/>
    <cellStyle name="Énfasis2 3 2 2" xfId="20044" xr:uid="{00000000-0005-0000-0000-0000234E0000}"/>
    <cellStyle name="Énfasis2 3 3" xfId="20045" xr:uid="{00000000-0005-0000-0000-0000244E0000}"/>
    <cellStyle name="Énfasis2 3 3 2" xfId="20046" xr:uid="{00000000-0005-0000-0000-0000254E0000}"/>
    <cellStyle name="Énfasis2 3 4" xfId="20047" xr:uid="{00000000-0005-0000-0000-0000264E0000}"/>
    <cellStyle name="Énfasis2 3 4 2" xfId="20048" xr:uid="{00000000-0005-0000-0000-0000274E0000}"/>
    <cellStyle name="Énfasis2 3 5" xfId="20049" xr:uid="{00000000-0005-0000-0000-0000284E0000}"/>
    <cellStyle name="Énfasis2 3 6" xfId="20050" xr:uid="{00000000-0005-0000-0000-0000294E0000}"/>
    <cellStyle name="Énfasis2 3 7" xfId="20051" xr:uid="{00000000-0005-0000-0000-00002A4E0000}"/>
    <cellStyle name="Énfasis2 3 8" xfId="20052" xr:uid="{00000000-0005-0000-0000-00002B4E0000}"/>
    <cellStyle name="Énfasis2 3 9" xfId="20053" xr:uid="{00000000-0005-0000-0000-00002C4E0000}"/>
    <cellStyle name="Énfasis2 30 10" xfId="20054" xr:uid="{00000000-0005-0000-0000-00002D4E0000}"/>
    <cellStyle name="Énfasis2 30 11" xfId="20055" xr:uid="{00000000-0005-0000-0000-00002E4E0000}"/>
    <cellStyle name="Énfasis2 30 12" xfId="20056" xr:uid="{00000000-0005-0000-0000-00002F4E0000}"/>
    <cellStyle name="Énfasis2 30 13" xfId="20057" xr:uid="{00000000-0005-0000-0000-0000304E0000}"/>
    <cellStyle name="Énfasis2 30 14" xfId="20058" xr:uid="{00000000-0005-0000-0000-0000314E0000}"/>
    <cellStyle name="Énfasis2 30 15" xfId="20059" xr:uid="{00000000-0005-0000-0000-0000324E0000}"/>
    <cellStyle name="Énfasis2 30 16" xfId="20060" xr:uid="{00000000-0005-0000-0000-0000334E0000}"/>
    <cellStyle name="Énfasis2 30 17" xfId="20061" xr:uid="{00000000-0005-0000-0000-0000344E0000}"/>
    <cellStyle name="Énfasis2 30 18" xfId="20062" xr:uid="{00000000-0005-0000-0000-0000354E0000}"/>
    <cellStyle name="Énfasis2 30 19" xfId="20063" xr:uid="{00000000-0005-0000-0000-0000364E0000}"/>
    <cellStyle name="Énfasis2 30 2" xfId="20064" xr:uid="{00000000-0005-0000-0000-0000374E0000}"/>
    <cellStyle name="Énfasis2 30 2 2" xfId="20065" xr:uid="{00000000-0005-0000-0000-0000384E0000}"/>
    <cellStyle name="Énfasis2 30 3" xfId="20066" xr:uid="{00000000-0005-0000-0000-0000394E0000}"/>
    <cellStyle name="Énfasis2 30 3 2" xfId="20067" xr:uid="{00000000-0005-0000-0000-00003A4E0000}"/>
    <cellStyle name="Énfasis2 30 4" xfId="20068" xr:uid="{00000000-0005-0000-0000-00003B4E0000}"/>
    <cellStyle name="Énfasis2 30 4 2" xfId="20069" xr:uid="{00000000-0005-0000-0000-00003C4E0000}"/>
    <cellStyle name="Énfasis2 30 5" xfId="20070" xr:uid="{00000000-0005-0000-0000-00003D4E0000}"/>
    <cellStyle name="Énfasis2 30 6" xfId="20071" xr:uid="{00000000-0005-0000-0000-00003E4E0000}"/>
    <cellStyle name="Énfasis2 30 7" xfId="20072" xr:uid="{00000000-0005-0000-0000-00003F4E0000}"/>
    <cellStyle name="Énfasis2 30 8" xfId="20073" xr:uid="{00000000-0005-0000-0000-0000404E0000}"/>
    <cellStyle name="Énfasis2 30 9" xfId="20074" xr:uid="{00000000-0005-0000-0000-0000414E0000}"/>
    <cellStyle name="Énfasis2 31 10" xfId="20075" xr:uid="{00000000-0005-0000-0000-0000424E0000}"/>
    <cellStyle name="Énfasis2 31 11" xfId="20076" xr:uid="{00000000-0005-0000-0000-0000434E0000}"/>
    <cellStyle name="Énfasis2 31 12" xfId="20077" xr:uid="{00000000-0005-0000-0000-0000444E0000}"/>
    <cellStyle name="Énfasis2 31 13" xfId="20078" xr:uid="{00000000-0005-0000-0000-0000454E0000}"/>
    <cellStyle name="Énfasis2 31 14" xfId="20079" xr:uid="{00000000-0005-0000-0000-0000464E0000}"/>
    <cellStyle name="Énfasis2 31 15" xfId="20080" xr:uid="{00000000-0005-0000-0000-0000474E0000}"/>
    <cellStyle name="Énfasis2 31 16" xfId="20081" xr:uid="{00000000-0005-0000-0000-0000484E0000}"/>
    <cellStyle name="Énfasis2 31 17" xfId="20082" xr:uid="{00000000-0005-0000-0000-0000494E0000}"/>
    <cellStyle name="Énfasis2 31 18" xfId="20083" xr:uid="{00000000-0005-0000-0000-00004A4E0000}"/>
    <cellStyle name="Énfasis2 31 19" xfId="20084" xr:uid="{00000000-0005-0000-0000-00004B4E0000}"/>
    <cellStyle name="Énfasis2 31 2" xfId="20085" xr:uid="{00000000-0005-0000-0000-00004C4E0000}"/>
    <cellStyle name="Énfasis2 31 2 2" xfId="20086" xr:uid="{00000000-0005-0000-0000-00004D4E0000}"/>
    <cellStyle name="Énfasis2 31 3" xfId="20087" xr:uid="{00000000-0005-0000-0000-00004E4E0000}"/>
    <cellStyle name="Énfasis2 31 3 2" xfId="20088" xr:uid="{00000000-0005-0000-0000-00004F4E0000}"/>
    <cellStyle name="Énfasis2 31 4" xfId="20089" xr:uid="{00000000-0005-0000-0000-0000504E0000}"/>
    <cellStyle name="Énfasis2 31 4 2" xfId="20090" xr:uid="{00000000-0005-0000-0000-0000514E0000}"/>
    <cellStyle name="Énfasis2 31 5" xfId="20091" xr:uid="{00000000-0005-0000-0000-0000524E0000}"/>
    <cellStyle name="Énfasis2 31 6" xfId="20092" xr:uid="{00000000-0005-0000-0000-0000534E0000}"/>
    <cellStyle name="Énfasis2 31 7" xfId="20093" xr:uid="{00000000-0005-0000-0000-0000544E0000}"/>
    <cellStyle name="Énfasis2 31 8" xfId="20094" xr:uid="{00000000-0005-0000-0000-0000554E0000}"/>
    <cellStyle name="Énfasis2 31 9" xfId="20095" xr:uid="{00000000-0005-0000-0000-0000564E0000}"/>
    <cellStyle name="Énfasis2 32 10" xfId="20096" xr:uid="{00000000-0005-0000-0000-0000574E0000}"/>
    <cellStyle name="Énfasis2 32 11" xfId="20097" xr:uid="{00000000-0005-0000-0000-0000584E0000}"/>
    <cellStyle name="Énfasis2 32 12" xfId="20098" xr:uid="{00000000-0005-0000-0000-0000594E0000}"/>
    <cellStyle name="Énfasis2 32 13" xfId="20099" xr:uid="{00000000-0005-0000-0000-00005A4E0000}"/>
    <cellStyle name="Énfasis2 32 14" xfId="20100" xr:uid="{00000000-0005-0000-0000-00005B4E0000}"/>
    <cellStyle name="Énfasis2 32 15" xfId="20101" xr:uid="{00000000-0005-0000-0000-00005C4E0000}"/>
    <cellStyle name="Énfasis2 32 16" xfId="20102" xr:uid="{00000000-0005-0000-0000-00005D4E0000}"/>
    <cellStyle name="Énfasis2 32 17" xfId="20103" xr:uid="{00000000-0005-0000-0000-00005E4E0000}"/>
    <cellStyle name="Énfasis2 32 18" xfId="20104" xr:uid="{00000000-0005-0000-0000-00005F4E0000}"/>
    <cellStyle name="Énfasis2 32 19" xfId="20105" xr:uid="{00000000-0005-0000-0000-0000604E0000}"/>
    <cellStyle name="Énfasis2 32 2" xfId="20106" xr:uid="{00000000-0005-0000-0000-0000614E0000}"/>
    <cellStyle name="Énfasis2 32 2 2" xfId="20107" xr:uid="{00000000-0005-0000-0000-0000624E0000}"/>
    <cellStyle name="Énfasis2 32 3" xfId="20108" xr:uid="{00000000-0005-0000-0000-0000634E0000}"/>
    <cellStyle name="Énfasis2 32 3 2" xfId="20109" xr:uid="{00000000-0005-0000-0000-0000644E0000}"/>
    <cellStyle name="Énfasis2 32 4" xfId="20110" xr:uid="{00000000-0005-0000-0000-0000654E0000}"/>
    <cellStyle name="Énfasis2 32 4 2" xfId="20111" xr:uid="{00000000-0005-0000-0000-0000664E0000}"/>
    <cellStyle name="Énfasis2 32 5" xfId="20112" xr:uid="{00000000-0005-0000-0000-0000674E0000}"/>
    <cellStyle name="Énfasis2 32 6" xfId="20113" xr:uid="{00000000-0005-0000-0000-0000684E0000}"/>
    <cellStyle name="Énfasis2 32 7" xfId="20114" xr:uid="{00000000-0005-0000-0000-0000694E0000}"/>
    <cellStyle name="Énfasis2 32 8" xfId="20115" xr:uid="{00000000-0005-0000-0000-00006A4E0000}"/>
    <cellStyle name="Énfasis2 32 9" xfId="20116" xr:uid="{00000000-0005-0000-0000-00006B4E0000}"/>
    <cellStyle name="Énfasis2 33 10" xfId="20117" xr:uid="{00000000-0005-0000-0000-00006C4E0000}"/>
    <cellStyle name="Énfasis2 33 11" xfId="20118" xr:uid="{00000000-0005-0000-0000-00006D4E0000}"/>
    <cellStyle name="Énfasis2 33 12" xfId="20119" xr:uid="{00000000-0005-0000-0000-00006E4E0000}"/>
    <cellStyle name="Énfasis2 33 13" xfId="20120" xr:uid="{00000000-0005-0000-0000-00006F4E0000}"/>
    <cellStyle name="Énfasis2 33 14" xfId="20121" xr:uid="{00000000-0005-0000-0000-0000704E0000}"/>
    <cellStyle name="Énfasis2 33 15" xfId="20122" xr:uid="{00000000-0005-0000-0000-0000714E0000}"/>
    <cellStyle name="Énfasis2 33 16" xfId="20123" xr:uid="{00000000-0005-0000-0000-0000724E0000}"/>
    <cellStyle name="Énfasis2 33 17" xfId="20124" xr:uid="{00000000-0005-0000-0000-0000734E0000}"/>
    <cellStyle name="Énfasis2 33 18" xfId="20125" xr:uid="{00000000-0005-0000-0000-0000744E0000}"/>
    <cellStyle name="Énfasis2 33 19" xfId="20126" xr:uid="{00000000-0005-0000-0000-0000754E0000}"/>
    <cellStyle name="Énfasis2 33 2" xfId="20127" xr:uid="{00000000-0005-0000-0000-0000764E0000}"/>
    <cellStyle name="Énfasis2 33 2 2" xfId="20128" xr:uid="{00000000-0005-0000-0000-0000774E0000}"/>
    <cellStyle name="Énfasis2 33 3" xfId="20129" xr:uid="{00000000-0005-0000-0000-0000784E0000}"/>
    <cellStyle name="Énfasis2 33 3 2" xfId="20130" xr:uid="{00000000-0005-0000-0000-0000794E0000}"/>
    <cellStyle name="Énfasis2 33 4" xfId="20131" xr:uid="{00000000-0005-0000-0000-00007A4E0000}"/>
    <cellStyle name="Énfasis2 33 4 2" xfId="20132" xr:uid="{00000000-0005-0000-0000-00007B4E0000}"/>
    <cellStyle name="Énfasis2 33 5" xfId="20133" xr:uid="{00000000-0005-0000-0000-00007C4E0000}"/>
    <cellStyle name="Énfasis2 33 6" xfId="20134" xr:uid="{00000000-0005-0000-0000-00007D4E0000}"/>
    <cellStyle name="Énfasis2 33 7" xfId="20135" xr:uid="{00000000-0005-0000-0000-00007E4E0000}"/>
    <cellStyle name="Énfasis2 33 8" xfId="20136" xr:uid="{00000000-0005-0000-0000-00007F4E0000}"/>
    <cellStyle name="Énfasis2 33 9" xfId="20137" xr:uid="{00000000-0005-0000-0000-0000804E0000}"/>
    <cellStyle name="Énfasis2 34 10" xfId="20138" xr:uid="{00000000-0005-0000-0000-0000814E0000}"/>
    <cellStyle name="Énfasis2 34 11" xfId="20139" xr:uid="{00000000-0005-0000-0000-0000824E0000}"/>
    <cellStyle name="Énfasis2 34 12" xfId="20140" xr:uid="{00000000-0005-0000-0000-0000834E0000}"/>
    <cellStyle name="Énfasis2 34 13" xfId="20141" xr:uid="{00000000-0005-0000-0000-0000844E0000}"/>
    <cellStyle name="Énfasis2 34 14" xfId="20142" xr:uid="{00000000-0005-0000-0000-0000854E0000}"/>
    <cellStyle name="Énfasis2 34 15" xfId="20143" xr:uid="{00000000-0005-0000-0000-0000864E0000}"/>
    <cellStyle name="Énfasis2 34 16" xfId="20144" xr:uid="{00000000-0005-0000-0000-0000874E0000}"/>
    <cellStyle name="Énfasis2 34 17" xfId="20145" xr:uid="{00000000-0005-0000-0000-0000884E0000}"/>
    <cellStyle name="Énfasis2 34 18" xfId="20146" xr:uid="{00000000-0005-0000-0000-0000894E0000}"/>
    <cellStyle name="Énfasis2 34 19" xfId="20147" xr:uid="{00000000-0005-0000-0000-00008A4E0000}"/>
    <cellStyle name="Énfasis2 34 2" xfId="20148" xr:uid="{00000000-0005-0000-0000-00008B4E0000}"/>
    <cellStyle name="Énfasis2 34 2 2" xfId="20149" xr:uid="{00000000-0005-0000-0000-00008C4E0000}"/>
    <cellStyle name="Énfasis2 34 3" xfId="20150" xr:uid="{00000000-0005-0000-0000-00008D4E0000}"/>
    <cellStyle name="Énfasis2 34 3 2" xfId="20151" xr:uid="{00000000-0005-0000-0000-00008E4E0000}"/>
    <cellStyle name="Énfasis2 34 4" xfId="20152" xr:uid="{00000000-0005-0000-0000-00008F4E0000}"/>
    <cellStyle name="Énfasis2 34 4 2" xfId="20153" xr:uid="{00000000-0005-0000-0000-0000904E0000}"/>
    <cellStyle name="Énfasis2 34 5" xfId="20154" xr:uid="{00000000-0005-0000-0000-0000914E0000}"/>
    <cellStyle name="Énfasis2 34 6" xfId="20155" xr:uid="{00000000-0005-0000-0000-0000924E0000}"/>
    <cellStyle name="Énfasis2 34 7" xfId="20156" xr:uid="{00000000-0005-0000-0000-0000934E0000}"/>
    <cellStyle name="Énfasis2 34 8" xfId="20157" xr:uid="{00000000-0005-0000-0000-0000944E0000}"/>
    <cellStyle name="Énfasis2 34 9" xfId="20158" xr:uid="{00000000-0005-0000-0000-0000954E0000}"/>
    <cellStyle name="Énfasis2 35 10" xfId="20159" xr:uid="{00000000-0005-0000-0000-0000964E0000}"/>
    <cellStyle name="Énfasis2 35 11" xfId="20160" xr:uid="{00000000-0005-0000-0000-0000974E0000}"/>
    <cellStyle name="Énfasis2 35 12" xfId="20161" xr:uid="{00000000-0005-0000-0000-0000984E0000}"/>
    <cellStyle name="Énfasis2 35 13" xfId="20162" xr:uid="{00000000-0005-0000-0000-0000994E0000}"/>
    <cellStyle name="Énfasis2 35 14" xfId="20163" xr:uid="{00000000-0005-0000-0000-00009A4E0000}"/>
    <cellStyle name="Énfasis2 35 15" xfId="20164" xr:uid="{00000000-0005-0000-0000-00009B4E0000}"/>
    <cellStyle name="Énfasis2 35 16" xfId="20165" xr:uid="{00000000-0005-0000-0000-00009C4E0000}"/>
    <cellStyle name="Énfasis2 35 17" xfId="20166" xr:uid="{00000000-0005-0000-0000-00009D4E0000}"/>
    <cellStyle name="Énfasis2 35 18" xfId="20167" xr:uid="{00000000-0005-0000-0000-00009E4E0000}"/>
    <cellStyle name="Énfasis2 35 19" xfId="20168" xr:uid="{00000000-0005-0000-0000-00009F4E0000}"/>
    <cellStyle name="Énfasis2 35 2" xfId="20169" xr:uid="{00000000-0005-0000-0000-0000A04E0000}"/>
    <cellStyle name="Énfasis2 35 2 2" xfId="20170" xr:uid="{00000000-0005-0000-0000-0000A14E0000}"/>
    <cellStyle name="Énfasis2 35 3" xfId="20171" xr:uid="{00000000-0005-0000-0000-0000A24E0000}"/>
    <cellStyle name="Énfasis2 35 3 2" xfId="20172" xr:uid="{00000000-0005-0000-0000-0000A34E0000}"/>
    <cellStyle name="Énfasis2 35 4" xfId="20173" xr:uid="{00000000-0005-0000-0000-0000A44E0000}"/>
    <cellStyle name="Énfasis2 35 4 2" xfId="20174" xr:uid="{00000000-0005-0000-0000-0000A54E0000}"/>
    <cellStyle name="Énfasis2 35 5" xfId="20175" xr:uid="{00000000-0005-0000-0000-0000A64E0000}"/>
    <cellStyle name="Énfasis2 35 6" xfId="20176" xr:uid="{00000000-0005-0000-0000-0000A74E0000}"/>
    <cellStyle name="Énfasis2 35 7" xfId="20177" xr:uid="{00000000-0005-0000-0000-0000A84E0000}"/>
    <cellStyle name="Énfasis2 35 8" xfId="20178" xr:uid="{00000000-0005-0000-0000-0000A94E0000}"/>
    <cellStyle name="Énfasis2 35 9" xfId="20179" xr:uid="{00000000-0005-0000-0000-0000AA4E0000}"/>
    <cellStyle name="Énfasis2 36 10" xfId="20180" xr:uid="{00000000-0005-0000-0000-0000AB4E0000}"/>
    <cellStyle name="Énfasis2 36 11" xfId="20181" xr:uid="{00000000-0005-0000-0000-0000AC4E0000}"/>
    <cellStyle name="Énfasis2 36 12" xfId="20182" xr:uid="{00000000-0005-0000-0000-0000AD4E0000}"/>
    <cellStyle name="Énfasis2 36 13" xfId="20183" xr:uid="{00000000-0005-0000-0000-0000AE4E0000}"/>
    <cellStyle name="Énfasis2 36 14" xfId="20184" xr:uid="{00000000-0005-0000-0000-0000AF4E0000}"/>
    <cellStyle name="Énfasis2 36 15" xfId="20185" xr:uid="{00000000-0005-0000-0000-0000B04E0000}"/>
    <cellStyle name="Énfasis2 36 16" xfId="20186" xr:uid="{00000000-0005-0000-0000-0000B14E0000}"/>
    <cellStyle name="Énfasis2 36 17" xfId="20187" xr:uid="{00000000-0005-0000-0000-0000B24E0000}"/>
    <cellStyle name="Énfasis2 36 18" xfId="20188" xr:uid="{00000000-0005-0000-0000-0000B34E0000}"/>
    <cellStyle name="Énfasis2 36 19" xfId="20189" xr:uid="{00000000-0005-0000-0000-0000B44E0000}"/>
    <cellStyle name="Énfasis2 36 2" xfId="20190" xr:uid="{00000000-0005-0000-0000-0000B54E0000}"/>
    <cellStyle name="Énfasis2 36 2 2" xfId="20191" xr:uid="{00000000-0005-0000-0000-0000B64E0000}"/>
    <cellStyle name="Énfasis2 36 3" xfId="20192" xr:uid="{00000000-0005-0000-0000-0000B74E0000}"/>
    <cellStyle name="Énfasis2 36 3 2" xfId="20193" xr:uid="{00000000-0005-0000-0000-0000B84E0000}"/>
    <cellStyle name="Énfasis2 36 4" xfId="20194" xr:uid="{00000000-0005-0000-0000-0000B94E0000}"/>
    <cellStyle name="Énfasis2 36 4 2" xfId="20195" xr:uid="{00000000-0005-0000-0000-0000BA4E0000}"/>
    <cellStyle name="Énfasis2 36 5" xfId="20196" xr:uid="{00000000-0005-0000-0000-0000BB4E0000}"/>
    <cellStyle name="Énfasis2 36 6" xfId="20197" xr:uid="{00000000-0005-0000-0000-0000BC4E0000}"/>
    <cellStyle name="Énfasis2 36 7" xfId="20198" xr:uid="{00000000-0005-0000-0000-0000BD4E0000}"/>
    <cellStyle name="Énfasis2 36 8" xfId="20199" xr:uid="{00000000-0005-0000-0000-0000BE4E0000}"/>
    <cellStyle name="Énfasis2 36 9" xfId="20200" xr:uid="{00000000-0005-0000-0000-0000BF4E0000}"/>
    <cellStyle name="Énfasis2 37 10" xfId="20201" xr:uid="{00000000-0005-0000-0000-0000C04E0000}"/>
    <cellStyle name="Énfasis2 37 11" xfId="20202" xr:uid="{00000000-0005-0000-0000-0000C14E0000}"/>
    <cellStyle name="Énfasis2 37 12" xfId="20203" xr:uid="{00000000-0005-0000-0000-0000C24E0000}"/>
    <cellStyle name="Énfasis2 37 13" xfId="20204" xr:uid="{00000000-0005-0000-0000-0000C34E0000}"/>
    <cellStyle name="Énfasis2 37 14" xfId="20205" xr:uid="{00000000-0005-0000-0000-0000C44E0000}"/>
    <cellStyle name="Énfasis2 37 15" xfId="20206" xr:uid="{00000000-0005-0000-0000-0000C54E0000}"/>
    <cellStyle name="Énfasis2 37 16" xfId="20207" xr:uid="{00000000-0005-0000-0000-0000C64E0000}"/>
    <cellStyle name="Énfasis2 37 17" xfId="20208" xr:uid="{00000000-0005-0000-0000-0000C74E0000}"/>
    <cellStyle name="Énfasis2 37 18" xfId="20209" xr:uid="{00000000-0005-0000-0000-0000C84E0000}"/>
    <cellStyle name="Énfasis2 37 19" xfId="20210" xr:uid="{00000000-0005-0000-0000-0000C94E0000}"/>
    <cellStyle name="Énfasis2 37 2" xfId="20211" xr:uid="{00000000-0005-0000-0000-0000CA4E0000}"/>
    <cellStyle name="Énfasis2 37 2 2" xfId="20212" xr:uid="{00000000-0005-0000-0000-0000CB4E0000}"/>
    <cellStyle name="Énfasis2 37 3" xfId="20213" xr:uid="{00000000-0005-0000-0000-0000CC4E0000}"/>
    <cellStyle name="Énfasis2 37 3 2" xfId="20214" xr:uid="{00000000-0005-0000-0000-0000CD4E0000}"/>
    <cellStyle name="Énfasis2 37 4" xfId="20215" xr:uid="{00000000-0005-0000-0000-0000CE4E0000}"/>
    <cellStyle name="Énfasis2 37 4 2" xfId="20216" xr:uid="{00000000-0005-0000-0000-0000CF4E0000}"/>
    <cellStyle name="Énfasis2 37 5" xfId="20217" xr:uid="{00000000-0005-0000-0000-0000D04E0000}"/>
    <cellStyle name="Énfasis2 37 6" xfId="20218" xr:uid="{00000000-0005-0000-0000-0000D14E0000}"/>
    <cellStyle name="Énfasis2 37 7" xfId="20219" xr:uid="{00000000-0005-0000-0000-0000D24E0000}"/>
    <cellStyle name="Énfasis2 37 8" xfId="20220" xr:uid="{00000000-0005-0000-0000-0000D34E0000}"/>
    <cellStyle name="Énfasis2 37 9" xfId="20221" xr:uid="{00000000-0005-0000-0000-0000D44E0000}"/>
    <cellStyle name="Énfasis2 38 10" xfId="20222" xr:uid="{00000000-0005-0000-0000-0000D54E0000}"/>
    <cellStyle name="Énfasis2 38 11" xfId="20223" xr:uid="{00000000-0005-0000-0000-0000D64E0000}"/>
    <cellStyle name="Énfasis2 38 12" xfId="20224" xr:uid="{00000000-0005-0000-0000-0000D74E0000}"/>
    <cellStyle name="Énfasis2 38 13" xfId="20225" xr:uid="{00000000-0005-0000-0000-0000D84E0000}"/>
    <cellStyle name="Énfasis2 38 14" xfId="20226" xr:uid="{00000000-0005-0000-0000-0000D94E0000}"/>
    <cellStyle name="Énfasis2 38 15" xfId="20227" xr:uid="{00000000-0005-0000-0000-0000DA4E0000}"/>
    <cellStyle name="Énfasis2 38 16" xfId="20228" xr:uid="{00000000-0005-0000-0000-0000DB4E0000}"/>
    <cellStyle name="Énfasis2 38 17" xfId="20229" xr:uid="{00000000-0005-0000-0000-0000DC4E0000}"/>
    <cellStyle name="Énfasis2 38 18" xfId="20230" xr:uid="{00000000-0005-0000-0000-0000DD4E0000}"/>
    <cellStyle name="Énfasis2 38 19" xfId="20231" xr:uid="{00000000-0005-0000-0000-0000DE4E0000}"/>
    <cellStyle name="Énfasis2 38 2" xfId="20232" xr:uid="{00000000-0005-0000-0000-0000DF4E0000}"/>
    <cellStyle name="Énfasis2 38 2 2" xfId="20233" xr:uid="{00000000-0005-0000-0000-0000E04E0000}"/>
    <cellStyle name="Énfasis2 38 3" xfId="20234" xr:uid="{00000000-0005-0000-0000-0000E14E0000}"/>
    <cellStyle name="Énfasis2 38 3 2" xfId="20235" xr:uid="{00000000-0005-0000-0000-0000E24E0000}"/>
    <cellStyle name="Énfasis2 38 4" xfId="20236" xr:uid="{00000000-0005-0000-0000-0000E34E0000}"/>
    <cellStyle name="Énfasis2 38 4 2" xfId="20237" xr:uid="{00000000-0005-0000-0000-0000E44E0000}"/>
    <cellStyle name="Énfasis2 38 5" xfId="20238" xr:uid="{00000000-0005-0000-0000-0000E54E0000}"/>
    <cellStyle name="Énfasis2 38 6" xfId="20239" xr:uid="{00000000-0005-0000-0000-0000E64E0000}"/>
    <cellStyle name="Énfasis2 38 7" xfId="20240" xr:uid="{00000000-0005-0000-0000-0000E74E0000}"/>
    <cellStyle name="Énfasis2 38 8" xfId="20241" xr:uid="{00000000-0005-0000-0000-0000E84E0000}"/>
    <cellStyle name="Énfasis2 38 9" xfId="20242" xr:uid="{00000000-0005-0000-0000-0000E94E0000}"/>
    <cellStyle name="Énfasis2 39" xfId="20243" xr:uid="{00000000-0005-0000-0000-0000EA4E0000}"/>
    <cellStyle name="Énfasis2 39 10" xfId="20244" xr:uid="{00000000-0005-0000-0000-0000EB4E0000}"/>
    <cellStyle name="Énfasis2 39 11" xfId="20245" xr:uid="{00000000-0005-0000-0000-0000EC4E0000}"/>
    <cellStyle name="Énfasis2 39 12" xfId="20246" xr:uid="{00000000-0005-0000-0000-0000ED4E0000}"/>
    <cellStyle name="Énfasis2 39 13" xfId="20247" xr:uid="{00000000-0005-0000-0000-0000EE4E0000}"/>
    <cellStyle name="Énfasis2 39 14" xfId="20248" xr:uid="{00000000-0005-0000-0000-0000EF4E0000}"/>
    <cellStyle name="Énfasis2 39 15" xfId="20249" xr:uid="{00000000-0005-0000-0000-0000F04E0000}"/>
    <cellStyle name="Énfasis2 39 16" xfId="20250" xr:uid="{00000000-0005-0000-0000-0000F14E0000}"/>
    <cellStyle name="Énfasis2 39 2" xfId="20251" xr:uid="{00000000-0005-0000-0000-0000F24E0000}"/>
    <cellStyle name="Énfasis2 39 3" xfId="20252" xr:uid="{00000000-0005-0000-0000-0000F34E0000}"/>
    <cellStyle name="Énfasis2 39 4" xfId="20253" xr:uid="{00000000-0005-0000-0000-0000F44E0000}"/>
    <cellStyle name="Énfasis2 39 5" xfId="20254" xr:uid="{00000000-0005-0000-0000-0000F54E0000}"/>
    <cellStyle name="Énfasis2 39 6" xfId="20255" xr:uid="{00000000-0005-0000-0000-0000F64E0000}"/>
    <cellStyle name="Énfasis2 39 7" xfId="20256" xr:uid="{00000000-0005-0000-0000-0000F74E0000}"/>
    <cellStyle name="Énfasis2 39 8" xfId="20257" xr:uid="{00000000-0005-0000-0000-0000F84E0000}"/>
    <cellStyle name="Énfasis2 39 9" xfId="20258" xr:uid="{00000000-0005-0000-0000-0000F94E0000}"/>
    <cellStyle name="Énfasis2 4 10" xfId="20259" xr:uid="{00000000-0005-0000-0000-0000FA4E0000}"/>
    <cellStyle name="Énfasis2 4 11" xfId="20260" xr:uid="{00000000-0005-0000-0000-0000FB4E0000}"/>
    <cellStyle name="Énfasis2 4 12" xfId="20261" xr:uid="{00000000-0005-0000-0000-0000FC4E0000}"/>
    <cellStyle name="Énfasis2 4 13" xfId="20262" xr:uid="{00000000-0005-0000-0000-0000FD4E0000}"/>
    <cellStyle name="Énfasis2 4 14" xfId="20263" xr:uid="{00000000-0005-0000-0000-0000FE4E0000}"/>
    <cellStyle name="Énfasis2 4 15" xfId="20264" xr:uid="{00000000-0005-0000-0000-0000FF4E0000}"/>
    <cellStyle name="Énfasis2 4 16" xfId="20265" xr:uid="{00000000-0005-0000-0000-0000004F0000}"/>
    <cellStyle name="Énfasis2 4 17" xfId="20266" xr:uid="{00000000-0005-0000-0000-0000014F0000}"/>
    <cellStyle name="Énfasis2 4 18" xfId="20267" xr:uid="{00000000-0005-0000-0000-0000024F0000}"/>
    <cellStyle name="Énfasis2 4 19" xfId="20268" xr:uid="{00000000-0005-0000-0000-0000034F0000}"/>
    <cellStyle name="Énfasis2 4 2" xfId="20269" xr:uid="{00000000-0005-0000-0000-0000044F0000}"/>
    <cellStyle name="Énfasis2 4 2 2" xfId="20270" xr:uid="{00000000-0005-0000-0000-0000054F0000}"/>
    <cellStyle name="Énfasis2 4 3" xfId="20271" xr:uid="{00000000-0005-0000-0000-0000064F0000}"/>
    <cellStyle name="Énfasis2 4 3 2" xfId="20272" xr:uid="{00000000-0005-0000-0000-0000074F0000}"/>
    <cellStyle name="Énfasis2 4 4" xfId="20273" xr:uid="{00000000-0005-0000-0000-0000084F0000}"/>
    <cellStyle name="Énfasis2 4 4 2" xfId="20274" xr:uid="{00000000-0005-0000-0000-0000094F0000}"/>
    <cellStyle name="Énfasis2 4 5" xfId="20275" xr:uid="{00000000-0005-0000-0000-00000A4F0000}"/>
    <cellStyle name="Énfasis2 4 6" xfId="20276" xr:uid="{00000000-0005-0000-0000-00000B4F0000}"/>
    <cellStyle name="Énfasis2 4 7" xfId="20277" xr:uid="{00000000-0005-0000-0000-00000C4F0000}"/>
    <cellStyle name="Énfasis2 4 8" xfId="20278" xr:uid="{00000000-0005-0000-0000-00000D4F0000}"/>
    <cellStyle name="Énfasis2 4 9" xfId="20279" xr:uid="{00000000-0005-0000-0000-00000E4F0000}"/>
    <cellStyle name="Énfasis2 40" xfId="20280" xr:uid="{00000000-0005-0000-0000-00000F4F0000}"/>
    <cellStyle name="Énfasis2 40 10" xfId="20281" xr:uid="{00000000-0005-0000-0000-0000104F0000}"/>
    <cellStyle name="Énfasis2 40 11" xfId="20282" xr:uid="{00000000-0005-0000-0000-0000114F0000}"/>
    <cellStyle name="Énfasis2 40 12" xfId="20283" xr:uid="{00000000-0005-0000-0000-0000124F0000}"/>
    <cellStyle name="Énfasis2 40 13" xfId="20284" xr:uid="{00000000-0005-0000-0000-0000134F0000}"/>
    <cellStyle name="Énfasis2 40 14" xfId="20285" xr:uid="{00000000-0005-0000-0000-0000144F0000}"/>
    <cellStyle name="Énfasis2 40 15" xfId="20286" xr:uid="{00000000-0005-0000-0000-0000154F0000}"/>
    <cellStyle name="Énfasis2 40 16" xfId="20287" xr:uid="{00000000-0005-0000-0000-0000164F0000}"/>
    <cellStyle name="Énfasis2 40 2" xfId="20288" xr:uid="{00000000-0005-0000-0000-0000174F0000}"/>
    <cellStyle name="Énfasis2 40 3" xfId="20289" xr:uid="{00000000-0005-0000-0000-0000184F0000}"/>
    <cellStyle name="Énfasis2 40 4" xfId="20290" xr:uid="{00000000-0005-0000-0000-0000194F0000}"/>
    <cellStyle name="Énfasis2 40 5" xfId="20291" xr:uid="{00000000-0005-0000-0000-00001A4F0000}"/>
    <cellStyle name="Énfasis2 40 6" xfId="20292" xr:uid="{00000000-0005-0000-0000-00001B4F0000}"/>
    <cellStyle name="Énfasis2 40 7" xfId="20293" xr:uid="{00000000-0005-0000-0000-00001C4F0000}"/>
    <cellStyle name="Énfasis2 40 8" xfId="20294" xr:uid="{00000000-0005-0000-0000-00001D4F0000}"/>
    <cellStyle name="Énfasis2 40 9" xfId="20295" xr:uid="{00000000-0005-0000-0000-00001E4F0000}"/>
    <cellStyle name="Énfasis2 41" xfId="20296" xr:uid="{00000000-0005-0000-0000-00001F4F0000}"/>
    <cellStyle name="Énfasis2 41 10" xfId="20297" xr:uid="{00000000-0005-0000-0000-0000204F0000}"/>
    <cellStyle name="Énfasis2 41 11" xfId="20298" xr:uid="{00000000-0005-0000-0000-0000214F0000}"/>
    <cellStyle name="Énfasis2 41 12" xfId="20299" xr:uid="{00000000-0005-0000-0000-0000224F0000}"/>
    <cellStyle name="Énfasis2 41 13" xfId="20300" xr:uid="{00000000-0005-0000-0000-0000234F0000}"/>
    <cellStyle name="Énfasis2 41 14" xfId="20301" xr:uid="{00000000-0005-0000-0000-0000244F0000}"/>
    <cellStyle name="Énfasis2 41 15" xfId="20302" xr:uid="{00000000-0005-0000-0000-0000254F0000}"/>
    <cellStyle name="Énfasis2 41 16" xfId="20303" xr:uid="{00000000-0005-0000-0000-0000264F0000}"/>
    <cellStyle name="Énfasis2 41 2" xfId="20304" xr:uid="{00000000-0005-0000-0000-0000274F0000}"/>
    <cellStyle name="Énfasis2 41 3" xfId="20305" xr:uid="{00000000-0005-0000-0000-0000284F0000}"/>
    <cellStyle name="Énfasis2 41 4" xfId="20306" xr:uid="{00000000-0005-0000-0000-0000294F0000}"/>
    <cellStyle name="Énfasis2 41 5" xfId="20307" xr:uid="{00000000-0005-0000-0000-00002A4F0000}"/>
    <cellStyle name="Énfasis2 41 6" xfId="20308" xr:uid="{00000000-0005-0000-0000-00002B4F0000}"/>
    <cellStyle name="Énfasis2 41 7" xfId="20309" xr:uid="{00000000-0005-0000-0000-00002C4F0000}"/>
    <cellStyle name="Énfasis2 41 8" xfId="20310" xr:uid="{00000000-0005-0000-0000-00002D4F0000}"/>
    <cellStyle name="Énfasis2 41 9" xfId="20311" xr:uid="{00000000-0005-0000-0000-00002E4F0000}"/>
    <cellStyle name="Énfasis2 42" xfId="20312" xr:uid="{00000000-0005-0000-0000-00002F4F0000}"/>
    <cellStyle name="Énfasis2 43" xfId="20313" xr:uid="{00000000-0005-0000-0000-0000304F0000}"/>
    <cellStyle name="Énfasis2 44" xfId="20314" xr:uid="{00000000-0005-0000-0000-0000314F0000}"/>
    <cellStyle name="Énfasis2 45" xfId="20315" xr:uid="{00000000-0005-0000-0000-0000324F0000}"/>
    <cellStyle name="Énfasis2 46" xfId="20316" xr:uid="{00000000-0005-0000-0000-0000334F0000}"/>
    <cellStyle name="Énfasis2 47" xfId="20317" xr:uid="{00000000-0005-0000-0000-0000344F0000}"/>
    <cellStyle name="Énfasis2 48" xfId="20318" xr:uid="{00000000-0005-0000-0000-0000354F0000}"/>
    <cellStyle name="Énfasis2 49" xfId="20319" xr:uid="{00000000-0005-0000-0000-0000364F0000}"/>
    <cellStyle name="Énfasis2 5 10" xfId="20320" xr:uid="{00000000-0005-0000-0000-0000374F0000}"/>
    <cellStyle name="Énfasis2 5 11" xfId="20321" xr:uid="{00000000-0005-0000-0000-0000384F0000}"/>
    <cellStyle name="Énfasis2 5 12" xfId="20322" xr:uid="{00000000-0005-0000-0000-0000394F0000}"/>
    <cellStyle name="Énfasis2 5 13" xfId="20323" xr:uid="{00000000-0005-0000-0000-00003A4F0000}"/>
    <cellStyle name="Énfasis2 5 14" xfId="20324" xr:uid="{00000000-0005-0000-0000-00003B4F0000}"/>
    <cellStyle name="Énfasis2 5 15" xfId="20325" xr:uid="{00000000-0005-0000-0000-00003C4F0000}"/>
    <cellStyle name="Énfasis2 5 16" xfId="20326" xr:uid="{00000000-0005-0000-0000-00003D4F0000}"/>
    <cellStyle name="Énfasis2 5 17" xfId="20327" xr:uid="{00000000-0005-0000-0000-00003E4F0000}"/>
    <cellStyle name="Énfasis2 5 18" xfId="20328" xr:uid="{00000000-0005-0000-0000-00003F4F0000}"/>
    <cellStyle name="Énfasis2 5 19" xfId="20329" xr:uid="{00000000-0005-0000-0000-0000404F0000}"/>
    <cellStyle name="Énfasis2 5 2" xfId="20330" xr:uid="{00000000-0005-0000-0000-0000414F0000}"/>
    <cellStyle name="Énfasis2 5 2 2" xfId="20331" xr:uid="{00000000-0005-0000-0000-0000424F0000}"/>
    <cellStyle name="Énfasis2 5 3" xfId="20332" xr:uid="{00000000-0005-0000-0000-0000434F0000}"/>
    <cellStyle name="Énfasis2 5 3 2" xfId="20333" xr:uid="{00000000-0005-0000-0000-0000444F0000}"/>
    <cellStyle name="Énfasis2 5 4" xfId="20334" xr:uid="{00000000-0005-0000-0000-0000454F0000}"/>
    <cellStyle name="Énfasis2 5 4 2" xfId="20335" xr:uid="{00000000-0005-0000-0000-0000464F0000}"/>
    <cellStyle name="Énfasis2 5 5" xfId="20336" xr:uid="{00000000-0005-0000-0000-0000474F0000}"/>
    <cellStyle name="Énfasis2 5 6" xfId="20337" xr:uid="{00000000-0005-0000-0000-0000484F0000}"/>
    <cellStyle name="Énfasis2 5 7" xfId="20338" xr:uid="{00000000-0005-0000-0000-0000494F0000}"/>
    <cellStyle name="Énfasis2 5 8" xfId="20339" xr:uid="{00000000-0005-0000-0000-00004A4F0000}"/>
    <cellStyle name="Énfasis2 5 9" xfId="20340" xr:uid="{00000000-0005-0000-0000-00004B4F0000}"/>
    <cellStyle name="Énfasis2 50" xfId="20341" xr:uid="{00000000-0005-0000-0000-00004C4F0000}"/>
    <cellStyle name="Énfasis2 51" xfId="20342" xr:uid="{00000000-0005-0000-0000-00004D4F0000}"/>
    <cellStyle name="Énfasis2 52" xfId="20343" xr:uid="{00000000-0005-0000-0000-00004E4F0000}"/>
    <cellStyle name="Énfasis2 53" xfId="20344" xr:uid="{00000000-0005-0000-0000-00004F4F0000}"/>
    <cellStyle name="Énfasis2 54" xfId="20345" xr:uid="{00000000-0005-0000-0000-0000504F0000}"/>
    <cellStyle name="Énfasis2 55" xfId="20346" xr:uid="{00000000-0005-0000-0000-0000514F0000}"/>
    <cellStyle name="Énfasis2 56" xfId="20347" xr:uid="{00000000-0005-0000-0000-0000524F0000}"/>
    <cellStyle name="Énfasis2 57" xfId="20348" xr:uid="{00000000-0005-0000-0000-0000534F0000}"/>
    <cellStyle name="Énfasis2 58" xfId="20349" xr:uid="{00000000-0005-0000-0000-0000544F0000}"/>
    <cellStyle name="Énfasis2 59" xfId="20350" xr:uid="{00000000-0005-0000-0000-0000554F0000}"/>
    <cellStyle name="Énfasis2 6 10" xfId="20351" xr:uid="{00000000-0005-0000-0000-0000564F0000}"/>
    <cellStyle name="Énfasis2 6 11" xfId="20352" xr:uid="{00000000-0005-0000-0000-0000574F0000}"/>
    <cellStyle name="Énfasis2 6 12" xfId="20353" xr:uid="{00000000-0005-0000-0000-0000584F0000}"/>
    <cellStyle name="Énfasis2 6 13" xfId="20354" xr:uid="{00000000-0005-0000-0000-0000594F0000}"/>
    <cellStyle name="Énfasis2 6 14" xfId="20355" xr:uid="{00000000-0005-0000-0000-00005A4F0000}"/>
    <cellStyle name="Énfasis2 6 15" xfId="20356" xr:uid="{00000000-0005-0000-0000-00005B4F0000}"/>
    <cellStyle name="Énfasis2 6 16" xfId="20357" xr:uid="{00000000-0005-0000-0000-00005C4F0000}"/>
    <cellStyle name="Énfasis2 6 17" xfId="20358" xr:uid="{00000000-0005-0000-0000-00005D4F0000}"/>
    <cellStyle name="Énfasis2 6 18" xfId="20359" xr:uid="{00000000-0005-0000-0000-00005E4F0000}"/>
    <cellStyle name="Énfasis2 6 19" xfId="20360" xr:uid="{00000000-0005-0000-0000-00005F4F0000}"/>
    <cellStyle name="Énfasis2 6 2" xfId="20361" xr:uid="{00000000-0005-0000-0000-0000604F0000}"/>
    <cellStyle name="Énfasis2 6 2 2" xfId="20362" xr:uid="{00000000-0005-0000-0000-0000614F0000}"/>
    <cellStyle name="Énfasis2 6 3" xfId="20363" xr:uid="{00000000-0005-0000-0000-0000624F0000}"/>
    <cellStyle name="Énfasis2 6 3 2" xfId="20364" xr:uid="{00000000-0005-0000-0000-0000634F0000}"/>
    <cellStyle name="Énfasis2 6 4" xfId="20365" xr:uid="{00000000-0005-0000-0000-0000644F0000}"/>
    <cellStyle name="Énfasis2 6 4 2" xfId="20366" xr:uid="{00000000-0005-0000-0000-0000654F0000}"/>
    <cellStyle name="Énfasis2 6 5" xfId="20367" xr:uid="{00000000-0005-0000-0000-0000664F0000}"/>
    <cellStyle name="Énfasis2 6 6" xfId="20368" xr:uid="{00000000-0005-0000-0000-0000674F0000}"/>
    <cellStyle name="Énfasis2 6 7" xfId="20369" xr:uid="{00000000-0005-0000-0000-0000684F0000}"/>
    <cellStyle name="Énfasis2 6 8" xfId="20370" xr:uid="{00000000-0005-0000-0000-0000694F0000}"/>
    <cellStyle name="Énfasis2 6 9" xfId="20371" xr:uid="{00000000-0005-0000-0000-00006A4F0000}"/>
    <cellStyle name="Énfasis2 60" xfId="20372" xr:uid="{00000000-0005-0000-0000-00006B4F0000}"/>
    <cellStyle name="Énfasis2 61" xfId="20373" xr:uid="{00000000-0005-0000-0000-00006C4F0000}"/>
    <cellStyle name="Énfasis2 62" xfId="20374" xr:uid="{00000000-0005-0000-0000-00006D4F0000}"/>
    <cellStyle name="Énfasis2 63" xfId="20375" xr:uid="{00000000-0005-0000-0000-00006E4F0000}"/>
    <cellStyle name="Énfasis2 64" xfId="20376" xr:uid="{00000000-0005-0000-0000-00006F4F0000}"/>
    <cellStyle name="Énfasis2 7 10" xfId="20377" xr:uid="{00000000-0005-0000-0000-0000704F0000}"/>
    <cellStyle name="Énfasis2 7 11" xfId="20378" xr:uid="{00000000-0005-0000-0000-0000714F0000}"/>
    <cellStyle name="Énfasis2 7 12" xfId="20379" xr:uid="{00000000-0005-0000-0000-0000724F0000}"/>
    <cellStyle name="Énfasis2 7 13" xfId="20380" xr:uid="{00000000-0005-0000-0000-0000734F0000}"/>
    <cellStyle name="Énfasis2 7 14" xfId="20381" xr:uid="{00000000-0005-0000-0000-0000744F0000}"/>
    <cellStyle name="Énfasis2 7 15" xfId="20382" xr:uid="{00000000-0005-0000-0000-0000754F0000}"/>
    <cellStyle name="Énfasis2 7 16" xfId="20383" xr:uid="{00000000-0005-0000-0000-0000764F0000}"/>
    <cellStyle name="Énfasis2 7 17" xfId="20384" xr:uid="{00000000-0005-0000-0000-0000774F0000}"/>
    <cellStyle name="Énfasis2 7 18" xfId="20385" xr:uid="{00000000-0005-0000-0000-0000784F0000}"/>
    <cellStyle name="Énfasis2 7 19" xfId="20386" xr:uid="{00000000-0005-0000-0000-0000794F0000}"/>
    <cellStyle name="Énfasis2 7 2" xfId="20387" xr:uid="{00000000-0005-0000-0000-00007A4F0000}"/>
    <cellStyle name="Énfasis2 7 2 2" xfId="20388" xr:uid="{00000000-0005-0000-0000-00007B4F0000}"/>
    <cellStyle name="Énfasis2 7 3" xfId="20389" xr:uid="{00000000-0005-0000-0000-00007C4F0000}"/>
    <cellStyle name="Énfasis2 7 3 2" xfId="20390" xr:uid="{00000000-0005-0000-0000-00007D4F0000}"/>
    <cellStyle name="Énfasis2 7 4" xfId="20391" xr:uid="{00000000-0005-0000-0000-00007E4F0000}"/>
    <cellStyle name="Énfasis2 7 4 2" xfId="20392" xr:uid="{00000000-0005-0000-0000-00007F4F0000}"/>
    <cellStyle name="Énfasis2 7 5" xfId="20393" xr:uid="{00000000-0005-0000-0000-0000804F0000}"/>
    <cellStyle name="Énfasis2 7 6" xfId="20394" xr:uid="{00000000-0005-0000-0000-0000814F0000}"/>
    <cellStyle name="Énfasis2 7 7" xfId="20395" xr:uid="{00000000-0005-0000-0000-0000824F0000}"/>
    <cellStyle name="Énfasis2 7 8" xfId="20396" xr:uid="{00000000-0005-0000-0000-0000834F0000}"/>
    <cellStyle name="Énfasis2 7 9" xfId="20397" xr:uid="{00000000-0005-0000-0000-0000844F0000}"/>
    <cellStyle name="Énfasis2 8 10" xfId="20398" xr:uid="{00000000-0005-0000-0000-0000854F0000}"/>
    <cellStyle name="Énfasis2 8 11" xfId="20399" xr:uid="{00000000-0005-0000-0000-0000864F0000}"/>
    <cellStyle name="Énfasis2 8 12" xfId="20400" xr:uid="{00000000-0005-0000-0000-0000874F0000}"/>
    <cellStyle name="Énfasis2 8 13" xfId="20401" xr:uid="{00000000-0005-0000-0000-0000884F0000}"/>
    <cellStyle name="Énfasis2 8 14" xfId="20402" xr:uid="{00000000-0005-0000-0000-0000894F0000}"/>
    <cellStyle name="Énfasis2 8 15" xfId="20403" xr:uid="{00000000-0005-0000-0000-00008A4F0000}"/>
    <cellStyle name="Énfasis2 8 16" xfId="20404" xr:uid="{00000000-0005-0000-0000-00008B4F0000}"/>
    <cellStyle name="Énfasis2 8 17" xfId="20405" xr:uid="{00000000-0005-0000-0000-00008C4F0000}"/>
    <cellStyle name="Énfasis2 8 18" xfId="20406" xr:uid="{00000000-0005-0000-0000-00008D4F0000}"/>
    <cellStyle name="Énfasis2 8 19" xfId="20407" xr:uid="{00000000-0005-0000-0000-00008E4F0000}"/>
    <cellStyle name="Énfasis2 8 2" xfId="20408" xr:uid="{00000000-0005-0000-0000-00008F4F0000}"/>
    <cellStyle name="Énfasis2 8 2 2" xfId="20409" xr:uid="{00000000-0005-0000-0000-0000904F0000}"/>
    <cellStyle name="Énfasis2 8 3" xfId="20410" xr:uid="{00000000-0005-0000-0000-0000914F0000}"/>
    <cellStyle name="Énfasis2 8 3 2" xfId="20411" xr:uid="{00000000-0005-0000-0000-0000924F0000}"/>
    <cellStyle name="Énfasis2 8 4" xfId="20412" xr:uid="{00000000-0005-0000-0000-0000934F0000}"/>
    <cellStyle name="Énfasis2 8 4 2" xfId="20413" xr:uid="{00000000-0005-0000-0000-0000944F0000}"/>
    <cellStyle name="Énfasis2 8 5" xfId="20414" xr:uid="{00000000-0005-0000-0000-0000954F0000}"/>
    <cellStyle name="Énfasis2 8 6" xfId="20415" xr:uid="{00000000-0005-0000-0000-0000964F0000}"/>
    <cellStyle name="Énfasis2 8 7" xfId="20416" xr:uid="{00000000-0005-0000-0000-0000974F0000}"/>
    <cellStyle name="Énfasis2 8 8" xfId="20417" xr:uid="{00000000-0005-0000-0000-0000984F0000}"/>
    <cellStyle name="Énfasis2 8 9" xfId="20418" xr:uid="{00000000-0005-0000-0000-0000994F0000}"/>
    <cellStyle name="Énfasis2 9 10" xfId="20419" xr:uid="{00000000-0005-0000-0000-00009A4F0000}"/>
    <cellStyle name="Énfasis2 9 11" xfId="20420" xr:uid="{00000000-0005-0000-0000-00009B4F0000}"/>
    <cellStyle name="Énfasis2 9 12" xfId="20421" xr:uid="{00000000-0005-0000-0000-00009C4F0000}"/>
    <cellStyle name="Énfasis2 9 13" xfId="20422" xr:uid="{00000000-0005-0000-0000-00009D4F0000}"/>
    <cellStyle name="Énfasis2 9 14" xfId="20423" xr:uid="{00000000-0005-0000-0000-00009E4F0000}"/>
    <cellStyle name="Énfasis2 9 15" xfId="20424" xr:uid="{00000000-0005-0000-0000-00009F4F0000}"/>
    <cellStyle name="Énfasis2 9 16" xfId="20425" xr:uid="{00000000-0005-0000-0000-0000A04F0000}"/>
    <cellStyle name="Énfasis2 9 17" xfId="20426" xr:uid="{00000000-0005-0000-0000-0000A14F0000}"/>
    <cellStyle name="Énfasis2 9 18" xfId="20427" xr:uid="{00000000-0005-0000-0000-0000A24F0000}"/>
    <cellStyle name="Énfasis2 9 19" xfId="20428" xr:uid="{00000000-0005-0000-0000-0000A34F0000}"/>
    <cellStyle name="Énfasis2 9 2" xfId="20429" xr:uid="{00000000-0005-0000-0000-0000A44F0000}"/>
    <cellStyle name="Énfasis2 9 2 2" xfId="20430" xr:uid="{00000000-0005-0000-0000-0000A54F0000}"/>
    <cellStyle name="Énfasis2 9 3" xfId="20431" xr:uid="{00000000-0005-0000-0000-0000A64F0000}"/>
    <cellStyle name="Énfasis2 9 3 2" xfId="20432" xr:uid="{00000000-0005-0000-0000-0000A74F0000}"/>
    <cellStyle name="Énfasis2 9 4" xfId="20433" xr:uid="{00000000-0005-0000-0000-0000A84F0000}"/>
    <cellStyle name="Énfasis2 9 4 2" xfId="20434" xr:uid="{00000000-0005-0000-0000-0000A94F0000}"/>
    <cellStyle name="Énfasis2 9 5" xfId="20435" xr:uid="{00000000-0005-0000-0000-0000AA4F0000}"/>
    <cellStyle name="Énfasis2 9 6" xfId="20436" xr:uid="{00000000-0005-0000-0000-0000AB4F0000}"/>
    <cellStyle name="Énfasis2 9 7" xfId="20437" xr:uid="{00000000-0005-0000-0000-0000AC4F0000}"/>
    <cellStyle name="Énfasis2 9 8" xfId="20438" xr:uid="{00000000-0005-0000-0000-0000AD4F0000}"/>
    <cellStyle name="Énfasis2 9 9" xfId="20439" xr:uid="{00000000-0005-0000-0000-0000AE4F0000}"/>
    <cellStyle name="Énfasis3" xfId="32536" builtinId="37" customBuiltin="1"/>
    <cellStyle name="Énfasis3 10 10" xfId="20440" xr:uid="{00000000-0005-0000-0000-0000B04F0000}"/>
    <cellStyle name="Énfasis3 10 11" xfId="20441" xr:uid="{00000000-0005-0000-0000-0000B14F0000}"/>
    <cellStyle name="Énfasis3 10 12" xfId="20442" xr:uid="{00000000-0005-0000-0000-0000B24F0000}"/>
    <cellStyle name="Énfasis3 10 13" xfId="20443" xr:uid="{00000000-0005-0000-0000-0000B34F0000}"/>
    <cellStyle name="Énfasis3 10 14" xfId="20444" xr:uid="{00000000-0005-0000-0000-0000B44F0000}"/>
    <cellStyle name="Énfasis3 10 15" xfId="20445" xr:uid="{00000000-0005-0000-0000-0000B54F0000}"/>
    <cellStyle name="Énfasis3 10 16" xfId="20446" xr:uid="{00000000-0005-0000-0000-0000B64F0000}"/>
    <cellStyle name="Énfasis3 10 17" xfId="20447" xr:uid="{00000000-0005-0000-0000-0000B74F0000}"/>
    <cellStyle name="Énfasis3 10 18" xfId="20448" xr:uid="{00000000-0005-0000-0000-0000B84F0000}"/>
    <cellStyle name="Énfasis3 10 19" xfId="20449" xr:uid="{00000000-0005-0000-0000-0000B94F0000}"/>
    <cellStyle name="Énfasis3 10 2" xfId="20450" xr:uid="{00000000-0005-0000-0000-0000BA4F0000}"/>
    <cellStyle name="Énfasis3 10 2 2" xfId="20451" xr:uid="{00000000-0005-0000-0000-0000BB4F0000}"/>
    <cellStyle name="Énfasis3 10 3" xfId="20452" xr:uid="{00000000-0005-0000-0000-0000BC4F0000}"/>
    <cellStyle name="Énfasis3 10 3 2" xfId="20453" xr:uid="{00000000-0005-0000-0000-0000BD4F0000}"/>
    <cellStyle name="Énfasis3 10 4" xfId="20454" xr:uid="{00000000-0005-0000-0000-0000BE4F0000}"/>
    <cellStyle name="Énfasis3 10 4 2" xfId="20455" xr:uid="{00000000-0005-0000-0000-0000BF4F0000}"/>
    <cellStyle name="Énfasis3 10 5" xfId="20456" xr:uid="{00000000-0005-0000-0000-0000C04F0000}"/>
    <cellStyle name="Énfasis3 10 6" xfId="20457" xr:uid="{00000000-0005-0000-0000-0000C14F0000}"/>
    <cellStyle name="Énfasis3 10 7" xfId="20458" xr:uid="{00000000-0005-0000-0000-0000C24F0000}"/>
    <cellStyle name="Énfasis3 10 8" xfId="20459" xr:uid="{00000000-0005-0000-0000-0000C34F0000}"/>
    <cellStyle name="Énfasis3 10 9" xfId="20460" xr:uid="{00000000-0005-0000-0000-0000C44F0000}"/>
    <cellStyle name="Énfasis3 11 10" xfId="20461" xr:uid="{00000000-0005-0000-0000-0000C54F0000}"/>
    <cellStyle name="Énfasis3 11 11" xfId="20462" xr:uid="{00000000-0005-0000-0000-0000C64F0000}"/>
    <cellStyle name="Énfasis3 11 12" xfId="20463" xr:uid="{00000000-0005-0000-0000-0000C74F0000}"/>
    <cellStyle name="Énfasis3 11 13" xfId="20464" xr:uid="{00000000-0005-0000-0000-0000C84F0000}"/>
    <cellStyle name="Énfasis3 11 14" xfId="20465" xr:uid="{00000000-0005-0000-0000-0000C94F0000}"/>
    <cellStyle name="Énfasis3 11 15" xfId="20466" xr:uid="{00000000-0005-0000-0000-0000CA4F0000}"/>
    <cellStyle name="Énfasis3 11 16" xfId="20467" xr:uid="{00000000-0005-0000-0000-0000CB4F0000}"/>
    <cellStyle name="Énfasis3 11 17" xfId="20468" xr:uid="{00000000-0005-0000-0000-0000CC4F0000}"/>
    <cellStyle name="Énfasis3 11 18" xfId="20469" xr:uid="{00000000-0005-0000-0000-0000CD4F0000}"/>
    <cellStyle name="Énfasis3 11 19" xfId="20470" xr:uid="{00000000-0005-0000-0000-0000CE4F0000}"/>
    <cellStyle name="Énfasis3 11 2" xfId="20471" xr:uid="{00000000-0005-0000-0000-0000CF4F0000}"/>
    <cellStyle name="Énfasis3 11 2 2" xfId="20472" xr:uid="{00000000-0005-0000-0000-0000D04F0000}"/>
    <cellStyle name="Énfasis3 11 3" xfId="20473" xr:uid="{00000000-0005-0000-0000-0000D14F0000}"/>
    <cellStyle name="Énfasis3 11 3 2" xfId="20474" xr:uid="{00000000-0005-0000-0000-0000D24F0000}"/>
    <cellStyle name="Énfasis3 11 4" xfId="20475" xr:uid="{00000000-0005-0000-0000-0000D34F0000}"/>
    <cellStyle name="Énfasis3 11 4 2" xfId="20476" xr:uid="{00000000-0005-0000-0000-0000D44F0000}"/>
    <cellStyle name="Énfasis3 11 5" xfId="20477" xr:uid="{00000000-0005-0000-0000-0000D54F0000}"/>
    <cellStyle name="Énfasis3 11 6" xfId="20478" xr:uid="{00000000-0005-0000-0000-0000D64F0000}"/>
    <cellStyle name="Énfasis3 11 7" xfId="20479" xr:uid="{00000000-0005-0000-0000-0000D74F0000}"/>
    <cellStyle name="Énfasis3 11 8" xfId="20480" xr:uid="{00000000-0005-0000-0000-0000D84F0000}"/>
    <cellStyle name="Énfasis3 11 9" xfId="20481" xr:uid="{00000000-0005-0000-0000-0000D94F0000}"/>
    <cellStyle name="Énfasis3 12 10" xfId="20482" xr:uid="{00000000-0005-0000-0000-0000DA4F0000}"/>
    <cellStyle name="Énfasis3 12 11" xfId="20483" xr:uid="{00000000-0005-0000-0000-0000DB4F0000}"/>
    <cellStyle name="Énfasis3 12 12" xfId="20484" xr:uid="{00000000-0005-0000-0000-0000DC4F0000}"/>
    <cellStyle name="Énfasis3 12 13" xfId="20485" xr:uid="{00000000-0005-0000-0000-0000DD4F0000}"/>
    <cellStyle name="Énfasis3 12 14" xfId="20486" xr:uid="{00000000-0005-0000-0000-0000DE4F0000}"/>
    <cellStyle name="Énfasis3 12 15" xfId="20487" xr:uid="{00000000-0005-0000-0000-0000DF4F0000}"/>
    <cellStyle name="Énfasis3 12 16" xfId="20488" xr:uid="{00000000-0005-0000-0000-0000E04F0000}"/>
    <cellStyle name="Énfasis3 12 17" xfId="20489" xr:uid="{00000000-0005-0000-0000-0000E14F0000}"/>
    <cellStyle name="Énfasis3 12 18" xfId="20490" xr:uid="{00000000-0005-0000-0000-0000E24F0000}"/>
    <cellStyle name="Énfasis3 12 19" xfId="20491" xr:uid="{00000000-0005-0000-0000-0000E34F0000}"/>
    <cellStyle name="Énfasis3 12 2" xfId="20492" xr:uid="{00000000-0005-0000-0000-0000E44F0000}"/>
    <cellStyle name="Énfasis3 12 2 2" xfId="20493" xr:uid="{00000000-0005-0000-0000-0000E54F0000}"/>
    <cellStyle name="Énfasis3 12 3" xfId="20494" xr:uid="{00000000-0005-0000-0000-0000E64F0000}"/>
    <cellStyle name="Énfasis3 12 3 2" xfId="20495" xr:uid="{00000000-0005-0000-0000-0000E74F0000}"/>
    <cellStyle name="Énfasis3 12 4" xfId="20496" xr:uid="{00000000-0005-0000-0000-0000E84F0000}"/>
    <cellStyle name="Énfasis3 12 4 2" xfId="20497" xr:uid="{00000000-0005-0000-0000-0000E94F0000}"/>
    <cellStyle name="Énfasis3 12 5" xfId="20498" xr:uid="{00000000-0005-0000-0000-0000EA4F0000}"/>
    <cellStyle name="Énfasis3 12 6" xfId="20499" xr:uid="{00000000-0005-0000-0000-0000EB4F0000}"/>
    <cellStyle name="Énfasis3 12 7" xfId="20500" xr:uid="{00000000-0005-0000-0000-0000EC4F0000}"/>
    <cellStyle name="Énfasis3 12 8" xfId="20501" xr:uid="{00000000-0005-0000-0000-0000ED4F0000}"/>
    <cellStyle name="Énfasis3 12 9" xfId="20502" xr:uid="{00000000-0005-0000-0000-0000EE4F0000}"/>
    <cellStyle name="Énfasis3 13 10" xfId="20503" xr:uid="{00000000-0005-0000-0000-0000EF4F0000}"/>
    <cellStyle name="Énfasis3 13 11" xfId="20504" xr:uid="{00000000-0005-0000-0000-0000F04F0000}"/>
    <cellStyle name="Énfasis3 13 12" xfId="20505" xr:uid="{00000000-0005-0000-0000-0000F14F0000}"/>
    <cellStyle name="Énfasis3 13 13" xfId="20506" xr:uid="{00000000-0005-0000-0000-0000F24F0000}"/>
    <cellStyle name="Énfasis3 13 14" xfId="20507" xr:uid="{00000000-0005-0000-0000-0000F34F0000}"/>
    <cellStyle name="Énfasis3 13 15" xfId="20508" xr:uid="{00000000-0005-0000-0000-0000F44F0000}"/>
    <cellStyle name="Énfasis3 13 16" xfId="20509" xr:uid="{00000000-0005-0000-0000-0000F54F0000}"/>
    <cellStyle name="Énfasis3 13 17" xfId="20510" xr:uid="{00000000-0005-0000-0000-0000F64F0000}"/>
    <cellStyle name="Énfasis3 13 18" xfId="20511" xr:uid="{00000000-0005-0000-0000-0000F74F0000}"/>
    <cellStyle name="Énfasis3 13 19" xfId="20512" xr:uid="{00000000-0005-0000-0000-0000F84F0000}"/>
    <cellStyle name="Énfasis3 13 2" xfId="20513" xr:uid="{00000000-0005-0000-0000-0000F94F0000}"/>
    <cellStyle name="Énfasis3 13 2 2" xfId="20514" xr:uid="{00000000-0005-0000-0000-0000FA4F0000}"/>
    <cellStyle name="Énfasis3 13 3" xfId="20515" xr:uid="{00000000-0005-0000-0000-0000FB4F0000}"/>
    <cellStyle name="Énfasis3 13 3 2" xfId="20516" xr:uid="{00000000-0005-0000-0000-0000FC4F0000}"/>
    <cellStyle name="Énfasis3 13 4" xfId="20517" xr:uid="{00000000-0005-0000-0000-0000FD4F0000}"/>
    <cellStyle name="Énfasis3 13 4 2" xfId="20518" xr:uid="{00000000-0005-0000-0000-0000FE4F0000}"/>
    <cellStyle name="Énfasis3 13 5" xfId="20519" xr:uid="{00000000-0005-0000-0000-0000FF4F0000}"/>
    <cellStyle name="Énfasis3 13 6" xfId="20520" xr:uid="{00000000-0005-0000-0000-000000500000}"/>
    <cellStyle name="Énfasis3 13 7" xfId="20521" xr:uid="{00000000-0005-0000-0000-000001500000}"/>
    <cellStyle name="Énfasis3 13 8" xfId="20522" xr:uid="{00000000-0005-0000-0000-000002500000}"/>
    <cellStyle name="Énfasis3 13 9" xfId="20523" xr:uid="{00000000-0005-0000-0000-000003500000}"/>
    <cellStyle name="Énfasis3 14 10" xfId="20524" xr:uid="{00000000-0005-0000-0000-000004500000}"/>
    <cellStyle name="Énfasis3 14 11" xfId="20525" xr:uid="{00000000-0005-0000-0000-000005500000}"/>
    <cellStyle name="Énfasis3 14 12" xfId="20526" xr:uid="{00000000-0005-0000-0000-000006500000}"/>
    <cellStyle name="Énfasis3 14 13" xfId="20527" xr:uid="{00000000-0005-0000-0000-000007500000}"/>
    <cellStyle name="Énfasis3 14 14" xfId="20528" xr:uid="{00000000-0005-0000-0000-000008500000}"/>
    <cellStyle name="Énfasis3 14 15" xfId="20529" xr:uid="{00000000-0005-0000-0000-000009500000}"/>
    <cellStyle name="Énfasis3 14 16" xfId="20530" xr:uid="{00000000-0005-0000-0000-00000A500000}"/>
    <cellStyle name="Énfasis3 14 17" xfId="20531" xr:uid="{00000000-0005-0000-0000-00000B500000}"/>
    <cellStyle name="Énfasis3 14 18" xfId="20532" xr:uid="{00000000-0005-0000-0000-00000C500000}"/>
    <cellStyle name="Énfasis3 14 19" xfId="20533" xr:uid="{00000000-0005-0000-0000-00000D500000}"/>
    <cellStyle name="Énfasis3 14 2" xfId="20534" xr:uid="{00000000-0005-0000-0000-00000E500000}"/>
    <cellStyle name="Énfasis3 14 2 2" xfId="20535" xr:uid="{00000000-0005-0000-0000-00000F500000}"/>
    <cellStyle name="Énfasis3 14 3" xfId="20536" xr:uid="{00000000-0005-0000-0000-000010500000}"/>
    <cellStyle name="Énfasis3 14 3 2" xfId="20537" xr:uid="{00000000-0005-0000-0000-000011500000}"/>
    <cellStyle name="Énfasis3 14 4" xfId="20538" xr:uid="{00000000-0005-0000-0000-000012500000}"/>
    <cellStyle name="Énfasis3 14 4 2" xfId="20539" xr:uid="{00000000-0005-0000-0000-000013500000}"/>
    <cellStyle name="Énfasis3 14 5" xfId="20540" xr:uid="{00000000-0005-0000-0000-000014500000}"/>
    <cellStyle name="Énfasis3 14 6" xfId="20541" xr:uid="{00000000-0005-0000-0000-000015500000}"/>
    <cellStyle name="Énfasis3 14 7" xfId="20542" xr:uid="{00000000-0005-0000-0000-000016500000}"/>
    <cellStyle name="Énfasis3 14 8" xfId="20543" xr:uid="{00000000-0005-0000-0000-000017500000}"/>
    <cellStyle name="Énfasis3 14 9" xfId="20544" xr:uid="{00000000-0005-0000-0000-000018500000}"/>
    <cellStyle name="Énfasis3 15 10" xfId="20545" xr:uid="{00000000-0005-0000-0000-000019500000}"/>
    <cellStyle name="Énfasis3 15 11" xfId="20546" xr:uid="{00000000-0005-0000-0000-00001A500000}"/>
    <cellStyle name="Énfasis3 15 12" xfId="20547" xr:uid="{00000000-0005-0000-0000-00001B500000}"/>
    <cellStyle name="Énfasis3 15 13" xfId="20548" xr:uid="{00000000-0005-0000-0000-00001C500000}"/>
    <cellStyle name="Énfasis3 15 14" xfId="20549" xr:uid="{00000000-0005-0000-0000-00001D500000}"/>
    <cellStyle name="Énfasis3 15 15" xfId="20550" xr:uid="{00000000-0005-0000-0000-00001E500000}"/>
    <cellStyle name="Énfasis3 15 16" xfId="20551" xr:uid="{00000000-0005-0000-0000-00001F500000}"/>
    <cellStyle name="Énfasis3 15 17" xfId="20552" xr:uid="{00000000-0005-0000-0000-000020500000}"/>
    <cellStyle name="Énfasis3 15 18" xfId="20553" xr:uid="{00000000-0005-0000-0000-000021500000}"/>
    <cellStyle name="Énfasis3 15 19" xfId="20554" xr:uid="{00000000-0005-0000-0000-000022500000}"/>
    <cellStyle name="Énfasis3 15 2" xfId="20555" xr:uid="{00000000-0005-0000-0000-000023500000}"/>
    <cellStyle name="Énfasis3 15 2 2" xfId="20556" xr:uid="{00000000-0005-0000-0000-000024500000}"/>
    <cellStyle name="Énfasis3 15 3" xfId="20557" xr:uid="{00000000-0005-0000-0000-000025500000}"/>
    <cellStyle name="Énfasis3 15 3 2" xfId="20558" xr:uid="{00000000-0005-0000-0000-000026500000}"/>
    <cellStyle name="Énfasis3 15 4" xfId="20559" xr:uid="{00000000-0005-0000-0000-000027500000}"/>
    <cellStyle name="Énfasis3 15 4 2" xfId="20560" xr:uid="{00000000-0005-0000-0000-000028500000}"/>
    <cellStyle name="Énfasis3 15 5" xfId="20561" xr:uid="{00000000-0005-0000-0000-000029500000}"/>
    <cellStyle name="Énfasis3 15 6" xfId="20562" xr:uid="{00000000-0005-0000-0000-00002A500000}"/>
    <cellStyle name="Énfasis3 15 7" xfId="20563" xr:uid="{00000000-0005-0000-0000-00002B500000}"/>
    <cellStyle name="Énfasis3 15 8" xfId="20564" xr:uid="{00000000-0005-0000-0000-00002C500000}"/>
    <cellStyle name="Énfasis3 15 9" xfId="20565" xr:uid="{00000000-0005-0000-0000-00002D500000}"/>
    <cellStyle name="Énfasis3 16 10" xfId="20566" xr:uid="{00000000-0005-0000-0000-00002E500000}"/>
    <cellStyle name="Énfasis3 16 11" xfId="20567" xr:uid="{00000000-0005-0000-0000-00002F500000}"/>
    <cellStyle name="Énfasis3 16 12" xfId="20568" xr:uid="{00000000-0005-0000-0000-000030500000}"/>
    <cellStyle name="Énfasis3 16 13" xfId="20569" xr:uid="{00000000-0005-0000-0000-000031500000}"/>
    <cellStyle name="Énfasis3 16 14" xfId="20570" xr:uid="{00000000-0005-0000-0000-000032500000}"/>
    <cellStyle name="Énfasis3 16 15" xfId="20571" xr:uid="{00000000-0005-0000-0000-000033500000}"/>
    <cellStyle name="Énfasis3 16 16" xfId="20572" xr:uid="{00000000-0005-0000-0000-000034500000}"/>
    <cellStyle name="Énfasis3 16 17" xfId="20573" xr:uid="{00000000-0005-0000-0000-000035500000}"/>
    <cellStyle name="Énfasis3 16 18" xfId="20574" xr:uid="{00000000-0005-0000-0000-000036500000}"/>
    <cellStyle name="Énfasis3 16 19" xfId="20575" xr:uid="{00000000-0005-0000-0000-000037500000}"/>
    <cellStyle name="Énfasis3 16 2" xfId="20576" xr:uid="{00000000-0005-0000-0000-000038500000}"/>
    <cellStyle name="Énfasis3 16 2 2" xfId="20577" xr:uid="{00000000-0005-0000-0000-000039500000}"/>
    <cellStyle name="Énfasis3 16 3" xfId="20578" xr:uid="{00000000-0005-0000-0000-00003A500000}"/>
    <cellStyle name="Énfasis3 16 3 2" xfId="20579" xr:uid="{00000000-0005-0000-0000-00003B500000}"/>
    <cellStyle name="Énfasis3 16 4" xfId="20580" xr:uid="{00000000-0005-0000-0000-00003C500000}"/>
    <cellStyle name="Énfasis3 16 4 2" xfId="20581" xr:uid="{00000000-0005-0000-0000-00003D500000}"/>
    <cellStyle name="Énfasis3 16 5" xfId="20582" xr:uid="{00000000-0005-0000-0000-00003E500000}"/>
    <cellStyle name="Énfasis3 16 6" xfId="20583" xr:uid="{00000000-0005-0000-0000-00003F500000}"/>
    <cellStyle name="Énfasis3 16 7" xfId="20584" xr:uid="{00000000-0005-0000-0000-000040500000}"/>
    <cellStyle name="Énfasis3 16 8" xfId="20585" xr:uid="{00000000-0005-0000-0000-000041500000}"/>
    <cellStyle name="Énfasis3 16 9" xfId="20586" xr:uid="{00000000-0005-0000-0000-000042500000}"/>
    <cellStyle name="Énfasis3 17 10" xfId="20587" xr:uid="{00000000-0005-0000-0000-000043500000}"/>
    <cellStyle name="Énfasis3 17 11" xfId="20588" xr:uid="{00000000-0005-0000-0000-000044500000}"/>
    <cellStyle name="Énfasis3 17 12" xfId="20589" xr:uid="{00000000-0005-0000-0000-000045500000}"/>
    <cellStyle name="Énfasis3 17 13" xfId="20590" xr:uid="{00000000-0005-0000-0000-000046500000}"/>
    <cellStyle name="Énfasis3 17 14" xfId="20591" xr:uid="{00000000-0005-0000-0000-000047500000}"/>
    <cellStyle name="Énfasis3 17 15" xfId="20592" xr:uid="{00000000-0005-0000-0000-000048500000}"/>
    <cellStyle name="Énfasis3 17 16" xfId="20593" xr:uid="{00000000-0005-0000-0000-000049500000}"/>
    <cellStyle name="Énfasis3 17 17" xfId="20594" xr:uid="{00000000-0005-0000-0000-00004A500000}"/>
    <cellStyle name="Énfasis3 17 18" xfId="20595" xr:uid="{00000000-0005-0000-0000-00004B500000}"/>
    <cellStyle name="Énfasis3 17 19" xfId="20596" xr:uid="{00000000-0005-0000-0000-00004C500000}"/>
    <cellStyle name="Énfasis3 17 2" xfId="20597" xr:uid="{00000000-0005-0000-0000-00004D500000}"/>
    <cellStyle name="Énfasis3 17 2 2" xfId="20598" xr:uid="{00000000-0005-0000-0000-00004E500000}"/>
    <cellStyle name="Énfasis3 17 3" xfId="20599" xr:uid="{00000000-0005-0000-0000-00004F500000}"/>
    <cellStyle name="Énfasis3 17 3 2" xfId="20600" xr:uid="{00000000-0005-0000-0000-000050500000}"/>
    <cellStyle name="Énfasis3 17 4" xfId="20601" xr:uid="{00000000-0005-0000-0000-000051500000}"/>
    <cellStyle name="Énfasis3 17 4 2" xfId="20602" xr:uid="{00000000-0005-0000-0000-000052500000}"/>
    <cellStyle name="Énfasis3 17 5" xfId="20603" xr:uid="{00000000-0005-0000-0000-000053500000}"/>
    <cellStyle name="Énfasis3 17 6" xfId="20604" xr:uid="{00000000-0005-0000-0000-000054500000}"/>
    <cellStyle name="Énfasis3 17 7" xfId="20605" xr:uid="{00000000-0005-0000-0000-000055500000}"/>
    <cellStyle name="Énfasis3 17 8" xfId="20606" xr:uid="{00000000-0005-0000-0000-000056500000}"/>
    <cellStyle name="Énfasis3 17 9" xfId="20607" xr:uid="{00000000-0005-0000-0000-000057500000}"/>
    <cellStyle name="Énfasis3 18 10" xfId="20608" xr:uid="{00000000-0005-0000-0000-000058500000}"/>
    <cellStyle name="Énfasis3 18 11" xfId="20609" xr:uid="{00000000-0005-0000-0000-000059500000}"/>
    <cellStyle name="Énfasis3 18 12" xfId="20610" xr:uid="{00000000-0005-0000-0000-00005A500000}"/>
    <cellStyle name="Énfasis3 18 13" xfId="20611" xr:uid="{00000000-0005-0000-0000-00005B500000}"/>
    <cellStyle name="Énfasis3 18 14" xfId="20612" xr:uid="{00000000-0005-0000-0000-00005C500000}"/>
    <cellStyle name="Énfasis3 18 15" xfId="20613" xr:uid="{00000000-0005-0000-0000-00005D500000}"/>
    <cellStyle name="Énfasis3 18 16" xfId="20614" xr:uid="{00000000-0005-0000-0000-00005E500000}"/>
    <cellStyle name="Énfasis3 18 17" xfId="20615" xr:uid="{00000000-0005-0000-0000-00005F500000}"/>
    <cellStyle name="Énfasis3 18 18" xfId="20616" xr:uid="{00000000-0005-0000-0000-000060500000}"/>
    <cellStyle name="Énfasis3 18 19" xfId="20617" xr:uid="{00000000-0005-0000-0000-000061500000}"/>
    <cellStyle name="Énfasis3 18 2" xfId="20618" xr:uid="{00000000-0005-0000-0000-000062500000}"/>
    <cellStyle name="Énfasis3 18 2 2" xfId="20619" xr:uid="{00000000-0005-0000-0000-000063500000}"/>
    <cellStyle name="Énfasis3 18 3" xfId="20620" xr:uid="{00000000-0005-0000-0000-000064500000}"/>
    <cellStyle name="Énfasis3 18 3 2" xfId="20621" xr:uid="{00000000-0005-0000-0000-000065500000}"/>
    <cellStyle name="Énfasis3 18 4" xfId="20622" xr:uid="{00000000-0005-0000-0000-000066500000}"/>
    <cellStyle name="Énfasis3 18 4 2" xfId="20623" xr:uid="{00000000-0005-0000-0000-000067500000}"/>
    <cellStyle name="Énfasis3 18 5" xfId="20624" xr:uid="{00000000-0005-0000-0000-000068500000}"/>
    <cellStyle name="Énfasis3 18 6" xfId="20625" xr:uid="{00000000-0005-0000-0000-000069500000}"/>
    <cellStyle name="Énfasis3 18 7" xfId="20626" xr:uid="{00000000-0005-0000-0000-00006A500000}"/>
    <cellStyle name="Énfasis3 18 8" xfId="20627" xr:uid="{00000000-0005-0000-0000-00006B500000}"/>
    <cellStyle name="Énfasis3 18 9" xfId="20628" xr:uid="{00000000-0005-0000-0000-00006C500000}"/>
    <cellStyle name="Énfasis3 19 10" xfId="20629" xr:uid="{00000000-0005-0000-0000-00006D500000}"/>
    <cellStyle name="Énfasis3 19 11" xfId="20630" xr:uid="{00000000-0005-0000-0000-00006E500000}"/>
    <cellStyle name="Énfasis3 19 12" xfId="20631" xr:uid="{00000000-0005-0000-0000-00006F500000}"/>
    <cellStyle name="Énfasis3 19 13" xfId="20632" xr:uid="{00000000-0005-0000-0000-000070500000}"/>
    <cellStyle name="Énfasis3 19 14" xfId="20633" xr:uid="{00000000-0005-0000-0000-000071500000}"/>
    <cellStyle name="Énfasis3 19 15" xfId="20634" xr:uid="{00000000-0005-0000-0000-000072500000}"/>
    <cellStyle name="Énfasis3 19 16" xfId="20635" xr:uid="{00000000-0005-0000-0000-000073500000}"/>
    <cellStyle name="Énfasis3 19 17" xfId="20636" xr:uid="{00000000-0005-0000-0000-000074500000}"/>
    <cellStyle name="Énfasis3 19 18" xfId="20637" xr:uid="{00000000-0005-0000-0000-000075500000}"/>
    <cellStyle name="Énfasis3 19 19" xfId="20638" xr:uid="{00000000-0005-0000-0000-000076500000}"/>
    <cellStyle name="Énfasis3 19 2" xfId="20639" xr:uid="{00000000-0005-0000-0000-000077500000}"/>
    <cellStyle name="Énfasis3 19 2 2" xfId="20640" xr:uid="{00000000-0005-0000-0000-000078500000}"/>
    <cellStyle name="Énfasis3 19 3" xfId="20641" xr:uid="{00000000-0005-0000-0000-000079500000}"/>
    <cellStyle name="Énfasis3 19 3 2" xfId="20642" xr:uid="{00000000-0005-0000-0000-00007A500000}"/>
    <cellStyle name="Énfasis3 19 4" xfId="20643" xr:uid="{00000000-0005-0000-0000-00007B500000}"/>
    <cellStyle name="Énfasis3 19 4 2" xfId="20644" xr:uid="{00000000-0005-0000-0000-00007C500000}"/>
    <cellStyle name="Énfasis3 19 5" xfId="20645" xr:uid="{00000000-0005-0000-0000-00007D500000}"/>
    <cellStyle name="Énfasis3 19 6" xfId="20646" xr:uid="{00000000-0005-0000-0000-00007E500000}"/>
    <cellStyle name="Énfasis3 19 7" xfId="20647" xr:uid="{00000000-0005-0000-0000-00007F500000}"/>
    <cellStyle name="Énfasis3 19 8" xfId="20648" xr:uid="{00000000-0005-0000-0000-000080500000}"/>
    <cellStyle name="Énfasis3 19 9" xfId="20649" xr:uid="{00000000-0005-0000-0000-000081500000}"/>
    <cellStyle name="Énfasis3 2 10" xfId="20650" xr:uid="{00000000-0005-0000-0000-000082500000}"/>
    <cellStyle name="Énfasis3 2 11" xfId="20651" xr:uid="{00000000-0005-0000-0000-000083500000}"/>
    <cellStyle name="Énfasis3 2 12" xfId="20652" xr:uid="{00000000-0005-0000-0000-000084500000}"/>
    <cellStyle name="Énfasis3 2 13" xfId="20653" xr:uid="{00000000-0005-0000-0000-000085500000}"/>
    <cellStyle name="Énfasis3 2 14" xfId="20654" xr:uid="{00000000-0005-0000-0000-000086500000}"/>
    <cellStyle name="Énfasis3 2 15" xfId="20655" xr:uid="{00000000-0005-0000-0000-000087500000}"/>
    <cellStyle name="Énfasis3 2 16" xfId="20656" xr:uid="{00000000-0005-0000-0000-000088500000}"/>
    <cellStyle name="Énfasis3 2 17" xfId="20657" xr:uid="{00000000-0005-0000-0000-000089500000}"/>
    <cellStyle name="Énfasis3 2 18" xfId="20658" xr:uid="{00000000-0005-0000-0000-00008A500000}"/>
    <cellStyle name="Énfasis3 2 19" xfId="20659" xr:uid="{00000000-0005-0000-0000-00008B500000}"/>
    <cellStyle name="Énfasis3 2 2" xfId="20660" xr:uid="{00000000-0005-0000-0000-00008C500000}"/>
    <cellStyle name="Énfasis3 2 2 2" xfId="20661" xr:uid="{00000000-0005-0000-0000-00008D500000}"/>
    <cellStyle name="Énfasis3 2 3" xfId="20662" xr:uid="{00000000-0005-0000-0000-00008E500000}"/>
    <cellStyle name="Énfasis3 2 3 2" xfId="20663" xr:uid="{00000000-0005-0000-0000-00008F500000}"/>
    <cellStyle name="Énfasis3 2 4" xfId="20664" xr:uid="{00000000-0005-0000-0000-000090500000}"/>
    <cellStyle name="Énfasis3 2 4 2" xfId="20665" xr:uid="{00000000-0005-0000-0000-000091500000}"/>
    <cellStyle name="Énfasis3 2 5" xfId="20666" xr:uid="{00000000-0005-0000-0000-000092500000}"/>
    <cellStyle name="Énfasis3 2 6" xfId="20667" xr:uid="{00000000-0005-0000-0000-000093500000}"/>
    <cellStyle name="Énfasis3 2 7" xfId="20668" xr:uid="{00000000-0005-0000-0000-000094500000}"/>
    <cellStyle name="Énfasis3 2 8" xfId="20669" xr:uid="{00000000-0005-0000-0000-000095500000}"/>
    <cellStyle name="Énfasis3 2 9" xfId="20670" xr:uid="{00000000-0005-0000-0000-000096500000}"/>
    <cellStyle name="Énfasis3 20 10" xfId="20671" xr:uid="{00000000-0005-0000-0000-000097500000}"/>
    <cellStyle name="Énfasis3 20 11" xfId="20672" xr:uid="{00000000-0005-0000-0000-000098500000}"/>
    <cellStyle name="Énfasis3 20 12" xfId="20673" xr:uid="{00000000-0005-0000-0000-000099500000}"/>
    <cellStyle name="Énfasis3 20 13" xfId="20674" xr:uid="{00000000-0005-0000-0000-00009A500000}"/>
    <cellStyle name="Énfasis3 20 14" xfId="20675" xr:uid="{00000000-0005-0000-0000-00009B500000}"/>
    <cellStyle name="Énfasis3 20 15" xfId="20676" xr:uid="{00000000-0005-0000-0000-00009C500000}"/>
    <cellStyle name="Énfasis3 20 16" xfId="20677" xr:uid="{00000000-0005-0000-0000-00009D500000}"/>
    <cellStyle name="Énfasis3 20 17" xfId="20678" xr:uid="{00000000-0005-0000-0000-00009E500000}"/>
    <cellStyle name="Énfasis3 20 18" xfId="20679" xr:uid="{00000000-0005-0000-0000-00009F500000}"/>
    <cellStyle name="Énfasis3 20 19" xfId="20680" xr:uid="{00000000-0005-0000-0000-0000A0500000}"/>
    <cellStyle name="Énfasis3 20 2" xfId="20681" xr:uid="{00000000-0005-0000-0000-0000A1500000}"/>
    <cellStyle name="Énfasis3 20 2 2" xfId="20682" xr:uid="{00000000-0005-0000-0000-0000A2500000}"/>
    <cellStyle name="Énfasis3 20 3" xfId="20683" xr:uid="{00000000-0005-0000-0000-0000A3500000}"/>
    <cellStyle name="Énfasis3 20 3 2" xfId="20684" xr:uid="{00000000-0005-0000-0000-0000A4500000}"/>
    <cellStyle name="Énfasis3 20 4" xfId="20685" xr:uid="{00000000-0005-0000-0000-0000A5500000}"/>
    <cellStyle name="Énfasis3 20 4 2" xfId="20686" xr:uid="{00000000-0005-0000-0000-0000A6500000}"/>
    <cellStyle name="Énfasis3 20 5" xfId="20687" xr:uid="{00000000-0005-0000-0000-0000A7500000}"/>
    <cellStyle name="Énfasis3 20 6" xfId="20688" xr:uid="{00000000-0005-0000-0000-0000A8500000}"/>
    <cellStyle name="Énfasis3 20 7" xfId="20689" xr:uid="{00000000-0005-0000-0000-0000A9500000}"/>
    <cellStyle name="Énfasis3 20 8" xfId="20690" xr:uid="{00000000-0005-0000-0000-0000AA500000}"/>
    <cellStyle name="Énfasis3 20 9" xfId="20691" xr:uid="{00000000-0005-0000-0000-0000AB500000}"/>
    <cellStyle name="Énfasis3 21 10" xfId="20692" xr:uid="{00000000-0005-0000-0000-0000AC500000}"/>
    <cellStyle name="Énfasis3 21 11" xfId="20693" xr:uid="{00000000-0005-0000-0000-0000AD500000}"/>
    <cellStyle name="Énfasis3 21 12" xfId="20694" xr:uid="{00000000-0005-0000-0000-0000AE500000}"/>
    <cellStyle name="Énfasis3 21 13" xfId="20695" xr:uid="{00000000-0005-0000-0000-0000AF500000}"/>
    <cellStyle name="Énfasis3 21 14" xfId="20696" xr:uid="{00000000-0005-0000-0000-0000B0500000}"/>
    <cellStyle name="Énfasis3 21 15" xfId="20697" xr:uid="{00000000-0005-0000-0000-0000B1500000}"/>
    <cellStyle name="Énfasis3 21 16" xfId="20698" xr:uid="{00000000-0005-0000-0000-0000B2500000}"/>
    <cellStyle name="Énfasis3 21 17" xfId="20699" xr:uid="{00000000-0005-0000-0000-0000B3500000}"/>
    <cellStyle name="Énfasis3 21 18" xfId="20700" xr:uid="{00000000-0005-0000-0000-0000B4500000}"/>
    <cellStyle name="Énfasis3 21 19" xfId="20701" xr:uid="{00000000-0005-0000-0000-0000B5500000}"/>
    <cellStyle name="Énfasis3 21 2" xfId="20702" xr:uid="{00000000-0005-0000-0000-0000B6500000}"/>
    <cellStyle name="Énfasis3 21 2 2" xfId="20703" xr:uid="{00000000-0005-0000-0000-0000B7500000}"/>
    <cellStyle name="Énfasis3 21 3" xfId="20704" xr:uid="{00000000-0005-0000-0000-0000B8500000}"/>
    <cellStyle name="Énfasis3 21 3 2" xfId="20705" xr:uid="{00000000-0005-0000-0000-0000B9500000}"/>
    <cellStyle name="Énfasis3 21 4" xfId="20706" xr:uid="{00000000-0005-0000-0000-0000BA500000}"/>
    <cellStyle name="Énfasis3 21 4 2" xfId="20707" xr:uid="{00000000-0005-0000-0000-0000BB500000}"/>
    <cellStyle name="Énfasis3 21 5" xfId="20708" xr:uid="{00000000-0005-0000-0000-0000BC500000}"/>
    <cellStyle name="Énfasis3 21 6" xfId="20709" xr:uid="{00000000-0005-0000-0000-0000BD500000}"/>
    <cellStyle name="Énfasis3 21 7" xfId="20710" xr:uid="{00000000-0005-0000-0000-0000BE500000}"/>
    <cellStyle name="Énfasis3 21 8" xfId="20711" xr:uid="{00000000-0005-0000-0000-0000BF500000}"/>
    <cellStyle name="Énfasis3 21 9" xfId="20712" xr:uid="{00000000-0005-0000-0000-0000C0500000}"/>
    <cellStyle name="Énfasis3 22 10" xfId="20713" xr:uid="{00000000-0005-0000-0000-0000C1500000}"/>
    <cellStyle name="Énfasis3 22 11" xfId="20714" xr:uid="{00000000-0005-0000-0000-0000C2500000}"/>
    <cellStyle name="Énfasis3 22 12" xfId="20715" xr:uid="{00000000-0005-0000-0000-0000C3500000}"/>
    <cellStyle name="Énfasis3 22 13" xfId="20716" xr:uid="{00000000-0005-0000-0000-0000C4500000}"/>
    <cellStyle name="Énfasis3 22 14" xfId="20717" xr:uid="{00000000-0005-0000-0000-0000C5500000}"/>
    <cellStyle name="Énfasis3 22 15" xfId="20718" xr:uid="{00000000-0005-0000-0000-0000C6500000}"/>
    <cellStyle name="Énfasis3 22 16" xfId="20719" xr:uid="{00000000-0005-0000-0000-0000C7500000}"/>
    <cellStyle name="Énfasis3 22 17" xfId="20720" xr:uid="{00000000-0005-0000-0000-0000C8500000}"/>
    <cellStyle name="Énfasis3 22 18" xfId="20721" xr:uid="{00000000-0005-0000-0000-0000C9500000}"/>
    <cellStyle name="Énfasis3 22 19" xfId="20722" xr:uid="{00000000-0005-0000-0000-0000CA500000}"/>
    <cellStyle name="Énfasis3 22 2" xfId="20723" xr:uid="{00000000-0005-0000-0000-0000CB500000}"/>
    <cellStyle name="Énfasis3 22 2 2" xfId="20724" xr:uid="{00000000-0005-0000-0000-0000CC500000}"/>
    <cellStyle name="Énfasis3 22 3" xfId="20725" xr:uid="{00000000-0005-0000-0000-0000CD500000}"/>
    <cellStyle name="Énfasis3 22 3 2" xfId="20726" xr:uid="{00000000-0005-0000-0000-0000CE500000}"/>
    <cellStyle name="Énfasis3 22 4" xfId="20727" xr:uid="{00000000-0005-0000-0000-0000CF500000}"/>
    <cellStyle name="Énfasis3 22 4 2" xfId="20728" xr:uid="{00000000-0005-0000-0000-0000D0500000}"/>
    <cellStyle name="Énfasis3 22 5" xfId="20729" xr:uid="{00000000-0005-0000-0000-0000D1500000}"/>
    <cellStyle name="Énfasis3 22 6" xfId="20730" xr:uid="{00000000-0005-0000-0000-0000D2500000}"/>
    <cellStyle name="Énfasis3 22 7" xfId="20731" xr:uid="{00000000-0005-0000-0000-0000D3500000}"/>
    <cellStyle name="Énfasis3 22 8" xfId="20732" xr:uid="{00000000-0005-0000-0000-0000D4500000}"/>
    <cellStyle name="Énfasis3 22 9" xfId="20733" xr:uid="{00000000-0005-0000-0000-0000D5500000}"/>
    <cellStyle name="Énfasis3 23 10" xfId="20734" xr:uid="{00000000-0005-0000-0000-0000D6500000}"/>
    <cellStyle name="Énfasis3 23 11" xfId="20735" xr:uid="{00000000-0005-0000-0000-0000D7500000}"/>
    <cellStyle name="Énfasis3 23 12" xfId="20736" xr:uid="{00000000-0005-0000-0000-0000D8500000}"/>
    <cellStyle name="Énfasis3 23 13" xfId="20737" xr:uid="{00000000-0005-0000-0000-0000D9500000}"/>
    <cellStyle name="Énfasis3 23 14" xfId="20738" xr:uid="{00000000-0005-0000-0000-0000DA500000}"/>
    <cellStyle name="Énfasis3 23 15" xfId="20739" xr:uid="{00000000-0005-0000-0000-0000DB500000}"/>
    <cellStyle name="Énfasis3 23 16" xfId="20740" xr:uid="{00000000-0005-0000-0000-0000DC500000}"/>
    <cellStyle name="Énfasis3 23 17" xfId="20741" xr:uid="{00000000-0005-0000-0000-0000DD500000}"/>
    <cellStyle name="Énfasis3 23 18" xfId="20742" xr:uid="{00000000-0005-0000-0000-0000DE500000}"/>
    <cellStyle name="Énfasis3 23 19" xfId="20743" xr:uid="{00000000-0005-0000-0000-0000DF500000}"/>
    <cellStyle name="Énfasis3 23 2" xfId="20744" xr:uid="{00000000-0005-0000-0000-0000E0500000}"/>
    <cellStyle name="Énfasis3 23 2 2" xfId="20745" xr:uid="{00000000-0005-0000-0000-0000E1500000}"/>
    <cellStyle name="Énfasis3 23 3" xfId="20746" xr:uid="{00000000-0005-0000-0000-0000E2500000}"/>
    <cellStyle name="Énfasis3 23 3 2" xfId="20747" xr:uid="{00000000-0005-0000-0000-0000E3500000}"/>
    <cellStyle name="Énfasis3 23 4" xfId="20748" xr:uid="{00000000-0005-0000-0000-0000E4500000}"/>
    <cellStyle name="Énfasis3 23 4 2" xfId="20749" xr:uid="{00000000-0005-0000-0000-0000E5500000}"/>
    <cellStyle name="Énfasis3 23 5" xfId="20750" xr:uid="{00000000-0005-0000-0000-0000E6500000}"/>
    <cellStyle name="Énfasis3 23 6" xfId="20751" xr:uid="{00000000-0005-0000-0000-0000E7500000}"/>
    <cellStyle name="Énfasis3 23 7" xfId="20752" xr:uid="{00000000-0005-0000-0000-0000E8500000}"/>
    <cellStyle name="Énfasis3 23 8" xfId="20753" xr:uid="{00000000-0005-0000-0000-0000E9500000}"/>
    <cellStyle name="Énfasis3 23 9" xfId="20754" xr:uid="{00000000-0005-0000-0000-0000EA500000}"/>
    <cellStyle name="Énfasis3 24 10" xfId="20755" xr:uid="{00000000-0005-0000-0000-0000EB500000}"/>
    <cellStyle name="Énfasis3 24 11" xfId="20756" xr:uid="{00000000-0005-0000-0000-0000EC500000}"/>
    <cellStyle name="Énfasis3 24 12" xfId="20757" xr:uid="{00000000-0005-0000-0000-0000ED500000}"/>
    <cellStyle name="Énfasis3 24 13" xfId="20758" xr:uid="{00000000-0005-0000-0000-0000EE500000}"/>
    <cellStyle name="Énfasis3 24 14" xfId="20759" xr:uid="{00000000-0005-0000-0000-0000EF500000}"/>
    <cellStyle name="Énfasis3 24 15" xfId="20760" xr:uid="{00000000-0005-0000-0000-0000F0500000}"/>
    <cellStyle name="Énfasis3 24 16" xfId="20761" xr:uid="{00000000-0005-0000-0000-0000F1500000}"/>
    <cellStyle name="Énfasis3 24 17" xfId="20762" xr:uid="{00000000-0005-0000-0000-0000F2500000}"/>
    <cellStyle name="Énfasis3 24 18" xfId="20763" xr:uid="{00000000-0005-0000-0000-0000F3500000}"/>
    <cellStyle name="Énfasis3 24 19" xfId="20764" xr:uid="{00000000-0005-0000-0000-0000F4500000}"/>
    <cellStyle name="Énfasis3 24 2" xfId="20765" xr:uid="{00000000-0005-0000-0000-0000F5500000}"/>
    <cellStyle name="Énfasis3 24 2 2" xfId="20766" xr:uid="{00000000-0005-0000-0000-0000F6500000}"/>
    <cellStyle name="Énfasis3 24 3" xfId="20767" xr:uid="{00000000-0005-0000-0000-0000F7500000}"/>
    <cellStyle name="Énfasis3 24 3 2" xfId="20768" xr:uid="{00000000-0005-0000-0000-0000F8500000}"/>
    <cellStyle name="Énfasis3 24 4" xfId="20769" xr:uid="{00000000-0005-0000-0000-0000F9500000}"/>
    <cellStyle name="Énfasis3 24 4 2" xfId="20770" xr:uid="{00000000-0005-0000-0000-0000FA500000}"/>
    <cellStyle name="Énfasis3 24 5" xfId="20771" xr:uid="{00000000-0005-0000-0000-0000FB500000}"/>
    <cellStyle name="Énfasis3 24 6" xfId="20772" xr:uid="{00000000-0005-0000-0000-0000FC500000}"/>
    <cellStyle name="Énfasis3 24 7" xfId="20773" xr:uid="{00000000-0005-0000-0000-0000FD500000}"/>
    <cellStyle name="Énfasis3 24 8" xfId="20774" xr:uid="{00000000-0005-0000-0000-0000FE500000}"/>
    <cellStyle name="Énfasis3 24 9" xfId="20775" xr:uid="{00000000-0005-0000-0000-0000FF500000}"/>
    <cellStyle name="Énfasis3 25 10" xfId="20776" xr:uid="{00000000-0005-0000-0000-000000510000}"/>
    <cellStyle name="Énfasis3 25 11" xfId="20777" xr:uid="{00000000-0005-0000-0000-000001510000}"/>
    <cellStyle name="Énfasis3 25 12" xfId="20778" xr:uid="{00000000-0005-0000-0000-000002510000}"/>
    <cellStyle name="Énfasis3 25 13" xfId="20779" xr:uid="{00000000-0005-0000-0000-000003510000}"/>
    <cellStyle name="Énfasis3 25 14" xfId="20780" xr:uid="{00000000-0005-0000-0000-000004510000}"/>
    <cellStyle name="Énfasis3 25 15" xfId="20781" xr:uid="{00000000-0005-0000-0000-000005510000}"/>
    <cellStyle name="Énfasis3 25 16" xfId="20782" xr:uid="{00000000-0005-0000-0000-000006510000}"/>
    <cellStyle name="Énfasis3 25 17" xfId="20783" xr:uid="{00000000-0005-0000-0000-000007510000}"/>
    <cellStyle name="Énfasis3 25 18" xfId="20784" xr:uid="{00000000-0005-0000-0000-000008510000}"/>
    <cellStyle name="Énfasis3 25 19" xfId="20785" xr:uid="{00000000-0005-0000-0000-000009510000}"/>
    <cellStyle name="Énfasis3 25 2" xfId="20786" xr:uid="{00000000-0005-0000-0000-00000A510000}"/>
    <cellStyle name="Énfasis3 25 2 2" xfId="20787" xr:uid="{00000000-0005-0000-0000-00000B510000}"/>
    <cellStyle name="Énfasis3 25 3" xfId="20788" xr:uid="{00000000-0005-0000-0000-00000C510000}"/>
    <cellStyle name="Énfasis3 25 3 2" xfId="20789" xr:uid="{00000000-0005-0000-0000-00000D510000}"/>
    <cellStyle name="Énfasis3 25 4" xfId="20790" xr:uid="{00000000-0005-0000-0000-00000E510000}"/>
    <cellStyle name="Énfasis3 25 4 2" xfId="20791" xr:uid="{00000000-0005-0000-0000-00000F510000}"/>
    <cellStyle name="Énfasis3 25 5" xfId="20792" xr:uid="{00000000-0005-0000-0000-000010510000}"/>
    <cellStyle name="Énfasis3 25 6" xfId="20793" xr:uid="{00000000-0005-0000-0000-000011510000}"/>
    <cellStyle name="Énfasis3 25 7" xfId="20794" xr:uid="{00000000-0005-0000-0000-000012510000}"/>
    <cellStyle name="Énfasis3 25 8" xfId="20795" xr:uid="{00000000-0005-0000-0000-000013510000}"/>
    <cellStyle name="Énfasis3 25 9" xfId="20796" xr:uid="{00000000-0005-0000-0000-000014510000}"/>
    <cellStyle name="Énfasis3 26 10" xfId="20797" xr:uid="{00000000-0005-0000-0000-000015510000}"/>
    <cellStyle name="Énfasis3 26 11" xfId="20798" xr:uid="{00000000-0005-0000-0000-000016510000}"/>
    <cellStyle name="Énfasis3 26 12" xfId="20799" xr:uid="{00000000-0005-0000-0000-000017510000}"/>
    <cellStyle name="Énfasis3 26 13" xfId="20800" xr:uid="{00000000-0005-0000-0000-000018510000}"/>
    <cellStyle name="Énfasis3 26 14" xfId="20801" xr:uid="{00000000-0005-0000-0000-000019510000}"/>
    <cellStyle name="Énfasis3 26 15" xfId="20802" xr:uid="{00000000-0005-0000-0000-00001A510000}"/>
    <cellStyle name="Énfasis3 26 16" xfId="20803" xr:uid="{00000000-0005-0000-0000-00001B510000}"/>
    <cellStyle name="Énfasis3 26 17" xfId="20804" xr:uid="{00000000-0005-0000-0000-00001C510000}"/>
    <cellStyle name="Énfasis3 26 18" xfId="20805" xr:uid="{00000000-0005-0000-0000-00001D510000}"/>
    <cellStyle name="Énfasis3 26 19" xfId="20806" xr:uid="{00000000-0005-0000-0000-00001E510000}"/>
    <cellStyle name="Énfasis3 26 2" xfId="20807" xr:uid="{00000000-0005-0000-0000-00001F510000}"/>
    <cellStyle name="Énfasis3 26 2 2" xfId="20808" xr:uid="{00000000-0005-0000-0000-000020510000}"/>
    <cellStyle name="Énfasis3 26 3" xfId="20809" xr:uid="{00000000-0005-0000-0000-000021510000}"/>
    <cellStyle name="Énfasis3 26 3 2" xfId="20810" xr:uid="{00000000-0005-0000-0000-000022510000}"/>
    <cellStyle name="Énfasis3 26 4" xfId="20811" xr:uid="{00000000-0005-0000-0000-000023510000}"/>
    <cellStyle name="Énfasis3 26 4 2" xfId="20812" xr:uid="{00000000-0005-0000-0000-000024510000}"/>
    <cellStyle name="Énfasis3 26 5" xfId="20813" xr:uid="{00000000-0005-0000-0000-000025510000}"/>
    <cellStyle name="Énfasis3 26 6" xfId="20814" xr:uid="{00000000-0005-0000-0000-000026510000}"/>
    <cellStyle name="Énfasis3 26 7" xfId="20815" xr:uid="{00000000-0005-0000-0000-000027510000}"/>
    <cellStyle name="Énfasis3 26 8" xfId="20816" xr:uid="{00000000-0005-0000-0000-000028510000}"/>
    <cellStyle name="Énfasis3 26 9" xfId="20817" xr:uid="{00000000-0005-0000-0000-000029510000}"/>
    <cellStyle name="Énfasis3 27 10" xfId="20818" xr:uid="{00000000-0005-0000-0000-00002A510000}"/>
    <cellStyle name="Énfasis3 27 11" xfId="20819" xr:uid="{00000000-0005-0000-0000-00002B510000}"/>
    <cellStyle name="Énfasis3 27 12" xfId="20820" xr:uid="{00000000-0005-0000-0000-00002C510000}"/>
    <cellStyle name="Énfasis3 27 13" xfId="20821" xr:uid="{00000000-0005-0000-0000-00002D510000}"/>
    <cellStyle name="Énfasis3 27 14" xfId="20822" xr:uid="{00000000-0005-0000-0000-00002E510000}"/>
    <cellStyle name="Énfasis3 27 15" xfId="20823" xr:uid="{00000000-0005-0000-0000-00002F510000}"/>
    <cellStyle name="Énfasis3 27 16" xfId="20824" xr:uid="{00000000-0005-0000-0000-000030510000}"/>
    <cellStyle name="Énfasis3 27 17" xfId="20825" xr:uid="{00000000-0005-0000-0000-000031510000}"/>
    <cellStyle name="Énfasis3 27 18" xfId="20826" xr:uid="{00000000-0005-0000-0000-000032510000}"/>
    <cellStyle name="Énfasis3 27 19" xfId="20827" xr:uid="{00000000-0005-0000-0000-000033510000}"/>
    <cellStyle name="Énfasis3 27 2" xfId="20828" xr:uid="{00000000-0005-0000-0000-000034510000}"/>
    <cellStyle name="Énfasis3 27 2 2" xfId="20829" xr:uid="{00000000-0005-0000-0000-000035510000}"/>
    <cellStyle name="Énfasis3 27 3" xfId="20830" xr:uid="{00000000-0005-0000-0000-000036510000}"/>
    <cellStyle name="Énfasis3 27 3 2" xfId="20831" xr:uid="{00000000-0005-0000-0000-000037510000}"/>
    <cellStyle name="Énfasis3 27 4" xfId="20832" xr:uid="{00000000-0005-0000-0000-000038510000}"/>
    <cellStyle name="Énfasis3 27 4 2" xfId="20833" xr:uid="{00000000-0005-0000-0000-000039510000}"/>
    <cellStyle name="Énfasis3 27 5" xfId="20834" xr:uid="{00000000-0005-0000-0000-00003A510000}"/>
    <cellStyle name="Énfasis3 27 6" xfId="20835" xr:uid="{00000000-0005-0000-0000-00003B510000}"/>
    <cellStyle name="Énfasis3 27 7" xfId="20836" xr:uid="{00000000-0005-0000-0000-00003C510000}"/>
    <cellStyle name="Énfasis3 27 8" xfId="20837" xr:uid="{00000000-0005-0000-0000-00003D510000}"/>
    <cellStyle name="Énfasis3 27 9" xfId="20838" xr:uid="{00000000-0005-0000-0000-00003E510000}"/>
    <cellStyle name="Énfasis3 28 10" xfId="20839" xr:uid="{00000000-0005-0000-0000-00003F510000}"/>
    <cellStyle name="Énfasis3 28 11" xfId="20840" xr:uid="{00000000-0005-0000-0000-000040510000}"/>
    <cellStyle name="Énfasis3 28 12" xfId="20841" xr:uid="{00000000-0005-0000-0000-000041510000}"/>
    <cellStyle name="Énfasis3 28 13" xfId="20842" xr:uid="{00000000-0005-0000-0000-000042510000}"/>
    <cellStyle name="Énfasis3 28 14" xfId="20843" xr:uid="{00000000-0005-0000-0000-000043510000}"/>
    <cellStyle name="Énfasis3 28 15" xfId="20844" xr:uid="{00000000-0005-0000-0000-000044510000}"/>
    <cellStyle name="Énfasis3 28 16" xfId="20845" xr:uid="{00000000-0005-0000-0000-000045510000}"/>
    <cellStyle name="Énfasis3 28 17" xfId="20846" xr:uid="{00000000-0005-0000-0000-000046510000}"/>
    <cellStyle name="Énfasis3 28 18" xfId="20847" xr:uid="{00000000-0005-0000-0000-000047510000}"/>
    <cellStyle name="Énfasis3 28 19" xfId="20848" xr:uid="{00000000-0005-0000-0000-000048510000}"/>
    <cellStyle name="Énfasis3 28 2" xfId="20849" xr:uid="{00000000-0005-0000-0000-000049510000}"/>
    <cellStyle name="Énfasis3 28 2 2" xfId="20850" xr:uid="{00000000-0005-0000-0000-00004A510000}"/>
    <cellStyle name="Énfasis3 28 3" xfId="20851" xr:uid="{00000000-0005-0000-0000-00004B510000}"/>
    <cellStyle name="Énfasis3 28 3 2" xfId="20852" xr:uid="{00000000-0005-0000-0000-00004C510000}"/>
    <cellStyle name="Énfasis3 28 4" xfId="20853" xr:uid="{00000000-0005-0000-0000-00004D510000}"/>
    <cellStyle name="Énfasis3 28 4 2" xfId="20854" xr:uid="{00000000-0005-0000-0000-00004E510000}"/>
    <cellStyle name="Énfasis3 28 5" xfId="20855" xr:uid="{00000000-0005-0000-0000-00004F510000}"/>
    <cellStyle name="Énfasis3 28 6" xfId="20856" xr:uid="{00000000-0005-0000-0000-000050510000}"/>
    <cellStyle name="Énfasis3 28 7" xfId="20857" xr:uid="{00000000-0005-0000-0000-000051510000}"/>
    <cellStyle name="Énfasis3 28 8" xfId="20858" xr:uid="{00000000-0005-0000-0000-000052510000}"/>
    <cellStyle name="Énfasis3 28 9" xfId="20859" xr:uid="{00000000-0005-0000-0000-000053510000}"/>
    <cellStyle name="Énfasis3 29 10" xfId="20860" xr:uid="{00000000-0005-0000-0000-000054510000}"/>
    <cellStyle name="Énfasis3 29 11" xfId="20861" xr:uid="{00000000-0005-0000-0000-000055510000}"/>
    <cellStyle name="Énfasis3 29 12" xfId="20862" xr:uid="{00000000-0005-0000-0000-000056510000}"/>
    <cellStyle name="Énfasis3 29 13" xfId="20863" xr:uid="{00000000-0005-0000-0000-000057510000}"/>
    <cellStyle name="Énfasis3 29 14" xfId="20864" xr:uid="{00000000-0005-0000-0000-000058510000}"/>
    <cellStyle name="Énfasis3 29 15" xfId="20865" xr:uid="{00000000-0005-0000-0000-000059510000}"/>
    <cellStyle name="Énfasis3 29 16" xfId="20866" xr:uid="{00000000-0005-0000-0000-00005A510000}"/>
    <cellStyle name="Énfasis3 29 17" xfId="20867" xr:uid="{00000000-0005-0000-0000-00005B510000}"/>
    <cellStyle name="Énfasis3 29 18" xfId="20868" xr:uid="{00000000-0005-0000-0000-00005C510000}"/>
    <cellStyle name="Énfasis3 29 19" xfId="20869" xr:uid="{00000000-0005-0000-0000-00005D510000}"/>
    <cellStyle name="Énfasis3 29 2" xfId="20870" xr:uid="{00000000-0005-0000-0000-00005E510000}"/>
    <cellStyle name="Énfasis3 29 2 2" xfId="20871" xr:uid="{00000000-0005-0000-0000-00005F510000}"/>
    <cellStyle name="Énfasis3 29 3" xfId="20872" xr:uid="{00000000-0005-0000-0000-000060510000}"/>
    <cellStyle name="Énfasis3 29 3 2" xfId="20873" xr:uid="{00000000-0005-0000-0000-000061510000}"/>
    <cellStyle name="Énfasis3 29 4" xfId="20874" xr:uid="{00000000-0005-0000-0000-000062510000}"/>
    <cellStyle name="Énfasis3 29 4 2" xfId="20875" xr:uid="{00000000-0005-0000-0000-000063510000}"/>
    <cellStyle name="Énfasis3 29 5" xfId="20876" xr:uid="{00000000-0005-0000-0000-000064510000}"/>
    <cellStyle name="Énfasis3 29 6" xfId="20877" xr:uid="{00000000-0005-0000-0000-000065510000}"/>
    <cellStyle name="Énfasis3 29 7" xfId="20878" xr:uid="{00000000-0005-0000-0000-000066510000}"/>
    <cellStyle name="Énfasis3 29 8" xfId="20879" xr:uid="{00000000-0005-0000-0000-000067510000}"/>
    <cellStyle name="Énfasis3 29 9" xfId="20880" xr:uid="{00000000-0005-0000-0000-000068510000}"/>
    <cellStyle name="Énfasis3 3 10" xfId="20881" xr:uid="{00000000-0005-0000-0000-000069510000}"/>
    <cellStyle name="Énfasis3 3 11" xfId="20882" xr:uid="{00000000-0005-0000-0000-00006A510000}"/>
    <cellStyle name="Énfasis3 3 12" xfId="20883" xr:uid="{00000000-0005-0000-0000-00006B510000}"/>
    <cellStyle name="Énfasis3 3 13" xfId="20884" xr:uid="{00000000-0005-0000-0000-00006C510000}"/>
    <cellStyle name="Énfasis3 3 14" xfId="20885" xr:uid="{00000000-0005-0000-0000-00006D510000}"/>
    <cellStyle name="Énfasis3 3 15" xfId="20886" xr:uid="{00000000-0005-0000-0000-00006E510000}"/>
    <cellStyle name="Énfasis3 3 16" xfId="20887" xr:uid="{00000000-0005-0000-0000-00006F510000}"/>
    <cellStyle name="Énfasis3 3 17" xfId="20888" xr:uid="{00000000-0005-0000-0000-000070510000}"/>
    <cellStyle name="Énfasis3 3 18" xfId="20889" xr:uid="{00000000-0005-0000-0000-000071510000}"/>
    <cellStyle name="Énfasis3 3 19" xfId="20890" xr:uid="{00000000-0005-0000-0000-000072510000}"/>
    <cellStyle name="Énfasis3 3 2" xfId="20891" xr:uid="{00000000-0005-0000-0000-000073510000}"/>
    <cellStyle name="Énfasis3 3 2 2" xfId="20892" xr:uid="{00000000-0005-0000-0000-000074510000}"/>
    <cellStyle name="Énfasis3 3 3" xfId="20893" xr:uid="{00000000-0005-0000-0000-000075510000}"/>
    <cellStyle name="Énfasis3 3 3 2" xfId="20894" xr:uid="{00000000-0005-0000-0000-000076510000}"/>
    <cellStyle name="Énfasis3 3 4" xfId="20895" xr:uid="{00000000-0005-0000-0000-000077510000}"/>
    <cellStyle name="Énfasis3 3 4 2" xfId="20896" xr:uid="{00000000-0005-0000-0000-000078510000}"/>
    <cellStyle name="Énfasis3 3 5" xfId="20897" xr:uid="{00000000-0005-0000-0000-000079510000}"/>
    <cellStyle name="Énfasis3 3 6" xfId="20898" xr:uid="{00000000-0005-0000-0000-00007A510000}"/>
    <cellStyle name="Énfasis3 3 7" xfId="20899" xr:uid="{00000000-0005-0000-0000-00007B510000}"/>
    <cellStyle name="Énfasis3 3 8" xfId="20900" xr:uid="{00000000-0005-0000-0000-00007C510000}"/>
    <cellStyle name="Énfasis3 3 9" xfId="20901" xr:uid="{00000000-0005-0000-0000-00007D510000}"/>
    <cellStyle name="Énfasis3 30 10" xfId="20902" xr:uid="{00000000-0005-0000-0000-00007E510000}"/>
    <cellStyle name="Énfasis3 30 11" xfId="20903" xr:uid="{00000000-0005-0000-0000-00007F510000}"/>
    <cellStyle name="Énfasis3 30 12" xfId="20904" xr:uid="{00000000-0005-0000-0000-000080510000}"/>
    <cellStyle name="Énfasis3 30 13" xfId="20905" xr:uid="{00000000-0005-0000-0000-000081510000}"/>
    <cellStyle name="Énfasis3 30 14" xfId="20906" xr:uid="{00000000-0005-0000-0000-000082510000}"/>
    <cellStyle name="Énfasis3 30 15" xfId="20907" xr:uid="{00000000-0005-0000-0000-000083510000}"/>
    <cellStyle name="Énfasis3 30 16" xfId="20908" xr:uid="{00000000-0005-0000-0000-000084510000}"/>
    <cellStyle name="Énfasis3 30 17" xfId="20909" xr:uid="{00000000-0005-0000-0000-000085510000}"/>
    <cellStyle name="Énfasis3 30 18" xfId="20910" xr:uid="{00000000-0005-0000-0000-000086510000}"/>
    <cellStyle name="Énfasis3 30 19" xfId="20911" xr:uid="{00000000-0005-0000-0000-000087510000}"/>
    <cellStyle name="Énfasis3 30 2" xfId="20912" xr:uid="{00000000-0005-0000-0000-000088510000}"/>
    <cellStyle name="Énfasis3 30 2 2" xfId="20913" xr:uid="{00000000-0005-0000-0000-000089510000}"/>
    <cellStyle name="Énfasis3 30 3" xfId="20914" xr:uid="{00000000-0005-0000-0000-00008A510000}"/>
    <cellStyle name="Énfasis3 30 3 2" xfId="20915" xr:uid="{00000000-0005-0000-0000-00008B510000}"/>
    <cellStyle name="Énfasis3 30 4" xfId="20916" xr:uid="{00000000-0005-0000-0000-00008C510000}"/>
    <cellStyle name="Énfasis3 30 4 2" xfId="20917" xr:uid="{00000000-0005-0000-0000-00008D510000}"/>
    <cellStyle name="Énfasis3 30 5" xfId="20918" xr:uid="{00000000-0005-0000-0000-00008E510000}"/>
    <cellStyle name="Énfasis3 30 6" xfId="20919" xr:uid="{00000000-0005-0000-0000-00008F510000}"/>
    <cellStyle name="Énfasis3 30 7" xfId="20920" xr:uid="{00000000-0005-0000-0000-000090510000}"/>
    <cellStyle name="Énfasis3 30 8" xfId="20921" xr:uid="{00000000-0005-0000-0000-000091510000}"/>
    <cellStyle name="Énfasis3 30 9" xfId="20922" xr:uid="{00000000-0005-0000-0000-000092510000}"/>
    <cellStyle name="Énfasis3 31 10" xfId="20923" xr:uid="{00000000-0005-0000-0000-000093510000}"/>
    <cellStyle name="Énfasis3 31 11" xfId="20924" xr:uid="{00000000-0005-0000-0000-000094510000}"/>
    <cellStyle name="Énfasis3 31 12" xfId="20925" xr:uid="{00000000-0005-0000-0000-000095510000}"/>
    <cellStyle name="Énfasis3 31 13" xfId="20926" xr:uid="{00000000-0005-0000-0000-000096510000}"/>
    <cellStyle name="Énfasis3 31 14" xfId="20927" xr:uid="{00000000-0005-0000-0000-000097510000}"/>
    <cellStyle name="Énfasis3 31 15" xfId="20928" xr:uid="{00000000-0005-0000-0000-000098510000}"/>
    <cellStyle name="Énfasis3 31 16" xfId="20929" xr:uid="{00000000-0005-0000-0000-000099510000}"/>
    <cellStyle name="Énfasis3 31 17" xfId="20930" xr:uid="{00000000-0005-0000-0000-00009A510000}"/>
    <cellStyle name="Énfasis3 31 18" xfId="20931" xr:uid="{00000000-0005-0000-0000-00009B510000}"/>
    <cellStyle name="Énfasis3 31 19" xfId="20932" xr:uid="{00000000-0005-0000-0000-00009C510000}"/>
    <cellStyle name="Énfasis3 31 2" xfId="20933" xr:uid="{00000000-0005-0000-0000-00009D510000}"/>
    <cellStyle name="Énfasis3 31 2 2" xfId="20934" xr:uid="{00000000-0005-0000-0000-00009E510000}"/>
    <cellStyle name="Énfasis3 31 3" xfId="20935" xr:uid="{00000000-0005-0000-0000-00009F510000}"/>
    <cellStyle name="Énfasis3 31 3 2" xfId="20936" xr:uid="{00000000-0005-0000-0000-0000A0510000}"/>
    <cellStyle name="Énfasis3 31 4" xfId="20937" xr:uid="{00000000-0005-0000-0000-0000A1510000}"/>
    <cellStyle name="Énfasis3 31 4 2" xfId="20938" xr:uid="{00000000-0005-0000-0000-0000A2510000}"/>
    <cellStyle name="Énfasis3 31 5" xfId="20939" xr:uid="{00000000-0005-0000-0000-0000A3510000}"/>
    <cellStyle name="Énfasis3 31 6" xfId="20940" xr:uid="{00000000-0005-0000-0000-0000A4510000}"/>
    <cellStyle name="Énfasis3 31 7" xfId="20941" xr:uid="{00000000-0005-0000-0000-0000A5510000}"/>
    <cellStyle name="Énfasis3 31 8" xfId="20942" xr:uid="{00000000-0005-0000-0000-0000A6510000}"/>
    <cellStyle name="Énfasis3 31 9" xfId="20943" xr:uid="{00000000-0005-0000-0000-0000A7510000}"/>
    <cellStyle name="Énfasis3 32 10" xfId="20944" xr:uid="{00000000-0005-0000-0000-0000A8510000}"/>
    <cellStyle name="Énfasis3 32 11" xfId="20945" xr:uid="{00000000-0005-0000-0000-0000A9510000}"/>
    <cellStyle name="Énfasis3 32 12" xfId="20946" xr:uid="{00000000-0005-0000-0000-0000AA510000}"/>
    <cellStyle name="Énfasis3 32 13" xfId="20947" xr:uid="{00000000-0005-0000-0000-0000AB510000}"/>
    <cellStyle name="Énfasis3 32 14" xfId="20948" xr:uid="{00000000-0005-0000-0000-0000AC510000}"/>
    <cellStyle name="Énfasis3 32 15" xfId="20949" xr:uid="{00000000-0005-0000-0000-0000AD510000}"/>
    <cellStyle name="Énfasis3 32 16" xfId="20950" xr:uid="{00000000-0005-0000-0000-0000AE510000}"/>
    <cellStyle name="Énfasis3 32 17" xfId="20951" xr:uid="{00000000-0005-0000-0000-0000AF510000}"/>
    <cellStyle name="Énfasis3 32 18" xfId="20952" xr:uid="{00000000-0005-0000-0000-0000B0510000}"/>
    <cellStyle name="Énfasis3 32 19" xfId="20953" xr:uid="{00000000-0005-0000-0000-0000B1510000}"/>
    <cellStyle name="Énfasis3 32 2" xfId="20954" xr:uid="{00000000-0005-0000-0000-0000B2510000}"/>
    <cellStyle name="Énfasis3 32 2 2" xfId="20955" xr:uid="{00000000-0005-0000-0000-0000B3510000}"/>
    <cellStyle name="Énfasis3 32 3" xfId="20956" xr:uid="{00000000-0005-0000-0000-0000B4510000}"/>
    <cellStyle name="Énfasis3 32 3 2" xfId="20957" xr:uid="{00000000-0005-0000-0000-0000B5510000}"/>
    <cellStyle name="Énfasis3 32 4" xfId="20958" xr:uid="{00000000-0005-0000-0000-0000B6510000}"/>
    <cellStyle name="Énfasis3 32 4 2" xfId="20959" xr:uid="{00000000-0005-0000-0000-0000B7510000}"/>
    <cellStyle name="Énfasis3 32 5" xfId="20960" xr:uid="{00000000-0005-0000-0000-0000B8510000}"/>
    <cellStyle name="Énfasis3 32 6" xfId="20961" xr:uid="{00000000-0005-0000-0000-0000B9510000}"/>
    <cellStyle name="Énfasis3 32 7" xfId="20962" xr:uid="{00000000-0005-0000-0000-0000BA510000}"/>
    <cellStyle name="Énfasis3 32 8" xfId="20963" xr:uid="{00000000-0005-0000-0000-0000BB510000}"/>
    <cellStyle name="Énfasis3 32 9" xfId="20964" xr:uid="{00000000-0005-0000-0000-0000BC510000}"/>
    <cellStyle name="Énfasis3 33 10" xfId="20965" xr:uid="{00000000-0005-0000-0000-0000BD510000}"/>
    <cellStyle name="Énfasis3 33 11" xfId="20966" xr:uid="{00000000-0005-0000-0000-0000BE510000}"/>
    <cellStyle name="Énfasis3 33 12" xfId="20967" xr:uid="{00000000-0005-0000-0000-0000BF510000}"/>
    <cellStyle name="Énfasis3 33 13" xfId="20968" xr:uid="{00000000-0005-0000-0000-0000C0510000}"/>
    <cellStyle name="Énfasis3 33 14" xfId="20969" xr:uid="{00000000-0005-0000-0000-0000C1510000}"/>
    <cellStyle name="Énfasis3 33 15" xfId="20970" xr:uid="{00000000-0005-0000-0000-0000C2510000}"/>
    <cellStyle name="Énfasis3 33 16" xfId="20971" xr:uid="{00000000-0005-0000-0000-0000C3510000}"/>
    <cellStyle name="Énfasis3 33 17" xfId="20972" xr:uid="{00000000-0005-0000-0000-0000C4510000}"/>
    <cellStyle name="Énfasis3 33 18" xfId="20973" xr:uid="{00000000-0005-0000-0000-0000C5510000}"/>
    <cellStyle name="Énfasis3 33 19" xfId="20974" xr:uid="{00000000-0005-0000-0000-0000C6510000}"/>
    <cellStyle name="Énfasis3 33 2" xfId="20975" xr:uid="{00000000-0005-0000-0000-0000C7510000}"/>
    <cellStyle name="Énfasis3 33 2 2" xfId="20976" xr:uid="{00000000-0005-0000-0000-0000C8510000}"/>
    <cellStyle name="Énfasis3 33 3" xfId="20977" xr:uid="{00000000-0005-0000-0000-0000C9510000}"/>
    <cellStyle name="Énfasis3 33 3 2" xfId="20978" xr:uid="{00000000-0005-0000-0000-0000CA510000}"/>
    <cellStyle name="Énfasis3 33 4" xfId="20979" xr:uid="{00000000-0005-0000-0000-0000CB510000}"/>
    <cellStyle name="Énfasis3 33 4 2" xfId="20980" xr:uid="{00000000-0005-0000-0000-0000CC510000}"/>
    <cellStyle name="Énfasis3 33 5" xfId="20981" xr:uid="{00000000-0005-0000-0000-0000CD510000}"/>
    <cellStyle name="Énfasis3 33 6" xfId="20982" xr:uid="{00000000-0005-0000-0000-0000CE510000}"/>
    <cellStyle name="Énfasis3 33 7" xfId="20983" xr:uid="{00000000-0005-0000-0000-0000CF510000}"/>
    <cellStyle name="Énfasis3 33 8" xfId="20984" xr:uid="{00000000-0005-0000-0000-0000D0510000}"/>
    <cellStyle name="Énfasis3 33 9" xfId="20985" xr:uid="{00000000-0005-0000-0000-0000D1510000}"/>
    <cellStyle name="Énfasis3 34 10" xfId="20986" xr:uid="{00000000-0005-0000-0000-0000D2510000}"/>
    <cellStyle name="Énfasis3 34 11" xfId="20987" xr:uid="{00000000-0005-0000-0000-0000D3510000}"/>
    <cellStyle name="Énfasis3 34 12" xfId="20988" xr:uid="{00000000-0005-0000-0000-0000D4510000}"/>
    <cellStyle name="Énfasis3 34 13" xfId="20989" xr:uid="{00000000-0005-0000-0000-0000D5510000}"/>
    <cellStyle name="Énfasis3 34 14" xfId="20990" xr:uid="{00000000-0005-0000-0000-0000D6510000}"/>
    <cellStyle name="Énfasis3 34 15" xfId="20991" xr:uid="{00000000-0005-0000-0000-0000D7510000}"/>
    <cellStyle name="Énfasis3 34 16" xfId="20992" xr:uid="{00000000-0005-0000-0000-0000D8510000}"/>
    <cellStyle name="Énfasis3 34 17" xfId="20993" xr:uid="{00000000-0005-0000-0000-0000D9510000}"/>
    <cellStyle name="Énfasis3 34 18" xfId="20994" xr:uid="{00000000-0005-0000-0000-0000DA510000}"/>
    <cellStyle name="Énfasis3 34 19" xfId="20995" xr:uid="{00000000-0005-0000-0000-0000DB510000}"/>
    <cellStyle name="Énfasis3 34 2" xfId="20996" xr:uid="{00000000-0005-0000-0000-0000DC510000}"/>
    <cellStyle name="Énfasis3 34 2 2" xfId="20997" xr:uid="{00000000-0005-0000-0000-0000DD510000}"/>
    <cellStyle name="Énfasis3 34 3" xfId="20998" xr:uid="{00000000-0005-0000-0000-0000DE510000}"/>
    <cellStyle name="Énfasis3 34 3 2" xfId="20999" xr:uid="{00000000-0005-0000-0000-0000DF510000}"/>
    <cellStyle name="Énfasis3 34 4" xfId="21000" xr:uid="{00000000-0005-0000-0000-0000E0510000}"/>
    <cellStyle name="Énfasis3 34 4 2" xfId="21001" xr:uid="{00000000-0005-0000-0000-0000E1510000}"/>
    <cellStyle name="Énfasis3 34 5" xfId="21002" xr:uid="{00000000-0005-0000-0000-0000E2510000}"/>
    <cellStyle name="Énfasis3 34 6" xfId="21003" xr:uid="{00000000-0005-0000-0000-0000E3510000}"/>
    <cellStyle name="Énfasis3 34 7" xfId="21004" xr:uid="{00000000-0005-0000-0000-0000E4510000}"/>
    <cellStyle name="Énfasis3 34 8" xfId="21005" xr:uid="{00000000-0005-0000-0000-0000E5510000}"/>
    <cellStyle name="Énfasis3 34 9" xfId="21006" xr:uid="{00000000-0005-0000-0000-0000E6510000}"/>
    <cellStyle name="Énfasis3 35 10" xfId="21007" xr:uid="{00000000-0005-0000-0000-0000E7510000}"/>
    <cellStyle name="Énfasis3 35 11" xfId="21008" xr:uid="{00000000-0005-0000-0000-0000E8510000}"/>
    <cellStyle name="Énfasis3 35 12" xfId="21009" xr:uid="{00000000-0005-0000-0000-0000E9510000}"/>
    <cellStyle name="Énfasis3 35 13" xfId="21010" xr:uid="{00000000-0005-0000-0000-0000EA510000}"/>
    <cellStyle name="Énfasis3 35 14" xfId="21011" xr:uid="{00000000-0005-0000-0000-0000EB510000}"/>
    <cellStyle name="Énfasis3 35 15" xfId="21012" xr:uid="{00000000-0005-0000-0000-0000EC510000}"/>
    <cellStyle name="Énfasis3 35 16" xfId="21013" xr:uid="{00000000-0005-0000-0000-0000ED510000}"/>
    <cellStyle name="Énfasis3 35 17" xfId="21014" xr:uid="{00000000-0005-0000-0000-0000EE510000}"/>
    <cellStyle name="Énfasis3 35 18" xfId="21015" xr:uid="{00000000-0005-0000-0000-0000EF510000}"/>
    <cellStyle name="Énfasis3 35 19" xfId="21016" xr:uid="{00000000-0005-0000-0000-0000F0510000}"/>
    <cellStyle name="Énfasis3 35 2" xfId="21017" xr:uid="{00000000-0005-0000-0000-0000F1510000}"/>
    <cellStyle name="Énfasis3 35 2 2" xfId="21018" xr:uid="{00000000-0005-0000-0000-0000F2510000}"/>
    <cellStyle name="Énfasis3 35 3" xfId="21019" xr:uid="{00000000-0005-0000-0000-0000F3510000}"/>
    <cellStyle name="Énfasis3 35 3 2" xfId="21020" xr:uid="{00000000-0005-0000-0000-0000F4510000}"/>
    <cellStyle name="Énfasis3 35 4" xfId="21021" xr:uid="{00000000-0005-0000-0000-0000F5510000}"/>
    <cellStyle name="Énfasis3 35 4 2" xfId="21022" xr:uid="{00000000-0005-0000-0000-0000F6510000}"/>
    <cellStyle name="Énfasis3 35 5" xfId="21023" xr:uid="{00000000-0005-0000-0000-0000F7510000}"/>
    <cellStyle name="Énfasis3 35 6" xfId="21024" xr:uid="{00000000-0005-0000-0000-0000F8510000}"/>
    <cellStyle name="Énfasis3 35 7" xfId="21025" xr:uid="{00000000-0005-0000-0000-0000F9510000}"/>
    <cellStyle name="Énfasis3 35 8" xfId="21026" xr:uid="{00000000-0005-0000-0000-0000FA510000}"/>
    <cellStyle name="Énfasis3 35 9" xfId="21027" xr:uid="{00000000-0005-0000-0000-0000FB510000}"/>
    <cellStyle name="Énfasis3 36 10" xfId="21028" xr:uid="{00000000-0005-0000-0000-0000FC510000}"/>
    <cellStyle name="Énfasis3 36 11" xfId="21029" xr:uid="{00000000-0005-0000-0000-0000FD510000}"/>
    <cellStyle name="Énfasis3 36 12" xfId="21030" xr:uid="{00000000-0005-0000-0000-0000FE510000}"/>
    <cellStyle name="Énfasis3 36 13" xfId="21031" xr:uid="{00000000-0005-0000-0000-0000FF510000}"/>
    <cellStyle name="Énfasis3 36 14" xfId="21032" xr:uid="{00000000-0005-0000-0000-000000520000}"/>
    <cellStyle name="Énfasis3 36 15" xfId="21033" xr:uid="{00000000-0005-0000-0000-000001520000}"/>
    <cellStyle name="Énfasis3 36 16" xfId="21034" xr:uid="{00000000-0005-0000-0000-000002520000}"/>
    <cellStyle name="Énfasis3 36 17" xfId="21035" xr:uid="{00000000-0005-0000-0000-000003520000}"/>
    <cellStyle name="Énfasis3 36 18" xfId="21036" xr:uid="{00000000-0005-0000-0000-000004520000}"/>
    <cellStyle name="Énfasis3 36 19" xfId="21037" xr:uid="{00000000-0005-0000-0000-000005520000}"/>
    <cellStyle name="Énfasis3 36 2" xfId="21038" xr:uid="{00000000-0005-0000-0000-000006520000}"/>
    <cellStyle name="Énfasis3 36 2 2" xfId="21039" xr:uid="{00000000-0005-0000-0000-000007520000}"/>
    <cellStyle name="Énfasis3 36 3" xfId="21040" xr:uid="{00000000-0005-0000-0000-000008520000}"/>
    <cellStyle name="Énfasis3 36 3 2" xfId="21041" xr:uid="{00000000-0005-0000-0000-000009520000}"/>
    <cellStyle name="Énfasis3 36 4" xfId="21042" xr:uid="{00000000-0005-0000-0000-00000A520000}"/>
    <cellStyle name="Énfasis3 36 4 2" xfId="21043" xr:uid="{00000000-0005-0000-0000-00000B520000}"/>
    <cellStyle name="Énfasis3 36 5" xfId="21044" xr:uid="{00000000-0005-0000-0000-00000C520000}"/>
    <cellStyle name="Énfasis3 36 6" xfId="21045" xr:uid="{00000000-0005-0000-0000-00000D520000}"/>
    <cellStyle name="Énfasis3 36 7" xfId="21046" xr:uid="{00000000-0005-0000-0000-00000E520000}"/>
    <cellStyle name="Énfasis3 36 8" xfId="21047" xr:uid="{00000000-0005-0000-0000-00000F520000}"/>
    <cellStyle name="Énfasis3 36 9" xfId="21048" xr:uid="{00000000-0005-0000-0000-000010520000}"/>
    <cellStyle name="Énfasis3 37 10" xfId="21049" xr:uid="{00000000-0005-0000-0000-000011520000}"/>
    <cellStyle name="Énfasis3 37 11" xfId="21050" xr:uid="{00000000-0005-0000-0000-000012520000}"/>
    <cellStyle name="Énfasis3 37 12" xfId="21051" xr:uid="{00000000-0005-0000-0000-000013520000}"/>
    <cellStyle name="Énfasis3 37 13" xfId="21052" xr:uid="{00000000-0005-0000-0000-000014520000}"/>
    <cellStyle name="Énfasis3 37 14" xfId="21053" xr:uid="{00000000-0005-0000-0000-000015520000}"/>
    <cellStyle name="Énfasis3 37 15" xfId="21054" xr:uid="{00000000-0005-0000-0000-000016520000}"/>
    <cellStyle name="Énfasis3 37 16" xfId="21055" xr:uid="{00000000-0005-0000-0000-000017520000}"/>
    <cellStyle name="Énfasis3 37 17" xfId="21056" xr:uid="{00000000-0005-0000-0000-000018520000}"/>
    <cellStyle name="Énfasis3 37 18" xfId="21057" xr:uid="{00000000-0005-0000-0000-000019520000}"/>
    <cellStyle name="Énfasis3 37 19" xfId="21058" xr:uid="{00000000-0005-0000-0000-00001A520000}"/>
    <cellStyle name="Énfasis3 37 2" xfId="21059" xr:uid="{00000000-0005-0000-0000-00001B520000}"/>
    <cellStyle name="Énfasis3 37 2 2" xfId="21060" xr:uid="{00000000-0005-0000-0000-00001C520000}"/>
    <cellStyle name="Énfasis3 37 3" xfId="21061" xr:uid="{00000000-0005-0000-0000-00001D520000}"/>
    <cellStyle name="Énfasis3 37 3 2" xfId="21062" xr:uid="{00000000-0005-0000-0000-00001E520000}"/>
    <cellStyle name="Énfasis3 37 4" xfId="21063" xr:uid="{00000000-0005-0000-0000-00001F520000}"/>
    <cellStyle name="Énfasis3 37 4 2" xfId="21064" xr:uid="{00000000-0005-0000-0000-000020520000}"/>
    <cellStyle name="Énfasis3 37 5" xfId="21065" xr:uid="{00000000-0005-0000-0000-000021520000}"/>
    <cellStyle name="Énfasis3 37 6" xfId="21066" xr:uid="{00000000-0005-0000-0000-000022520000}"/>
    <cellStyle name="Énfasis3 37 7" xfId="21067" xr:uid="{00000000-0005-0000-0000-000023520000}"/>
    <cellStyle name="Énfasis3 37 8" xfId="21068" xr:uid="{00000000-0005-0000-0000-000024520000}"/>
    <cellStyle name="Énfasis3 37 9" xfId="21069" xr:uid="{00000000-0005-0000-0000-000025520000}"/>
    <cellStyle name="Énfasis3 38 10" xfId="21070" xr:uid="{00000000-0005-0000-0000-000026520000}"/>
    <cellStyle name="Énfasis3 38 11" xfId="21071" xr:uid="{00000000-0005-0000-0000-000027520000}"/>
    <cellStyle name="Énfasis3 38 12" xfId="21072" xr:uid="{00000000-0005-0000-0000-000028520000}"/>
    <cellStyle name="Énfasis3 38 13" xfId="21073" xr:uid="{00000000-0005-0000-0000-000029520000}"/>
    <cellStyle name="Énfasis3 38 14" xfId="21074" xr:uid="{00000000-0005-0000-0000-00002A520000}"/>
    <cellStyle name="Énfasis3 38 15" xfId="21075" xr:uid="{00000000-0005-0000-0000-00002B520000}"/>
    <cellStyle name="Énfasis3 38 16" xfId="21076" xr:uid="{00000000-0005-0000-0000-00002C520000}"/>
    <cellStyle name="Énfasis3 38 17" xfId="21077" xr:uid="{00000000-0005-0000-0000-00002D520000}"/>
    <cellStyle name="Énfasis3 38 18" xfId="21078" xr:uid="{00000000-0005-0000-0000-00002E520000}"/>
    <cellStyle name="Énfasis3 38 19" xfId="21079" xr:uid="{00000000-0005-0000-0000-00002F520000}"/>
    <cellStyle name="Énfasis3 38 2" xfId="21080" xr:uid="{00000000-0005-0000-0000-000030520000}"/>
    <cellStyle name="Énfasis3 38 2 2" xfId="21081" xr:uid="{00000000-0005-0000-0000-000031520000}"/>
    <cellStyle name="Énfasis3 38 3" xfId="21082" xr:uid="{00000000-0005-0000-0000-000032520000}"/>
    <cellStyle name="Énfasis3 38 3 2" xfId="21083" xr:uid="{00000000-0005-0000-0000-000033520000}"/>
    <cellStyle name="Énfasis3 38 4" xfId="21084" xr:uid="{00000000-0005-0000-0000-000034520000}"/>
    <cellStyle name="Énfasis3 38 4 2" xfId="21085" xr:uid="{00000000-0005-0000-0000-000035520000}"/>
    <cellStyle name="Énfasis3 38 5" xfId="21086" xr:uid="{00000000-0005-0000-0000-000036520000}"/>
    <cellStyle name="Énfasis3 38 6" xfId="21087" xr:uid="{00000000-0005-0000-0000-000037520000}"/>
    <cellStyle name="Énfasis3 38 7" xfId="21088" xr:uid="{00000000-0005-0000-0000-000038520000}"/>
    <cellStyle name="Énfasis3 38 8" xfId="21089" xr:uid="{00000000-0005-0000-0000-000039520000}"/>
    <cellStyle name="Énfasis3 38 9" xfId="21090" xr:uid="{00000000-0005-0000-0000-00003A520000}"/>
    <cellStyle name="Énfasis3 39" xfId="21091" xr:uid="{00000000-0005-0000-0000-00003B520000}"/>
    <cellStyle name="Énfasis3 39 10" xfId="21092" xr:uid="{00000000-0005-0000-0000-00003C520000}"/>
    <cellStyle name="Énfasis3 39 11" xfId="21093" xr:uid="{00000000-0005-0000-0000-00003D520000}"/>
    <cellStyle name="Énfasis3 39 12" xfId="21094" xr:uid="{00000000-0005-0000-0000-00003E520000}"/>
    <cellStyle name="Énfasis3 39 13" xfId="21095" xr:uid="{00000000-0005-0000-0000-00003F520000}"/>
    <cellStyle name="Énfasis3 39 14" xfId="21096" xr:uid="{00000000-0005-0000-0000-000040520000}"/>
    <cellStyle name="Énfasis3 39 15" xfId="21097" xr:uid="{00000000-0005-0000-0000-000041520000}"/>
    <cellStyle name="Énfasis3 39 16" xfId="21098" xr:uid="{00000000-0005-0000-0000-000042520000}"/>
    <cellStyle name="Énfasis3 39 2" xfId="21099" xr:uid="{00000000-0005-0000-0000-000043520000}"/>
    <cellStyle name="Énfasis3 39 3" xfId="21100" xr:uid="{00000000-0005-0000-0000-000044520000}"/>
    <cellStyle name="Énfasis3 39 4" xfId="21101" xr:uid="{00000000-0005-0000-0000-000045520000}"/>
    <cellStyle name="Énfasis3 39 5" xfId="21102" xr:uid="{00000000-0005-0000-0000-000046520000}"/>
    <cellStyle name="Énfasis3 39 6" xfId="21103" xr:uid="{00000000-0005-0000-0000-000047520000}"/>
    <cellStyle name="Énfasis3 39 7" xfId="21104" xr:uid="{00000000-0005-0000-0000-000048520000}"/>
    <cellStyle name="Énfasis3 39 8" xfId="21105" xr:uid="{00000000-0005-0000-0000-000049520000}"/>
    <cellStyle name="Énfasis3 39 9" xfId="21106" xr:uid="{00000000-0005-0000-0000-00004A520000}"/>
    <cellStyle name="Énfasis3 4 10" xfId="21107" xr:uid="{00000000-0005-0000-0000-00004B520000}"/>
    <cellStyle name="Énfasis3 4 11" xfId="21108" xr:uid="{00000000-0005-0000-0000-00004C520000}"/>
    <cellStyle name="Énfasis3 4 12" xfId="21109" xr:uid="{00000000-0005-0000-0000-00004D520000}"/>
    <cellStyle name="Énfasis3 4 13" xfId="21110" xr:uid="{00000000-0005-0000-0000-00004E520000}"/>
    <cellStyle name="Énfasis3 4 14" xfId="21111" xr:uid="{00000000-0005-0000-0000-00004F520000}"/>
    <cellStyle name="Énfasis3 4 15" xfId="21112" xr:uid="{00000000-0005-0000-0000-000050520000}"/>
    <cellStyle name="Énfasis3 4 16" xfId="21113" xr:uid="{00000000-0005-0000-0000-000051520000}"/>
    <cellStyle name="Énfasis3 4 17" xfId="21114" xr:uid="{00000000-0005-0000-0000-000052520000}"/>
    <cellStyle name="Énfasis3 4 18" xfId="21115" xr:uid="{00000000-0005-0000-0000-000053520000}"/>
    <cellStyle name="Énfasis3 4 19" xfId="21116" xr:uid="{00000000-0005-0000-0000-000054520000}"/>
    <cellStyle name="Énfasis3 4 2" xfId="21117" xr:uid="{00000000-0005-0000-0000-000055520000}"/>
    <cellStyle name="Énfasis3 4 2 2" xfId="21118" xr:uid="{00000000-0005-0000-0000-000056520000}"/>
    <cellStyle name="Énfasis3 4 3" xfId="21119" xr:uid="{00000000-0005-0000-0000-000057520000}"/>
    <cellStyle name="Énfasis3 4 3 2" xfId="21120" xr:uid="{00000000-0005-0000-0000-000058520000}"/>
    <cellStyle name="Énfasis3 4 4" xfId="21121" xr:uid="{00000000-0005-0000-0000-000059520000}"/>
    <cellStyle name="Énfasis3 4 4 2" xfId="21122" xr:uid="{00000000-0005-0000-0000-00005A520000}"/>
    <cellStyle name="Énfasis3 4 5" xfId="21123" xr:uid="{00000000-0005-0000-0000-00005B520000}"/>
    <cellStyle name="Énfasis3 4 6" xfId="21124" xr:uid="{00000000-0005-0000-0000-00005C520000}"/>
    <cellStyle name="Énfasis3 4 7" xfId="21125" xr:uid="{00000000-0005-0000-0000-00005D520000}"/>
    <cellStyle name="Énfasis3 4 8" xfId="21126" xr:uid="{00000000-0005-0000-0000-00005E520000}"/>
    <cellStyle name="Énfasis3 4 9" xfId="21127" xr:uid="{00000000-0005-0000-0000-00005F520000}"/>
    <cellStyle name="Énfasis3 40" xfId="21128" xr:uid="{00000000-0005-0000-0000-000060520000}"/>
    <cellStyle name="Énfasis3 40 10" xfId="21129" xr:uid="{00000000-0005-0000-0000-000061520000}"/>
    <cellStyle name="Énfasis3 40 11" xfId="21130" xr:uid="{00000000-0005-0000-0000-000062520000}"/>
    <cellStyle name="Énfasis3 40 12" xfId="21131" xr:uid="{00000000-0005-0000-0000-000063520000}"/>
    <cellStyle name="Énfasis3 40 13" xfId="21132" xr:uid="{00000000-0005-0000-0000-000064520000}"/>
    <cellStyle name="Énfasis3 40 14" xfId="21133" xr:uid="{00000000-0005-0000-0000-000065520000}"/>
    <cellStyle name="Énfasis3 40 15" xfId="21134" xr:uid="{00000000-0005-0000-0000-000066520000}"/>
    <cellStyle name="Énfasis3 40 16" xfId="21135" xr:uid="{00000000-0005-0000-0000-000067520000}"/>
    <cellStyle name="Énfasis3 40 2" xfId="21136" xr:uid="{00000000-0005-0000-0000-000068520000}"/>
    <cellStyle name="Énfasis3 40 3" xfId="21137" xr:uid="{00000000-0005-0000-0000-000069520000}"/>
    <cellStyle name="Énfasis3 40 4" xfId="21138" xr:uid="{00000000-0005-0000-0000-00006A520000}"/>
    <cellStyle name="Énfasis3 40 5" xfId="21139" xr:uid="{00000000-0005-0000-0000-00006B520000}"/>
    <cellStyle name="Énfasis3 40 6" xfId="21140" xr:uid="{00000000-0005-0000-0000-00006C520000}"/>
    <cellStyle name="Énfasis3 40 7" xfId="21141" xr:uid="{00000000-0005-0000-0000-00006D520000}"/>
    <cellStyle name="Énfasis3 40 8" xfId="21142" xr:uid="{00000000-0005-0000-0000-00006E520000}"/>
    <cellStyle name="Énfasis3 40 9" xfId="21143" xr:uid="{00000000-0005-0000-0000-00006F520000}"/>
    <cellStyle name="Énfasis3 41" xfId="21144" xr:uid="{00000000-0005-0000-0000-000070520000}"/>
    <cellStyle name="Énfasis3 41 10" xfId="21145" xr:uid="{00000000-0005-0000-0000-000071520000}"/>
    <cellStyle name="Énfasis3 41 11" xfId="21146" xr:uid="{00000000-0005-0000-0000-000072520000}"/>
    <cellStyle name="Énfasis3 41 12" xfId="21147" xr:uid="{00000000-0005-0000-0000-000073520000}"/>
    <cellStyle name="Énfasis3 41 13" xfId="21148" xr:uid="{00000000-0005-0000-0000-000074520000}"/>
    <cellStyle name="Énfasis3 41 14" xfId="21149" xr:uid="{00000000-0005-0000-0000-000075520000}"/>
    <cellStyle name="Énfasis3 41 15" xfId="21150" xr:uid="{00000000-0005-0000-0000-000076520000}"/>
    <cellStyle name="Énfasis3 41 16" xfId="21151" xr:uid="{00000000-0005-0000-0000-000077520000}"/>
    <cellStyle name="Énfasis3 41 2" xfId="21152" xr:uid="{00000000-0005-0000-0000-000078520000}"/>
    <cellStyle name="Énfasis3 41 3" xfId="21153" xr:uid="{00000000-0005-0000-0000-000079520000}"/>
    <cellStyle name="Énfasis3 41 4" xfId="21154" xr:uid="{00000000-0005-0000-0000-00007A520000}"/>
    <cellStyle name="Énfasis3 41 5" xfId="21155" xr:uid="{00000000-0005-0000-0000-00007B520000}"/>
    <cellStyle name="Énfasis3 41 6" xfId="21156" xr:uid="{00000000-0005-0000-0000-00007C520000}"/>
    <cellStyle name="Énfasis3 41 7" xfId="21157" xr:uid="{00000000-0005-0000-0000-00007D520000}"/>
    <cellStyle name="Énfasis3 41 8" xfId="21158" xr:uid="{00000000-0005-0000-0000-00007E520000}"/>
    <cellStyle name="Énfasis3 41 9" xfId="21159" xr:uid="{00000000-0005-0000-0000-00007F520000}"/>
    <cellStyle name="Énfasis3 42" xfId="21160" xr:uid="{00000000-0005-0000-0000-000080520000}"/>
    <cellStyle name="Énfasis3 43" xfId="21161" xr:uid="{00000000-0005-0000-0000-000081520000}"/>
    <cellStyle name="Énfasis3 44" xfId="21162" xr:uid="{00000000-0005-0000-0000-000082520000}"/>
    <cellStyle name="Énfasis3 45" xfId="21163" xr:uid="{00000000-0005-0000-0000-000083520000}"/>
    <cellStyle name="Énfasis3 46" xfId="21164" xr:uid="{00000000-0005-0000-0000-000084520000}"/>
    <cellStyle name="Énfasis3 47" xfId="21165" xr:uid="{00000000-0005-0000-0000-000085520000}"/>
    <cellStyle name="Énfasis3 48" xfId="21166" xr:uid="{00000000-0005-0000-0000-000086520000}"/>
    <cellStyle name="Énfasis3 49" xfId="21167" xr:uid="{00000000-0005-0000-0000-000087520000}"/>
    <cellStyle name="Énfasis3 5 10" xfId="21168" xr:uid="{00000000-0005-0000-0000-000088520000}"/>
    <cellStyle name="Énfasis3 5 11" xfId="21169" xr:uid="{00000000-0005-0000-0000-000089520000}"/>
    <cellStyle name="Énfasis3 5 12" xfId="21170" xr:uid="{00000000-0005-0000-0000-00008A520000}"/>
    <cellStyle name="Énfasis3 5 13" xfId="21171" xr:uid="{00000000-0005-0000-0000-00008B520000}"/>
    <cellStyle name="Énfasis3 5 14" xfId="21172" xr:uid="{00000000-0005-0000-0000-00008C520000}"/>
    <cellStyle name="Énfasis3 5 15" xfId="21173" xr:uid="{00000000-0005-0000-0000-00008D520000}"/>
    <cellStyle name="Énfasis3 5 16" xfId="21174" xr:uid="{00000000-0005-0000-0000-00008E520000}"/>
    <cellStyle name="Énfasis3 5 17" xfId="21175" xr:uid="{00000000-0005-0000-0000-00008F520000}"/>
    <cellStyle name="Énfasis3 5 18" xfId="21176" xr:uid="{00000000-0005-0000-0000-000090520000}"/>
    <cellStyle name="Énfasis3 5 19" xfId="21177" xr:uid="{00000000-0005-0000-0000-000091520000}"/>
    <cellStyle name="Énfasis3 5 2" xfId="21178" xr:uid="{00000000-0005-0000-0000-000092520000}"/>
    <cellStyle name="Énfasis3 5 2 2" xfId="21179" xr:uid="{00000000-0005-0000-0000-000093520000}"/>
    <cellStyle name="Énfasis3 5 3" xfId="21180" xr:uid="{00000000-0005-0000-0000-000094520000}"/>
    <cellStyle name="Énfasis3 5 3 2" xfId="21181" xr:uid="{00000000-0005-0000-0000-000095520000}"/>
    <cellStyle name="Énfasis3 5 4" xfId="21182" xr:uid="{00000000-0005-0000-0000-000096520000}"/>
    <cellStyle name="Énfasis3 5 4 2" xfId="21183" xr:uid="{00000000-0005-0000-0000-000097520000}"/>
    <cellStyle name="Énfasis3 5 5" xfId="21184" xr:uid="{00000000-0005-0000-0000-000098520000}"/>
    <cellStyle name="Énfasis3 5 6" xfId="21185" xr:uid="{00000000-0005-0000-0000-000099520000}"/>
    <cellStyle name="Énfasis3 5 7" xfId="21186" xr:uid="{00000000-0005-0000-0000-00009A520000}"/>
    <cellStyle name="Énfasis3 5 8" xfId="21187" xr:uid="{00000000-0005-0000-0000-00009B520000}"/>
    <cellStyle name="Énfasis3 5 9" xfId="21188" xr:uid="{00000000-0005-0000-0000-00009C520000}"/>
    <cellStyle name="Énfasis3 50" xfId="21189" xr:uid="{00000000-0005-0000-0000-00009D520000}"/>
    <cellStyle name="Énfasis3 51" xfId="21190" xr:uid="{00000000-0005-0000-0000-00009E520000}"/>
    <cellStyle name="Énfasis3 52" xfId="21191" xr:uid="{00000000-0005-0000-0000-00009F520000}"/>
    <cellStyle name="Énfasis3 53" xfId="21192" xr:uid="{00000000-0005-0000-0000-0000A0520000}"/>
    <cellStyle name="Énfasis3 54" xfId="21193" xr:uid="{00000000-0005-0000-0000-0000A1520000}"/>
    <cellStyle name="Énfasis3 55" xfId="21194" xr:uid="{00000000-0005-0000-0000-0000A2520000}"/>
    <cellStyle name="Énfasis3 56" xfId="21195" xr:uid="{00000000-0005-0000-0000-0000A3520000}"/>
    <cellStyle name="Énfasis3 57" xfId="21196" xr:uid="{00000000-0005-0000-0000-0000A4520000}"/>
    <cellStyle name="Énfasis3 58" xfId="21197" xr:uid="{00000000-0005-0000-0000-0000A5520000}"/>
    <cellStyle name="Énfasis3 59" xfId="21198" xr:uid="{00000000-0005-0000-0000-0000A6520000}"/>
    <cellStyle name="Énfasis3 6 10" xfId="21199" xr:uid="{00000000-0005-0000-0000-0000A7520000}"/>
    <cellStyle name="Énfasis3 6 11" xfId="21200" xr:uid="{00000000-0005-0000-0000-0000A8520000}"/>
    <cellStyle name="Énfasis3 6 12" xfId="21201" xr:uid="{00000000-0005-0000-0000-0000A9520000}"/>
    <cellStyle name="Énfasis3 6 13" xfId="21202" xr:uid="{00000000-0005-0000-0000-0000AA520000}"/>
    <cellStyle name="Énfasis3 6 14" xfId="21203" xr:uid="{00000000-0005-0000-0000-0000AB520000}"/>
    <cellStyle name="Énfasis3 6 15" xfId="21204" xr:uid="{00000000-0005-0000-0000-0000AC520000}"/>
    <cellStyle name="Énfasis3 6 16" xfId="21205" xr:uid="{00000000-0005-0000-0000-0000AD520000}"/>
    <cellStyle name="Énfasis3 6 17" xfId="21206" xr:uid="{00000000-0005-0000-0000-0000AE520000}"/>
    <cellStyle name="Énfasis3 6 18" xfId="21207" xr:uid="{00000000-0005-0000-0000-0000AF520000}"/>
    <cellStyle name="Énfasis3 6 19" xfId="21208" xr:uid="{00000000-0005-0000-0000-0000B0520000}"/>
    <cellStyle name="Énfasis3 6 2" xfId="21209" xr:uid="{00000000-0005-0000-0000-0000B1520000}"/>
    <cellStyle name="Énfasis3 6 2 2" xfId="21210" xr:uid="{00000000-0005-0000-0000-0000B2520000}"/>
    <cellStyle name="Énfasis3 6 3" xfId="21211" xr:uid="{00000000-0005-0000-0000-0000B3520000}"/>
    <cellStyle name="Énfasis3 6 3 2" xfId="21212" xr:uid="{00000000-0005-0000-0000-0000B4520000}"/>
    <cellStyle name="Énfasis3 6 4" xfId="21213" xr:uid="{00000000-0005-0000-0000-0000B5520000}"/>
    <cellStyle name="Énfasis3 6 4 2" xfId="21214" xr:uid="{00000000-0005-0000-0000-0000B6520000}"/>
    <cellStyle name="Énfasis3 6 5" xfId="21215" xr:uid="{00000000-0005-0000-0000-0000B7520000}"/>
    <cellStyle name="Énfasis3 6 6" xfId="21216" xr:uid="{00000000-0005-0000-0000-0000B8520000}"/>
    <cellStyle name="Énfasis3 6 7" xfId="21217" xr:uid="{00000000-0005-0000-0000-0000B9520000}"/>
    <cellStyle name="Énfasis3 6 8" xfId="21218" xr:uid="{00000000-0005-0000-0000-0000BA520000}"/>
    <cellStyle name="Énfasis3 6 9" xfId="21219" xr:uid="{00000000-0005-0000-0000-0000BB520000}"/>
    <cellStyle name="Énfasis3 60" xfId="21220" xr:uid="{00000000-0005-0000-0000-0000BC520000}"/>
    <cellStyle name="Énfasis3 61" xfId="21221" xr:uid="{00000000-0005-0000-0000-0000BD520000}"/>
    <cellStyle name="Énfasis3 62" xfId="21222" xr:uid="{00000000-0005-0000-0000-0000BE520000}"/>
    <cellStyle name="Énfasis3 63" xfId="21223" xr:uid="{00000000-0005-0000-0000-0000BF520000}"/>
    <cellStyle name="Énfasis3 64" xfId="21224" xr:uid="{00000000-0005-0000-0000-0000C0520000}"/>
    <cellStyle name="Énfasis3 7 10" xfId="21225" xr:uid="{00000000-0005-0000-0000-0000C1520000}"/>
    <cellStyle name="Énfasis3 7 11" xfId="21226" xr:uid="{00000000-0005-0000-0000-0000C2520000}"/>
    <cellStyle name="Énfasis3 7 12" xfId="21227" xr:uid="{00000000-0005-0000-0000-0000C3520000}"/>
    <cellStyle name="Énfasis3 7 13" xfId="21228" xr:uid="{00000000-0005-0000-0000-0000C4520000}"/>
    <cellStyle name="Énfasis3 7 14" xfId="21229" xr:uid="{00000000-0005-0000-0000-0000C5520000}"/>
    <cellStyle name="Énfasis3 7 15" xfId="21230" xr:uid="{00000000-0005-0000-0000-0000C6520000}"/>
    <cellStyle name="Énfasis3 7 16" xfId="21231" xr:uid="{00000000-0005-0000-0000-0000C7520000}"/>
    <cellStyle name="Énfasis3 7 17" xfId="21232" xr:uid="{00000000-0005-0000-0000-0000C8520000}"/>
    <cellStyle name="Énfasis3 7 18" xfId="21233" xr:uid="{00000000-0005-0000-0000-0000C9520000}"/>
    <cellStyle name="Énfasis3 7 19" xfId="21234" xr:uid="{00000000-0005-0000-0000-0000CA520000}"/>
    <cellStyle name="Énfasis3 7 2" xfId="21235" xr:uid="{00000000-0005-0000-0000-0000CB520000}"/>
    <cellStyle name="Énfasis3 7 2 2" xfId="21236" xr:uid="{00000000-0005-0000-0000-0000CC520000}"/>
    <cellStyle name="Énfasis3 7 3" xfId="21237" xr:uid="{00000000-0005-0000-0000-0000CD520000}"/>
    <cellStyle name="Énfasis3 7 3 2" xfId="21238" xr:uid="{00000000-0005-0000-0000-0000CE520000}"/>
    <cellStyle name="Énfasis3 7 4" xfId="21239" xr:uid="{00000000-0005-0000-0000-0000CF520000}"/>
    <cellStyle name="Énfasis3 7 4 2" xfId="21240" xr:uid="{00000000-0005-0000-0000-0000D0520000}"/>
    <cellStyle name="Énfasis3 7 5" xfId="21241" xr:uid="{00000000-0005-0000-0000-0000D1520000}"/>
    <cellStyle name="Énfasis3 7 6" xfId="21242" xr:uid="{00000000-0005-0000-0000-0000D2520000}"/>
    <cellStyle name="Énfasis3 7 7" xfId="21243" xr:uid="{00000000-0005-0000-0000-0000D3520000}"/>
    <cellStyle name="Énfasis3 7 8" xfId="21244" xr:uid="{00000000-0005-0000-0000-0000D4520000}"/>
    <cellStyle name="Énfasis3 7 9" xfId="21245" xr:uid="{00000000-0005-0000-0000-0000D5520000}"/>
    <cellStyle name="Énfasis3 8 10" xfId="21246" xr:uid="{00000000-0005-0000-0000-0000D6520000}"/>
    <cellStyle name="Énfasis3 8 11" xfId="21247" xr:uid="{00000000-0005-0000-0000-0000D7520000}"/>
    <cellStyle name="Énfasis3 8 12" xfId="21248" xr:uid="{00000000-0005-0000-0000-0000D8520000}"/>
    <cellStyle name="Énfasis3 8 13" xfId="21249" xr:uid="{00000000-0005-0000-0000-0000D9520000}"/>
    <cellStyle name="Énfasis3 8 14" xfId="21250" xr:uid="{00000000-0005-0000-0000-0000DA520000}"/>
    <cellStyle name="Énfasis3 8 15" xfId="21251" xr:uid="{00000000-0005-0000-0000-0000DB520000}"/>
    <cellStyle name="Énfasis3 8 16" xfId="21252" xr:uid="{00000000-0005-0000-0000-0000DC520000}"/>
    <cellStyle name="Énfasis3 8 17" xfId="21253" xr:uid="{00000000-0005-0000-0000-0000DD520000}"/>
    <cellStyle name="Énfasis3 8 18" xfId="21254" xr:uid="{00000000-0005-0000-0000-0000DE520000}"/>
    <cellStyle name="Énfasis3 8 19" xfId="21255" xr:uid="{00000000-0005-0000-0000-0000DF520000}"/>
    <cellStyle name="Énfasis3 8 2" xfId="21256" xr:uid="{00000000-0005-0000-0000-0000E0520000}"/>
    <cellStyle name="Énfasis3 8 2 2" xfId="21257" xr:uid="{00000000-0005-0000-0000-0000E1520000}"/>
    <cellStyle name="Énfasis3 8 3" xfId="21258" xr:uid="{00000000-0005-0000-0000-0000E2520000}"/>
    <cellStyle name="Énfasis3 8 3 2" xfId="21259" xr:uid="{00000000-0005-0000-0000-0000E3520000}"/>
    <cellStyle name="Énfasis3 8 4" xfId="21260" xr:uid="{00000000-0005-0000-0000-0000E4520000}"/>
    <cellStyle name="Énfasis3 8 4 2" xfId="21261" xr:uid="{00000000-0005-0000-0000-0000E5520000}"/>
    <cellStyle name="Énfasis3 8 5" xfId="21262" xr:uid="{00000000-0005-0000-0000-0000E6520000}"/>
    <cellStyle name="Énfasis3 8 6" xfId="21263" xr:uid="{00000000-0005-0000-0000-0000E7520000}"/>
    <cellStyle name="Énfasis3 8 7" xfId="21264" xr:uid="{00000000-0005-0000-0000-0000E8520000}"/>
    <cellStyle name="Énfasis3 8 8" xfId="21265" xr:uid="{00000000-0005-0000-0000-0000E9520000}"/>
    <cellStyle name="Énfasis3 8 9" xfId="21266" xr:uid="{00000000-0005-0000-0000-0000EA520000}"/>
    <cellStyle name="Énfasis3 9 10" xfId="21267" xr:uid="{00000000-0005-0000-0000-0000EB520000}"/>
    <cellStyle name="Énfasis3 9 11" xfId="21268" xr:uid="{00000000-0005-0000-0000-0000EC520000}"/>
    <cellStyle name="Énfasis3 9 12" xfId="21269" xr:uid="{00000000-0005-0000-0000-0000ED520000}"/>
    <cellStyle name="Énfasis3 9 13" xfId="21270" xr:uid="{00000000-0005-0000-0000-0000EE520000}"/>
    <cellStyle name="Énfasis3 9 14" xfId="21271" xr:uid="{00000000-0005-0000-0000-0000EF520000}"/>
    <cellStyle name="Énfasis3 9 15" xfId="21272" xr:uid="{00000000-0005-0000-0000-0000F0520000}"/>
    <cellStyle name="Énfasis3 9 16" xfId="21273" xr:uid="{00000000-0005-0000-0000-0000F1520000}"/>
    <cellStyle name="Énfasis3 9 17" xfId="21274" xr:uid="{00000000-0005-0000-0000-0000F2520000}"/>
    <cellStyle name="Énfasis3 9 18" xfId="21275" xr:uid="{00000000-0005-0000-0000-0000F3520000}"/>
    <cellStyle name="Énfasis3 9 19" xfId="21276" xr:uid="{00000000-0005-0000-0000-0000F4520000}"/>
    <cellStyle name="Énfasis3 9 2" xfId="21277" xr:uid="{00000000-0005-0000-0000-0000F5520000}"/>
    <cellStyle name="Énfasis3 9 2 2" xfId="21278" xr:uid="{00000000-0005-0000-0000-0000F6520000}"/>
    <cellStyle name="Énfasis3 9 3" xfId="21279" xr:uid="{00000000-0005-0000-0000-0000F7520000}"/>
    <cellStyle name="Énfasis3 9 3 2" xfId="21280" xr:uid="{00000000-0005-0000-0000-0000F8520000}"/>
    <cellStyle name="Énfasis3 9 4" xfId="21281" xr:uid="{00000000-0005-0000-0000-0000F9520000}"/>
    <cellStyle name="Énfasis3 9 4 2" xfId="21282" xr:uid="{00000000-0005-0000-0000-0000FA520000}"/>
    <cellStyle name="Énfasis3 9 5" xfId="21283" xr:uid="{00000000-0005-0000-0000-0000FB520000}"/>
    <cellStyle name="Énfasis3 9 6" xfId="21284" xr:uid="{00000000-0005-0000-0000-0000FC520000}"/>
    <cellStyle name="Énfasis3 9 7" xfId="21285" xr:uid="{00000000-0005-0000-0000-0000FD520000}"/>
    <cellStyle name="Énfasis3 9 8" xfId="21286" xr:uid="{00000000-0005-0000-0000-0000FE520000}"/>
    <cellStyle name="Énfasis3 9 9" xfId="21287" xr:uid="{00000000-0005-0000-0000-0000FF520000}"/>
    <cellStyle name="Énfasis4" xfId="32540" builtinId="41" customBuiltin="1"/>
    <cellStyle name="Énfasis4 10 10" xfId="21288" xr:uid="{00000000-0005-0000-0000-000001530000}"/>
    <cellStyle name="Énfasis4 10 11" xfId="21289" xr:uid="{00000000-0005-0000-0000-000002530000}"/>
    <cellStyle name="Énfasis4 10 12" xfId="21290" xr:uid="{00000000-0005-0000-0000-000003530000}"/>
    <cellStyle name="Énfasis4 10 13" xfId="21291" xr:uid="{00000000-0005-0000-0000-000004530000}"/>
    <cellStyle name="Énfasis4 10 14" xfId="21292" xr:uid="{00000000-0005-0000-0000-000005530000}"/>
    <cellStyle name="Énfasis4 10 15" xfId="21293" xr:uid="{00000000-0005-0000-0000-000006530000}"/>
    <cellStyle name="Énfasis4 10 16" xfId="21294" xr:uid="{00000000-0005-0000-0000-000007530000}"/>
    <cellStyle name="Énfasis4 10 17" xfId="21295" xr:uid="{00000000-0005-0000-0000-000008530000}"/>
    <cellStyle name="Énfasis4 10 18" xfId="21296" xr:uid="{00000000-0005-0000-0000-000009530000}"/>
    <cellStyle name="Énfasis4 10 19" xfId="21297" xr:uid="{00000000-0005-0000-0000-00000A530000}"/>
    <cellStyle name="Énfasis4 10 2" xfId="21298" xr:uid="{00000000-0005-0000-0000-00000B530000}"/>
    <cellStyle name="Énfasis4 10 2 2" xfId="21299" xr:uid="{00000000-0005-0000-0000-00000C530000}"/>
    <cellStyle name="Énfasis4 10 3" xfId="21300" xr:uid="{00000000-0005-0000-0000-00000D530000}"/>
    <cellStyle name="Énfasis4 10 3 2" xfId="21301" xr:uid="{00000000-0005-0000-0000-00000E530000}"/>
    <cellStyle name="Énfasis4 10 4" xfId="21302" xr:uid="{00000000-0005-0000-0000-00000F530000}"/>
    <cellStyle name="Énfasis4 10 4 2" xfId="21303" xr:uid="{00000000-0005-0000-0000-000010530000}"/>
    <cellStyle name="Énfasis4 10 5" xfId="21304" xr:uid="{00000000-0005-0000-0000-000011530000}"/>
    <cellStyle name="Énfasis4 10 6" xfId="21305" xr:uid="{00000000-0005-0000-0000-000012530000}"/>
    <cellStyle name="Énfasis4 10 7" xfId="21306" xr:uid="{00000000-0005-0000-0000-000013530000}"/>
    <cellStyle name="Énfasis4 10 8" xfId="21307" xr:uid="{00000000-0005-0000-0000-000014530000}"/>
    <cellStyle name="Énfasis4 10 9" xfId="21308" xr:uid="{00000000-0005-0000-0000-000015530000}"/>
    <cellStyle name="Énfasis4 11 10" xfId="21309" xr:uid="{00000000-0005-0000-0000-000016530000}"/>
    <cellStyle name="Énfasis4 11 11" xfId="21310" xr:uid="{00000000-0005-0000-0000-000017530000}"/>
    <cellStyle name="Énfasis4 11 12" xfId="21311" xr:uid="{00000000-0005-0000-0000-000018530000}"/>
    <cellStyle name="Énfasis4 11 13" xfId="21312" xr:uid="{00000000-0005-0000-0000-000019530000}"/>
    <cellStyle name="Énfasis4 11 14" xfId="21313" xr:uid="{00000000-0005-0000-0000-00001A530000}"/>
    <cellStyle name="Énfasis4 11 15" xfId="21314" xr:uid="{00000000-0005-0000-0000-00001B530000}"/>
    <cellStyle name="Énfasis4 11 16" xfId="21315" xr:uid="{00000000-0005-0000-0000-00001C530000}"/>
    <cellStyle name="Énfasis4 11 17" xfId="21316" xr:uid="{00000000-0005-0000-0000-00001D530000}"/>
    <cellStyle name="Énfasis4 11 18" xfId="21317" xr:uid="{00000000-0005-0000-0000-00001E530000}"/>
    <cellStyle name="Énfasis4 11 19" xfId="21318" xr:uid="{00000000-0005-0000-0000-00001F530000}"/>
    <cellStyle name="Énfasis4 11 2" xfId="21319" xr:uid="{00000000-0005-0000-0000-000020530000}"/>
    <cellStyle name="Énfasis4 11 2 2" xfId="21320" xr:uid="{00000000-0005-0000-0000-000021530000}"/>
    <cellStyle name="Énfasis4 11 3" xfId="21321" xr:uid="{00000000-0005-0000-0000-000022530000}"/>
    <cellStyle name="Énfasis4 11 3 2" xfId="21322" xr:uid="{00000000-0005-0000-0000-000023530000}"/>
    <cellStyle name="Énfasis4 11 4" xfId="21323" xr:uid="{00000000-0005-0000-0000-000024530000}"/>
    <cellStyle name="Énfasis4 11 4 2" xfId="21324" xr:uid="{00000000-0005-0000-0000-000025530000}"/>
    <cellStyle name="Énfasis4 11 5" xfId="21325" xr:uid="{00000000-0005-0000-0000-000026530000}"/>
    <cellStyle name="Énfasis4 11 6" xfId="21326" xr:uid="{00000000-0005-0000-0000-000027530000}"/>
    <cellStyle name="Énfasis4 11 7" xfId="21327" xr:uid="{00000000-0005-0000-0000-000028530000}"/>
    <cellStyle name="Énfasis4 11 8" xfId="21328" xr:uid="{00000000-0005-0000-0000-000029530000}"/>
    <cellStyle name="Énfasis4 11 9" xfId="21329" xr:uid="{00000000-0005-0000-0000-00002A530000}"/>
    <cellStyle name="Énfasis4 12 10" xfId="21330" xr:uid="{00000000-0005-0000-0000-00002B530000}"/>
    <cellStyle name="Énfasis4 12 11" xfId="21331" xr:uid="{00000000-0005-0000-0000-00002C530000}"/>
    <cellStyle name="Énfasis4 12 12" xfId="21332" xr:uid="{00000000-0005-0000-0000-00002D530000}"/>
    <cellStyle name="Énfasis4 12 13" xfId="21333" xr:uid="{00000000-0005-0000-0000-00002E530000}"/>
    <cellStyle name="Énfasis4 12 14" xfId="21334" xr:uid="{00000000-0005-0000-0000-00002F530000}"/>
    <cellStyle name="Énfasis4 12 15" xfId="21335" xr:uid="{00000000-0005-0000-0000-000030530000}"/>
    <cellStyle name="Énfasis4 12 16" xfId="21336" xr:uid="{00000000-0005-0000-0000-000031530000}"/>
    <cellStyle name="Énfasis4 12 17" xfId="21337" xr:uid="{00000000-0005-0000-0000-000032530000}"/>
    <cellStyle name="Énfasis4 12 18" xfId="21338" xr:uid="{00000000-0005-0000-0000-000033530000}"/>
    <cellStyle name="Énfasis4 12 19" xfId="21339" xr:uid="{00000000-0005-0000-0000-000034530000}"/>
    <cellStyle name="Énfasis4 12 2" xfId="21340" xr:uid="{00000000-0005-0000-0000-000035530000}"/>
    <cellStyle name="Énfasis4 12 2 2" xfId="21341" xr:uid="{00000000-0005-0000-0000-000036530000}"/>
    <cellStyle name="Énfasis4 12 3" xfId="21342" xr:uid="{00000000-0005-0000-0000-000037530000}"/>
    <cellStyle name="Énfasis4 12 3 2" xfId="21343" xr:uid="{00000000-0005-0000-0000-000038530000}"/>
    <cellStyle name="Énfasis4 12 4" xfId="21344" xr:uid="{00000000-0005-0000-0000-000039530000}"/>
    <cellStyle name="Énfasis4 12 4 2" xfId="21345" xr:uid="{00000000-0005-0000-0000-00003A530000}"/>
    <cellStyle name="Énfasis4 12 5" xfId="21346" xr:uid="{00000000-0005-0000-0000-00003B530000}"/>
    <cellStyle name="Énfasis4 12 6" xfId="21347" xr:uid="{00000000-0005-0000-0000-00003C530000}"/>
    <cellStyle name="Énfasis4 12 7" xfId="21348" xr:uid="{00000000-0005-0000-0000-00003D530000}"/>
    <cellStyle name="Énfasis4 12 8" xfId="21349" xr:uid="{00000000-0005-0000-0000-00003E530000}"/>
    <cellStyle name="Énfasis4 12 9" xfId="21350" xr:uid="{00000000-0005-0000-0000-00003F530000}"/>
    <cellStyle name="Énfasis4 13 10" xfId="21351" xr:uid="{00000000-0005-0000-0000-000040530000}"/>
    <cellStyle name="Énfasis4 13 11" xfId="21352" xr:uid="{00000000-0005-0000-0000-000041530000}"/>
    <cellStyle name="Énfasis4 13 12" xfId="21353" xr:uid="{00000000-0005-0000-0000-000042530000}"/>
    <cellStyle name="Énfasis4 13 13" xfId="21354" xr:uid="{00000000-0005-0000-0000-000043530000}"/>
    <cellStyle name="Énfasis4 13 14" xfId="21355" xr:uid="{00000000-0005-0000-0000-000044530000}"/>
    <cellStyle name="Énfasis4 13 15" xfId="21356" xr:uid="{00000000-0005-0000-0000-000045530000}"/>
    <cellStyle name="Énfasis4 13 16" xfId="21357" xr:uid="{00000000-0005-0000-0000-000046530000}"/>
    <cellStyle name="Énfasis4 13 17" xfId="21358" xr:uid="{00000000-0005-0000-0000-000047530000}"/>
    <cellStyle name="Énfasis4 13 18" xfId="21359" xr:uid="{00000000-0005-0000-0000-000048530000}"/>
    <cellStyle name="Énfasis4 13 19" xfId="21360" xr:uid="{00000000-0005-0000-0000-000049530000}"/>
    <cellStyle name="Énfasis4 13 2" xfId="21361" xr:uid="{00000000-0005-0000-0000-00004A530000}"/>
    <cellStyle name="Énfasis4 13 2 2" xfId="21362" xr:uid="{00000000-0005-0000-0000-00004B530000}"/>
    <cellStyle name="Énfasis4 13 3" xfId="21363" xr:uid="{00000000-0005-0000-0000-00004C530000}"/>
    <cellStyle name="Énfasis4 13 3 2" xfId="21364" xr:uid="{00000000-0005-0000-0000-00004D530000}"/>
    <cellStyle name="Énfasis4 13 4" xfId="21365" xr:uid="{00000000-0005-0000-0000-00004E530000}"/>
    <cellStyle name="Énfasis4 13 4 2" xfId="21366" xr:uid="{00000000-0005-0000-0000-00004F530000}"/>
    <cellStyle name="Énfasis4 13 5" xfId="21367" xr:uid="{00000000-0005-0000-0000-000050530000}"/>
    <cellStyle name="Énfasis4 13 6" xfId="21368" xr:uid="{00000000-0005-0000-0000-000051530000}"/>
    <cellStyle name="Énfasis4 13 7" xfId="21369" xr:uid="{00000000-0005-0000-0000-000052530000}"/>
    <cellStyle name="Énfasis4 13 8" xfId="21370" xr:uid="{00000000-0005-0000-0000-000053530000}"/>
    <cellStyle name="Énfasis4 13 9" xfId="21371" xr:uid="{00000000-0005-0000-0000-000054530000}"/>
    <cellStyle name="Énfasis4 14 10" xfId="21372" xr:uid="{00000000-0005-0000-0000-000055530000}"/>
    <cellStyle name="Énfasis4 14 11" xfId="21373" xr:uid="{00000000-0005-0000-0000-000056530000}"/>
    <cellStyle name="Énfasis4 14 12" xfId="21374" xr:uid="{00000000-0005-0000-0000-000057530000}"/>
    <cellStyle name="Énfasis4 14 13" xfId="21375" xr:uid="{00000000-0005-0000-0000-000058530000}"/>
    <cellStyle name="Énfasis4 14 14" xfId="21376" xr:uid="{00000000-0005-0000-0000-000059530000}"/>
    <cellStyle name="Énfasis4 14 15" xfId="21377" xr:uid="{00000000-0005-0000-0000-00005A530000}"/>
    <cellStyle name="Énfasis4 14 16" xfId="21378" xr:uid="{00000000-0005-0000-0000-00005B530000}"/>
    <cellStyle name="Énfasis4 14 17" xfId="21379" xr:uid="{00000000-0005-0000-0000-00005C530000}"/>
    <cellStyle name="Énfasis4 14 18" xfId="21380" xr:uid="{00000000-0005-0000-0000-00005D530000}"/>
    <cellStyle name="Énfasis4 14 19" xfId="21381" xr:uid="{00000000-0005-0000-0000-00005E530000}"/>
    <cellStyle name="Énfasis4 14 2" xfId="21382" xr:uid="{00000000-0005-0000-0000-00005F530000}"/>
    <cellStyle name="Énfasis4 14 2 2" xfId="21383" xr:uid="{00000000-0005-0000-0000-000060530000}"/>
    <cellStyle name="Énfasis4 14 3" xfId="21384" xr:uid="{00000000-0005-0000-0000-000061530000}"/>
    <cellStyle name="Énfasis4 14 3 2" xfId="21385" xr:uid="{00000000-0005-0000-0000-000062530000}"/>
    <cellStyle name="Énfasis4 14 4" xfId="21386" xr:uid="{00000000-0005-0000-0000-000063530000}"/>
    <cellStyle name="Énfasis4 14 4 2" xfId="21387" xr:uid="{00000000-0005-0000-0000-000064530000}"/>
    <cellStyle name="Énfasis4 14 5" xfId="21388" xr:uid="{00000000-0005-0000-0000-000065530000}"/>
    <cellStyle name="Énfasis4 14 6" xfId="21389" xr:uid="{00000000-0005-0000-0000-000066530000}"/>
    <cellStyle name="Énfasis4 14 7" xfId="21390" xr:uid="{00000000-0005-0000-0000-000067530000}"/>
    <cellStyle name="Énfasis4 14 8" xfId="21391" xr:uid="{00000000-0005-0000-0000-000068530000}"/>
    <cellStyle name="Énfasis4 14 9" xfId="21392" xr:uid="{00000000-0005-0000-0000-000069530000}"/>
    <cellStyle name="Énfasis4 15 10" xfId="21393" xr:uid="{00000000-0005-0000-0000-00006A530000}"/>
    <cellStyle name="Énfasis4 15 11" xfId="21394" xr:uid="{00000000-0005-0000-0000-00006B530000}"/>
    <cellStyle name="Énfasis4 15 12" xfId="21395" xr:uid="{00000000-0005-0000-0000-00006C530000}"/>
    <cellStyle name="Énfasis4 15 13" xfId="21396" xr:uid="{00000000-0005-0000-0000-00006D530000}"/>
    <cellStyle name="Énfasis4 15 14" xfId="21397" xr:uid="{00000000-0005-0000-0000-00006E530000}"/>
    <cellStyle name="Énfasis4 15 15" xfId="21398" xr:uid="{00000000-0005-0000-0000-00006F530000}"/>
    <cellStyle name="Énfasis4 15 16" xfId="21399" xr:uid="{00000000-0005-0000-0000-000070530000}"/>
    <cellStyle name="Énfasis4 15 17" xfId="21400" xr:uid="{00000000-0005-0000-0000-000071530000}"/>
    <cellStyle name="Énfasis4 15 18" xfId="21401" xr:uid="{00000000-0005-0000-0000-000072530000}"/>
    <cellStyle name="Énfasis4 15 19" xfId="21402" xr:uid="{00000000-0005-0000-0000-000073530000}"/>
    <cellStyle name="Énfasis4 15 2" xfId="21403" xr:uid="{00000000-0005-0000-0000-000074530000}"/>
    <cellStyle name="Énfasis4 15 2 2" xfId="21404" xr:uid="{00000000-0005-0000-0000-000075530000}"/>
    <cellStyle name="Énfasis4 15 3" xfId="21405" xr:uid="{00000000-0005-0000-0000-000076530000}"/>
    <cellStyle name="Énfasis4 15 3 2" xfId="21406" xr:uid="{00000000-0005-0000-0000-000077530000}"/>
    <cellStyle name="Énfasis4 15 4" xfId="21407" xr:uid="{00000000-0005-0000-0000-000078530000}"/>
    <cellStyle name="Énfasis4 15 4 2" xfId="21408" xr:uid="{00000000-0005-0000-0000-000079530000}"/>
    <cellStyle name="Énfasis4 15 5" xfId="21409" xr:uid="{00000000-0005-0000-0000-00007A530000}"/>
    <cellStyle name="Énfasis4 15 6" xfId="21410" xr:uid="{00000000-0005-0000-0000-00007B530000}"/>
    <cellStyle name="Énfasis4 15 7" xfId="21411" xr:uid="{00000000-0005-0000-0000-00007C530000}"/>
    <cellStyle name="Énfasis4 15 8" xfId="21412" xr:uid="{00000000-0005-0000-0000-00007D530000}"/>
    <cellStyle name="Énfasis4 15 9" xfId="21413" xr:uid="{00000000-0005-0000-0000-00007E530000}"/>
    <cellStyle name="Énfasis4 16 10" xfId="21414" xr:uid="{00000000-0005-0000-0000-00007F530000}"/>
    <cellStyle name="Énfasis4 16 11" xfId="21415" xr:uid="{00000000-0005-0000-0000-000080530000}"/>
    <cellStyle name="Énfasis4 16 12" xfId="21416" xr:uid="{00000000-0005-0000-0000-000081530000}"/>
    <cellStyle name="Énfasis4 16 13" xfId="21417" xr:uid="{00000000-0005-0000-0000-000082530000}"/>
    <cellStyle name="Énfasis4 16 14" xfId="21418" xr:uid="{00000000-0005-0000-0000-000083530000}"/>
    <cellStyle name="Énfasis4 16 15" xfId="21419" xr:uid="{00000000-0005-0000-0000-000084530000}"/>
    <cellStyle name="Énfasis4 16 16" xfId="21420" xr:uid="{00000000-0005-0000-0000-000085530000}"/>
    <cellStyle name="Énfasis4 16 17" xfId="21421" xr:uid="{00000000-0005-0000-0000-000086530000}"/>
    <cellStyle name="Énfasis4 16 18" xfId="21422" xr:uid="{00000000-0005-0000-0000-000087530000}"/>
    <cellStyle name="Énfasis4 16 19" xfId="21423" xr:uid="{00000000-0005-0000-0000-000088530000}"/>
    <cellStyle name="Énfasis4 16 2" xfId="21424" xr:uid="{00000000-0005-0000-0000-000089530000}"/>
    <cellStyle name="Énfasis4 16 2 2" xfId="21425" xr:uid="{00000000-0005-0000-0000-00008A530000}"/>
    <cellStyle name="Énfasis4 16 3" xfId="21426" xr:uid="{00000000-0005-0000-0000-00008B530000}"/>
    <cellStyle name="Énfasis4 16 3 2" xfId="21427" xr:uid="{00000000-0005-0000-0000-00008C530000}"/>
    <cellStyle name="Énfasis4 16 4" xfId="21428" xr:uid="{00000000-0005-0000-0000-00008D530000}"/>
    <cellStyle name="Énfasis4 16 4 2" xfId="21429" xr:uid="{00000000-0005-0000-0000-00008E530000}"/>
    <cellStyle name="Énfasis4 16 5" xfId="21430" xr:uid="{00000000-0005-0000-0000-00008F530000}"/>
    <cellStyle name="Énfasis4 16 6" xfId="21431" xr:uid="{00000000-0005-0000-0000-000090530000}"/>
    <cellStyle name="Énfasis4 16 7" xfId="21432" xr:uid="{00000000-0005-0000-0000-000091530000}"/>
    <cellStyle name="Énfasis4 16 8" xfId="21433" xr:uid="{00000000-0005-0000-0000-000092530000}"/>
    <cellStyle name="Énfasis4 16 9" xfId="21434" xr:uid="{00000000-0005-0000-0000-000093530000}"/>
    <cellStyle name="Énfasis4 17 10" xfId="21435" xr:uid="{00000000-0005-0000-0000-000094530000}"/>
    <cellStyle name="Énfasis4 17 11" xfId="21436" xr:uid="{00000000-0005-0000-0000-000095530000}"/>
    <cellStyle name="Énfasis4 17 12" xfId="21437" xr:uid="{00000000-0005-0000-0000-000096530000}"/>
    <cellStyle name="Énfasis4 17 13" xfId="21438" xr:uid="{00000000-0005-0000-0000-000097530000}"/>
    <cellStyle name="Énfasis4 17 14" xfId="21439" xr:uid="{00000000-0005-0000-0000-000098530000}"/>
    <cellStyle name="Énfasis4 17 15" xfId="21440" xr:uid="{00000000-0005-0000-0000-000099530000}"/>
    <cellStyle name="Énfasis4 17 16" xfId="21441" xr:uid="{00000000-0005-0000-0000-00009A530000}"/>
    <cellStyle name="Énfasis4 17 17" xfId="21442" xr:uid="{00000000-0005-0000-0000-00009B530000}"/>
    <cellStyle name="Énfasis4 17 18" xfId="21443" xr:uid="{00000000-0005-0000-0000-00009C530000}"/>
    <cellStyle name="Énfasis4 17 19" xfId="21444" xr:uid="{00000000-0005-0000-0000-00009D530000}"/>
    <cellStyle name="Énfasis4 17 2" xfId="21445" xr:uid="{00000000-0005-0000-0000-00009E530000}"/>
    <cellStyle name="Énfasis4 17 2 2" xfId="21446" xr:uid="{00000000-0005-0000-0000-00009F530000}"/>
    <cellStyle name="Énfasis4 17 3" xfId="21447" xr:uid="{00000000-0005-0000-0000-0000A0530000}"/>
    <cellStyle name="Énfasis4 17 3 2" xfId="21448" xr:uid="{00000000-0005-0000-0000-0000A1530000}"/>
    <cellStyle name="Énfasis4 17 4" xfId="21449" xr:uid="{00000000-0005-0000-0000-0000A2530000}"/>
    <cellStyle name="Énfasis4 17 4 2" xfId="21450" xr:uid="{00000000-0005-0000-0000-0000A3530000}"/>
    <cellStyle name="Énfasis4 17 5" xfId="21451" xr:uid="{00000000-0005-0000-0000-0000A4530000}"/>
    <cellStyle name="Énfasis4 17 6" xfId="21452" xr:uid="{00000000-0005-0000-0000-0000A5530000}"/>
    <cellStyle name="Énfasis4 17 7" xfId="21453" xr:uid="{00000000-0005-0000-0000-0000A6530000}"/>
    <cellStyle name="Énfasis4 17 8" xfId="21454" xr:uid="{00000000-0005-0000-0000-0000A7530000}"/>
    <cellStyle name="Énfasis4 17 9" xfId="21455" xr:uid="{00000000-0005-0000-0000-0000A8530000}"/>
    <cellStyle name="Énfasis4 18 10" xfId="21456" xr:uid="{00000000-0005-0000-0000-0000A9530000}"/>
    <cellStyle name="Énfasis4 18 11" xfId="21457" xr:uid="{00000000-0005-0000-0000-0000AA530000}"/>
    <cellStyle name="Énfasis4 18 12" xfId="21458" xr:uid="{00000000-0005-0000-0000-0000AB530000}"/>
    <cellStyle name="Énfasis4 18 13" xfId="21459" xr:uid="{00000000-0005-0000-0000-0000AC530000}"/>
    <cellStyle name="Énfasis4 18 14" xfId="21460" xr:uid="{00000000-0005-0000-0000-0000AD530000}"/>
    <cellStyle name="Énfasis4 18 15" xfId="21461" xr:uid="{00000000-0005-0000-0000-0000AE530000}"/>
    <cellStyle name="Énfasis4 18 16" xfId="21462" xr:uid="{00000000-0005-0000-0000-0000AF530000}"/>
    <cellStyle name="Énfasis4 18 17" xfId="21463" xr:uid="{00000000-0005-0000-0000-0000B0530000}"/>
    <cellStyle name="Énfasis4 18 18" xfId="21464" xr:uid="{00000000-0005-0000-0000-0000B1530000}"/>
    <cellStyle name="Énfasis4 18 19" xfId="21465" xr:uid="{00000000-0005-0000-0000-0000B2530000}"/>
    <cellStyle name="Énfasis4 18 2" xfId="21466" xr:uid="{00000000-0005-0000-0000-0000B3530000}"/>
    <cellStyle name="Énfasis4 18 2 2" xfId="21467" xr:uid="{00000000-0005-0000-0000-0000B4530000}"/>
    <cellStyle name="Énfasis4 18 3" xfId="21468" xr:uid="{00000000-0005-0000-0000-0000B5530000}"/>
    <cellStyle name="Énfasis4 18 3 2" xfId="21469" xr:uid="{00000000-0005-0000-0000-0000B6530000}"/>
    <cellStyle name="Énfasis4 18 4" xfId="21470" xr:uid="{00000000-0005-0000-0000-0000B7530000}"/>
    <cellStyle name="Énfasis4 18 4 2" xfId="21471" xr:uid="{00000000-0005-0000-0000-0000B8530000}"/>
    <cellStyle name="Énfasis4 18 5" xfId="21472" xr:uid="{00000000-0005-0000-0000-0000B9530000}"/>
    <cellStyle name="Énfasis4 18 6" xfId="21473" xr:uid="{00000000-0005-0000-0000-0000BA530000}"/>
    <cellStyle name="Énfasis4 18 7" xfId="21474" xr:uid="{00000000-0005-0000-0000-0000BB530000}"/>
    <cellStyle name="Énfasis4 18 8" xfId="21475" xr:uid="{00000000-0005-0000-0000-0000BC530000}"/>
    <cellStyle name="Énfasis4 18 9" xfId="21476" xr:uid="{00000000-0005-0000-0000-0000BD530000}"/>
    <cellStyle name="Énfasis4 19 10" xfId="21477" xr:uid="{00000000-0005-0000-0000-0000BE530000}"/>
    <cellStyle name="Énfasis4 19 11" xfId="21478" xr:uid="{00000000-0005-0000-0000-0000BF530000}"/>
    <cellStyle name="Énfasis4 19 12" xfId="21479" xr:uid="{00000000-0005-0000-0000-0000C0530000}"/>
    <cellStyle name="Énfasis4 19 13" xfId="21480" xr:uid="{00000000-0005-0000-0000-0000C1530000}"/>
    <cellStyle name="Énfasis4 19 14" xfId="21481" xr:uid="{00000000-0005-0000-0000-0000C2530000}"/>
    <cellStyle name="Énfasis4 19 15" xfId="21482" xr:uid="{00000000-0005-0000-0000-0000C3530000}"/>
    <cellStyle name="Énfasis4 19 16" xfId="21483" xr:uid="{00000000-0005-0000-0000-0000C4530000}"/>
    <cellStyle name="Énfasis4 19 17" xfId="21484" xr:uid="{00000000-0005-0000-0000-0000C5530000}"/>
    <cellStyle name="Énfasis4 19 18" xfId="21485" xr:uid="{00000000-0005-0000-0000-0000C6530000}"/>
    <cellStyle name="Énfasis4 19 19" xfId="21486" xr:uid="{00000000-0005-0000-0000-0000C7530000}"/>
    <cellStyle name="Énfasis4 19 2" xfId="21487" xr:uid="{00000000-0005-0000-0000-0000C8530000}"/>
    <cellStyle name="Énfasis4 19 2 2" xfId="21488" xr:uid="{00000000-0005-0000-0000-0000C9530000}"/>
    <cellStyle name="Énfasis4 19 3" xfId="21489" xr:uid="{00000000-0005-0000-0000-0000CA530000}"/>
    <cellStyle name="Énfasis4 19 3 2" xfId="21490" xr:uid="{00000000-0005-0000-0000-0000CB530000}"/>
    <cellStyle name="Énfasis4 19 4" xfId="21491" xr:uid="{00000000-0005-0000-0000-0000CC530000}"/>
    <cellStyle name="Énfasis4 19 4 2" xfId="21492" xr:uid="{00000000-0005-0000-0000-0000CD530000}"/>
    <cellStyle name="Énfasis4 19 5" xfId="21493" xr:uid="{00000000-0005-0000-0000-0000CE530000}"/>
    <cellStyle name="Énfasis4 19 6" xfId="21494" xr:uid="{00000000-0005-0000-0000-0000CF530000}"/>
    <cellStyle name="Énfasis4 19 7" xfId="21495" xr:uid="{00000000-0005-0000-0000-0000D0530000}"/>
    <cellStyle name="Énfasis4 19 8" xfId="21496" xr:uid="{00000000-0005-0000-0000-0000D1530000}"/>
    <cellStyle name="Énfasis4 19 9" xfId="21497" xr:uid="{00000000-0005-0000-0000-0000D2530000}"/>
    <cellStyle name="Énfasis4 2 10" xfId="21498" xr:uid="{00000000-0005-0000-0000-0000D3530000}"/>
    <cellStyle name="Énfasis4 2 11" xfId="21499" xr:uid="{00000000-0005-0000-0000-0000D4530000}"/>
    <cellStyle name="Énfasis4 2 12" xfId="21500" xr:uid="{00000000-0005-0000-0000-0000D5530000}"/>
    <cellStyle name="Énfasis4 2 13" xfId="21501" xr:uid="{00000000-0005-0000-0000-0000D6530000}"/>
    <cellStyle name="Énfasis4 2 14" xfId="21502" xr:uid="{00000000-0005-0000-0000-0000D7530000}"/>
    <cellStyle name="Énfasis4 2 15" xfId="21503" xr:uid="{00000000-0005-0000-0000-0000D8530000}"/>
    <cellStyle name="Énfasis4 2 16" xfId="21504" xr:uid="{00000000-0005-0000-0000-0000D9530000}"/>
    <cellStyle name="Énfasis4 2 17" xfId="21505" xr:uid="{00000000-0005-0000-0000-0000DA530000}"/>
    <cellStyle name="Énfasis4 2 18" xfId="21506" xr:uid="{00000000-0005-0000-0000-0000DB530000}"/>
    <cellStyle name="Énfasis4 2 19" xfId="21507" xr:uid="{00000000-0005-0000-0000-0000DC530000}"/>
    <cellStyle name="Énfasis4 2 2" xfId="21508" xr:uid="{00000000-0005-0000-0000-0000DD530000}"/>
    <cellStyle name="Énfasis4 2 2 2" xfId="21509" xr:uid="{00000000-0005-0000-0000-0000DE530000}"/>
    <cellStyle name="Énfasis4 2 3" xfId="21510" xr:uid="{00000000-0005-0000-0000-0000DF530000}"/>
    <cellStyle name="Énfasis4 2 3 2" xfId="21511" xr:uid="{00000000-0005-0000-0000-0000E0530000}"/>
    <cellStyle name="Énfasis4 2 4" xfId="21512" xr:uid="{00000000-0005-0000-0000-0000E1530000}"/>
    <cellStyle name="Énfasis4 2 4 2" xfId="21513" xr:uid="{00000000-0005-0000-0000-0000E2530000}"/>
    <cellStyle name="Énfasis4 2 5" xfId="21514" xr:uid="{00000000-0005-0000-0000-0000E3530000}"/>
    <cellStyle name="Énfasis4 2 6" xfId="21515" xr:uid="{00000000-0005-0000-0000-0000E4530000}"/>
    <cellStyle name="Énfasis4 2 7" xfId="21516" xr:uid="{00000000-0005-0000-0000-0000E5530000}"/>
    <cellStyle name="Énfasis4 2 8" xfId="21517" xr:uid="{00000000-0005-0000-0000-0000E6530000}"/>
    <cellStyle name="Énfasis4 2 9" xfId="21518" xr:uid="{00000000-0005-0000-0000-0000E7530000}"/>
    <cellStyle name="Énfasis4 20 10" xfId="21519" xr:uid="{00000000-0005-0000-0000-0000E8530000}"/>
    <cellStyle name="Énfasis4 20 11" xfId="21520" xr:uid="{00000000-0005-0000-0000-0000E9530000}"/>
    <cellStyle name="Énfasis4 20 12" xfId="21521" xr:uid="{00000000-0005-0000-0000-0000EA530000}"/>
    <cellStyle name="Énfasis4 20 13" xfId="21522" xr:uid="{00000000-0005-0000-0000-0000EB530000}"/>
    <cellStyle name="Énfasis4 20 14" xfId="21523" xr:uid="{00000000-0005-0000-0000-0000EC530000}"/>
    <cellStyle name="Énfasis4 20 15" xfId="21524" xr:uid="{00000000-0005-0000-0000-0000ED530000}"/>
    <cellStyle name="Énfasis4 20 16" xfId="21525" xr:uid="{00000000-0005-0000-0000-0000EE530000}"/>
    <cellStyle name="Énfasis4 20 17" xfId="21526" xr:uid="{00000000-0005-0000-0000-0000EF530000}"/>
    <cellStyle name="Énfasis4 20 18" xfId="21527" xr:uid="{00000000-0005-0000-0000-0000F0530000}"/>
    <cellStyle name="Énfasis4 20 19" xfId="21528" xr:uid="{00000000-0005-0000-0000-0000F1530000}"/>
    <cellStyle name="Énfasis4 20 2" xfId="21529" xr:uid="{00000000-0005-0000-0000-0000F2530000}"/>
    <cellStyle name="Énfasis4 20 2 2" xfId="21530" xr:uid="{00000000-0005-0000-0000-0000F3530000}"/>
    <cellStyle name="Énfasis4 20 3" xfId="21531" xr:uid="{00000000-0005-0000-0000-0000F4530000}"/>
    <cellStyle name="Énfasis4 20 3 2" xfId="21532" xr:uid="{00000000-0005-0000-0000-0000F5530000}"/>
    <cellStyle name="Énfasis4 20 4" xfId="21533" xr:uid="{00000000-0005-0000-0000-0000F6530000}"/>
    <cellStyle name="Énfasis4 20 4 2" xfId="21534" xr:uid="{00000000-0005-0000-0000-0000F7530000}"/>
    <cellStyle name="Énfasis4 20 5" xfId="21535" xr:uid="{00000000-0005-0000-0000-0000F8530000}"/>
    <cellStyle name="Énfasis4 20 6" xfId="21536" xr:uid="{00000000-0005-0000-0000-0000F9530000}"/>
    <cellStyle name="Énfasis4 20 7" xfId="21537" xr:uid="{00000000-0005-0000-0000-0000FA530000}"/>
    <cellStyle name="Énfasis4 20 8" xfId="21538" xr:uid="{00000000-0005-0000-0000-0000FB530000}"/>
    <cellStyle name="Énfasis4 20 9" xfId="21539" xr:uid="{00000000-0005-0000-0000-0000FC530000}"/>
    <cellStyle name="Énfasis4 21 10" xfId="21540" xr:uid="{00000000-0005-0000-0000-0000FD530000}"/>
    <cellStyle name="Énfasis4 21 11" xfId="21541" xr:uid="{00000000-0005-0000-0000-0000FE530000}"/>
    <cellStyle name="Énfasis4 21 12" xfId="21542" xr:uid="{00000000-0005-0000-0000-0000FF530000}"/>
    <cellStyle name="Énfasis4 21 13" xfId="21543" xr:uid="{00000000-0005-0000-0000-000000540000}"/>
    <cellStyle name="Énfasis4 21 14" xfId="21544" xr:uid="{00000000-0005-0000-0000-000001540000}"/>
    <cellStyle name="Énfasis4 21 15" xfId="21545" xr:uid="{00000000-0005-0000-0000-000002540000}"/>
    <cellStyle name="Énfasis4 21 16" xfId="21546" xr:uid="{00000000-0005-0000-0000-000003540000}"/>
    <cellStyle name="Énfasis4 21 17" xfId="21547" xr:uid="{00000000-0005-0000-0000-000004540000}"/>
    <cellStyle name="Énfasis4 21 18" xfId="21548" xr:uid="{00000000-0005-0000-0000-000005540000}"/>
    <cellStyle name="Énfasis4 21 19" xfId="21549" xr:uid="{00000000-0005-0000-0000-000006540000}"/>
    <cellStyle name="Énfasis4 21 2" xfId="21550" xr:uid="{00000000-0005-0000-0000-000007540000}"/>
    <cellStyle name="Énfasis4 21 2 2" xfId="21551" xr:uid="{00000000-0005-0000-0000-000008540000}"/>
    <cellStyle name="Énfasis4 21 3" xfId="21552" xr:uid="{00000000-0005-0000-0000-000009540000}"/>
    <cellStyle name="Énfasis4 21 3 2" xfId="21553" xr:uid="{00000000-0005-0000-0000-00000A540000}"/>
    <cellStyle name="Énfasis4 21 4" xfId="21554" xr:uid="{00000000-0005-0000-0000-00000B540000}"/>
    <cellStyle name="Énfasis4 21 4 2" xfId="21555" xr:uid="{00000000-0005-0000-0000-00000C540000}"/>
    <cellStyle name="Énfasis4 21 5" xfId="21556" xr:uid="{00000000-0005-0000-0000-00000D540000}"/>
    <cellStyle name="Énfasis4 21 6" xfId="21557" xr:uid="{00000000-0005-0000-0000-00000E540000}"/>
    <cellStyle name="Énfasis4 21 7" xfId="21558" xr:uid="{00000000-0005-0000-0000-00000F540000}"/>
    <cellStyle name="Énfasis4 21 8" xfId="21559" xr:uid="{00000000-0005-0000-0000-000010540000}"/>
    <cellStyle name="Énfasis4 21 9" xfId="21560" xr:uid="{00000000-0005-0000-0000-000011540000}"/>
    <cellStyle name="Énfasis4 22 10" xfId="21561" xr:uid="{00000000-0005-0000-0000-000012540000}"/>
    <cellStyle name="Énfasis4 22 11" xfId="21562" xr:uid="{00000000-0005-0000-0000-000013540000}"/>
    <cellStyle name="Énfasis4 22 12" xfId="21563" xr:uid="{00000000-0005-0000-0000-000014540000}"/>
    <cellStyle name="Énfasis4 22 13" xfId="21564" xr:uid="{00000000-0005-0000-0000-000015540000}"/>
    <cellStyle name="Énfasis4 22 14" xfId="21565" xr:uid="{00000000-0005-0000-0000-000016540000}"/>
    <cellStyle name="Énfasis4 22 15" xfId="21566" xr:uid="{00000000-0005-0000-0000-000017540000}"/>
    <cellStyle name="Énfasis4 22 16" xfId="21567" xr:uid="{00000000-0005-0000-0000-000018540000}"/>
    <cellStyle name="Énfasis4 22 17" xfId="21568" xr:uid="{00000000-0005-0000-0000-000019540000}"/>
    <cellStyle name="Énfasis4 22 18" xfId="21569" xr:uid="{00000000-0005-0000-0000-00001A540000}"/>
    <cellStyle name="Énfasis4 22 19" xfId="21570" xr:uid="{00000000-0005-0000-0000-00001B540000}"/>
    <cellStyle name="Énfasis4 22 2" xfId="21571" xr:uid="{00000000-0005-0000-0000-00001C540000}"/>
    <cellStyle name="Énfasis4 22 2 2" xfId="21572" xr:uid="{00000000-0005-0000-0000-00001D540000}"/>
    <cellStyle name="Énfasis4 22 3" xfId="21573" xr:uid="{00000000-0005-0000-0000-00001E540000}"/>
    <cellStyle name="Énfasis4 22 3 2" xfId="21574" xr:uid="{00000000-0005-0000-0000-00001F540000}"/>
    <cellStyle name="Énfasis4 22 4" xfId="21575" xr:uid="{00000000-0005-0000-0000-000020540000}"/>
    <cellStyle name="Énfasis4 22 4 2" xfId="21576" xr:uid="{00000000-0005-0000-0000-000021540000}"/>
    <cellStyle name="Énfasis4 22 5" xfId="21577" xr:uid="{00000000-0005-0000-0000-000022540000}"/>
    <cellStyle name="Énfasis4 22 6" xfId="21578" xr:uid="{00000000-0005-0000-0000-000023540000}"/>
    <cellStyle name="Énfasis4 22 7" xfId="21579" xr:uid="{00000000-0005-0000-0000-000024540000}"/>
    <cellStyle name="Énfasis4 22 8" xfId="21580" xr:uid="{00000000-0005-0000-0000-000025540000}"/>
    <cellStyle name="Énfasis4 22 9" xfId="21581" xr:uid="{00000000-0005-0000-0000-000026540000}"/>
    <cellStyle name="Énfasis4 23 10" xfId="21582" xr:uid="{00000000-0005-0000-0000-000027540000}"/>
    <cellStyle name="Énfasis4 23 11" xfId="21583" xr:uid="{00000000-0005-0000-0000-000028540000}"/>
    <cellStyle name="Énfasis4 23 12" xfId="21584" xr:uid="{00000000-0005-0000-0000-000029540000}"/>
    <cellStyle name="Énfasis4 23 13" xfId="21585" xr:uid="{00000000-0005-0000-0000-00002A540000}"/>
    <cellStyle name="Énfasis4 23 14" xfId="21586" xr:uid="{00000000-0005-0000-0000-00002B540000}"/>
    <cellStyle name="Énfasis4 23 15" xfId="21587" xr:uid="{00000000-0005-0000-0000-00002C540000}"/>
    <cellStyle name="Énfasis4 23 16" xfId="21588" xr:uid="{00000000-0005-0000-0000-00002D540000}"/>
    <cellStyle name="Énfasis4 23 17" xfId="21589" xr:uid="{00000000-0005-0000-0000-00002E540000}"/>
    <cellStyle name="Énfasis4 23 18" xfId="21590" xr:uid="{00000000-0005-0000-0000-00002F540000}"/>
    <cellStyle name="Énfasis4 23 19" xfId="21591" xr:uid="{00000000-0005-0000-0000-000030540000}"/>
    <cellStyle name="Énfasis4 23 2" xfId="21592" xr:uid="{00000000-0005-0000-0000-000031540000}"/>
    <cellStyle name="Énfasis4 23 2 2" xfId="21593" xr:uid="{00000000-0005-0000-0000-000032540000}"/>
    <cellStyle name="Énfasis4 23 3" xfId="21594" xr:uid="{00000000-0005-0000-0000-000033540000}"/>
    <cellStyle name="Énfasis4 23 3 2" xfId="21595" xr:uid="{00000000-0005-0000-0000-000034540000}"/>
    <cellStyle name="Énfasis4 23 4" xfId="21596" xr:uid="{00000000-0005-0000-0000-000035540000}"/>
    <cellStyle name="Énfasis4 23 4 2" xfId="21597" xr:uid="{00000000-0005-0000-0000-000036540000}"/>
    <cellStyle name="Énfasis4 23 5" xfId="21598" xr:uid="{00000000-0005-0000-0000-000037540000}"/>
    <cellStyle name="Énfasis4 23 6" xfId="21599" xr:uid="{00000000-0005-0000-0000-000038540000}"/>
    <cellStyle name="Énfasis4 23 7" xfId="21600" xr:uid="{00000000-0005-0000-0000-000039540000}"/>
    <cellStyle name="Énfasis4 23 8" xfId="21601" xr:uid="{00000000-0005-0000-0000-00003A540000}"/>
    <cellStyle name="Énfasis4 23 9" xfId="21602" xr:uid="{00000000-0005-0000-0000-00003B540000}"/>
    <cellStyle name="Énfasis4 24 10" xfId="21603" xr:uid="{00000000-0005-0000-0000-00003C540000}"/>
    <cellStyle name="Énfasis4 24 11" xfId="21604" xr:uid="{00000000-0005-0000-0000-00003D540000}"/>
    <cellStyle name="Énfasis4 24 12" xfId="21605" xr:uid="{00000000-0005-0000-0000-00003E540000}"/>
    <cellStyle name="Énfasis4 24 13" xfId="21606" xr:uid="{00000000-0005-0000-0000-00003F540000}"/>
    <cellStyle name="Énfasis4 24 14" xfId="21607" xr:uid="{00000000-0005-0000-0000-000040540000}"/>
    <cellStyle name="Énfasis4 24 15" xfId="21608" xr:uid="{00000000-0005-0000-0000-000041540000}"/>
    <cellStyle name="Énfasis4 24 16" xfId="21609" xr:uid="{00000000-0005-0000-0000-000042540000}"/>
    <cellStyle name="Énfasis4 24 17" xfId="21610" xr:uid="{00000000-0005-0000-0000-000043540000}"/>
    <cellStyle name="Énfasis4 24 18" xfId="21611" xr:uid="{00000000-0005-0000-0000-000044540000}"/>
    <cellStyle name="Énfasis4 24 19" xfId="21612" xr:uid="{00000000-0005-0000-0000-000045540000}"/>
    <cellStyle name="Énfasis4 24 2" xfId="21613" xr:uid="{00000000-0005-0000-0000-000046540000}"/>
    <cellStyle name="Énfasis4 24 2 2" xfId="21614" xr:uid="{00000000-0005-0000-0000-000047540000}"/>
    <cellStyle name="Énfasis4 24 3" xfId="21615" xr:uid="{00000000-0005-0000-0000-000048540000}"/>
    <cellStyle name="Énfasis4 24 3 2" xfId="21616" xr:uid="{00000000-0005-0000-0000-000049540000}"/>
    <cellStyle name="Énfasis4 24 4" xfId="21617" xr:uid="{00000000-0005-0000-0000-00004A540000}"/>
    <cellStyle name="Énfasis4 24 4 2" xfId="21618" xr:uid="{00000000-0005-0000-0000-00004B540000}"/>
    <cellStyle name="Énfasis4 24 5" xfId="21619" xr:uid="{00000000-0005-0000-0000-00004C540000}"/>
    <cellStyle name="Énfasis4 24 6" xfId="21620" xr:uid="{00000000-0005-0000-0000-00004D540000}"/>
    <cellStyle name="Énfasis4 24 7" xfId="21621" xr:uid="{00000000-0005-0000-0000-00004E540000}"/>
    <cellStyle name="Énfasis4 24 8" xfId="21622" xr:uid="{00000000-0005-0000-0000-00004F540000}"/>
    <cellStyle name="Énfasis4 24 9" xfId="21623" xr:uid="{00000000-0005-0000-0000-000050540000}"/>
    <cellStyle name="Énfasis4 25 10" xfId="21624" xr:uid="{00000000-0005-0000-0000-000051540000}"/>
    <cellStyle name="Énfasis4 25 11" xfId="21625" xr:uid="{00000000-0005-0000-0000-000052540000}"/>
    <cellStyle name="Énfasis4 25 12" xfId="21626" xr:uid="{00000000-0005-0000-0000-000053540000}"/>
    <cellStyle name="Énfasis4 25 13" xfId="21627" xr:uid="{00000000-0005-0000-0000-000054540000}"/>
    <cellStyle name="Énfasis4 25 14" xfId="21628" xr:uid="{00000000-0005-0000-0000-000055540000}"/>
    <cellStyle name="Énfasis4 25 15" xfId="21629" xr:uid="{00000000-0005-0000-0000-000056540000}"/>
    <cellStyle name="Énfasis4 25 16" xfId="21630" xr:uid="{00000000-0005-0000-0000-000057540000}"/>
    <cellStyle name="Énfasis4 25 17" xfId="21631" xr:uid="{00000000-0005-0000-0000-000058540000}"/>
    <cellStyle name="Énfasis4 25 18" xfId="21632" xr:uid="{00000000-0005-0000-0000-000059540000}"/>
    <cellStyle name="Énfasis4 25 19" xfId="21633" xr:uid="{00000000-0005-0000-0000-00005A540000}"/>
    <cellStyle name="Énfasis4 25 2" xfId="21634" xr:uid="{00000000-0005-0000-0000-00005B540000}"/>
    <cellStyle name="Énfasis4 25 2 2" xfId="21635" xr:uid="{00000000-0005-0000-0000-00005C540000}"/>
    <cellStyle name="Énfasis4 25 3" xfId="21636" xr:uid="{00000000-0005-0000-0000-00005D540000}"/>
    <cellStyle name="Énfasis4 25 3 2" xfId="21637" xr:uid="{00000000-0005-0000-0000-00005E540000}"/>
    <cellStyle name="Énfasis4 25 4" xfId="21638" xr:uid="{00000000-0005-0000-0000-00005F540000}"/>
    <cellStyle name="Énfasis4 25 4 2" xfId="21639" xr:uid="{00000000-0005-0000-0000-000060540000}"/>
    <cellStyle name="Énfasis4 25 5" xfId="21640" xr:uid="{00000000-0005-0000-0000-000061540000}"/>
    <cellStyle name="Énfasis4 25 6" xfId="21641" xr:uid="{00000000-0005-0000-0000-000062540000}"/>
    <cellStyle name="Énfasis4 25 7" xfId="21642" xr:uid="{00000000-0005-0000-0000-000063540000}"/>
    <cellStyle name="Énfasis4 25 8" xfId="21643" xr:uid="{00000000-0005-0000-0000-000064540000}"/>
    <cellStyle name="Énfasis4 25 9" xfId="21644" xr:uid="{00000000-0005-0000-0000-000065540000}"/>
    <cellStyle name="Énfasis4 26 10" xfId="21645" xr:uid="{00000000-0005-0000-0000-000066540000}"/>
    <cellStyle name="Énfasis4 26 11" xfId="21646" xr:uid="{00000000-0005-0000-0000-000067540000}"/>
    <cellStyle name="Énfasis4 26 12" xfId="21647" xr:uid="{00000000-0005-0000-0000-000068540000}"/>
    <cellStyle name="Énfasis4 26 13" xfId="21648" xr:uid="{00000000-0005-0000-0000-000069540000}"/>
    <cellStyle name="Énfasis4 26 14" xfId="21649" xr:uid="{00000000-0005-0000-0000-00006A540000}"/>
    <cellStyle name="Énfasis4 26 15" xfId="21650" xr:uid="{00000000-0005-0000-0000-00006B540000}"/>
    <cellStyle name="Énfasis4 26 16" xfId="21651" xr:uid="{00000000-0005-0000-0000-00006C540000}"/>
    <cellStyle name="Énfasis4 26 17" xfId="21652" xr:uid="{00000000-0005-0000-0000-00006D540000}"/>
    <cellStyle name="Énfasis4 26 18" xfId="21653" xr:uid="{00000000-0005-0000-0000-00006E540000}"/>
    <cellStyle name="Énfasis4 26 19" xfId="21654" xr:uid="{00000000-0005-0000-0000-00006F540000}"/>
    <cellStyle name="Énfasis4 26 2" xfId="21655" xr:uid="{00000000-0005-0000-0000-000070540000}"/>
    <cellStyle name="Énfasis4 26 2 2" xfId="21656" xr:uid="{00000000-0005-0000-0000-000071540000}"/>
    <cellStyle name="Énfasis4 26 3" xfId="21657" xr:uid="{00000000-0005-0000-0000-000072540000}"/>
    <cellStyle name="Énfasis4 26 3 2" xfId="21658" xr:uid="{00000000-0005-0000-0000-000073540000}"/>
    <cellStyle name="Énfasis4 26 4" xfId="21659" xr:uid="{00000000-0005-0000-0000-000074540000}"/>
    <cellStyle name="Énfasis4 26 4 2" xfId="21660" xr:uid="{00000000-0005-0000-0000-000075540000}"/>
    <cellStyle name="Énfasis4 26 5" xfId="21661" xr:uid="{00000000-0005-0000-0000-000076540000}"/>
    <cellStyle name="Énfasis4 26 6" xfId="21662" xr:uid="{00000000-0005-0000-0000-000077540000}"/>
    <cellStyle name="Énfasis4 26 7" xfId="21663" xr:uid="{00000000-0005-0000-0000-000078540000}"/>
    <cellStyle name="Énfasis4 26 8" xfId="21664" xr:uid="{00000000-0005-0000-0000-000079540000}"/>
    <cellStyle name="Énfasis4 26 9" xfId="21665" xr:uid="{00000000-0005-0000-0000-00007A540000}"/>
    <cellStyle name="Énfasis4 27 10" xfId="21666" xr:uid="{00000000-0005-0000-0000-00007B540000}"/>
    <cellStyle name="Énfasis4 27 11" xfId="21667" xr:uid="{00000000-0005-0000-0000-00007C540000}"/>
    <cellStyle name="Énfasis4 27 12" xfId="21668" xr:uid="{00000000-0005-0000-0000-00007D540000}"/>
    <cellStyle name="Énfasis4 27 13" xfId="21669" xr:uid="{00000000-0005-0000-0000-00007E540000}"/>
    <cellStyle name="Énfasis4 27 14" xfId="21670" xr:uid="{00000000-0005-0000-0000-00007F540000}"/>
    <cellStyle name="Énfasis4 27 15" xfId="21671" xr:uid="{00000000-0005-0000-0000-000080540000}"/>
    <cellStyle name="Énfasis4 27 16" xfId="21672" xr:uid="{00000000-0005-0000-0000-000081540000}"/>
    <cellStyle name="Énfasis4 27 17" xfId="21673" xr:uid="{00000000-0005-0000-0000-000082540000}"/>
    <cellStyle name="Énfasis4 27 18" xfId="21674" xr:uid="{00000000-0005-0000-0000-000083540000}"/>
    <cellStyle name="Énfasis4 27 19" xfId="21675" xr:uid="{00000000-0005-0000-0000-000084540000}"/>
    <cellStyle name="Énfasis4 27 2" xfId="21676" xr:uid="{00000000-0005-0000-0000-000085540000}"/>
    <cellStyle name="Énfasis4 27 2 2" xfId="21677" xr:uid="{00000000-0005-0000-0000-000086540000}"/>
    <cellStyle name="Énfasis4 27 3" xfId="21678" xr:uid="{00000000-0005-0000-0000-000087540000}"/>
    <cellStyle name="Énfasis4 27 3 2" xfId="21679" xr:uid="{00000000-0005-0000-0000-000088540000}"/>
    <cellStyle name="Énfasis4 27 4" xfId="21680" xr:uid="{00000000-0005-0000-0000-000089540000}"/>
    <cellStyle name="Énfasis4 27 4 2" xfId="21681" xr:uid="{00000000-0005-0000-0000-00008A540000}"/>
    <cellStyle name="Énfasis4 27 5" xfId="21682" xr:uid="{00000000-0005-0000-0000-00008B540000}"/>
    <cellStyle name="Énfasis4 27 6" xfId="21683" xr:uid="{00000000-0005-0000-0000-00008C540000}"/>
    <cellStyle name="Énfasis4 27 7" xfId="21684" xr:uid="{00000000-0005-0000-0000-00008D540000}"/>
    <cellStyle name="Énfasis4 27 8" xfId="21685" xr:uid="{00000000-0005-0000-0000-00008E540000}"/>
    <cellStyle name="Énfasis4 27 9" xfId="21686" xr:uid="{00000000-0005-0000-0000-00008F540000}"/>
    <cellStyle name="Énfasis4 28 10" xfId="21687" xr:uid="{00000000-0005-0000-0000-000090540000}"/>
    <cellStyle name="Énfasis4 28 11" xfId="21688" xr:uid="{00000000-0005-0000-0000-000091540000}"/>
    <cellStyle name="Énfasis4 28 12" xfId="21689" xr:uid="{00000000-0005-0000-0000-000092540000}"/>
    <cellStyle name="Énfasis4 28 13" xfId="21690" xr:uid="{00000000-0005-0000-0000-000093540000}"/>
    <cellStyle name="Énfasis4 28 14" xfId="21691" xr:uid="{00000000-0005-0000-0000-000094540000}"/>
    <cellStyle name="Énfasis4 28 15" xfId="21692" xr:uid="{00000000-0005-0000-0000-000095540000}"/>
    <cellStyle name="Énfasis4 28 16" xfId="21693" xr:uid="{00000000-0005-0000-0000-000096540000}"/>
    <cellStyle name="Énfasis4 28 17" xfId="21694" xr:uid="{00000000-0005-0000-0000-000097540000}"/>
    <cellStyle name="Énfasis4 28 18" xfId="21695" xr:uid="{00000000-0005-0000-0000-000098540000}"/>
    <cellStyle name="Énfasis4 28 19" xfId="21696" xr:uid="{00000000-0005-0000-0000-000099540000}"/>
    <cellStyle name="Énfasis4 28 2" xfId="21697" xr:uid="{00000000-0005-0000-0000-00009A540000}"/>
    <cellStyle name="Énfasis4 28 2 2" xfId="21698" xr:uid="{00000000-0005-0000-0000-00009B540000}"/>
    <cellStyle name="Énfasis4 28 3" xfId="21699" xr:uid="{00000000-0005-0000-0000-00009C540000}"/>
    <cellStyle name="Énfasis4 28 3 2" xfId="21700" xr:uid="{00000000-0005-0000-0000-00009D540000}"/>
    <cellStyle name="Énfasis4 28 4" xfId="21701" xr:uid="{00000000-0005-0000-0000-00009E540000}"/>
    <cellStyle name="Énfasis4 28 4 2" xfId="21702" xr:uid="{00000000-0005-0000-0000-00009F540000}"/>
    <cellStyle name="Énfasis4 28 5" xfId="21703" xr:uid="{00000000-0005-0000-0000-0000A0540000}"/>
    <cellStyle name="Énfasis4 28 6" xfId="21704" xr:uid="{00000000-0005-0000-0000-0000A1540000}"/>
    <cellStyle name="Énfasis4 28 7" xfId="21705" xr:uid="{00000000-0005-0000-0000-0000A2540000}"/>
    <cellStyle name="Énfasis4 28 8" xfId="21706" xr:uid="{00000000-0005-0000-0000-0000A3540000}"/>
    <cellStyle name="Énfasis4 28 9" xfId="21707" xr:uid="{00000000-0005-0000-0000-0000A4540000}"/>
    <cellStyle name="Énfasis4 29 10" xfId="21708" xr:uid="{00000000-0005-0000-0000-0000A5540000}"/>
    <cellStyle name="Énfasis4 29 11" xfId="21709" xr:uid="{00000000-0005-0000-0000-0000A6540000}"/>
    <cellStyle name="Énfasis4 29 12" xfId="21710" xr:uid="{00000000-0005-0000-0000-0000A7540000}"/>
    <cellStyle name="Énfasis4 29 13" xfId="21711" xr:uid="{00000000-0005-0000-0000-0000A8540000}"/>
    <cellStyle name="Énfasis4 29 14" xfId="21712" xr:uid="{00000000-0005-0000-0000-0000A9540000}"/>
    <cellStyle name="Énfasis4 29 15" xfId="21713" xr:uid="{00000000-0005-0000-0000-0000AA540000}"/>
    <cellStyle name="Énfasis4 29 16" xfId="21714" xr:uid="{00000000-0005-0000-0000-0000AB540000}"/>
    <cellStyle name="Énfasis4 29 17" xfId="21715" xr:uid="{00000000-0005-0000-0000-0000AC540000}"/>
    <cellStyle name="Énfasis4 29 18" xfId="21716" xr:uid="{00000000-0005-0000-0000-0000AD540000}"/>
    <cellStyle name="Énfasis4 29 19" xfId="21717" xr:uid="{00000000-0005-0000-0000-0000AE540000}"/>
    <cellStyle name="Énfasis4 29 2" xfId="21718" xr:uid="{00000000-0005-0000-0000-0000AF540000}"/>
    <cellStyle name="Énfasis4 29 2 2" xfId="21719" xr:uid="{00000000-0005-0000-0000-0000B0540000}"/>
    <cellStyle name="Énfasis4 29 3" xfId="21720" xr:uid="{00000000-0005-0000-0000-0000B1540000}"/>
    <cellStyle name="Énfasis4 29 3 2" xfId="21721" xr:uid="{00000000-0005-0000-0000-0000B2540000}"/>
    <cellStyle name="Énfasis4 29 4" xfId="21722" xr:uid="{00000000-0005-0000-0000-0000B3540000}"/>
    <cellStyle name="Énfasis4 29 4 2" xfId="21723" xr:uid="{00000000-0005-0000-0000-0000B4540000}"/>
    <cellStyle name="Énfasis4 29 5" xfId="21724" xr:uid="{00000000-0005-0000-0000-0000B5540000}"/>
    <cellStyle name="Énfasis4 29 6" xfId="21725" xr:uid="{00000000-0005-0000-0000-0000B6540000}"/>
    <cellStyle name="Énfasis4 29 7" xfId="21726" xr:uid="{00000000-0005-0000-0000-0000B7540000}"/>
    <cellStyle name="Énfasis4 29 8" xfId="21727" xr:uid="{00000000-0005-0000-0000-0000B8540000}"/>
    <cellStyle name="Énfasis4 29 9" xfId="21728" xr:uid="{00000000-0005-0000-0000-0000B9540000}"/>
    <cellStyle name="Énfasis4 3 10" xfId="21729" xr:uid="{00000000-0005-0000-0000-0000BA540000}"/>
    <cellStyle name="Énfasis4 3 11" xfId="21730" xr:uid="{00000000-0005-0000-0000-0000BB540000}"/>
    <cellStyle name="Énfasis4 3 12" xfId="21731" xr:uid="{00000000-0005-0000-0000-0000BC540000}"/>
    <cellStyle name="Énfasis4 3 13" xfId="21732" xr:uid="{00000000-0005-0000-0000-0000BD540000}"/>
    <cellStyle name="Énfasis4 3 14" xfId="21733" xr:uid="{00000000-0005-0000-0000-0000BE540000}"/>
    <cellStyle name="Énfasis4 3 15" xfId="21734" xr:uid="{00000000-0005-0000-0000-0000BF540000}"/>
    <cellStyle name="Énfasis4 3 16" xfId="21735" xr:uid="{00000000-0005-0000-0000-0000C0540000}"/>
    <cellStyle name="Énfasis4 3 17" xfId="21736" xr:uid="{00000000-0005-0000-0000-0000C1540000}"/>
    <cellStyle name="Énfasis4 3 18" xfId="21737" xr:uid="{00000000-0005-0000-0000-0000C2540000}"/>
    <cellStyle name="Énfasis4 3 19" xfId="21738" xr:uid="{00000000-0005-0000-0000-0000C3540000}"/>
    <cellStyle name="Énfasis4 3 2" xfId="21739" xr:uid="{00000000-0005-0000-0000-0000C4540000}"/>
    <cellStyle name="Énfasis4 3 2 2" xfId="21740" xr:uid="{00000000-0005-0000-0000-0000C5540000}"/>
    <cellStyle name="Énfasis4 3 3" xfId="21741" xr:uid="{00000000-0005-0000-0000-0000C6540000}"/>
    <cellStyle name="Énfasis4 3 3 2" xfId="21742" xr:uid="{00000000-0005-0000-0000-0000C7540000}"/>
    <cellStyle name="Énfasis4 3 4" xfId="21743" xr:uid="{00000000-0005-0000-0000-0000C8540000}"/>
    <cellStyle name="Énfasis4 3 4 2" xfId="21744" xr:uid="{00000000-0005-0000-0000-0000C9540000}"/>
    <cellStyle name="Énfasis4 3 5" xfId="21745" xr:uid="{00000000-0005-0000-0000-0000CA540000}"/>
    <cellStyle name="Énfasis4 3 6" xfId="21746" xr:uid="{00000000-0005-0000-0000-0000CB540000}"/>
    <cellStyle name="Énfasis4 3 7" xfId="21747" xr:uid="{00000000-0005-0000-0000-0000CC540000}"/>
    <cellStyle name="Énfasis4 3 8" xfId="21748" xr:uid="{00000000-0005-0000-0000-0000CD540000}"/>
    <cellStyle name="Énfasis4 3 9" xfId="21749" xr:uid="{00000000-0005-0000-0000-0000CE540000}"/>
    <cellStyle name="Énfasis4 30 10" xfId="21750" xr:uid="{00000000-0005-0000-0000-0000CF540000}"/>
    <cellStyle name="Énfasis4 30 11" xfId="21751" xr:uid="{00000000-0005-0000-0000-0000D0540000}"/>
    <cellStyle name="Énfasis4 30 12" xfId="21752" xr:uid="{00000000-0005-0000-0000-0000D1540000}"/>
    <cellStyle name="Énfasis4 30 13" xfId="21753" xr:uid="{00000000-0005-0000-0000-0000D2540000}"/>
    <cellStyle name="Énfasis4 30 14" xfId="21754" xr:uid="{00000000-0005-0000-0000-0000D3540000}"/>
    <cellStyle name="Énfasis4 30 15" xfId="21755" xr:uid="{00000000-0005-0000-0000-0000D4540000}"/>
    <cellStyle name="Énfasis4 30 16" xfId="21756" xr:uid="{00000000-0005-0000-0000-0000D5540000}"/>
    <cellStyle name="Énfasis4 30 17" xfId="21757" xr:uid="{00000000-0005-0000-0000-0000D6540000}"/>
    <cellStyle name="Énfasis4 30 18" xfId="21758" xr:uid="{00000000-0005-0000-0000-0000D7540000}"/>
    <cellStyle name="Énfasis4 30 19" xfId="21759" xr:uid="{00000000-0005-0000-0000-0000D8540000}"/>
    <cellStyle name="Énfasis4 30 2" xfId="21760" xr:uid="{00000000-0005-0000-0000-0000D9540000}"/>
    <cellStyle name="Énfasis4 30 2 2" xfId="21761" xr:uid="{00000000-0005-0000-0000-0000DA540000}"/>
    <cellStyle name="Énfasis4 30 3" xfId="21762" xr:uid="{00000000-0005-0000-0000-0000DB540000}"/>
    <cellStyle name="Énfasis4 30 3 2" xfId="21763" xr:uid="{00000000-0005-0000-0000-0000DC540000}"/>
    <cellStyle name="Énfasis4 30 4" xfId="21764" xr:uid="{00000000-0005-0000-0000-0000DD540000}"/>
    <cellStyle name="Énfasis4 30 4 2" xfId="21765" xr:uid="{00000000-0005-0000-0000-0000DE540000}"/>
    <cellStyle name="Énfasis4 30 5" xfId="21766" xr:uid="{00000000-0005-0000-0000-0000DF540000}"/>
    <cellStyle name="Énfasis4 30 6" xfId="21767" xr:uid="{00000000-0005-0000-0000-0000E0540000}"/>
    <cellStyle name="Énfasis4 30 7" xfId="21768" xr:uid="{00000000-0005-0000-0000-0000E1540000}"/>
    <cellStyle name="Énfasis4 30 8" xfId="21769" xr:uid="{00000000-0005-0000-0000-0000E2540000}"/>
    <cellStyle name="Énfasis4 30 9" xfId="21770" xr:uid="{00000000-0005-0000-0000-0000E3540000}"/>
    <cellStyle name="Énfasis4 31 10" xfId="21771" xr:uid="{00000000-0005-0000-0000-0000E4540000}"/>
    <cellStyle name="Énfasis4 31 11" xfId="21772" xr:uid="{00000000-0005-0000-0000-0000E5540000}"/>
    <cellStyle name="Énfasis4 31 12" xfId="21773" xr:uid="{00000000-0005-0000-0000-0000E6540000}"/>
    <cellStyle name="Énfasis4 31 13" xfId="21774" xr:uid="{00000000-0005-0000-0000-0000E7540000}"/>
    <cellStyle name="Énfasis4 31 14" xfId="21775" xr:uid="{00000000-0005-0000-0000-0000E8540000}"/>
    <cellStyle name="Énfasis4 31 15" xfId="21776" xr:uid="{00000000-0005-0000-0000-0000E9540000}"/>
    <cellStyle name="Énfasis4 31 16" xfId="21777" xr:uid="{00000000-0005-0000-0000-0000EA540000}"/>
    <cellStyle name="Énfasis4 31 17" xfId="21778" xr:uid="{00000000-0005-0000-0000-0000EB540000}"/>
    <cellStyle name="Énfasis4 31 18" xfId="21779" xr:uid="{00000000-0005-0000-0000-0000EC540000}"/>
    <cellStyle name="Énfasis4 31 19" xfId="21780" xr:uid="{00000000-0005-0000-0000-0000ED540000}"/>
    <cellStyle name="Énfasis4 31 2" xfId="21781" xr:uid="{00000000-0005-0000-0000-0000EE540000}"/>
    <cellStyle name="Énfasis4 31 2 2" xfId="21782" xr:uid="{00000000-0005-0000-0000-0000EF540000}"/>
    <cellStyle name="Énfasis4 31 3" xfId="21783" xr:uid="{00000000-0005-0000-0000-0000F0540000}"/>
    <cellStyle name="Énfasis4 31 3 2" xfId="21784" xr:uid="{00000000-0005-0000-0000-0000F1540000}"/>
    <cellStyle name="Énfasis4 31 4" xfId="21785" xr:uid="{00000000-0005-0000-0000-0000F2540000}"/>
    <cellStyle name="Énfasis4 31 4 2" xfId="21786" xr:uid="{00000000-0005-0000-0000-0000F3540000}"/>
    <cellStyle name="Énfasis4 31 5" xfId="21787" xr:uid="{00000000-0005-0000-0000-0000F4540000}"/>
    <cellStyle name="Énfasis4 31 6" xfId="21788" xr:uid="{00000000-0005-0000-0000-0000F5540000}"/>
    <cellStyle name="Énfasis4 31 7" xfId="21789" xr:uid="{00000000-0005-0000-0000-0000F6540000}"/>
    <cellStyle name="Énfasis4 31 8" xfId="21790" xr:uid="{00000000-0005-0000-0000-0000F7540000}"/>
    <cellStyle name="Énfasis4 31 9" xfId="21791" xr:uid="{00000000-0005-0000-0000-0000F8540000}"/>
    <cellStyle name="Énfasis4 32 10" xfId="21792" xr:uid="{00000000-0005-0000-0000-0000F9540000}"/>
    <cellStyle name="Énfasis4 32 11" xfId="21793" xr:uid="{00000000-0005-0000-0000-0000FA540000}"/>
    <cellStyle name="Énfasis4 32 12" xfId="21794" xr:uid="{00000000-0005-0000-0000-0000FB540000}"/>
    <cellStyle name="Énfasis4 32 13" xfId="21795" xr:uid="{00000000-0005-0000-0000-0000FC540000}"/>
    <cellStyle name="Énfasis4 32 14" xfId="21796" xr:uid="{00000000-0005-0000-0000-0000FD540000}"/>
    <cellStyle name="Énfasis4 32 15" xfId="21797" xr:uid="{00000000-0005-0000-0000-0000FE540000}"/>
    <cellStyle name="Énfasis4 32 16" xfId="21798" xr:uid="{00000000-0005-0000-0000-0000FF540000}"/>
    <cellStyle name="Énfasis4 32 17" xfId="21799" xr:uid="{00000000-0005-0000-0000-000000550000}"/>
    <cellStyle name="Énfasis4 32 18" xfId="21800" xr:uid="{00000000-0005-0000-0000-000001550000}"/>
    <cellStyle name="Énfasis4 32 19" xfId="21801" xr:uid="{00000000-0005-0000-0000-000002550000}"/>
    <cellStyle name="Énfasis4 32 2" xfId="21802" xr:uid="{00000000-0005-0000-0000-000003550000}"/>
    <cellStyle name="Énfasis4 32 2 2" xfId="21803" xr:uid="{00000000-0005-0000-0000-000004550000}"/>
    <cellStyle name="Énfasis4 32 3" xfId="21804" xr:uid="{00000000-0005-0000-0000-000005550000}"/>
    <cellStyle name="Énfasis4 32 3 2" xfId="21805" xr:uid="{00000000-0005-0000-0000-000006550000}"/>
    <cellStyle name="Énfasis4 32 4" xfId="21806" xr:uid="{00000000-0005-0000-0000-000007550000}"/>
    <cellStyle name="Énfasis4 32 4 2" xfId="21807" xr:uid="{00000000-0005-0000-0000-000008550000}"/>
    <cellStyle name="Énfasis4 32 5" xfId="21808" xr:uid="{00000000-0005-0000-0000-000009550000}"/>
    <cellStyle name="Énfasis4 32 6" xfId="21809" xr:uid="{00000000-0005-0000-0000-00000A550000}"/>
    <cellStyle name="Énfasis4 32 7" xfId="21810" xr:uid="{00000000-0005-0000-0000-00000B550000}"/>
    <cellStyle name="Énfasis4 32 8" xfId="21811" xr:uid="{00000000-0005-0000-0000-00000C550000}"/>
    <cellStyle name="Énfasis4 32 9" xfId="21812" xr:uid="{00000000-0005-0000-0000-00000D550000}"/>
    <cellStyle name="Énfasis4 33 10" xfId="21813" xr:uid="{00000000-0005-0000-0000-00000E550000}"/>
    <cellStyle name="Énfasis4 33 11" xfId="21814" xr:uid="{00000000-0005-0000-0000-00000F550000}"/>
    <cellStyle name="Énfasis4 33 12" xfId="21815" xr:uid="{00000000-0005-0000-0000-000010550000}"/>
    <cellStyle name="Énfasis4 33 13" xfId="21816" xr:uid="{00000000-0005-0000-0000-000011550000}"/>
    <cellStyle name="Énfasis4 33 14" xfId="21817" xr:uid="{00000000-0005-0000-0000-000012550000}"/>
    <cellStyle name="Énfasis4 33 15" xfId="21818" xr:uid="{00000000-0005-0000-0000-000013550000}"/>
    <cellStyle name="Énfasis4 33 16" xfId="21819" xr:uid="{00000000-0005-0000-0000-000014550000}"/>
    <cellStyle name="Énfasis4 33 17" xfId="21820" xr:uid="{00000000-0005-0000-0000-000015550000}"/>
    <cellStyle name="Énfasis4 33 18" xfId="21821" xr:uid="{00000000-0005-0000-0000-000016550000}"/>
    <cellStyle name="Énfasis4 33 19" xfId="21822" xr:uid="{00000000-0005-0000-0000-000017550000}"/>
    <cellStyle name="Énfasis4 33 2" xfId="21823" xr:uid="{00000000-0005-0000-0000-000018550000}"/>
    <cellStyle name="Énfasis4 33 2 2" xfId="21824" xr:uid="{00000000-0005-0000-0000-000019550000}"/>
    <cellStyle name="Énfasis4 33 3" xfId="21825" xr:uid="{00000000-0005-0000-0000-00001A550000}"/>
    <cellStyle name="Énfasis4 33 3 2" xfId="21826" xr:uid="{00000000-0005-0000-0000-00001B550000}"/>
    <cellStyle name="Énfasis4 33 4" xfId="21827" xr:uid="{00000000-0005-0000-0000-00001C550000}"/>
    <cellStyle name="Énfasis4 33 4 2" xfId="21828" xr:uid="{00000000-0005-0000-0000-00001D550000}"/>
    <cellStyle name="Énfasis4 33 5" xfId="21829" xr:uid="{00000000-0005-0000-0000-00001E550000}"/>
    <cellStyle name="Énfasis4 33 6" xfId="21830" xr:uid="{00000000-0005-0000-0000-00001F550000}"/>
    <cellStyle name="Énfasis4 33 7" xfId="21831" xr:uid="{00000000-0005-0000-0000-000020550000}"/>
    <cellStyle name="Énfasis4 33 8" xfId="21832" xr:uid="{00000000-0005-0000-0000-000021550000}"/>
    <cellStyle name="Énfasis4 33 9" xfId="21833" xr:uid="{00000000-0005-0000-0000-000022550000}"/>
    <cellStyle name="Énfasis4 34 10" xfId="21834" xr:uid="{00000000-0005-0000-0000-000023550000}"/>
    <cellStyle name="Énfasis4 34 11" xfId="21835" xr:uid="{00000000-0005-0000-0000-000024550000}"/>
    <cellStyle name="Énfasis4 34 12" xfId="21836" xr:uid="{00000000-0005-0000-0000-000025550000}"/>
    <cellStyle name="Énfasis4 34 13" xfId="21837" xr:uid="{00000000-0005-0000-0000-000026550000}"/>
    <cellStyle name="Énfasis4 34 14" xfId="21838" xr:uid="{00000000-0005-0000-0000-000027550000}"/>
    <cellStyle name="Énfasis4 34 15" xfId="21839" xr:uid="{00000000-0005-0000-0000-000028550000}"/>
    <cellStyle name="Énfasis4 34 16" xfId="21840" xr:uid="{00000000-0005-0000-0000-000029550000}"/>
    <cellStyle name="Énfasis4 34 17" xfId="21841" xr:uid="{00000000-0005-0000-0000-00002A550000}"/>
    <cellStyle name="Énfasis4 34 18" xfId="21842" xr:uid="{00000000-0005-0000-0000-00002B550000}"/>
    <cellStyle name="Énfasis4 34 19" xfId="21843" xr:uid="{00000000-0005-0000-0000-00002C550000}"/>
    <cellStyle name="Énfasis4 34 2" xfId="21844" xr:uid="{00000000-0005-0000-0000-00002D550000}"/>
    <cellStyle name="Énfasis4 34 2 2" xfId="21845" xr:uid="{00000000-0005-0000-0000-00002E550000}"/>
    <cellStyle name="Énfasis4 34 3" xfId="21846" xr:uid="{00000000-0005-0000-0000-00002F550000}"/>
    <cellStyle name="Énfasis4 34 3 2" xfId="21847" xr:uid="{00000000-0005-0000-0000-000030550000}"/>
    <cellStyle name="Énfasis4 34 4" xfId="21848" xr:uid="{00000000-0005-0000-0000-000031550000}"/>
    <cellStyle name="Énfasis4 34 4 2" xfId="21849" xr:uid="{00000000-0005-0000-0000-000032550000}"/>
    <cellStyle name="Énfasis4 34 5" xfId="21850" xr:uid="{00000000-0005-0000-0000-000033550000}"/>
    <cellStyle name="Énfasis4 34 6" xfId="21851" xr:uid="{00000000-0005-0000-0000-000034550000}"/>
    <cellStyle name="Énfasis4 34 7" xfId="21852" xr:uid="{00000000-0005-0000-0000-000035550000}"/>
    <cellStyle name="Énfasis4 34 8" xfId="21853" xr:uid="{00000000-0005-0000-0000-000036550000}"/>
    <cellStyle name="Énfasis4 34 9" xfId="21854" xr:uid="{00000000-0005-0000-0000-000037550000}"/>
    <cellStyle name="Énfasis4 35 10" xfId="21855" xr:uid="{00000000-0005-0000-0000-000038550000}"/>
    <cellStyle name="Énfasis4 35 11" xfId="21856" xr:uid="{00000000-0005-0000-0000-000039550000}"/>
    <cellStyle name="Énfasis4 35 12" xfId="21857" xr:uid="{00000000-0005-0000-0000-00003A550000}"/>
    <cellStyle name="Énfasis4 35 13" xfId="21858" xr:uid="{00000000-0005-0000-0000-00003B550000}"/>
    <cellStyle name="Énfasis4 35 14" xfId="21859" xr:uid="{00000000-0005-0000-0000-00003C550000}"/>
    <cellStyle name="Énfasis4 35 15" xfId="21860" xr:uid="{00000000-0005-0000-0000-00003D550000}"/>
    <cellStyle name="Énfasis4 35 16" xfId="21861" xr:uid="{00000000-0005-0000-0000-00003E550000}"/>
    <cellStyle name="Énfasis4 35 17" xfId="21862" xr:uid="{00000000-0005-0000-0000-00003F550000}"/>
    <cellStyle name="Énfasis4 35 18" xfId="21863" xr:uid="{00000000-0005-0000-0000-000040550000}"/>
    <cellStyle name="Énfasis4 35 19" xfId="21864" xr:uid="{00000000-0005-0000-0000-000041550000}"/>
    <cellStyle name="Énfasis4 35 2" xfId="21865" xr:uid="{00000000-0005-0000-0000-000042550000}"/>
    <cellStyle name="Énfasis4 35 2 2" xfId="21866" xr:uid="{00000000-0005-0000-0000-000043550000}"/>
    <cellStyle name="Énfasis4 35 3" xfId="21867" xr:uid="{00000000-0005-0000-0000-000044550000}"/>
    <cellStyle name="Énfasis4 35 3 2" xfId="21868" xr:uid="{00000000-0005-0000-0000-000045550000}"/>
    <cellStyle name="Énfasis4 35 4" xfId="21869" xr:uid="{00000000-0005-0000-0000-000046550000}"/>
    <cellStyle name="Énfasis4 35 4 2" xfId="21870" xr:uid="{00000000-0005-0000-0000-000047550000}"/>
    <cellStyle name="Énfasis4 35 5" xfId="21871" xr:uid="{00000000-0005-0000-0000-000048550000}"/>
    <cellStyle name="Énfasis4 35 6" xfId="21872" xr:uid="{00000000-0005-0000-0000-000049550000}"/>
    <cellStyle name="Énfasis4 35 7" xfId="21873" xr:uid="{00000000-0005-0000-0000-00004A550000}"/>
    <cellStyle name="Énfasis4 35 8" xfId="21874" xr:uid="{00000000-0005-0000-0000-00004B550000}"/>
    <cellStyle name="Énfasis4 35 9" xfId="21875" xr:uid="{00000000-0005-0000-0000-00004C550000}"/>
    <cellStyle name="Énfasis4 36 10" xfId="21876" xr:uid="{00000000-0005-0000-0000-00004D550000}"/>
    <cellStyle name="Énfasis4 36 11" xfId="21877" xr:uid="{00000000-0005-0000-0000-00004E550000}"/>
    <cellStyle name="Énfasis4 36 12" xfId="21878" xr:uid="{00000000-0005-0000-0000-00004F550000}"/>
    <cellStyle name="Énfasis4 36 13" xfId="21879" xr:uid="{00000000-0005-0000-0000-000050550000}"/>
    <cellStyle name="Énfasis4 36 14" xfId="21880" xr:uid="{00000000-0005-0000-0000-000051550000}"/>
    <cellStyle name="Énfasis4 36 15" xfId="21881" xr:uid="{00000000-0005-0000-0000-000052550000}"/>
    <cellStyle name="Énfasis4 36 16" xfId="21882" xr:uid="{00000000-0005-0000-0000-000053550000}"/>
    <cellStyle name="Énfasis4 36 17" xfId="21883" xr:uid="{00000000-0005-0000-0000-000054550000}"/>
    <cellStyle name="Énfasis4 36 18" xfId="21884" xr:uid="{00000000-0005-0000-0000-000055550000}"/>
    <cellStyle name="Énfasis4 36 19" xfId="21885" xr:uid="{00000000-0005-0000-0000-000056550000}"/>
    <cellStyle name="Énfasis4 36 2" xfId="21886" xr:uid="{00000000-0005-0000-0000-000057550000}"/>
    <cellStyle name="Énfasis4 36 2 2" xfId="21887" xr:uid="{00000000-0005-0000-0000-000058550000}"/>
    <cellStyle name="Énfasis4 36 3" xfId="21888" xr:uid="{00000000-0005-0000-0000-000059550000}"/>
    <cellStyle name="Énfasis4 36 3 2" xfId="21889" xr:uid="{00000000-0005-0000-0000-00005A550000}"/>
    <cellStyle name="Énfasis4 36 4" xfId="21890" xr:uid="{00000000-0005-0000-0000-00005B550000}"/>
    <cellStyle name="Énfasis4 36 4 2" xfId="21891" xr:uid="{00000000-0005-0000-0000-00005C550000}"/>
    <cellStyle name="Énfasis4 36 5" xfId="21892" xr:uid="{00000000-0005-0000-0000-00005D550000}"/>
    <cellStyle name="Énfasis4 36 6" xfId="21893" xr:uid="{00000000-0005-0000-0000-00005E550000}"/>
    <cellStyle name="Énfasis4 36 7" xfId="21894" xr:uid="{00000000-0005-0000-0000-00005F550000}"/>
    <cellStyle name="Énfasis4 36 8" xfId="21895" xr:uid="{00000000-0005-0000-0000-000060550000}"/>
    <cellStyle name="Énfasis4 36 9" xfId="21896" xr:uid="{00000000-0005-0000-0000-000061550000}"/>
    <cellStyle name="Énfasis4 37 10" xfId="21897" xr:uid="{00000000-0005-0000-0000-000062550000}"/>
    <cellStyle name="Énfasis4 37 11" xfId="21898" xr:uid="{00000000-0005-0000-0000-000063550000}"/>
    <cellStyle name="Énfasis4 37 12" xfId="21899" xr:uid="{00000000-0005-0000-0000-000064550000}"/>
    <cellStyle name="Énfasis4 37 13" xfId="21900" xr:uid="{00000000-0005-0000-0000-000065550000}"/>
    <cellStyle name="Énfasis4 37 14" xfId="21901" xr:uid="{00000000-0005-0000-0000-000066550000}"/>
    <cellStyle name="Énfasis4 37 15" xfId="21902" xr:uid="{00000000-0005-0000-0000-000067550000}"/>
    <cellStyle name="Énfasis4 37 16" xfId="21903" xr:uid="{00000000-0005-0000-0000-000068550000}"/>
    <cellStyle name="Énfasis4 37 17" xfId="21904" xr:uid="{00000000-0005-0000-0000-000069550000}"/>
    <cellStyle name="Énfasis4 37 18" xfId="21905" xr:uid="{00000000-0005-0000-0000-00006A550000}"/>
    <cellStyle name="Énfasis4 37 19" xfId="21906" xr:uid="{00000000-0005-0000-0000-00006B550000}"/>
    <cellStyle name="Énfasis4 37 2" xfId="21907" xr:uid="{00000000-0005-0000-0000-00006C550000}"/>
    <cellStyle name="Énfasis4 37 2 2" xfId="21908" xr:uid="{00000000-0005-0000-0000-00006D550000}"/>
    <cellStyle name="Énfasis4 37 3" xfId="21909" xr:uid="{00000000-0005-0000-0000-00006E550000}"/>
    <cellStyle name="Énfasis4 37 3 2" xfId="21910" xr:uid="{00000000-0005-0000-0000-00006F550000}"/>
    <cellStyle name="Énfasis4 37 4" xfId="21911" xr:uid="{00000000-0005-0000-0000-000070550000}"/>
    <cellStyle name="Énfasis4 37 4 2" xfId="21912" xr:uid="{00000000-0005-0000-0000-000071550000}"/>
    <cellStyle name="Énfasis4 37 5" xfId="21913" xr:uid="{00000000-0005-0000-0000-000072550000}"/>
    <cellStyle name="Énfasis4 37 6" xfId="21914" xr:uid="{00000000-0005-0000-0000-000073550000}"/>
    <cellStyle name="Énfasis4 37 7" xfId="21915" xr:uid="{00000000-0005-0000-0000-000074550000}"/>
    <cellStyle name="Énfasis4 37 8" xfId="21916" xr:uid="{00000000-0005-0000-0000-000075550000}"/>
    <cellStyle name="Énfasis4 37 9" xfId="21917" xr:uid="{00000000-0005-0000-0000-000076550000}"/>
    <cellStyle name="Énfasis4 38 10" xfId="21918" xr:uid="{00000000-0005-0000-0000-000077550000}"/>
    <cellStyle name="Énfasis4 38 11" xfId="21919" xr:uid="{00000000-0005-0000-0000-000078550000}"/>
    <cellStyle name="Énfasis4 38 12" xfId="21920" xr:uid="{00000000-0005-0000-0000-000079550000}"/>
    <cellStyle name="Énfasis4 38 13" xfId="21921" xr:uid="{00000000-0005-0000-0000-00007A550000}"/>
    <cellStyle name="Énfasis4 38 14" xfId="21922" xr:uid="{00000000-0005-0000-0000-00007B550000}"/>
    <cellStyle name="Énfasis4 38 15" xfId="21923" xr:uid="{00000000-0005-0000-0000-00007C550000}"/>
    <cellStyle name="Énfasis4 38 16" xfId="21924" xr:uid="{00000000-0005-0000-0000-00007D550000}"/>
    <cellStyle name="Énfasis4 38 17" xfId="21925" xr:uid="{00000000-0005-0000-0000-00007E550000}"/>
    <cellStyle name="Énfasis4 38 18" xfId="21926" xr:uid="{00000000-0005-0000-0000-00007F550000}"/>
    <cellStyle name="Énfasis4 38 19" xfId="21927" xr:uid="{00000000-0005-0000-0000-000080550000}"/>
    <cellStyle name="Énfasis4 38 2" xfId="21928" xr:uid="{00000000-0005-0000-0000-000081550000}"/>
    <cellStyle name="Énfasis4 38 2 2" xfId="21929" xr:uid="{00000000-0005-0000-0000-000082550000}"/>
    <cellStyle name="Énfasis4 38 3" xfId="21930" xr:uid="{00000000-0005-0000-0000-000083550000}"/>
    <cellStyle name="Énfasis4 38 3 2" xfId="21931" xr:uid="{00000000-0005-0000-0000-000084550000}"/>
    <cellStyle name="Énfasis4 38 4" xfId="21932" xr:uid="{00000000-0005-0000-0000-000085550000}"/>
    <cellStyle name="Énfasis4 38 4 2" xfId="21933" xr:uid="{00000000-0005-0000-0000-000086550000}"/>
    <cellStyle name="Énfasis4 38 5" xfId="21934" xr:uid="{00000000-0005-0000-0000-000087550000}"/>
    <cellStyle name="Énfasis4 38 6" xfId="21935" xr:uid="{00000000-0005-0000-0000-000088550000}"/>
    <cellStyle name="Énfasis4 38 7" xfId="21936" xr:uid="{00000000-0005-0000-0000-000089550000}"/>
    <cellStyle name="Énfasis4 38 8" xfId="21937" xr:uid="{00000000-0005-0000-0000-00008A550000}"/>
    <cellStyle name="Énfasis4 38 9" xfId="21938" xr:uid="{00000000-0005-0000-0000-00008B550000}"/>
    <cellStyle name="Énfasis4 39" xfId="21939" xr:uid="{00000000-0005-0000-0000-00008C550000}"/>
    <cellStyle name="Énfasis4 39 10" xfId="21940" xr:uid="{00000000-0005-0000-0000-00008D550000}"/>
    <cellStyle name="Énfasis4 39 11" xfId="21941" xr:uid="{00000000-0005-0000-0000-00008E550000}"/>
    <cellStyle name="Énfasis4 39 12" xfId="21942" xr:uid="{00000000-0005-0000-0000-00008F550000}"/>
    <cellStyle name="Énfasis4 39 13" xfId="21943" xr:uid="{00000000-0005-0000-0000-000090550000}"/>
    <cellStyle name="Énfasis4 39 14" xfId="21944" xr:uid="{00000000-0005-0000-0000-000091550000}"/>
    <cellStyle name="Énfasis4 39 15" xfId="21945" xr:uid="{00000000-0005-0000-0000-000092550000}"/>
    <cellStyle name="Énfasis4 39 16" xfId="21946" xr:uid="{00000000-0005-0000-0000-000093550000}"/>
    <cellStyle name="Énfasis4 39 2" xfId="21947" xr:uid="{00000000-0005-0000-0000-000094550000}"/>
    <cellStyle name="Énfasis4 39 3" xfId="21948" xr:uid="{00000000-0005-0000-0000-000095550000}"/>
    <cellStyle name="Énfasis4 39 4" xfId="21949" xr:uid="{00000000-0005-0000-0000-000096550000}"/>
    <cellStyle name="Énfasis4 39 5" xfId="21950" xr:uid="{00000000-0005-0000-0000-000097550000}"/>
    <cellStyle name="Énfasis4 39 6" xfId="21951" xr:uid="{00000000-0005-0000-0000-000098550000}"/>
    <cellStyle name="Énfasis4 39 7" xfId="21952" xr:uid="{00000000-0005-0000-0000-000099550000}"/>
    <cellStyle name="Énfasis4 39 8" xfId="21953" xr:uid="{00000000-0005-0000-0000-00009A550000}"/>
    <cellStyle name="Énfasis4 39 9" xfId="21954" xr:uid="{00000000-0005-0000-0000-00009B550000}"/>
    <cellStyle name="Énfasis4 4 10" xfId="21955" xr:uid="{00000000-0005-0000-0000-00009C550000}"/>
    <cellStyle name="Énfasis4 4 11" xfId="21956" xr:uid="{00000000-0005-0000-0000-00009D550000}"/>
    <cellStyle name="Énfasis4 4 12" xfId="21957" xr:uid="{00000000-0005-0000-0000-00009E550000}"/>
    <cellStyle name="Énfasis4 4 13" xfId="21958" xr:uid="{00000000-0005-0000-0000-00009F550000}"/>
    <cellStyle name="Énfasis4 4 14" xfId="21959" xr:uid="{00000000-0005-0000-0000-0000A0550000}"/>
    <cellStyle name="Énfasis4 4 15" xfId="21960" xr:uid="{00000000-0005-0000-0000-0000A1550000}"/>
    <cellStyle name="Énfasis4 4 16" xfId="21961" xr:uid="{00000000-0005-0000-0000-0000A2550000}"/>
    <cellStyle name="Énfasis4 4 17" xfId="21962" xr:uid="{00000000-0005-0000-0000-0000A3550000}"/>
    <cellStyle name="Énfasis4 4 18" xfId="21963" xr:uid="{00000000-0005-0000-0000-0000A4550000}"/>
    <cellStyle name="Énfasis4 4 19" xfId="21964" xr:uid="{00000000-0005-0000-0000-0000A5550000}"/>
    <cellStyle name="Énfasis4 4 2" xfId="21965" xr:uid="{00000000-0005-0000-0000-0000A6550000}"/>
    <cellStyle name="Énfasis4 4 2 2" xfId="21966" xr:uid="{00000000-0005-0000-0000-0000A7550000}"/>
    <cellStyle name="Énfasis4 4 3" xfId="21967" xr:uid="{00000000-0005-0000-0000-0000A8550000}"/>
    <cellStyle name="Énfasis4 4 3 2" xfId="21968" xr:uid="{00000000-0005-0000-0000-0000A9550000}"/>
    <cellStyle name="Énfasis4 4 4" xfId="21969" xr:uid="{00000000-0005-0000-0000-0000AA550000}"/>
    <cellStyle name="Énfasis4 4 4 2" xfId="21970" xr:uid="{00000000-0005-0000-0000-0000AB550000}"/>
    <cellStyle name="Énfasis4 4 5" xfId="21971" xr:uid="{00000000-0005-0000-0000-0000AC550000}"/>
    <cellStyle name="Énfasis4 4 6" xfId="21972" xr:uid="{00000000-0005-0000-0000-0000AD550000}"/>
    <cellStyle name="Énfasis4 4 7" xfId="21973" xr:uid="{00000000-0005-0000-0000-0000AE550000}"/>
    <cellStyle name="Énfasis4 4 8" xfId="21974" xr:uid="{00000000-0005-0000-0000-0000AF550000}"/>
    <cellStyle name="Énfasis4 4 9" xfId="21975" xr:uid="{00000000-0005-0000-0000-0000B0550000}"/>
    <cellStyle name="Énfasis4 40" xfId="21976" xr:uid="{00000000-0005-0000-0000-0000B1550000}"/>
    <cellStyle name="Énfasis4 40 10" xfId="21977" xr:uid="{00000000-0005-0000-0000-0000B2550000}"/>
    <cellStyle name="Énfasis4 40 11" xfId="21978" xr:uid="{00000000-0005-0000-0000-0000B3550000}"/>
    <cellStyle name="Énfasis4 40 12" xfId="21979" xr:uid="{00000000-0005-0000-0000-0000B4550000}"/>
    <cellStyle name="Énfasis4 40 13" xfId="21980" xr:uid="{00000000-0005-0000-0000-0000B5550000}"/>
    <cellStyle name="Énfasis4 40 14" xfId="21981" xr:uid="{00000000-0005-0000-0000-0000B6550000}"/>
    <cellStyle name="Énfasis4 40 15" xfId="21982" xr:uid="{00000000-0005-0000-0000-0000B7550000}"/>
    <cellStyle name="Énfasis4 40 16" xfId="21983" xr:uid="{00000000-0005-0000-0000-0000B8550000}"/>
    <cellStyle name="Énfasis4 40 2" xfId="21984" xr:uid="{00000000-0005-0000-0000-0000B9550000}"/>
    <cellStyle name="Énfasis4 40 3" xfId="21985" xr:uid="{00000000-0005-0000-0000-0000BA550000}"/>
    <cellStyle name="Énfasis4 40 4" xfId="21986" xr:uid="{00000000-0005-0000-0000-0000BB550000}"/>
    <cellStyle name="Énfasis4 40 5" xfId="21987" xr:uid="{00000000-0005-0000-0000-0000BC550000}"/>
    <cellStyle name="Énfasis4 40 6" xfId="21988" xr:uid="{00000000-0005-0000-0000-0000BD550000}"/>
    <cellStyle name="Énfasis4 40 7" xfId="21989" xr:uid="{00000000-0005-0000-0000-0000BE550000}"/>
    <cellStyle name="Énfasis4 40 8" xfId="21990" xr:uid="{00000000-0005-0000-0000-0000BF550000}"/>
    <cellStyle name="Énfasis4 40 9" xfId="21991" xr:uid="{00000000-0005-0000-0000-0000C0550000}"/>
    <cellStyle name="Énfasis4 41" xfId="21992" xr:uid="{00000000-0005-0000-0000-0000C1550000}"/>
    <cellStyle name="Énfasis4 41 10" xfId="21993" xr:uid="{00000000-0005-0000-0000-0000C2550000}"/>
    <cellStyle name="Énfasis4 41 11" xfId="21994" xr:uid="{00000000-0005-0000-0000-0000C3550000}"/>
    <cellStyle name="Énfasis4 41 12" xfId="21995" xr:uid="{00000000-0005-0000-0000-0000C4550000}"/>
    <cellStyle name="Énfasis4 41 13" xfId="21996" xr:uid="{00000000-0005-0000-0000-0000C5550000}"/>
    <cellStyle name="Énfasis4 41 14" xfId="21997" xr:uid="{00000000-0005-0000-0000-0000C6550000}"/>
    <cellStyle name="Énfasis4 41 15" xfId="21998" xr:uid="{00000000-0005-0000-0000-0000C7550000}"/>
    <cellStyle name="Énfasis4 41 16" xfId="21999" xr:uid="{00000000-0005-0000-0000-0000C8550000}"/>
    <cellStyle name="Énfasis4 41 2" xfId="22000" xr:uid="{00000000-0005-0000-0000-0000C9550000}"/>
    <cellStyle name="Énfasis4 41 3" xfId="22001" xr:uid="{00000000-0005-0000-0000-0000CA550000}"/>
    <cellStyle name="Énfasis4 41 4" xfId="22002" xr:uid="{00000000-0005-0000-0000-0000CB550000}"/>
    <cellStyle name="Énfasis4 41 5" xfId="22003" xr:uid="{00000000-0005-0000-0000-0000CC550000}"/>
    <cellStyle name="Énfasis4 41 6" xfId="22004" xr:uid="{00000000-0005-0000-0000-0000CD550000}"/>
    <cellStyle name="Énfasis4 41 7" xfId="22005" xr:uid="{00000000-0005-0000-0000-0000CE550000}"/>
    <cellStyle name="Énfasis4 41 8" xfId="22006" xr:uid="{00000000-0005-0000-0000-0000CF550000}"/>
    <cellStyle name="Énfasis4 41 9" xfId="22007" xr:uid="{00000000-0005-0000-0000-0000D0550000}"/>
    <cellStyle name="Énfasis4 42" xfId="22008" xr:uid="{00000000-0005-0000-0000-0000D1550000}"/>
    <cellStyle name="Énfasis4 43" xfId="22009" xr:uid="{00000000-0005-0000-0000-0000D2550000}"/>
    <cellStyle name="Énfasis4 44" xfId="22010" xr:uid="{00000000-0005-0000-0000-0000D3550000}"/>
    <cellStyle name="Énfasis4 45" xfId="22011" xr:uid="{00000000-0005-0000-0000-0000D4550000}"/>
    <cellStyle name="Énfasis4 46" xfId="22012" xr:uid="{00000000-0005-0000-0000-0000D5550000}"/>
    <cellStyle name="Énfasis4 47" xfId="22013" xr:uid="{00000000-0005-0000-0000-0000D6550000}"/>
    <cellStyle name="Énfasis4 48" xfId="22014" xr:uid="{00000000-0005-0000-0000-0000D7550000}"/>
    <cellStyle name="Énfasis4 49" xfId="22015" xr:uid="{00000000-0005-0000-0000-0000D8550000}"/>
    <cellStyle name="Énfasis4 5 10" xfId="22016" xr:uid="{00000000-0005-0000-0000-0000D9550000}"/>
    <cellStyle name="Énfasis4 5 11" xfId="22017" xr:uid="{00000000-0005-0000-0000-0000DA550000}"/>
    <cellStyle name="Énfasis4 5 12" xfId="22018" xr:uid="{00000000-0005-0000-0000-0000DB550000}"/>
    <cellStyle name="Énfasis4 5 13" xfId="22019" xr:uid="{00000000-0005-0000-0000-0000DC550000}"/>
    <cellStyle name="Énfasis4 5 14" xfId="22020" xr:uid="{00000000-0005-0000-0000-0000DD550000}"/>
    <cellStyle name="Énfasis4 5 15" xfId="22021" xr:uid="{00000000-0005-0000-0000-0000DE550000}"/>
    <cellStyle name="Énfasis4 5 16" xfId="22022" xr:uid="{00000000-0005-0000-0000-0000DF550000}"/>
    <cellStyle name="Énfasis4 5 17" xfId="22023" xr:uid="{00000000-0005-0000-0000-0000E0550000}"/>
    <cellStyle name="Énfasis4 5 18" xfId="22024" xr:uid="{00000000-0005-0000-0000-0000E1550000}"/>
    <cellStyle name="Énfasis4 5 19" xfId="22025" xr:uid="{00000000-0005-0000-0000-0000E2550000}"/>
    <cellStyle name="Énfasis4 5 2" xfId="22026" xr:uid="{00000000-0005-0000-0000-0000E3550000}"/>
    <cellStyle name="Énfasis4 5 2 2" xfId="22027" xr:uid="{00000000-0005-0000-0000-0000E4550000}"/>
    <cellStyle name="Énfasis4 5 3" xfId="22028" xr:uid="{00000000-0005-0000-0000-0000E5550000}"/>
    <cellStyle name="Énfasis4 5 3 2" xfId="22029" xr:uid="{00000000-0005-0000-0000-0000E6550000}"/>
    <cellStyle name="Énfasis4 5 4" xfId="22030" xr:uid="{00000000-0005-0000-0000-0000E7550000}"/>
    <cellStyle name="Énfasis4 5 4 2" xfId="22031" xr:uid="{00000000-0005-0000-0000-0000E8550000}"/>
    <cellStyle name="Énfasis4 5 5" xfId="22032" xr:uid="{00000000-0005-0000-0000-0000E9550000}"/>
    <cellStyle name="Énfasis4 5 6" xfId="22033" xr:uid="{00000000-0005-0000-0000-0000EA550000}"/>
    <cellStyle name="Énfasis4 5 7" xfId="22034" xr:uid="{00000000-0005-0000-0000-0000EB550000}"/>
    <cellStyle name="Énfasis4 5 8" xfId="22035" xr:uid="{00000000-0005-0000-0000-0000EC550000}"/>
    <cellStyle name="Énfasis4 5 9" xfId="22036" xr:uid="{00000000-0005-0000-0000-0000ED550000}"/>
    <cellStyle name="Énfasis4 50" xfId="22037" xr:uid="{00000000-0005-0000-0000-0000EE550000}"/>
    <cellStyle name="Énfasis4 51" xfId="22038" xr:uid="{00000000-0005-0000-0000-0000EF550000}"/>
    <cellStyle name="Énfasis4 52" xfId="22039" xr:uid="{00000000-0005-0000-0000-0000F0550000}"/>
    <cellStyle name="Énfasis4 53" xfId="22040" xr:uid="{00000000-0005-0000-0000-0000F1550000}"/>
    <cellStyle name="Énfasis4 54" xfId="22041" xr:uid="{00000000-0005-0000-0000-0000F2550000}"/>
    <cellStyle name="Énfasis4 55" xfId="22042" xr:uid="{00000000-0005-0000-0000-0000F3550000}"/>
    <cellStyle name="Énfasis4 56" xfId="22043" xr:uid="{00000000-0005-0000-0000-0000F4550000}"/>
    <cellStyle name="Énfasis4 57" xfId="22044" xr:uid="{00000000-0005-0000-0000-0000F5550000}"/>
    <cellStyle name="Énfasis4 58" xfId="22045" xr:uid="{00000000-0005-0000-0000-0000F6550000}"/>
    <cellStyle name="Énfasis4 59" xfId="22046" xr:uid="{00000000-0005-0000-0000-0000F7550000}"/>
    <cellStyle name="Énfasis4 6 10" xfId="22047" xr:uid="{00000000-0005-0000-0000-0000F8550000}"/>
    <cellStyle name="Énfasis4 6 11" xfId="22048" xr:uid="{00000000-0005-0000-0000-0000F9550000}"/>
    <cellStyle name="Énfasis4 6 12" xfId="22049" xr:uid="{00000000-0005-0000-0000-0000FA550000}"/>
    <cellStyle name="Énfasis4 6 13" xfId="22050" xr:uid="{00000000-0005-0000-0000-0000FB550000}"/>
    <cellStyle name="Énfasis4 6 14" xfId="22051" xr:uid="{00000000-0005-0000-0000-0000FC550000}"/>
    <cellStyle name="Énfasis4 6 15" xfId="22052" xr:uid="{00000000-0005-0000-0000-0000FD550000}"/>
    <cellStyle name="Énfasis4 6 16" xfId="22053" xr:uid="{00000000-0005-0000-0000-0000FE550000}"/>
    <cellStyle name="Énfasis4 6 17" xfId="22054" xr:uid="{00000000-0005-0000-0000-0000FF550000}"/>
    <cellStyle name="Énfasis4 6 18" xfId="22055" xr:uid="{00000000-0005-0000-0000-000000560000}"/>
    <cellStyle name="Énfasis4 6 19" xfId="22056" xr:uid="{00000000-0005-0000-0000-000001560000}"/>
    <cellStyle name="Énfasis4 6 2" xfId="22057" xr:uid="{00000000-0005-0000-0000-000002560000}"/>
    <cellStyle name="Énfasis4 6 2 2" xfId="22058" xr:uid="{00000000-0005-0000-0000-000003560000}"/>
    <cellStyle name="Énfasis4 6 3" xfId="22059" xr:uid="{00000000-0005-0000-0000-000004560000}"/>
    <cellStyle name="Énfasis4 6 3 2" xfId="22060" xr:uid="{00000000-0005-0000-0000-000005560000}"/>
    <cellStyle name="Énfasis4 6 4" xfId="22061" xr:uid="{00000000-0005-0000-0000-000006560000}"/>
    <cellStyle name="Énfasis4 6 4 2" xfId="22062" xr:uid="{00000000-0005-0000-0000-000007560000}"/>
    <cellStyle name="Énfasis4 6 5" xfId="22063" xr:uid="{00000000-0005-0000-0000-000008560000}"/>
    <cellStyle name="Énfasis4 6 6" xfId="22064" xr:uid="{00000000-0005-0000-0000-000009560000}"/>
    <cellStyle name="Énfasis4 6 7" xfId="22065" xr:uid="{00000000-0005-0000-0000-00000A560000}"/>
    <cellStyle name="Énfasis4 6 8" xfId="22066" xr:uid="{00000000-0005-0000-0000-00000B560000}"/>
    <cellStyle name="Énfasis4 6 9" xfId="22067" xr:uid="{00000000-0005-0000-0000-00000C560000}"/>
    <cellStyle name="Énfasis4 60" xfId="22068" xr:uid="{00000000-0005-0000-0000-00000D560000}"/>
    <cellStyle name="Énfasis4 61" xfId="22069" xr:uid="{00000000-0005-0000-0000-00000E560000}"/>
    <cellStyle name="Énfasis4 62" xfId="22070" xr:uid="{00000000-0005-0000-0000-00000F560000}"/>
    <cellStyle name="Énfasis4 63" xfId="22071" xr:uid="{00000000-0005-0000-0000-000010560000}"/>
    <cellStyle name="Énfasis4 64" xfId="22072" xr:uid="{00000000-0005-0000-0000-000011560000}"/>
    <cellStyle name="Énfasis4 7 10" xfId="22073" xr:uid="{00000000-0005-0000-0000-000012560000}"/>
    <cellStyle name="Énfasis4 7 11" xfId="22074" xr:uid="{00000000-0005-0000-0000-000013560000}"/>
    <cellStyle name="Énfasis4 7 12" xfId="22075" xr:uid="{00000000-0005-0000-0000-000014560000}"/>
    <cellStyle name="Énfasis4 7 13" xfId="22076" xr:uid="{00000000-0005-0000-0000-000015560000}"/>
    <cellStyle name="Énfasis4 7 14" xfId="22077" xr:uid="{00000000-0005-0000-0000-000016560000}"/>
    <cellStyle name="Énfasis4 7 15" xfId="22078" xr:uid="{00000000-0005-0000-0000-000017560000}"/>
    <cellStyle name="Énfasis4 7 16" xfId="22079" xr:uid="{00000000-0005-0000-0000-000018560000}"/>
    <cellStyle name="Énfasis4 7 17" xfId="22080" xr:uid="{00000000-0005-0000-0000-000019560000}"/>
    <cellStyle name="Énfasis4 7 18" xfId="22081" xr:uid="{00000000-0005-0000-0000-00001A560000}"/>
    <cellStyle name="Énfasis4 7 19" xfId="22082" xr:uid="{00000000-0005-0000-0000-00001B560000}"/>
    <cellStyle name="Énfasis4 7 2" xfId="22083" xr:uid="{00000000-0005-0000-0000-00001C560000}"/>
    <cellStyle name="Énfasis4 7 2 2" xfId="22084" xr:uid="{00000000-0005-0000-0000-00001D560000}"/>
    <cellStyle name="Énfasis4 7 3" xfId="22085" xr:uid="{00000000-0005-0000-0000-00001E560000}"/>
    <cellStyle name="Énfasis4 7 3 2" xfId="22086" xr:uid="{00000000-0005-0000-0000-00001F560000}"/>
    <cellStyle name="Énfasis4 7 4" xfId="22087" xr:uid="{00000000-0005-0000-0000-000020560000}"/>
    <cellStyle name="Énfasis4 7 4 2" xfId="22088" xr:uid="{00000000-0005-0000-0000-000021560000}"/>
    <cellStyle name="Énfasis4 7 5" xfId="22089" xr:uid="{00000000-0005-0000-0000-000022560000}"/>
    <cellStyle name="Énfasis4 7 6" xfId="22090" xr:uid="{00000000-0005-0000-0000-000023560000}"/>
    <cellStyle name="Énfasis4 7 7" xfId="22091" xr:uid="{00000000-0005-0000-0000-000024560000}"/>
    <cellStyle name="Énfasis4 7 8" xfId="22092" xr:uid="{00000000-0005-0000-0000-000025560000}"/>
    <cellStyle name="Énfasis4 7 9" xfId="22093" xr:uid="{00000000-0005-0000-0000-000026560000}"/>
    <cellStyle name="Énfasis4 8 10" xfId="22094" xr:uid="{00000000-0005-0000-0000-000027560000}"/>
    <cellStyle name="Énfasis4 8 11" xfId="22095" xr:uid="{00000000-0005-0000-0000-000028560000}"/>
    <cellStyle name="Énfasis4 8 12" xfId="22096" xr:uid="{00000000-0005-0000-0000-000029560000}"/>
    <cellStyle name="Énfasis4 8 13" xfId="22097" xr:uid="{00000000-0005-0000-0000-00002A560000}"/>
    <cellStyle name="Énfasis4 8 14" xfId="22098" xr:uid="{00000000-0005-0000-0000-00002B560000}"/>
    <cellStyle name="Énfasis4 8 15" xfId="22099" xr:uid="{00000000-0005-0000-0000-00002C560000}"/>
    <cellStyle name="Énfasis4 8 16" xfId="22100" xr:uid="{00000000-0005-0000-0000-00002D560000}"/>
    <cellStyle name="Énfasis4 8 17" xfId="22101" xr:uid="{00000000-0005-0000-0000-00002E560000}"/>
    <cellStyle name="Énfasis4 8 18" xfId="22102" xr:uid="{00000000-0005-0000-0000-00002F560000}"/>
    <cellStyle name="Énfasis4 8 19" xfId="22103" xr:uid="{00000000-0005-0000-0000-000030560000}"/>
    <cellStyle name="Énfasis4 8 2" xfId="22104" xr:uid="{00000000-0005-0000-0000-000031560000}"/>
    <cellStyle name="Énfasis4 8 2 2" xfId="22105" xr:uid="{00000000-0005-0000-0000-000032560000}"/>
    <cellStyle name="Énfasis4 8 3" xfId="22106" xr:uid="{00000000-0005-0000-0000-000033560000}"/>
    <cellStyle name="Énfasis4 8 3 2" xfId="22107" xr:uid="{00000000-0005-0000-0000-000034560000}"/>
    <cellStyle name="Énfasis4 8 4" xfId="22108" xr:uid="{00000000-0005-0000-0000-000035560000}"/>
    <cellStyle name="Énfasis4 8 4 2" xfId="22109" xr:uid="{00000000-0005-0000-0000-000036560000}"/>
    <cellStyle name="Énfasis4 8 5" xfId="22110" xr:uid="{00000000-0005-0000-0000-000037560000}"/>
    <cellStyle name="Énfasis4 8 6" xfId="22111" xr:uid="{00000000-0005-0000-0000-000038560000}"/>
    <cellStyle name="Énfasis4 8 7" xfId="22112" xr:uid="{00000000-0005-0000-0000-000039560000}"/>
    <cellStyle name="Énfasis4 8 8" xfId="22113" xr:uid="{00000000-0005-0000-0000-00003A560000}"/>
    <cellStyle name="Énfasis4 8 9" xfId="22114" xr:uid="{00000000-0005-0000-0000-00003B560000}"/>
    <cellStyle name="Énfasis4 9 10" xfId="22115" xr:uid="{00000000-0005-0000-0000-00003C560000}"/>
    <cellStyle name="Énfasis4 9 11" xfId="22116" xr:uid="{00000000-0005-0000-0000-00003D560000}"/>
    <cellStyle name="Énfasis4 9 12" xfId="22117" xr:uid="{00000000-0005-0000-0000-00003E560000}"/>
    <cellStyle name="Énfasis4 9 13" xfId="22118" xr:uid="{00000000-0005-0000-0000-00003F560000}"/>
    <cellStyle name="Énfasis4 9 14" xfId="22119" xr:uid="{00000000-0005-0000-0000-000040560000}"/>
    <cellStyle name="Énfasis4 9 15" xfId="22120" xr:uid="{00000000-0005-0000-0000-000041560000}"/>
    <cellStyle name="Énfasis4 9 16" xfId="22121" xr:uid="{00000000-0005-0000-0000-000042560000}"/>
    <cellStyle name="Énfasis4 9 17" xfId="22122" xr:uid="{00000000-0005-0000-0000-000043560000}"/>
    <cellStyle name="Énfasis4 9 18" xfId="22123" xr:uid="{00000000-0005-0000-0000-000044560000}"/>
    <cellStyle name="Énfasis4 9 19" xfId="22124" xr:uid="{00000000-0005-0000-0000-000045560000}"/>
    <cellStyle name="Énfasis4 9 2" xfId="22125" xr:uid="{00000000-0005-0000-0000-000046560000}"/>
    <cellStyle name="Énfasis4 9 2 2" xfId="22126" xr:uid="{00000000-0005-0000-0000-000047560000}"/>
    <cellStyle name="Énfasis4 9 3" xfId="22127" xr:uid="{00000000-0005-0000-0000-000048560000}"/>
    <cellStyle name="Énfasis4 9 3 2" xfId="22128" xr:uid="{00000000-0005-0000-0000-000049560000}"/>
    <cellStyle name="Énfasis4 9 4" xfId="22129" xr:uid="{00000000-0005-0000-0000-00004A560000}"/>
    <cellStyle name="Énfasis4 9 4 2" xfId="22130" xr:uid="{00000000-0005-0000-0000-00004B560000}"/>
    <cellStyle name="Énfasis4 9 5" xfId="22131" xr:uid="{00000000-0005-0000-0000-00004C560000}"/>
    <cellStyle name="Énfasis4 9 6" xfId="22132" xr:uid="{00000000-0005-0000-0000-00004D560000}"/>
    <cellStyle name="Énfasis4 9 7" xfId="22133" xr:uid="{00000000-0005-0000-0000-00004E560000}"/>
    <cellStyle name="Énfasis4 9 8" xfId="22134" xr:uid="{00000000-0005-0000-0000-00004F560000}"/>
    <cellStyle name="Énfasis4 9 9" xfId="22135" xr:uid="{00000000-0005-0000-0000-000050560000}"/>
    <cellStyle name="Énfasis5" xfId="32544" builtinId="45" customBuiltin="1"/>
    <cellStyle name="Énfasis5 10 10" xfId="22136" xr:uid="{00000000-0005-0000-0000-000052560000}"/>
    <cellStyle name="Énfasis5 10 11" xfId="22137" xr:uid="{00000000-0005-0000-0000-000053560000}"/>
    <cellStyle name="Énfasis5 10 12" xfId="22138" xr:uid="{00000000-0005-0000-0000-000054560000}"/>
    <cellStyle name="Énfasis5 10 13" xfId="22139" xr:uid="{00000000-0005-0000-0000-000055560000}"/>
    <cellStyle name="Énfasis5 10 14" xfId="22140" xr:uid="{00000000-0005-0000-0000-000056560000}"/>
    <cellStyle name="Énfasis5 10 15" xfId="22141" xr:uid="{00000000-0005-0000-0000-000057560000}"/>
    <cellStyle name="Énfasis5 10 16" xfId="22142" xr:uid="{00000000-0005-0000-0000-000058560000}"/>
    <cellStyle name="Énfasis5 10 17" xfId="22143" xr:uid="{00000000-0005-0000-0000-000059560000}"/>
    <cellStyle name="Énfasis5 10 18" xfId="22144" xr:uid="{00000000-0005-0000-0000-00005A560000}"/>
    <cellStyle name="Énfasis5 10 19" xfId="22145" xr:uid="{00000000-0005-0000-0000-00005B560000}"/>
    <cellStyle name="Énfasis5 10 2" xfId="22146" xr:uid="{00000000-0005-0000-0000-00005C560000}"/>
    <cellStyle name="Énfasis5 10 2 2" xfId="22147" xr:uid="{00000000-0005-0000-0000-00005D560000}"/>
    <cellStyle name="Énfasis5 10 3" xfId="22148" xr:uid="{00000000-0005-0000-0000-00005E560000}"/>
    <cellStyle name="Énfasis5 10 3 2" xfId="22149" xr:uid="{00000000-0005-0000-0000-00005F560000}"/>
    <cellStyle name="Énfasis5 10 4" xfId="22150" xr:uid="{00000000-0005-0000-0000-000060560000}"/>
    <cellStyle name="Énfasis5 10 4 2" xfId="22151" xr:uid="{00000000-0005-0000-0000-000061560000}"/>
    <cellStyle name="Énfasis5 10 5" xfId="22152" xr:uid="{00000000-0005-0000-0000-000062560000}"/>
    <cellStyle name="Énfasis5 10 6" xfId="22153" xr:uid="{00000000-0005-0000-0000-000063560000}"/>
    <cellStyle name="Énfasis5 10 7" xfId="22154" xr:uid="{00000000-0005-0000-0000-000064560000}"/>
    <cellStyle name="Énfasis5 10 8" xfId="22155" xr:uid="{00000000-0005-0000-0000-000065560000}"/>
    <cellStyle name="Énfasis5 10 9" xfId="22156" xr:uid="{00000000-0005-0000-0000-000066560000}"/>
    <cellStyle name="Énfasis5 11 10" xfId="22157" xr:uid="{00000000-0005-0000-0000-000067560000}"/>
    <cellStyle name="Énfasis5 11 11" xfId="22158" xr:uid="{00000000-0005-0000-0000-000068560000}"/>
    <cellStyle name="Énfasis5 11 12" xfId="22159" xr:uid="{00000000-0005-0000-0000-000069560000}"/>
    <cellStyle name="Énfasis5 11 13" xfId="22160" xr:uid="{00000000-0005-0000-0000-00006A560000}"/>
    <cellStyle name="Énfasis5 11 14" xfId="22161" xr:uid="{00000000-0005-0000-0000-00006B560000}"/>
    <cellStyle name="Énfasis5 11 15" xfId="22162" xr:uid="{00000000-0005-0000-0000-00006C560000}"/>
    <cellStyle name="Énfasis5 11 16" xfId="22163" xr:uid="{00000000-0005-0000-0000-00006D560000}"/>
    <cellStyle name="Énfasis5 11 17" xfId="22164" xr:uid="{00000000-0005-0000-0000-00006E560000}"/>
    <cellStyle name="Énfasis5 11 18" xfId="22165" xr:uid="{00000000-0005-0000-0000-00006F560000}"/>
    <cellStyle name="Énfasis5 11 19" xfId="22166" xr:uid="{00000000-0005-0000-0000-000070560000}"/>
    <cellStyle name="Énfasis5 11 2" xfId="22167" xr:uid="{00000000-0005-0000-0000-000071560000}"/>
    <cellStyle name="Énfasis5 11 2 2" xfId="22168" xr:uid="{00000000-0005-0000-0000-000072560000}"/>
    <cellStyle name="Énfasis5 11 3" xfId="22169" xr:uid="{00000000-0005-0000-0000-000073560000}"/>
    <cellStyle name="Énfasis5 11 3 2" xfId="22170" xr:uid="{00000000-0005-0000-0000-000074560000}"/>
    <cellStyle name="Énfasis5 11 4" xfId="22171" xr:uid="{00000000-0005-0000-0000-000075560000}"/>
    <cellStyle name="Énfasis5 11 4 2" xfId="22172" xr:uid="{00000000-0005-0000-0000-000076560000}"/>
    <cellStyle name="Énfasis5 11 5" xfId="22173" xr:uid="{00000000-0005-0000-0000-000077560000}"/>
    <cellStyle name="Énfasis5 11 6" xfId="22174" xr:uid="{00000000-0005-0000-0000-000078560000}"/>
    <cellStyle name="Énfasis5 11 7" xfId="22175" xr:uid="{00000000-0005-0000-0000-000079560000}"/>
    <cellStyle name="Énfasis5 11 8" xfId="22176" xr:uid="{00000000-0005-0000-0000-00007A560000}"/>
    <cellStyle name="Énfasis5 11 9" xfId="22177" xr:uid="{00000000-0005-0000-0000-00007B560000}"/>
    <cellStyle name="Énfasis5 12 10" xfId="22178" xr:uid="{00000000-0005-0000-0000-00007C560000}"/>
    <cellStyle name="Énfasis5 12 11" xfId="22179" xr:uid="{00000000-0005-0000-0000-00007D560000}"/>
    <cellStyle name="Énfasis5 12 12" xfId="22180" xr:uid="{00000000-0005-0000-0000-00007E560000}"/>
    <cellStyle name="Énfasis5 12 13" xfId="22181" xr:uid="{00000000-0005-0000-0000-00007F560000}"/>
    <cellStyle name="Énfasis5 12 14" xfId="22182" xr:uid="{00000000-0005-0000-0000-000080560000}"/>
    <cellStyle name="Énfasis5 12 15" xfId="22183" xr:uid="{00000000-0005-0000-0000-000081560000}"/>
    <cellStyle name="Énfasis5 12 16" xfId="22184" xr:uid="{00000000-0005-0000-0000-000082560000}"/>
    <cellStyle name="Énfasis5 12 17" xfId="22185" xr:uid="{00000000-0005-0000-0000-000083560000}"/>
    <cellStyle name="Énfasis5 12 18" xfId="22186" xr:uid="{00000000-0005-0000-0000-000084560000}"/>
    <cellStyle name="Énfasis5 12 19" xfId="22187" xr:uid="{00000000-0005-0000-0000-000085560000}"/>
    <cellStyle name="Énfasis5 12 2" xfId="22188" xr:uid="{00000000-0005-0000-0000-000086560000}"/>
    <cellStyle name="Énfasis5 12 2 2" xfId="22189" xr:uid="{00000000-0005-0000-0000-000087560000}"/>
    <cellStyle name="Énfasis5 12 3" xfId="22190" xr:uid="{00000000-0005-0000-0000-000088560000}"/>
    <cellStyle name="Énfasis5 12 3 2" xfId="22191" xr:uid="{00000000-0005-0000-0000-000089560000}"/>
    <cellStyle name="Énfasis5 12 4" xfId="22192" xr:uid="{00000000-0005-0000-0000-00008A560000}"/>
    <cellStyle name="Énfasis5 12 4 2" xfId="22193" xr:uid="{00000000-0005-0000-0000-00008B560000}"/>
    <cellStyle name="Énfasis5 12 5" xfId="22194" xr:uid="{00000000-0005-0000-0000-00008C560000}"/>
    <cellStyle name="Énfasis5 12 6" xfId="22195" xr:uid="{00000000-0005-0000-0000-00008D560000}"/>
    <cellStyle name="Énfasis5 12 7" xfId="22196" xr:uid="{00000000-0005-0000-0000-00008E560000}"/>
    <cellStyle name="Énfasis5 12 8" xfId="22197" xr:uid="{00000000-0005-0000-0000-00008F560000}"/>
    <cellStyle name="Énfasis5 12 9" xfId="22198" xr:uid="{00000000-0005-0000-0000-000090560000}"/>
    <cellStyle name="Énfasis5 13 10" xfId="22199" xr:uid="{00000000-0005-0000-0000-000091560000}"/>
    <cellStyle name="Énfasis5 13 11" xfId="22200" xr:uid="{00000000-0005-0000-0000-000092560000}"/>
    <cellStyle name="Énfasis5 13 12" xfId="22201" xr:uid="{00000000-0005-0000-0000-000093560000}"/>
    <cellStyle name="Énfasis5 13 13" xfId="22202" xr:uid="{00000000-0005-0000-0000-000094560000}"/>
    <cellStyle name="Énfasis5 13 14" xfId="22203" xr:uid="{00000000-0005-0000-0000-000095560000}"/>
    <cellStyle name="Énfasis5 13 15" xfId="22204" xr:uid="{00000000-0005-0000-0000-000096560000}"/>
    <cellStyle name="Énfasis5 13 16" xfId="22205" xr:uid="{00000000-0005-0000-0000-000097560000}"/>
    <cellStyle name="Énfasis5 13 17" xfId="22206" xr:uid="{00000000-0005-0000-0000-000098560000}"/>
    <cellStyle name="Énfasis5 13 18" xfId="22207" xr:uid="{00000000-0005-0000-0000-000099560000}"/>
    <cellStyle name="Énfasis5 13 19" xfId="22208" xr:uid="{00000000-0005-0000-0000-00009A560000}"/>
    <cellStyle name="Énfasis5 13 2" xfId="22209" xr:uid="{00000000-0005-0000-0000-00009B560000}"/>
    <cellStyle name="Énfasis5 13 2 2" xfId="22210" xr:uid="{00000000-0005-0000-0000-00009C560000}"/>
    <cellStyle name="Énfasis5 13 3" xfId="22211" xr:uid="{00000000-0005-0000-0000-00009D560000}"/>
    <cellStyle name="Énfasis5 13 3 2" xfId="22212" xr:uid="{00000000-0005-0000-0000-00009E560000}"/>
    <cellStyle name="Énfasis5 13 4" xfId="22213" xr:uid="{00000000-0005-0000-0000-00009F560000}"/>
    <cellStyle name="Énfasis5 13 4 2" xfId="22214" xr:uid="{00000000-0005-0000-0000-0000A0560000}"/>
    <cellStyle name="Énfasis5 13 5" xfId="22215" xr:uid="{00000000-0005-0000-0000-0000A1560000}"/>
    <cellStyle name="Énfasis5 13 6" xfId="22216" xr:uid="{00000000-0005-0000-0000-0000A2560000}"/>
    <cellStyle name="Énfasis5 13 7" xfId="22217" xr:uid="{00000000-0005-0000-0000-0000A3560000}"/>
    <cellStyle name="Énfasis5 13 8" xfId="22218" xr:uid="{00000000-0005-0000-0000-0000A4560000}"/>
    <cellStyle name="Énfasis5 13 9" xfId="22219" xr:uid="{00000000-0005-0000-0000-0000A5560000}"/>
    <cellStyle name="Énfasis5 14 10" xfId="22220" xr:uid="{00000000-0005-0000-0000-0000A6560000}"/>
    <cellStyle name="Énfasis5 14 11" xfId="22221" xr:uid="{00000000-0005-0000-0000-0000A7560000}"/>
    <cellStyle name="Énfasis5 14 12" xfId="22222" xr:uid="{00000000-0005-0000-0000-0000A8560000}"/>
    <cellStyle name="Énfasis5 14 13" xfId="22223" xr:uid="{00000000-0005-0000-0000-0000A9560000}"/>
    <cellStyle name="Énfasis5 14 14" xfId="22224" xr:uid="{00000000-0005-0000-0000-0000AA560000}"/>
    <cellStyle name="Énfasis5 14 15" xfId="22225" xr:uid="{00000000-0005-0000-0000-0000AB560000}"/>
    <cellStyle name="Énfasis5 14 16" xfId="22226" xr:uid="{00000000-0005-0000-0000-0000AC560000}"/>
    <cellStyle name="Énfasis5 14 17" xfId="22227" xr:uid="{00000000-0005-0000-0000-0000AD560000}"/>
    <cellStyle name="Énfasis5 14 18" xfId="22228" xr:uid="{00000000-0005-0000-0000-0000AE560000}"/>
    <cellStyle name="Énfasis5 14 19" xfId="22229" xr:uid="{00000000-0005-0000-0000-0000AF560000}"/>
    <cellStyle name="Énfasis5 14 2" xfId="22230" xr:uid="{00000000-0005-0000-0000-0000B0560000}"/>
    <cellStyle name="Énfasis5 14 2 2" xfId="22231" xr:uid="{00000000-0005-0000-0000-0000B1560000}"/>
    <cellStyle name="Énfasis5 14 3" xfId="22232" xr:uid="{00000000-0005-0000-0000-0000B2560000}"/>
    <cellStyle name="Énfasis5 14 3 2" xfId="22233" xr:uid="{00000000-0005-0000-0000-0000B3560000}"/>
    <cellStyle name="Énfasis5 14 4" xfId="22234" xr:uid="{00000000-0005-0000-0000-0000B4560000}"/>
    <cellStyle name="Énfasis5 14 4 2" xfId="22235" xr:uid="{00000000-0005-0000-0000-0000B5560000}"/>
    <cellStyle name="Énfasis5 14 5" xfId="22236" xr:uid="{00000000-0005-0000-0000-0000B6560000}"/>
    <cellStyle name="Énfasis5 14 6" xfId="22237" xr:uid="{00000000-0005-0000-0000-0000B7560000}"/>
    <cellStyle name="Énfasis5 14 7" xfId="22238" xr:uid="{00000000-0005-0000-0000-0000B8560000}"/>
    <cellStyle name="Énfasis5 14 8" xfId="22239" xr:uid="{00000000-0005-0000-0000-0000B9560000}"/>
    <cellStyle name="Énfasis5 14 9" xfId="22240" xr:uid="{00000000-0005-0000-0000-0000BA560000}"/>
    <cellStyle name="Énfasis5 15 10" xfId="22241" xr:uid="{00000000-0005-0000-0000-0000BB560000}"/>
    <cellStyle name="Énfasis5 15 11" xfId="22242" xr:uid="{00000000-0005-0000-0000-0000BC560000}"/>
    <cellStyle name="Énfasis5 15 12" xfId="22243" xr:uid="{00000000-0005-0000-0000-0000BD560000}"/>
    <cellStyle name="Énfasis5 15 13" xfId="22244" xr:uid="{00000000-0005-0000-0000-0000BE560000}"/>
    <cellStyle name="Énfasis5 15 14" xfId="22245" xr:uid="{00000000-0005-0000-0000-0000BF560000}"/>
    <cellStyle name="Énfasis5 15 15" xfId="22246" xr:uid="{00000000-0005-0000-0000-0000C0560000}"/>
    <cellStyle name="Énfasis5 15 16" xfId="22247" xr:uid="{00000000-0005-0000-0000-0000C1560000}"/>
    <cellStyle name="Énfasis5 15 17" xfId="22248" xr:uid="{00000000-0005-0000-0000-0000C2560000}"/>
    <cellStyle name="Énfasis5 15 18" xfId="22249" xr:uid="{00000000-0005-0000-0000-0000C3560000}"/>
    <cellStyle name="Énfasis5 15 19" xfId="22250" xr:uid="{00000000-0005-0000-0000-0000C4560000}"/>
    <cellStyle name="Énfasis5 15 2" xfId="22251" xr:uid="{00000000-0005-0000-0000-0000C5560000}"/>
    <cellStyle name="Énfasis5 15 2 2" xfId="22252" xr:uid="{00000000-0005-0000-0000-0000C6560000}"/>
    <cellStyle name="Énfasis5 15 3" xfId="22253" xr:uid="{00000000-0005-0000-0000-0000C7560000}"/>
    <cellStyle name="Énfasis5 15 3 2" xfId="22254" xr:uid="{00000000-0005-0000-0000-0000C8560000}"/>
    <cellStyle name="Énfasis5 15 4" xfId="22255" xr:uid="{00000000-0005-0000-0000-0000C9560000}"/>
    <cellStyle name="Énfasis5 15 4 2" xfId="22256" xr:uid="{00000000-0005-0000-0000-0000CA560000}"/>
    <cellStyle name="Énfasis5 15 5" xfId="22257" xr:uid="{00000000-0005-0000-0000-0000CB560000}"/>
    <cellStyle name="Énfasis5 15 6" xfId="22258" xr:uid="{00000000-0005-0000-0000-0000CC560000}"/>
    <cellStyle name="Énfasis5 15 7" xfId="22259" xr:uid="{00000000-0005-0000-0000-0000CD560000}"/>
    <cellStyle name="Énfasis5 15 8" xfId="22260" xr:uid="{00000000-0005-0000-0000-0000CE560000}"/>
    <cellStyle name="Énfasis5 15 9" xfId="22261" xr:uid="{00000000-0005-0000-0000-0000CF560000}"/>
    <cellStyle name="Énfasis5 16 10" xfId="22262" xr:uid="{00000000-0005-0000-0000-0000D0560000}"/>
    <cellStyle name="Énfasis5 16 11" xfId="22263" xr:uid="{00000000-0005-0000-0000-0000D1560000}"/>
    <cellStyle name="Énfasis5 16 12" xfId="22264" xr:uid="{00000000-0005-0000-0000-0000D2560000}"/>
    <cellStyle name="Énfasis5 16 13" xfId="22265" xr:uid="{00000000-0005-0000-0000-0000D3560000}"/>
    <cellStyle name="Énfasis5 16 14" xfId="22266" xr:uid="{00000000-0005-0000-0000-0000D4560000}"/>
    <cellStyle name="Énfasis5 16 15" xfId="22267" xr:uid="{00000000-0005-0000-0000-0000D5560000}"/>
    <cellStyle name="Énfasis5 16 16" xfId="22268" xr:uid="{00000000-0005-0000-0000-0000D6560000}"/>
    <cellStyle name="Énfasis5 16 17" xfId="22269" xr:uid="{00000000-0005-0000-0000-0000D7560000}"/>
    <cellStyle name="Énfasis5 16 18" xfId="22270" xr:uid="{00000000-0005-0000-0000-0000D8560000}"/>
    <cellStyle name="Énfasis5 16 19" xfId="22271" xr:uid="{00000000-0005-0000-0000-0000D9560000}"/>
    <cellStyle name="Énfasis5 16 2" xfId="22272" xr:uid="{00000000-0005-0000-0000-0000DA560000}"/>
    <cellStyle name="Énfasis5 16 2 2" xfId="22273" xr:uid="{00000000-0005-0000-0000-0000DB560000}"/>
    <cellStyle name="Énfasis5 16 3" xfId="22274" xr:uid="{00000000-0005-0000-0000-0000DC560000}"/>
    <cellStyle name="Énfasis5 16 3 2" xfId="22275" xr:uid="{00000000-0005-0000-0000-0000DD560000}"/>
    <cellStyle name="Énfasis5 16 4" xfId="22276" xr:uid="{00000000-0005-0000-0000-0000DE560000}"/>
    <cellStyle name="Énfasis5 16 4 2" xfId="22277" xr:uid="{00000000-0005-0000-0000-0000DF560000}"/>
    <cellStyle name="Énfasis5 16 5" xfId="22278" xr:uid="{00000000-0005-0000-0000-0000E0560000}"/>
    <cellStyle name="Énfasis5 16 6" xfId="22279" xr:uid="{00000000-0005-0000-0000-0000E1560000}"/>
    <cellStyle name="Énfasis5 16 7" xfId="22280" xr:uid="{00000000-0005-0000-0000-0000E2560000}"/>
    <cellStyle name="Énfasis5 16 8" xfId="22281" xr:uid="{00000000-0005-0000-0000-0000E3560000}"/>
    <cellStyle name="Énfasis5 16 9" xfId="22282" xr:uid="{00000000-0005-0000-0000-0000E4560000}"/>
    <cellStyle name="Énfasis5 17 10" xfId="22283" xr:uid="{00000000-0005-0000-0000-0000E5560000}"/>
    <cellStyle name="Énfasis5 17 11" xfId="22284" xr:uid="{00000000-0005-0000-0000-0000E6560000}"/>
    <cellStyle name="Énfasis5 17 12" xfId="22285" xr:uid="{00000000-0005-0000-0000-0000E7560000}"/>
    <cellStyle name="Énfasis5 17 13" xfId="22286" xr:uid="{00000000-0005-0000-0000-0000E8560000}"/>
    <cellStyle name="Énfasis5 17 14" xfId="22287" xr:uid="{00000000-0005-0000-0000-0000E9560000}"/>
    <cellStyle name="Énfasis5 17 15" xfId="22288" xr:uid="{00000000-0005-0000-0000-0000EA560000}"/>
    <cellStyle name="Énfasis5 17 16" xfId="22289" xr:uid="{00000000-0005-0000-0000-0000EB560000}"/>
    <cellStyle name="Énfasis5 17 17" xfId="22290" xr:uid="{00000000-0005-0000-0000-0000EC560000}"/>
    <cellStyle name="Énfasis5 17 18" xfId="22291" xr:uid="{00000000-0005-0000-0000-0000ED560000}"/>
    <cellStyle name="Énfasis5 17 19" xfId="22292" xr:uid="{00000000-0005-0000-0000-0000EE560000}"/>
    <cellStyle name="Énfasis5 17 2" xfId="22293" xr:uid="{00000000-0005-0000-0000-0000EF560000}"/>
    <cellStyle name="Énfasis5 17 2 2" xfId="22294" xr:uid="{00000000-0005-0000-0000-0000F0560000}"/>
    <cellStyle name="Énfasis5 17 3" xfId="22295" xr:uid="{00000000-0005-0000-0000-0000F1560000}"/>
    <cellStyle name="Énfasis5 17 3 2" xfId="22296" xr:uid="{00000000-0005-0000-0000-0000F2560000}"/>
    <cellStyle name="Énfasis5 17 4" xfId="22297" xr:uid="{00000000-0005-0000-0000-0000F3560000}"/>
    <cellStyle name="Énfasis5 17 4 2" xfId="22298" xr:uid="{00000000-0005-0000-0000-0000F4560000}"/>
    <cellStyle name="Énfasis5 17 5" xfId="22299" xr:uid="{00000000-0005-0000-0000-0000F5560000}"/>
    <cellStyle name="Énfasis5 17 6" xfId="22300" xr:uid="{00000000-0005-0000-0000-0000F6560000}"/>
    <cellStyle name="Énfasis5 17 7" xfId="22301" xr:uid="{00000000-0005-0000-0000-0000F7560000}"/>
    <cellStyle name="Énfasis5 17 8" xfId="22302" xr:uid="{00000000-0005-0000-0000-0000F8560000}"/>
    <cellStyle name="Énfasis5 17 9" xfId="22303" xr:uid="{00000000-0005-0000-0000-0000F9560000}"/>
    <cellStyle name="Énfasis5 18 10" xfId="22304" xr:uid="{00000000-0005-0000-0000-0000FA560000}"/>
    <cellStyle name="Énfasis5 18 11" xfId="22305" xr:uid="{00000000-0005-0000-0000-0000FB560000}"/>
    <cellStyle name="Énfasis5 18 12" xfId="22306" xr:uid="{00000000-0005-0000-0000-0000FC560000}"/>
    <cellStyle name="Énfasis5 18 13" xfId="22307" xr:uid="{00000000-0005-0000-0000-0000FD560000}"/>
    <cellStyle name="Énfasis5 18 14" xfId="22308" xr:uid="{00000000-0005-0000-0000-0000FE560000}"/>
    <cellStyle name="Énfasis5 18 15" xfId="22309" xr:uid="{00000000-0005-0000-0000-0000FF560000}"/>
    <cellStyle name="Énfasis5 18 16" xfId="22310" xr:uid="{00000000-0005-0000-0000-000000570000}"/>
    <cellStyle name="Énfasis5 18 17" xfId="22311" xr:uid="{00000000-0005-0000-0000-000001570000}"/>
    <cellStyle name="Énfasis5 18 18" xfId="22312" xr:uid="{00000000-0005-0000-0000-000002570000}"/>
    <cellStyle name="Énfasis5 18 19" xfId="22313" xr:uid="{00000000-0005-0000-0000-000003570000}"/>
    <cellStyle name="Énfasis5 18 2" xfId="22314" xr:uid="{00000000-0005-0000-0000-000004570000}"/>
    <cellStyle name="Énfasis5 18 2 2" xfId="22315" xr:uid="{00000000-0005-0000-0000-000005570000}"/>
    <cellStyle name="Énfasis5 18 3" xfId="22316" xr:uid="{00000000-0005-0000-0000-000006570000}"/>
    <cellStyle name="Énfasis5 18 3 2" xfId="22317" xr:uid="{00000000-0005-0000-0000-000007570000}"/>
    <cellStyle name="Énfasis5 18 4" xfId="22318" xr:uid="{00000000-0005-0000-0000-000008570000}"/>
    <cellStyle name="Énfasis5 18 4 2" xfId="22319" xr:uid="{00000000-0005-0000-0000-000009570000}"/>
    <cellStyle name="Énfasis5 18 5" xfId="22320" xr:uid="{00000000-0005-0000-0000-00000A570000}"/>
    <cellStyle name="Énfasis5 18 6" xfId="22321" xr:uid="{00000000-0005-0000-0000-00000B570000}"/>
    <cellStyle name="Énfasis5 18 7" xfId="22322" xr:uid="{00000000-0005-0000-0000-00000C570000}"/>
    <cellStyle name="Énfasis5 18 8" xfId="22323" xr:uid="{00000000-0005-0000-0000-00000D570000}"/>
    <cellStyle name="Énfasis5 18 9" xfId="22324" xr:uid="{00000000-0005-0000-0000-00000E570000}"/>
    <cellStyle name="Énfasis5 19 10" xfId="22325" xr:uid="{00000000-0005-0000-0000-00000F570000}"/>
    <cellStyle name="Énfasis5 19 11" xfId="22326" xr:uid="{00000000-0005-0000-0000-000010570000}"/>
    <cellStyle name="Énfasis5 19 12" xfId="22327" xr:uid="{00000000-0005-0000-0000-000011570000}"/>
    <cellStyle name="Énfasis5 19 13" xfId="22328" xr:uid="{00000000-0005-0000-0000-000012570000}"/>
    <cellStyle name="Énfasis5 19 14" xfId="22329" xr:uid="{00000000-0005-0000-0000-000013570000}"/>
    <cellStyle name="Énfasis5 19 15" xfId="22330" xr:uid="{00000000-0005-0000-0000-000014570000}"/>
    <cellStyle name="Énfasis5 19 16" xfId="22331" xr:uid="{00000000-0005-0000-0000-000015570000}"/>
    <cellStyle name="Énfasis5 19 17" xfId="22332" xr:uid="{00000000-0005-0000-0000-000016570000}"/>
    <cellStyle name="Énfasis5 19 18" xfId="22333" xr:uid="{00000000-0005-0000-0000-000017570000}"/>
    <cellStyle name="Énfasis5 19 19" xfId="22334" xr:uid="{00000000-0005-0000-0000-000018570000}"/>
    <cellStyle name="Énfasis5 19 2" xfId="22335" xr:uid="{00000000-0005-0000-0000-000019570000}"/>
    <cellStyle name="Énfasis5 19 2 2" xfId="22336" xr:uid="{00000000-0005-0000-0000-00001A570000}"/>
    <cellStyle name="Énfasis5 19 3" xfId="22337" xr:uid="{00000000-0005-0000-0000-00001B570000}"/>
    <cellStyle name="Énfasis5 19 3 2" xfId="22338" xr:uid="{00000000-0005-0000-0000-00001C570000}"/>
    <cellStyle name="Énfasis5 19 4" xfId="22339" xr:uid="{00000000-0005-0000-0000-00001D570000}"/>
    <cellStyle name="Énfasis5 19 4 2" xfId="22340" xr:uid="{00000000-0005-0000-0000-00001E570000}"/>
    <cellStyle name="Énfasis5 19 5" xfId="22341" xr:uid="{00000000-0005-0000-0000-00001F570000}"/>
    <cellStyle name="Énfasis5 19 6" xfId="22342" xr:uid="{00000000-0005-0000-0000-000020570000}"/>
    <cellStyle name="Énfasis5 19 7" xfId="22343" xr:uid="{00000000-0005-0000-0000-000021570000}"/>
    <cellStyle name="Énfasis5 19 8" xfId="22344" xr:uid="{00000000-0005-0000-0000-000022570000}"/>
    <cellStyle name="Énfasis5 19 9" xfId="22345" xr:uid="{00000000-0005-0000-0000-000023570000}"/>
    <cellStyle name="Énfasis5 2 10" xfId="22346" xr:uid="{00000000-0005-0000-0000-000024570000}"/>
    <cellStyle name="Énfasis5 2 11" xfId="22347" xr:uid="{00000000-0005-0000-0000-000025570000}"/>
    <cellStyle name="Énfasis5 2 12" xfId="22348" xr:uid="{00000000-0005-0000-0000-000026570000}"/>
    <cellStyle name="Énfasis5 2 13" xfId="22349" xr:uid="{00000000-0005-0000-0000-000027570000}"/>
    <cellStyle name="Énfasis5 2 14" xfId="22350" xr:uid="{00000000-0005-0000-0000-000028570000}"/>
    <cellStyle name="Énfasis5 2 15" xfId="22351" xr:uid="{00000000-0005-0000-0000-000029570000}"/>
    <cellStyle name="Énfasis5 2 16" xfId="22352" xr:uid="{00000000-0005-0000-0000-00002A570000}"/>
    <cellStyle name="Énfasis5 2 17" xfId="22353" xr:uid="{00000000-0005-0000-0000-00002B570000}"/>
    <cellStyle name="Énfasis5 2 18" xfId="22354" xr:uid="{00000000-0005-0000-0000-00002C570000}"/>
    <cellStyle name="Énfasis5 2 19" xfId="22355" xr:uid="{00000000-0005-0000-0000-00002D570000}"/>
    <cellStyle name="Énfasis5 2 2" xfId="22356" xr:uid="{00000000-0005-0000-0000-00002E570000}"/>
    <cellStyle name="Énfasis5 2 2 2" xfId="22357" xr:uid="{00000000-0005-0000-0000-00002F570000}"/>
    <cellStyle name="Énfasis5 2 3" xfId="22358" xr:uid="{00000000-0005-0000-0000-000030570000}"/>
    <cellStyle name="Énfasis5 2 3 2" xfId="22359" xr:uid="{00000000-0005-0000-0000-000031570000}"/>
    <cellStyle name="Énfasis5 2 4" xfId="22360" xr:uid="{00000000-0005-0000-0000-000032570000}"/>
    <cellStyle name="Énfasis5 2 4 2" xfId="22361" xr:uid="{00000000-0005-0000-0000-000033570000}"/>
    <cellStyle name="Énfasis5 2 5" xfId="22362" xr:uid="{00000000-0005-0000-0000-000034570000}"/>
    <cellStyle name="Énfasis5 2 6" xfId="22363" xr:uid="{00000000-0005-0000-0000-000035570000}"/>
    <cellStyle name="Énfasis5 2 7" xfId="22364" xr:uid="{00000000-0005-0000-0000-000036570000}"/>
    <cellStyle name="Énfasis5 2 8" xfId="22365" xr:uid="{00000000-0005-0000-0000-000037570000}"/>
    <cellStyle name="Énfasis5 2 9" xfId="22366" xr:uid="{00000000-0005-0000-0000-000038570000}"/>
    <cellStyle name="Énfasis5 20 10" xfId="22367" xr:uid="{00000000-0005-0000-0000-000039570000}"/>
    <cellStyle name="Énfasis5 20 11" xfId="22368" xr:uid="{00000000-0005-0000-0000-00003A570000}"/>
    <cellStyle name="Énfasis5 20 12" xfId="22369" xr:uid="{00000000-0005-0000-0000-00003B570000}"/>
    <cellStyle name="Énfasis5 20 13" xfId="22370" xr:uid="{00000000-0005-0000-0000-00003C570000}"/>
    <cellStyle name="Énfasis5 20 14" xfId="22371" xr:uid="{00000000-0005-0000-0000-00003D570000}"/>
    <cellStyle name="Énfasis5 20 15" xfId="22372" xr:uid="{00000000-0005-0000-0000-00003E570000}"/>
    <cellStyle name="Énfasis5 20 16" xfId="22373" xr:uid="{00000000-0005-0000-0000-00003F570000}"/>
    <cellStyle name="Énfasis5 20 17" xfId="22374" xr:uid="{00000000-0005-0000-0000-000040570000}"/>
    <cellStyle name="Énfasis5 20 18" xfId="22375" xr:uid="{00000000-0005-0000-0000-000041570000}"/>
    <cellStyle name="Énfasis5 20 19" xfId="22376" xr:uid="{00000000-0005-0000-0000-000042570000}"/>
    <cellStyle name="Énfasis5 20 2" xfId="22377" xr:uid="{00000000-0005-0000-0000-000043570000}"/>
    <cellStyle name="Énfasis5 20 2 2" xfId="22378" xr:uid="{00000000-0005-0000-0000-000044570000}"/>
    <cellStyle name="Énfasis5 20 3" xfId="22379" xr:uid="{00000000-0005-0000-0000-000045570000}"/>
    <cellStyle name="Énfasis5 20 3 2" xfId="22380" xr:uid="{00000000-0005-0000-0000-000046570000}"/>
    <cellStyle name="Énfasis5 20 4" xfId="22381" xr:uid="{00000000-0005-0000-0000-000047570000}"/>
    <cellStyle name="Énfasis5 20 4 2" xfId="22382" xr:uid="{00000000-0005-0000-0000-000048570000}"/>
    <cellStyle name="Énfasis5 20 5" xfId="22383" xr:uid="{00000000-0005-0000-0000-000049570000}"/>
    <cellStyle name="Énfasis5 20 6" xfId="22384" xr:uid="{00000000-0005-0000-0000-00004A570000}"/>
    <cellStyle name="Énfasis5 20 7" xfId="22385" xr:uid="{00000000-0005-0000-0000-00004B570000}"/>
    <cellStyle name="Énfasis5 20 8" xfId="22386" xr:uid="{00000000-0005-0000-0000-00004C570000}"/>
    <cellStyle name="Énfasis5 20 9" xfId="22387" xr:uid="{00000000-0005-0000-0000-00004D570000}"/>
    <cellStyle name="Énfasis5 21 10" xfId="22388" xr:uid="{00000000-0005-0000-0000-00004E570000}"/>
    <cellStyle name="Énfasis5 21 11" xfId="22389" xr:uid="{00000000-0005-0000-0000-00004F570000}"/>
    <cellStyle name="Énfasis5 21 12" xfId="22390" xr:uid="{00000000-0005-0000-0000-000050570000}"/>
    <cellStyle name="Énfasis5 21 13" xfId="22391" xr:uid="{00000000-0005-0000-0000-000051570000}"/>
    <cellStyle name="Énfasis5 21 14" xfId="22392" xr:uid="{00000000-0005-0000-0000-000052570000}"/>
    <cellStyle name="Énfasis5 21 15" xfId="22393" xr:uid="{00000000-0005-0000-0000-000053570000}"/>
    <cellStyle name="Énfasis5 21 16" xfId="22394" xr:uid="{00000000-0005-0000-0000-000054570000}"/>
    <cellStyle name="Énfasis5 21 17" xfId="22395" xr:uid="{00000000-0005-0000-0000-000055570000}"/>
    <cellStyle name="Énfasis5 21 18" xfId="22396" xr:uid="{00000000-0005-0000-0000-000056570000}"/>
    <cellStyle name="Énfasis5 21 19" xfId="22397" xr:uid="{00000000-0005-0000-0000-000057570000}"/>
    <cellStyle name="Énfasis5 21 2" xfId="22398" xr:uid="{00000000-0005-0000-0000-000058570000}"/>
    <cellStyle name="Énfasis5 21 2 2" xfId="22399" xr:uid="{00000000-0005-0000-0000-000059570000}"/>
    <cellStyle name="Énfasis5 21 3" xfId="22400" xr:uid="{00000000-0005-0000-0000-00005A570000}"/>
    <cellStyle name="Énfasis5 21 3 2" xfId="22401" xr:uid="{00000000-0005-0000-0000-00005B570000}"/>
    <cellStyle name="Énfasis5 21 4" xfId="22402" xr:uid="{00000000-0005-0000-0000-00005C570000}"/>
    <cellStyle name="Énfasis5 21 4 2" xfId="22403" xr:uid="{00000000-0005-0000-0000-00005D570000}"/>
    <cellStyle name="Énfasis5 21 5" xfId="22404" xr:uid="{00000000-0005-0000-0000-00005E570000}"/>
    <cellStyle name="Énfasis5 21 6" xfId="22405" xr:uid="{00000000-0005-0000-0000-00005F570000}"/>
    <cellStyle name="Énfasis5 21 7" xfId="22406" xr:uid="{00000000-0005-0000-0000-000060570000}"/>
    <cellStyle name="Énfasis5 21 8" xfId="22407" xr:uid="{00000000-0005-0000-0000-000061570000}"/>
    <cellStyle name="Énfasis5 21 9" xfId="22408" xr:uid="{00000000-0005-0000-0000-000062570000}"/>
    <cellStyle name="Énfasis5 22 10" xfId="22409" xr:uid="{00000000-0005-0000-0000-000063570000}"/>
    <cellStyle name="Énfasis5 22 11" xfId="22410" xr:uid="{00000000-0005-0000-0000-000064570000}"/>
    <cellStyle name="Énfasis5 22 12" xfId="22411" xr:uid="{00000000-0005-0000-0000-000065570000}"/>
    <cellStyle name="Énfasis5 22 13" xfId="22412" xr:uid="{00000000-0005-0000-0000-000066570000}"/>
    <cellStyle name="Énfasis5 22 14" xfId="22413" xr:uid="{00000000-0005-0000-0000-000067570000}"/>
    <cellStyle name="Énfasis5 22 15" xfId="22414" xr:uid="{00000000-0005-0000-0000-000068570000}"/>
    <cellStyle name="Énfasis5 22 16" xfId="22415" xr:uid="{00000000-0005-0000-0000-000069570000}"/>
    <cellStyle name="Énfasis5 22 17" xfId="22416" xr:uid="{00000000-0005-0000-0000-00006A570000}"/>
    <cellStyle name="Énfasis5 22 18" xfId="22417" xr:uid="{00000000-0005-0000-0000-00006B570000}"/>
    <cellStyle name="Énfasis5 22 19" xfId="22418" xr:uid="{00000000-0005-0000-0000-00006C570000}"/>
    <cellStyle name="Énfasis5 22 2" xfId="22419" xr:uid="{00000000-0005-0000-0000-00006D570000}"/>
    <cellStyle name="Énfasis5 22 2 2" xfId="22420" xr:uid="{00000000-0005-0000-0000-00006E570000}"/>
    <cellStyle name="Énfasis5 22 3" xfId="22421" xr:uid="{00000000-0005-0000-0000-00006F570000}"/>
    <cellStyle name="Énfasis5 22 3 2" xfId="22422" xr:uid="{00000000-0005-0000-0000-000070570000}"/>
    <cellStyle name="Énfasis5 22 4" xfId="22423" xr:uid="{00000000-0005-0000-0000-000071570000}"/>
    <cellStyle name="Énfasis5 22 4 2" xfId="22424" xr:uid="{00000000-0005-0000-0000-000072570000}"/>
    <cellStyle name="Énfasis5 22 5" xfId="22425" xr:uid="{00000000-0005-0000-0000-000073570000}"/>
    <cellStyle name="Énfasis5 22 6" xfId="22426" xr:uid="{00000000-0005-0000-0000-000074570000}"/>
    <cellStyle name="Énfasis5 22 7" xfId="22427" xr:uid="{00000000-0005-0000-0000-000075570000}"/>
    <cellStyle name="Énfasis5 22 8" xfId="22428" xr:uid="{00000000-0005-0000-0000-000076570000}"/>
    <cellStyle name="Énfasis5 22 9" xfId="22429" xr:uid="{00000000-0005-0000-0000-000077570000}"/>
    <cellStyle name="Énfasis5 23 10" xfId="22430" xr:uid="{00000000-0005-0000-0000-000078570000}"/>
    <cellStyle name="Énfasis5 23 11" xfId="22431" xr:uid="{00000000-0005-0000-0000-000079570000}"/>
    <cellStyle name="Énfasis5 23 12" xfId="22432" xr:uid="{00000000-0005-0000-0000-00007A570000}"/>
    <cellStyle name="Énfasis5 23 13" xfId="22433" xr:uid="{00000000-0005-0000-0000-00007B570000}"/>
    <cellStyle name="Énfasis5 23 14" xfId="22434" xr:uid="{00000000-0005-0000-0000-00007C570000}"/>
    <cellStyle name="Énfasis5 23 15" xfId="22435" xr:uid="{00000000-0005-0000-0000-00007D570000}"/>
    <cellStyle name="Énfasis5 23 16" xfId="22436" xr:uid="{00000000-0005-0000-0000-00007E570000}"/>
    <cellStyle name="Énfasis5 23 17" xfId="22437" xr:uid="{00000000-0005-0000-0000-00007F570000}"/>
    <cellStyle name="Énfasis5 23 18" xfId="22438" xr:uid="{00000000-0005-0000-0000-000080570000}"/>
    <cellStyle name="Énfasis5 23 19" xfId="22439" xr:uid="{00000000-0005-0000-0000-000081570000}"/>
    <cellStyle name="Énfasis5 23 2" xfId="22440" xr:uid="{00000000-0005-0000-0000-000082570000}"/>
    <cellStyle name="Énfasis5 23 2 2" xfId="22441" xr:uid="{00000000-0005-0000-0000-000083570000}"/>
    <cellStyle name="Énfasis5 23 3" xfId="22442" xr:uid="{00000000-0005-0000-0000-000084570000}"/>
    <cellStyle name="Énfasis5 23 3 2" xfId="22443" xr:uid="{00000000-0005-0000-0000-000085570000}"/>
    <cellStyle name="Énfasis5 23 4" xfId="22444" xr:uid="{00000000-0005-0000-0000-000086570000}"/>
    <cellStyle name="Énfasis5 23 4 2" xfId="22445" xr:uid="{00000000-0005-0000-0000-000087570000}"/>
    <cellStyle name="Énfasis5 23 5" xfId="22446" xr:uid="{00000000-0005-0000-0000-000088570000}"/>
    <cellStyle name="Énfasis5 23 6" xfId="22447" xr:uid="{00000000-0005-0000-0000-000089570000}"/>
    <cellStyle name="Énfasis5 23 7" xfId="22448" xr:uid="{00000000-0005-0000-0000-00008A570000}"/>
    <cellStyle name="Énfasis5 23 8" xfId="22449" xr:uid="{00000000-0005-0000-0000-00008B570000}"/>
    <cellStyle name="Énfasis5 23 9" xfId="22450" xr:uid="{00000000-0005-0000-0000-00008C570000}"/>
    <cellStyle name="Énfasis5 24 10" xfId="22451" xr:uid="{00000000-0005-0000-0000-00008D570000}"/>
    <cellStyle name="Énfasis5 24 11" xfId="22452" xr:uid="{00000000-0005-0000-0000-00008E570000}"/>
    <cellStyle name="Énfasis5 24 12" xfId="22453" xr:uid="{00000000-0005-0000-0000-00008F570000}"/>
    <cellStyle name="Énfasis5 24 13" xfId="22454" xr:uid="{00000000-0005-0000-0000-000090570000}"/>
    <cellStyle name="Énfasis5 24 14" xfId="22455" xr:uid="{00000000-0005-0000-0000-000091570000}"/>
    <cellStyle name="Énfasis5 24 15" xfId="22456" xr:uid="{00000000-0005-0000-0000-000092570000}"/>
    <cellStyle name="Énfasis5 24 16" xfId="22457" xr:uid="{00000000-0005-0000-0000-000093570000}"/>
    <cellStyle name="Énfasis5 24 17" xfId="22458" xr:uid="{00000000-0005-0000-0000-000094570000}"/>
    <cellStyle name="Énfasis5 24 18" xfId="22459" xr:uid="{00000000-0005-0000-0000-000095570000}"/>
    <cellStyle name="Énfasis5 24 19" xfId="22460" xr:uid="{00000000-0005-0000-0000-000096570000}"/>
    <cellStyle name="Énfasis5 24 2" xfId="22461" xr:uid="{00000000-0005-0000-0000-000097570000}"/>
    <cellStyle name="Énfasis5 24 2 2" xfId="22462" xr:uid="{00000000-0005-0000-0000-000098570000}"/>
    <cellStyle name="Énfasis5 24 3" xfId="22463" xr:uid="{00000000-0005-0000-0000-000099570000}"/>
    <cellStyle name="Énfasis5 24 3 2" xfId="22464" xr:uid="{00000000-0005-0000-0000-00009A570000}"/>
    <cellStyle name="Énfasis5 24 4" xfId="22465" xr:uid="{00000000-0005-0000-0000-00009B570000}"/>
    <cellStyle name="Énfasis5 24 4 2" xfId="22466" xr:uid="{00000000-0005-0000-0000-00009C570000}"/>
    <cellStyle name="Énfasis5 24 5" xfId="22467" xr:uid="{00000000-0005-0000-0000-00009D570000}"/>
    <cellStyle name="Énfasis5 24 6" xfId="22468" xr:uid="{00000000-0005-0000-0000-00009E570000}"/>
    <cellStyle name="Énfasis5 24 7" xfId="22469" xr:uid="{00000000-0005-0000-0000-00009F570000}"/>
    <cellStyle name="Énfasis5 24 8" xfId="22470" xr:uid="{00000000-0005-0000-0000-0000A0570000}"/>
    <cellStyle name="Énfasis5 24 9" xfId="22471" xr:uid="{00000000-0005-0000-0000-0000A1570000}"/>
    <cellStyle name="Énfasis5 25 10" xfId="22472" xr:uid="{00000000-0005-0000-0000-0000A2570000}"/>
    <cellStyle name="Énfasis5 25 11" xfId="22473" xr:uid="{00000000-0005-0000-0000-0000A3570000}"/>
    <cellStyle name="Énfasis5 25 12" xfId="22474" xr:uid="{00000000-0005-0000-0000-0000A4570000}"/>
    <cellStyle name="Énfasis5 25 13" xfId="22475" xr:uid="{00000000-0005-0000-0000-0000A5570000}"/>
    <cellStyle name="Énfasis5 25 14" xfId="22476" xr:uid="{00000000-0005-0000-0000-0000A6570000}"/>
    <cellStyle name="Énfasis5 25 15" xfId="22477" xr:uid="{00000000-0005-0000-0000-0000A7570000}"/>
    <cellStyle name="Énfasis5 25 16" xfId="22478" xr:uid="{00000000-0005-0000-0000-0000A8570000}"/>
    <cellStyle name="Énfasis5 25 17" xfId="22479" xr:uid="{00000000-0005-0000-0000-0000A9570000}"/>
    <cellStyle name="Énfasis5 25 18" xfId="22480" xr:uid="{00000000-0005-0000-0000-0000AA570000}"/>
    <cellStyle name="Énfasis5 25 19" xfId="22481" xr:uid="{00000000-0005-0000-0000-0000AB570000}"/>
    <cellStyle name="Énfasis5 25 2" xfId="22482" xr:uid="{00000000-0005-0000-0000-0000AC570000}"/>
    <cellStyle name="Énfasis5 25 2 2" xfId="22483" xr:uid="{00000000-0005-0000-0000-0000AD570000}"/>
    <cellStyle name="Énfasis5 25 3" xfId="22484" xr:uid="{00000000-0005-0000-0000-0000AE570000}"/>
    <cellStyle name="Énfasis5 25 3 2" xfId="22485" xr:uid="{00000000-0005-0000-0000-0000AF570000}"/>
    <cellStyle name="Énfasis5 25 4" xfId="22486" xr:uid="{00000000-0005-0000-0000-0000B0570000}"/>
    <cellStyle name="Énfasis5 25 4 2" xfId="22487" xr:uid="{00000000-0005-0000-0000-0000B1570000}"/>
    <cellStyle name="Énfasis5 25 5" xfId="22488" xr:uid="{00000000-0005-0000-0000-0000B2570000}"/>
    <cellStyle name="Énfasis5 25 6" xfId="22489" xr:uid="{00000000-0005-0000-0000-0000B3570000}"/>
    <cellStyle name="Énfasis5 25 7" xfId="22490" xr:uid="{00000000-0005-0000-0000-0000B4570000}"/>
    <cellStyle name="Énfasis5 25 8" xfId="22491" xr:uid="{00000000-0005-0000-0000-0000B5570000}"/>
    <cellStyle name="Énfasis5 25 9" xfId="22492" xr:uid="{00000000-0005-0000-0000-0000B6570000}"/>
    <cellStyle name="Énfasis5 26 10" xfId="22493" xr:uid="{00000000-0005-0000-0000-0000B7570000}"/>
    <cellStyle name="Énfasis5 26 11" xfId="22494" xr:uid="{00000000-0005-0000-0000-0000B8570000}"/>
    <cellStyle name="Énfasis5 26 12" xfId="22495" xr:uid="{00000000-0005-0000-0000-0000B9570000}"/>
    <cellStyle name="Énfasis5 26 13" xfId="22496" xr:uid="{00000000-0005-0000-0000-0000BA570000}"/>
    <cellStyle name="Énfasis5 26 14" xfId="22497" xr:uid="{00000000-0005-0000-0000-0000BB570000}"/>
    <cellStyle name="Énfasis5 26 15" xfId="22498" xr:uid="{00000000-0005-0000-0000-0000BC570000}"/>
    <cellStyle name="Énfasis5 26 16" xfId="22499" xr:uid="{00000000-0005-0000-0000-0000BD570000}"/>
    <cellStyle name="Énfasis5 26 17" xfId="22500" xr:uid="{00000000-0005-0000-0000-0000BE570000}"/>
    <cellStyle name="Énfasis5 26 18" xfId="22501" xr:uid="{00000000-0005-0000-0000-0000BF570000}"/>
    <cellStyle name="Énfasis5 26 19" xfId="22502" xr:uid="{00000000-0005-0000-0000-0000C0570000}"/>
    <cellStyle name="Énfasis5 26 2" xfId="22503" xr:uid="{00000000-0005-0000-0000-0000C1570000}"/>
    <cellStyle name="Énfasis5 26 2 2" xfId="22504" xr:uid="{00000000-0005-0000-0000-0000C2570000}"/>
    <cellStyle name="Énfasis5 26 3" xfId="22505" xr:uid="{00000000-0005-0000-0000-0000C3570000}"/>
    <cellStyle name="Énfasis5 26 3 2" xfId="22506" xr:uid="{00000000-0005-0000-0000-0000C4570000}"/>
    <cellStyle name="Énfasis5 26 4" xfId="22507" xr:uid="{00000000-0005-0000-0000-0000C5570000}"/>
    <cellStyle name="Énfasis5 26 4 2" xfId="22508" xr:uid="{00000000-0005-0000-0000-0000C6570000}"/>
    <cellStyle name="Énfasis5 26 5" xfId="22509" xr:uid="{00000000-0005-0000-0000-0000C7570000}"/>
    <cellStyle name="Énfasis5 26 6" xfId="22510" xr:uid="{00000000-0005-0000-0000-0000C8570000}"/>
    <cellStyle name="Énfasis5 26 7" xfId="22511" xr:uid="{00000000-0005-0000-0000-0000C9570000}"/>
    <cellStyle name="Énfasis5 26 8" xfId="22512" xr:uid="{00000000-0005-0000-0000-0000CA570000}"/>
    <cellStyle name="Énfasis5 26 9" xfId="22513" xr:uid="{00000000-0005-0000-0000-0000CB570000}"/>
    <cellStyle name="Énfasis5 27 10" xfId="22514" xr:uid="{00000000-0005-0000-0000-0000CC570000}"/>
    <cellStyle name="Énfasis5 27 11" xfId="22515" xr:uid="{00000000-0005-0000-0000-0000CD570000}"/>
    <cellStyle name="Énfasis5 27 12" xfId="22516" xr:uid="{00000000-0005-0000-0000-0000CE570000}"/>
    <cellStyle name="Énfasis5 27 13" xfId="22517" xr:uid="{00000000-0005-0000-0000-0000CF570000}"/>
    <cellStyle name="Énfasis5 27 14" xfId="22518" xr:uid="{00000000-0005-0000-0000-0000D0570000}"/>
    <cellStyle name="Énfasis5 27 15" xfId="22519" xr:uid="{00000000-0005-0000-0000-0000D1570000}"/>
    <cellStyle name="Énfasis5 27 16" xfId="22520" xr:uid="{00000000-0005-0000-0000-0000D2570000}"/>
    <cellStyle name="Énfasis5 27 17" xfId="22521" xr:uid="{00000000-0005-0000-0000-0000D3570000}"/>
    <cellStyle name="Énfasis5 27 18" xfId="22522" xr:uid="{00000000-0005-0000-0000-0000D4570000}"/>
    <cellStyle name="Énfasis5 27 19" xfId="22523" xr:uid="{00000000-0005-0000-0000-0000D5570000}"/>
    <cellStyle name="Énfasis5 27 2" xfId="22524" xr:uid="{00000000-0005-0000-0000-0000D6570000}"/>
    <cellStyle name="Énfasis5 27 2 2" xfId="22525" xr:uid="{00000000-0005-0000-0000-0000D7570000}"/>
    <cellStyle name="Énfasis5 27 3" xfId="22526" xr:uid="{00000000-0005-0000-0000-0000D8570000}"/>
    <cellStyle name="Énfasis5 27 3 2" xfId="22527" xr:uid="{00000000-0005-0000-0000-0000D9570000}"/>
    <cellStyle name="Énfasis5 27 4" xfId="22528" xr:uid="{00000000-0005-0000-0000-0000DA570000}"/>
    <cellStyle name="Énfasis5 27 4 2" xfId="22529" xr:uid="{00000000-0005-0000-0000-0000DB570000}"/>
    <cellStyle name="Énfasis5 27 5" xfId="22530" xr:uid="{00000000-0005-0000-0000-0000DC570000}"/>
    <cellStyle name="Énfasis5 27 6" xfId="22531" xr:uid="{00000000-0005-0000-0000-0000DD570000}"/>
    <cellStyle name="Énfasis5 27 7" xfId="22532" xr:uid="{00000000-0005-0000-0000-0000DE570000}"/>
    <cellStyle name="Énfasis5 27 8" xfId="22533" xr:uid="{00000000-0005-0000-0000-0000DF570000}"/>
    <cellStyle name="Énfasis5 27 9" xfId="22534" xr:uid="{00000000-0005-0000-0000-0000E0570000}"/>
    <cellStyle name="Énfasis5 28 10" xfId="22535" xr:uid="{00000000-0005-0000-0000-0000E1570000}"/>
    <cellStyle name="Énfasis5 28 11" xfId="22536" xr:uid="{00000000-0005-0000-0000-0000E2570000}"/>
    <cellStyle name="Énfasis5 28 12" xfId="22537" xr:uid="{00000000-0005-0000-0000-0000E3570000}"/>
    <cellStyle name="Énfasis5 28 13" xfId="22538" xr:uid="{00000000-0005-0000-0000-0000E4570000}"/>
    <cellStyle name="Énfasis5 28 14" xfId="22539" xr:uid="{00000000-0005-0000-0000-0000E5570000}"/>
    <cellStyle name="Énfasis5 28 15" xfId="22540" xr:uid="{00000000-0005-0000-0000-0000E6570000}"/>
    <cellStyle name="Énfasis5 28 16" xfId="22541" xr:uid="{00000000-0005-0000-0000-0000E7570000}"/>
    <cellStyle name="Énfasis5 28 17" xfId="22542" xr:uid="{00000000-0005-0000-0000-0000E8570000}"/>
    <cellStyle name="Énfasis5 28 18" xfId="22543" xr:uid="{00000000-0005-0000-0000-0000E9570000}"/>
    <cellStyle name="Énfasis5 28 19" xfId="22544" xr:uid="{00000000-0005-0000-0000-0000EA570000}"/>
    <cellStyle name="Énfasis5 28 2" xfId="22545" xr:uid="{00000000-0005-0000-0000-0000EB570000}"/>
    <cellStyle name="Énfasis5 28 2 2" xfId="22546" xr:uid="{00000000-0005-0000-0000-0000EC570000}"/>
    <cellStyle name="Énfasis5 28 3" xfId="22547" xr:uid="{00000000-0005-0000-0000-0000ED570000}"/>
    <cellStyle name="Énfasis5 28 3 2" xfId="22548" xr:uid="{00000000-0005-0000-0000-0000EE570000}"/>
    <cellStyle name="Énfasis5 28 4" xfId="22549" xr:uid="{00000000-0005-0000-0000-0000EF570000}"/>
    <cellStyle name="Énfasis5 28 4 2" xfId="22550" xr:uid="{00000000-0005-0000-0000-0000F0570000}"/>
    <cellStyle name="Énfasis5 28 5" xfId="22551" xr:uid="{00000000-0005-0000-0000-0000F1570000}"/>
    <cellStyle name="Énfasis5 28 6" xfId="22552" xr:uid="{00000000-0005-0000-0000-0000F2570000}"/>
    <cellStyle name="Énfasis5 28 7" xfId="22553" xr:uid="{00000000-0005-0000-0000-0000F3570000}"/>
    <cellStyle name="Énfasis5 28 8" xfId="22554" xr:uid="{00000000-0005-0000-0000-0000F4570000}"/>
    <cellStyle name="Énfasis5 28 9" xfId="22555" xr:uid="{00000000-0005-0000-0000-0000F5570000}"/>
    <cellStyle name="Énfasis5 29 10" xfId="22556" xr:uid="{00000000-0005-0000-0000-0000F6570000}"/>
    <cellStyle name="Énfasis5 29 11" xfId="22557" xr:uid="{00000000-0005-0000-0000-0000F7570000}"/>
    <cellStyle name="Énfasis5 29 12" xfId="22558" xr:uid="{00000000-0005-0000-0000-0000F8570000}"/>
    <cellStyle name="Énfasis5 29 13" xfId="22559" xr:uid="{00000000-0005-0000-0000-0000F9570000}"/>
    <cellStyle name="Énfasis5 29 14" xfId="22560" xr:uid="{00000000-0005-0000-0000-0000FA570000}"/>
    <cellStyle name="Énfasis5 29 15" xfId="22561" xr:uid="{00000000-0005-0000-0000-0000FB570000}"/>
    <cellStyle name="Énfasis5 29 16" xfId="22562" xr:uid="{00000000-0005-0000-0000-0000FC570000}"/>
    <cellStyle name="Énfasis5 29 17" xfId="22563" xr:uid="{00000000-0005-0000-0000-0000FD570000}"/>
    <cellStyle name="Énfasis5 29 18" xfId="22564" xr:uid="{00000000-0005-0000-0000-0000FE570000}"/>
    <cellStyle name="Énfasis5 29 19" xfId="22565" xr:uid="{00000000-0005-0000-0000-0000FF570000}"/>
    <cellStyle name="Énfasis5 29 2" xfId="22566" xr:uid="{00000000-0005-0000-0000-000000580000}"/>
    <cellStyle name="Énfasis5 29 2 2" xfId="22567" xr:uid="{00000000-0005-0000-0000-000001580000}"/>
    <cellStyle name="Énfasis5 29 3" xfId="22568" xr:uid="{00000000-0005-0000-0000-000002580000}"/>
    <cellStyle name="Énfasis5 29 3 2" xfId="22569" xr:uid="{00000000-0005-0000-0000-000003580000}"/>
    <cellStyle name="Énfasis5 29 4" xfId="22570" xr:uid="{00000000-0005-0000-0000-000004580000}"/>
    <cellStyle name="Énfasis5 29 4 2" xfId="22571" xr:uid="{00000000-0005-0000-0000-000005580000}"/>
    <cellStyle name="Énfasis5 29 5" xfId="22572" xr:uid="{00000000-0005-0000-0000-000006580000}"/>
    <cellStyle name="Énfasis5 29 6" xfId="22573" xr:uid="{00000000-0005-0000-0000-000007580000}"/>
    <cellStyle name="Énfasis5 29 7" xfId="22574" xr:uid="{00000000-0005-0000-0000-000008580000}"/>
    <cellStyle name="Énfasis5 29 8" xfId="22575" xr:uid="{00000000-0005-0000-0000-000009580000}"/>
    <cellStyle name="Énfasis5 29 9" xfId="22576" xr:uid="{00000000-0005-0000-0000-00000A580000}"/>
    <cellStyle name="Énfasis5 3 10" xfId="22577" xr:uid="{00000000-0005-0000-0000-00000B580000}"/>
    <cellStyle name="Énfasis5 3 11" xfId="22578" xr:uid="{00000000-0005-0000-0000-00000C580000}"/>
    <cellStyle name="Énfasis5 3 12" xfId="22579" xr:uid="{00000000-0005-0000-0000-00000D580000}"/>
    <cellStyle name="Énfasis5 3 13" xfId="22580" xr:uid="{00000000-0005-0000-0000-00000E580000}"/>
    <cellStyle name="Énfasis5 3 14" xfId="22581" xr:uid="{00000000-0005-0000-0000-00000F580000}"/>
    <cellStyle name="Énfasis5 3 15" xfId="22582" xr:uid="{00000000-0005-0000-0000-000010580000}"/>
    <cellStyle name="Énfasis5 3 16" xfId="22583" xr:uid="{00000000-0005-0000-0000-000011580000}"/>
    <cellStyle name="Énfasis5 3 17" xfId="22584" xr:uid="{00000000-0005-0000-0000-000012580000}"/>
    <cellStyle name="Énfasis5 3 18" xfId="22585" xr:uid="{00000000-0005-0000-0000-000013580000}"/>
    <cellStyle name="Énfasis5 3 19" xfId="22586" xr:uid="{00000000-0005-0000-0000-000014580000}"/>
    <cellStyle name="Énfasis5 3 2" xfId="22587" xr:uid="{00000000-0005-0000-0000-000015580000}"/>
    <cellStyle name="Énfasis5 3 2 2" xfId="22588" xr:uid="{00000000-0005-0000-0000-000016580000}"/>
    <cellStyle name="Énfasis5 3 3" xfId="22589" xr:uid="{00000000-0005-0000-0000-000017580000}"/>
    <cellStyle name="Énfasis5 3 3 2" xfId="22590" xr:uid="{00000000-0005-0000-0000-000018580000}"/>
    <cellStyle name="Énfasis5 3 4" xfId="22591" xr:uid="{00000000-0005-0000-0000-000019580000}"/>
    <cellStyle name="Énfasis5 3 4 2" xfId="22592" xr:uid="{00000000-0005-0000-0000-00001A580000}"/>
    <cellStyle name="Énfasis5 3 5" xfId="22593" xr:uid="{00000000-0005-0000-0000-00001B580000}"/>
    <cellStyle name="Énfasis5 3 6" xfId="22594" xr:uid="{00000000-0005-0000-0000-00001C580000}"/>
    <cellStyle name="Énfasis5 3 7" xfId="22595" xr:uid="{00000000-0005-0000-0000-00001D580000}"/>
    <cellStyle name="Énfasis5 3 8" xfId="22596" xr:uid="{00000000-0005-0000-0000-00001E580000}"/>
    <cellStyle name="Énfasis5 3 9" xfId="22597" xr:uid="{00000000-0005-0000-0000-00001F580000}"/>
    <cellStyle name="Énfasis5 30 10" xfId="22598" xr:uid="{00000000-0005-0000-0000-000020580000}"/>
    <cellStyle name="Énfasis5 30 11" xfId="22599" xr:uid="{00000000-0005-0000-0000-000021580000}"/>
    <cellStyle name="Énfasis5 30 12" xfId="22600" xr:uid="{00000000-0005-0000-0000-000022580000}"/>
    <cellStyle name="Énfasis5 30 13" xfId="22601" xr:uid="{00000000-0005-0000-0000-000023580000}"/>
    <cellStyle name="Énfasis5 30 14" xfId="22602" xr:uid="{00000000-0005-0000-0000-000024580000}"/>
    <cellStyle name="Énfasis5 30 15" xfId="22603" xr:uid="{00000000-0005-0000-0000-000025580000}"/>
    <cellStyle name="Énfasis5 30 16" xfId="22604" xr:uid="{00000000-0005-0000-0000-000026580000}"/>
    <cellStyle name="Énfasis5 30 17" xfId="22605" xr:uid="{00000000-0005-0000-0000-000027580000}"/>
    <cellStyle name="Énfasis5 30 18" xfId="22606" xr:uid="{00000000-0005-0000-0000-000028580000}"/>
    <cellStyle name="Énfasis5 30 19" xfId="22607" xr:uid="{00000000-0005-0000-0000-000029580000}"/>
    <cellStyle name="Énfasis5 30 2" xfId="22608" xr:uid="{00000000-0005-0000-0000-00002A580000}"/>
    <cellStyle name="Énfasis5 30 2 2" xfId="22609" xr:uid="{00000000-0005-0000-0000-00002B580000}"/>
    <cellStyle name="Énfasis5 30 3" xfId="22610" xr:uid="{00000000-0005-0000-0000-00002C580000}"/>
    <cellStyle name="Énfasis5 30 3 2" xfId="22611" xr:uid="{00000000-0005-0000-0000-00002D580000}"/>
    <cellStyle name="Énfasis5 30 4" xfId="22612" xr:uid="{00000000-0005-0000-0000-00002E580000}"/>
    <cellStyle name="Énfasis5 30 4 2" xfId="22613" xr:uid="{00000000-0005-0000-0000-00002F580000}"/>
    <cellStyle name="Énfasis5 30 5" xfId="22614" xr:uid="{00000000-0005-0000-0000-000030580000}"/>
    <cellStyle name="Énfasis5 30 6" xfId="22615" xr:uid="{00000000-0005-0000-0000-000031580000}"/>
    <cellStyle name="Énfasis5 30 7" xfId="22616" xr:uid="{00000000-0005-0000-0000-000032580000}"/>
    <cellStyle name="Énfasis5 30 8" xfId="22617" xr:uid="{00000000-0005-0000-0000-000033580000}"/>
    <cellStyle name="Énfasis5 30 9" xfId="22618" xr:uid="{00000000-0005-0000-0000-000034580000}"/>
    <cellStyle name="Énfasis5 31 10" xfId="22619" xr:uid="{00000000-0005-0000-0000-000035580000}"/>
    <cellStyle name="Énfasis5 31 11" xfId="22620" xr:uid="{00000000-0005-0000-0000-000036580000}"/>
    <cellStyle name="Énfasis5 31 12" xfId="22621" xr:uid="{00000000-0005-0000-0000-000037580000}"/>
    <cellStyle name="Énfasis5 31 13" xfId="22622" xr:uid="{00000000-0005-0000-0000-000038580000}"/>
    <cellStyle name="Énfasis5 31 14" xfId="22623" xr:uid="{00000000-0005-0000-0000-000039580000}"/>
    <cellStyle name="Énfasis5 31 15" xfId="22624" xr:uid="{00000000-0005-0000-0000-00003A580000}"/>
    <cellStyle name="Énfasis5 31 16" xfId="22625" xr:uid="{00000000-0005-0000-0000-00003B580000}"/>
    <cellStyle name="Énfasis5 31 17" xfId="22626" xr:uid="{00000000-0005-0000-0000-00003C580000}"/>
    <cellStyle name="Énfasis5 31 18" xfId="22627" xr:uid="{00000000-0005-0000-0000-00003D580000}"/>
    <cellStyle name="Énfasis5 31 19" xfId="22628" xr:uid="{00000000-0005-0000-0000-00003E580000}"/>
    <cellStyle name="Énfasis5 31 2" xfId="22629" xr:uid="{00000000-0005-0000-0000-00003F580000}"/>
    <cellStyle name="Énfasis5 31 2 2" xfId="22630" xr:uid="{00000000-0005-0000-0000-000040580000}"/>
    <cellStyle name="Énfasis5 31 3" xfId="22631" xr:uid="{00000000-0005-0000-0000-000041580000}"/>
    <cellStyle name="Énfasis5 31 3 2" xfId="22632" xr:uid="{00000000-0005-0000-0000-000042580000}"/>
    <cellStyle name="Énfasis5 31 4" xfId="22633" xr:uid="{00000000-0005-0000-0000-000043580000}"/>
    <cellStyle name="Énfasis5 31 4 2" xfId="22634" xr:uid="{00000000-0005-0000-0000-000044580000}"/>
    <cellStyle name="Énfasis5 31 5" xfId="22635" xr:uid="{00000000-0005-0000-0000-000045580000}"/>
    <cellStyle name="Énfasis5 31 6" xfId="22636" xr:uid="{00000000-0005-0000-0000-000046580000}"/>
    <cellStyle name="Énfasis5 31 7" xfId="22637" xr:uid="{00000000-0005-0000-0000-000047580000}"/>
    <cellStyle name="Énfasis5 31 8" xfId="22638" xr:uid="{00000000-0005-0000-0000-000048580000}"/>
    <cellStyle name="Énfasis5 31 9" xfId="22639" xr:uid="{00000000-0005-0000-0000-000049580000}"/>
    <cellStyle name="Énfasis5 32 10" xfId="22640" xr:uid="{00000000-0005-0000-0000-00004A580000}"/>
    <cellStyle name="Énfasis5 32 11" xfId="22641" xr:uid="{00000000-0005-0000-0000-00004B580000}"/>
    <cellStyle name="Énfasis5 32 12" xfId="22642" xr:uid="{00000000-0005-0000-0000-00004C580000}"/>
    <cellStyle name="Énfasis5 32 13" xfId="22643" xr:uid="{00000000-0005-0000-0000-00004D580000}"/>
    <cellStyle name="Énfasis5 32 14" xfId="22644" xr:uid="{00000000-0005-0000-0000-00004E580000}"/>
    <cellStyle name="Énfasis5 32 15" xfId="22645" xr:uid="{00000000-0005-0000-0000-00004F580000}"/>
    <cellStyle name="Énfasis5 32 16" xfId="22646" xr:uid="{00000000-0005-0000-0000-000050580000}"/>
    <cellStyle name="Énfasis5 32 17" xfId="22647" xr:uid="{00000000-0005-0000-0000-000051580000}"/>
    <cellStyle name="Énfasis5 32 18" xfId="22648" xr:uid="{00000000-0005-0000-0000-000052580000}"/>
    <cellStyle name="Énfasis5 32 19" xfId="22649" xr:uid="{00000000-0005-0000-0000-000053580000}"/>
    <cellStyle name="Énfasis5 32 2" xfId="22650" xr:uid="{00000000-0005-0000-0000-000054580000}"/>
    <cellStyle name="Énfasis5 32 2 2" xfId="22651" xr:uid="{00000000-0005-0000-0000-000055580000}"/>
    <cellStyle name="Énfasis5 32 3" xfId="22652" xr:uid="{00000000-0005-0000-0000-000056580000}"/>
    <cellStyle name="Énfasis5 32 3 2" xfId="22653" xr:uid="{00000000-0005-0000-0000-000057580000}"/>
    <cellStyle name="Énfasis5 32 4" xfId="22654" xr:uid="{00000000-0005-0000-0000-000058580000}"/>
    <cellStyle name="Énfasis5 32 4 2" xfId="22655" xr:uid="{00000000-0005-0000-0000-000059580000}"/>
    <cellStyle name="Énfasis5 32 5" xfId="22656" xr:uid="{00000000-0005-0000-0000-00005A580000}"/>
    <cellStyle name="Énfasis5 32 6" xfId="22657" xr:uid="{00000000-0005-0000-0000-00005B580000}"/>
    <cellStyle name="Énfasis5 32 7" xfId="22658" xr:uid="{00000000-0005-0000-0000-00005C580000}"/>
    <cellStyle name="Énfasis5 32 8" xfId="22659" xr:uid="{00000000-0005-0000-0000-00005D580000}"/>
    <cellStyle name="Énfasis5 32 9" xfId="22660" xr:uid="{00000000-0005-0000-0000-00005E580000}"/>
    <cellStyle name="Énfasis5 33 10" xfId="22661" xr:uid="{00000000-0005-0000-0000-00005F580000}"/>
    <cellStyle name="Énfasis5 33 11" xfId="22662" xr:uid="{00000000-0005-0000-0000-000060580000}"/>
    <cellStyle name="Énfasis5 33 12" xfId="22663" xr:uid="{00000000-0005-0000-0000-000061580000}"/>
    <cellStyle name="Énfasis5 33 13" xfId="22664" xr:uid="{00000000-0005-0000-0000-000062580000}"/>
    <cellStyle name="Énfasis5 33 14" xfId="22665" xr:uid="{00000000-0005-0000-0000-000063580000}"/>
    <cellStyle name="Énfasis5 33 15" xfId="22666" xr:uid="{00000000-0005-0000-0000-000064580000}"/>
    <cellStyle name="Énfasis5 33 16" xfId="22667" xr:uid="{00000000-0005-0000-0000-000065580000}"/>
    <cellStyle name="Énfasis5 33 17" xfId="22668" xr:uid="{00000000-0005-0000-0000-000066580000}"/>
    <cellStyle name="Énfasis5 33 18" xfId="22669" xr:uid="{00000000-0005-0000-0000-000067580000}"/>
    <cellStyle name="Énfasis5 33 19" xfId="22670" xr:uid="{00000000-0005-0000-0000-000068580000}"/>
    <cellStyle name="Énfasis5 33 2" xfId="22671" xr:uid="{00000000-0005-0000-0000-000069580000}"/>
    <cellStyle name="Énfasis5 33 2 2" xfId="22672" xr:uid="{00000000-0005-0000-0000-00006A580000}"/>
    <cellStyle name="Énfasis5 33 3" xfId="22673" xr:uid="{00000000-0005-0000-0000-00006B580000}"/>
    <cellStyle name="Énfasis5 33 3 2" xfId="22674" xr:uid="{00000000-0005-0000-0000-00006C580000}"/>
    <cellStyle name="Énfasis5 33 4" xfId="22675" xr:uid="{00000000-0005-0000-0000-00006D580000}"/>
    <cellStyle name="Énfasis5 33 4 2" xfId="22676" xr:uid="{00000000-0005-0000-0000-00006E580000}"/>
    <cellStyle name="Énfasis5 33 5" xfId="22677" xr:uid="{00000000-0005-0000-0000-00006F580000}"/>
    <cellStyle name="Énfasis5 33 6" xfId="22678" xr:uid="{00000000-0005-0000-0000-000070580000}"/>
    <cellStyle name="Énfasis5 33 7" xfId="22679" xr:uid="{00000000-0005-0000-0000-000071580000}"/>
    <cellStyle name="Énfasis5 33 8" xfId="22680" xr:uid="{00000000-0005-0000-0000-000072580000}"/>
    <cellStyle name="Énfasis5 33 9" xfId="22681" xr:uid="{00000000-0005-0000-0000-000073580000}"/>
    <cellStyle name="Énfasis5 34 10" xfId="22682" xr:uid="{00000000-0005-0000-0000-000074580000}"/>
    <cellStyle name="Énfasis5 34 11" xfId="22683" xr:uid="{00000000-0005-0000-0000-000075580000}"/>
    <cellStyle name="Énfasis5 34 12" xfId="22684" xr:uid="{00000000-0005-0000-0000-000076580000}"/>
    <cellStyle name="Énfasis5 34 13" xfId="22685" xr:uid="{00000000-0005-0000-0000-000077580000}"/>
    <cellStyle name="Énfasis5 34 14" xfId="22686" xr:uid="{00000000-0005-0000-0000-000078580000}"/>
    <cellStyle name="Énfasis5 34 15" xfId="22687" xr:uid="{00000000-0005-0000-0000-000079580000}"/>
    <cellStyle name="Énfasis5 34 16" xfId="22688" xr:uid="{00000000-0005-0000-0000-00007A580000}"/>
    <cellStyle name="Énfasis5 34 17" xfId="22689" xr:uid="{00000000-0005-0000-0000-00007B580000}"/>
    <cellStyle name="Énfasis5 34 18" xfId="22690" xr:uid="{00000000-0005-0000-0000-00007C580000}"/>
    <cellStyle name="Énfasis5 34 19" xfId="22691" xr:uid="{00000000-0005-0000-0000-00007D580000}"/>
    <cellStyle name="Énfasis5 34 2" xfId="22692" xr:uid="{00000000-0005-0000-0000-00007E580000}"/>
    <cellStyle name="Énfasis5 34 2 2" xfId="22693" xr:uid="{00000000-0005-0000-0000-00007F580000}"/>
    <cellStyle name="Énfasis5 34 3" xfId="22694" xr:uid="{00000000-0005-0000-0000-000080580000}"/>
    <cellStyle name="Énfasis5 34 3 2" xfId="22695" xr:uid="{00000000-0005-0000-0000-000081580000}"/>
    <cellStyle name="Énfasis5 34 4" xfId="22696" xr:uid="{00000000-0005-0000-0000-000082580000}"/>
    <cellStyle name="Énfasis5 34 4 2" xfId="22697" xr:uid="{00000000-0005-0000-0000-000083580000}"/>
    <cellStyle name="Énfasis5 34 5" xfId="22698" xr:uid="{00000000-0005-0000-0000-000084580000}"/>
    <cellStyle name="Énfasis5 34 6" xfId="22699" xr:uid="{00000000-0005-0000-0000-000085580000}"/>
    <cellStyle name="Énfasis5 34 7" xfId="22700" xr:uid="{00000000-0005-0000-0000-000086580000}"/>
    <cellStyle name="Énfasis5 34 8" xfId="22701" xr:uid="{00000000-0005-0000-0000-000087580000}"/>
    <cellStyle name="Énfasis5 34 9" xfId="22702" xr:uid="{00000000-0005-0000-0000-000088580000}"/>
    <cellStyle name="Énfasis5 35 10" xfId="22703" xr:uid="{00000000-0005-0000-0000-000089580000}"/>
    <cellStyle name="Énfasis5 35 11" xfId="22704" xr:uid="{00000000-0005-0000-0000-00008A580000}"/>
    <cellStyle name="Énfasis5 35 12" xfId="22705" xr:uid="{00000000-0005-0000-0000-00008B580000}"/>
    <cellStyle name="Énfasis5 35 13" xfId="22706" xr:uid="{00000000-0005-0000-0000-00008C580000}"/>
    <cellStyle name="Énfasis5 35 14" xfId="22707" xr:uid="{00000000-0005-0000-0000-00008D580000}"/>
    <cellStyle name="Énfasis5 35 15" xfId="22708" xr:uid="{00000000-0005-0000-0000-00008E580000}"/>
    <cellStyle name="Énfasis5 35 16" xfId="22709" xr:uid="{00000000-0005-0000-0000-00008F580000}"/>
    <cellStyle name="Énfasis5 35 17" xfId="22710" xr:uid="{00000000-0005-0000-0000-000090580000}"/>
    <cellStyle name="Énfasis5 35 18" xfId="22711" xr:uid="{00000000-0005-0000-0000-000091580000}"/>
    <cellStyle name="Énfasis5 35 19" xfId="22712" xr:uid="{00000000-0005-0000-0000-000092580000}"/>
    <cellStyle name="Énfasis5 35 2" xfId="22713" xr:uid="{00000000-0005-0000-0000-000093580000}"/>
    <cellStyle name="Énfasis5 35 2 2" xfId="22714" xr:uid="{00000000-0005-0000-0000-000094580000}"/>
    <cellStyle name="Énfasis5 35 3" xfId="22715" xr:uid="{00000000-0005-0000-0000-000095580000}"/>
    <cellStyle name="Énfasis5 35 3 2" xfId="22716" xr:uid="{00000000-0005-0000-0000-000096580000}"/>
    <cellStyle name="Énfasis5 35 4" xfId="22717" xr:uid="{00000000-0005-0000-0000-000097580000}"/>
    <cellStyle name="Énfasis5 35 4 2" xfId="22718" xr:uid="{00000000-0005-0000-0000-000098580000}"/>
    <cellStyle name="Énfasis5 35 5" xfId="22719" xr:uid="{00000000-0005-0000-0000-000099580000}"/>
    <cellStyle name="Énfasis5 35 6" xfId="22720" xr:uid="{00000000-0005-0000-0000-00009A580000}"/>
    <cellStyle name="Énfasis5 35 7" xfId="22721" xr:uid="{00000000-0005-0000-0000-00009B580000}"/>
    <cellStyle name="Énfasis5 35 8" xfId="22722" xr:uid="{00000000-0005-0000-0000-00009C580000}"/>
    <cellStyle name="Énfasis5 35 9" xfId="22723" xr:uid="{00000000-0005-0000-0000-00009D580000}"/>
    <cellStyle name="Énfasis5 36 10" xfId="22724" xr:uid="{00000000-0005-0000-0000-00009E580000}"/>
    <cellStyle name="Énfasis5 36 11" xfId="22725" xr:uid="{00000000-0005-0000-0000-00009F580000}"/>
    <cellStyle name="Énfasis5 36 12" xfId="22726" xr:uid="{00000000-0005-0000-0000-0000A0580000}"/>
    <cellStyle name="Énfasis5 36 13" xfId="22727" xr:uid="{00000000-0005-0000-0000-0000A1580000}"/>
    <cellStyle name="Énfasis5 36 14" xfId="22728" xr:uid="{00000000-0005-0000-0000-0000A2580000}"/>
    <cellStyle name="Énfasis5 36 15" xfId="22729" xr:uid="{00000000-0005-0000-0000-0000A3580000}"/>
    <cellStyle name="Énfasis5 36 16" xfId="22730" xr:uid="{00000000-0005-0000-0000-0000A4580000}"/>
    <cellStyle name="Énfasis5 36 17" xfId="22731" xr:uid="{00000000-0005-0000-0000-0000A5580000}"/>
    <cellStyle name="Énfasis5 36 18" xfId="22732" xr:uid="{00000000-0005-0000-0000-0000A6580000}"/>
    <cellStyle name="Énfasis5 36 19" xfId="22733" xr:uid="{00000000-0005-0000-0000-0000A7580000}"/>
    <cellStyle name="Énfasis5 36 2" xfId="22734" xr:uid="{00000000-0005-0000-0000-0000A8580000}"/>
    <cellStyle name="Énfasis5 36 2 2" xfId="22735" xr:uid="{00000000-0005-0000-0000-0000A9580000}"/>
    <cellStyle name="Énfasis5 36 3" xfId="22736" xr:uid="{00000000-0005-0000-0000-0000AA580000}"/>
    <cellStyle name="Énfasis5 36 3 2" xfId="22737" xr:uid="{00000000-0005-0000-0000-0000AB580000}"/>
    <cellStyle name="Énfasis5 36 4" xfId="22738" xr:uid="{00000000-0005-0000-0000-0000AC580000}"/>
    <cellStyle name="Énfasis5 36 4 2" xfId="22739" xr:uid="{00000000-0005-0000-0000-0000AD580000}"/>
    <cellStyle name="Énfasis5 36 5" xfId="22740" xr:uid="{00000000-0005-0000-0000-0000AE580000}"/>
    <cellStyle name="Énfasis5 36 6" xfId="22741" xr:uid="{00000000-0005-0000-0000-0000AF580000}"/>
    <cellStyle name="Énfasis5 36 7" xfId="22742" xr:uid="{00000000-0005-0000-0000-0000B0580000}"/>
    <cellStyle name="Énfasis5 36 8" xfId="22743" xr:uid="{00000000-0005-0000-0000-0000B1580000}"/>
    <cellStyle name="Énfasis5 36 9" xfId="22744" xr:uid="{00000000-0005-0000-0000-0000B2580000}"/>
    <cellStyle name="Énfasis5 37 10" xfId="22745" xr:uid="{00000000-0005-0000-0000-0000B3580000}"/>
    <cellStyle name="Énfasis5 37 11" xfId="22746" xr:uid="{00000000-0005-0000-0000-0000B4580000}"/>
    <cellStyle name="Énfasis5 37 12" xfId="22747" xr:uid="{00000000-0005-0000-0000-0000B5580000}"/>
    <cellStyle name="Énfasis5 37 13" xfId="22748" xr:uid="{00000000-0005-0000-0000-0000B6580000}"/>
    <cellStyle name="Énfasis5 37 14" xfId="22749" xr:uid="{00000000-0005-0000-0000-0000B7580000}"/>
    <cellStyle name="Énfasis5 37 15" xfId="22750" xr:uid="{00000000-0005-0000-0000-0000B8580000}"/>
    <cellStyle name="Énfasis5 37 16" xfId="22751" xr:uid="{00000000-0005-0000-0000-0000B9580000}"/>
    <cellStyle name="Énfasis5 37 17" xfId="22752" xr:uid="{00000000-0005-0000-0000-0000BA580000}"/>
    <cellStyle name="Énfasis5 37 18" xfId="22753" xr:uid="{00000000-0005-0000-0000-0000BB580000}"/>
    <cellStyle name="Énfasis5 37 19" xfId="22754" xr:uid="{00000000-0005-0000-0000-0000BC580000}"/>
    <cellStyle name="Énfasis5 37 2" xfId="22755" xr:uid="{00000000-0005-0000-0000-0000BD580000}"/>
    <cellStyle name="Énfasis5 37 2 2" xfId="22756" xr:uid="{00000000-0005-0000-0000-0000BE580000}"/>
    <cellStyle name="Énfasis5 37 3" xfId="22757" xr:uid="{00000000-0005-0000-0000-0000BF580000}"/>
    <cellStyle name="Énfasis5 37 3 2" xfId="22758" xr:uid="{00000000-0005-0000-0000-0000C0580000}"/>
    <cellStyle name="Énfasis5 37 4" xfId="22759" xr:uid="{00000000-0005-0000-0000-0000C1580000}"/>
    <cellStyle name="Énfasis5 37 4 2" xfId="22760" xr:uid="{00000000-0005-0000-0000-0000C2580000}"/>
    <cellStyle name="Énfasis5 37 5" xfId="22761" xr:uid="{00000000-0005-0000-0000-0000C3580000}"/>
    <cellStyle name="Énfasis5 37 6" xfId="22762" xr:uid="{00000000-0005-0000-0000-0000C4580000}"/>
    <cellStyle name="Énfasis5 37 7" xfId="22763" xr:uid="{00000000-0005-0000-0000-0000C5580000}"/>
    <cellStyle name="Énfasis5 37 8" xfId="22764" xr:uid="{00000000-0005-0000-0000-0000C6580000}"/>
    <cellStyle name="Énfasis5 37 9" xfId="22765" xr:uid="{00000000-0005-0000-0000-0000C7580000}"/>
    <cellStyle name="Énfasis5 38 10" xfId="22766" xr:uid="{00000000-0005-0000-0000-0000C8580000}"/>
    <cellStyle name="Énfasis5 38 11" xfId="22767" xr:uid="{00000000-0005-0000-0000-0000C9580000}"/>
    <cellStyle name="Énfasis5 38 12" xfId="22768" xr:uid="{00000000-0005-0000-0000-0000CA580000}"/>
    <cellStyle name="Énfasis5 38 13" xfId="22769" xr:uid="{00000000-0005-0000-0000-0000CB580000}"/>
    <cellStyle name="Énfasis5 38 14" xfId="22770" xr:uid="{00000000-0005-0000-0000-0000CC580000}"/>
    <cellStyle name="Énfasis5 38 15" xfId="22771" xr:uid="{00000000-0005-0000-0000-0000CD580000}"/>
    <cellStyle name="Énfasis5 38 16" xfId="22772" xr:uid="{00000000-0005-0000-0000-0000CE580000}"/>
    <cellStyle name="Énfasis5 38 17" xfId="22773" xr:uid="{00000000-0005-0000-0000-0000CF580000}"/>
    <cellStyle name="Énfasis5 38 18" xfId="22774" xr:uid="{00000000-0005-0000-0000-0000D0580000}"/>
    <cellStyle name="Énfasis5 38 19" xfId="22775" xr:uid="{00000000-0005-0000-0000-0000D1580000}"/>
    <cellStyle name="Énfasis5 38 2" xfId="22776" xr:uid="{00000000-0005-0000-0000-0000D2580000}"/>
    <cellStyle name="Énfasis5 38 2 2" xfId="22777" xr:uid="{00000000-0005-0000-0000-0000D3580000}"/>
    <cellStyle name="Énfasis5 38 3" xfId="22778" xr:uid="{00000000-0005-0000-0000-0000D4580000}"/>
    <cellStyle name="Énfasis5 38 3 2" xfId="22779" xr:uid="{00000000-0005-0000-0000-0000D5580000}"/>
    <cellStyle name="Énfasis5 38 4" xfId="22780" xr:uid="{00000000-0005-0000-0000-0000D6580000}"/>
    <cellStyle name="Énfasis5 38 4 2" xfId="22781" xr:uid="{00000000-0005-0000-0000-0000D7580000}"/>
    <cellStyle name="Énfasis5 38 5" xfId="22782" xr:uid="{00000000-0005-0000-0000-0000D8580000}"/>
    <cellStyle name="Énfasis5 38 6" xfId="22783" xr:uid="{00000000-0005-0000-0000-0000D9580000}"/>
    <cellStyle name="Énfasis5 38 7" xfId="22784" xr:uid="{00000000-0005-0000-0000-0000DA580000}"/>
    <cellStyle name="Énfasis5 38 8" xfId="22785" xr:uid="{00000000-0005-0000-0000-0000DB580000}"/>
    <cellStyle name="Énfasis5 38 9" xfId="22786" xr:uid="{00000000-0005-0000-0000-0000DC580000}"/>
    <cellStyle name="Énfasis5 39" xfId="22787" xr:uid="{00000000-0005-0000-0000-0000DD580000}"/>
    <cellStyle name="Énfasis5 39 10" xfId="22788" xr:uid="{00000000-0005-0000-0000-0000DE580000}"/>
    <cellStyle name="Énfasis5 39 11" xfId="22789" xr:uid="{00000000-0005-0000-0000-0000DF580000}"/>
    <cellStyle name="Énfasis5 39 12" xfId="22790" xr:uid="{00000000-0005-0000-0000-0000E0580000}"/>
    <cellStyle name="Énfasis5 39 13" xfId="22791" xr:uid="{00000000-0005-0000-0000-0000E1580000}"/>
    <cellStyle name="Énfasis5 39 14" xfId="22792" xr:uid="{00000000-0005-0000-0000-0000E2580000}"/>
    <cellStyle name="Énfasis5 39 15" xfId="22793" xr:uid="{00000000-0005-0000-0000-0000E3580000}"/>
    <cellStyle name="Énfasis5 39 16" xfId="22794" xr:uid="{00000000-0005-0000-0000-0000E4580000}"/>
    <cellStyle name="Énfasis5 39 2" xfId="22795" xr:uid="{00000000-0005-0000-0000-0000E5580000}"/>
    <cellStyle name="Énfasis5 39 3" xfId="22796" xr:uid="{00000000-0005-0000-0000-0000E6580000}"/>
    <cellStyle name="Énfasis5 39 4" xfId="22797" xr:uid="{00000000-0005-0000-0000-0000E7580000}"/>
    <cellStyle name="Énfasis5 39 5" xfId="22798" xr:uid="{00000000-0005-0000-0000-0000E8580000}"/>
    <cellStyle name="Énfasis5 39 6" xfId="22799" xr:uid="{00000000-0005-0000-0000-0000E9580000}"/>
    <cellStyle name="Énfasis5 39 7" xfId="22800" xr:uid="{00000000-0005-0000-0000-0000EA580000}"/>
    <cellStyle name="Énfasis5 39 8" xfId="22801" xr:uid="{00000000-0005-0000-0000-0000EB580000}"/>
    <cellStyle name="Énfasis5 39 9" xfId="22802" xr:uid="{00000000-0005-0000-0000-0000EC580000}"/>
    <cellStyle name="Énfasis5 4 10" xfId="22803" xr:uid="{00000000-0005-0000-0000-0000ED580000}"/>
    <cellStyle name="Énfasis5 4 11" xfId="22804" xr:uid="{00000000-0005-0000-0000-0000EE580000}"/>
    <cellStyle name="Énfasis5 4 12" xfId="22805" xr:uid="{00000000-0005-0000-0000-0000EF580000}"/>
    <cellStyle name="Énfasis5 4 13" xfId="22806" xr:uid="{00000000-0005-0000-0000-0000F0580000}"/>
    <cellStyle name="Énfasis5 4 14" xfId="22807" xr:uid="{00000000-0005-0000-0000-0000F1580000}"/>
    <cellStyle name="Énfasis5 4 15" xfId="22808" xr:uid="{00000000-0005-0000-0000-0000F2580000}"/>
    <cellStyle name="Énfasis5 4 16" xfId="22809" xr:uid="{00000000-0005-0000-0000-0000F3580000}"/>
    <cellStyle name="Énfasis5 4 17" xfId="22810" xr:uid="{00000000-0005-0000-0000-0000F4580000}"/>
    <cellStyle name="Énfasis5 4 18" xfId="22811" xr:uid="{00000000-0005-0000-0000-0000F5580000}"/>
    <cellStyle name="Énfasis5 4 19" xfId="22812" xr:uid="{00000000-0005-0000-0000-0000F6580000}"/>
    <cellStyle name="Énfasis5 4 2" xfId="22813" xr:uid="{00000000-0005-0000-0000-0000F7580000}"/>
    <cellStyle name="Énfasis5 4 2 2" xfId="22814" xr:uid="{00000000-0005-0000-0000-0000F8580000}"/>
    <cellStyle name="Énfasis5 4 3" xfId="22815" xr:uid="{00000000-0005-0000-0000-0000F9580000}"/>
    <cellStyle name="Énfasis5 4 3 2" xfId="22816" xr:uid="{00000000-0005-0000-0000-0000FA580000}"/>
    <cellStyle name="Énfasis5 4 4" xfId="22817" xr:uid="{00000000-0005-0000-0000-0000FB580000}"/>
    <cellStyle name="Énfasis5 4 4 2" xfId="22818" xr:uid="{00000000-0005-0000-0000-0000FC580000}"/>
    <cellStyle name="Énfasis5 4 5" xfId="22819" xr:uid="{00000000-0005-0000-0000-0000FD580000}"/>
    <cellStyle name="Énfasis5 4 6" xfId="22820" xr:uid="{00000000-0005-0000-0000-0000FE580000}"/>
    <cellStyle name="Énfasis5 4 7" xfId="22821" xr:uid="{00000000-0005-0000-0000-0000FF580000}"/>
    <cellStyle name="Énfasis5 4 8" xfId="22822" xr:uid="{00000000-0005-0000-0000-000000590000}"/>
    <cellStyle name="Énfasis5 4 9" xfId="22823" xr:uid="{00000000-0005-0000-0000-000001590000}"/>
    <cellStyle name="Énfasis5 40" xfId="22824" xr:uid="{00000000-0005-0000-0000-000002590000}"/>
    <cellStyle name="Énfasis5 40 10" xfId="22825" xr:uid="{00000000-0005-0000-0000-000003590000}"/>
    <cellStyle name="Énfasis5 40 11" xfId="22826" xr:uid="{00000000-0005-0000-0000-000004590000}"/>
    <cellStyle name="Énfasis5 40 12" xfId="22827" xr:uid="{00000000-0005-0000-0000-000005590000}"/>
    <cellStyle name="Énfasis5 40 13" xfId="22828" xr:uid="{00000000-0005-0000-0000-000006590000}"/>
    <cellStyle name="Énfasis5 40 14" xfId="22829" xr:uid="{00000000-0005-0000-0000-000007590000}"/>
    <cellStyle name="Énfasis5 40 15" xfId="22830" xr:uid="{00000000-0005-0000-0000-000008590000}"/>
    <cellStyle name="Énfasis5 40 16" xfId="22831" xr:uid="{00000000-0005-0000-0000-000009590000}"/>
    <cellStyle name="Énfasis5 40 2" xfId="22832" xr:uid="{00000000-0005-0000-0000-00000A590000}"/>
    <cellStyle name="Énfasis5 40 3" xfId="22833" xr:uid="{00000000-0005-0000-0000-00000B590000}"/>
    <cellStyle name="Énfasis5 40 4" xfId="22834" xr:uid="{00000000-0005-0000-0000-00000C590000}"/>
    <cellStyle name="Énfasis5 40 5" xfId="22835" xr:uid="{00000000-0005-0000-0000-00000D590000}"/>
    <cellStyle name="Énfasis5 40 6" xfId="22836" xr:uid="{00000000-0005-0000-0000-00000E590000}"/>
    <cellStyle name="Énfasis5 40 7" xfId="22837" xr:uid="{00000000-0005-0000-0000-00000F590000}"/>
    <cellStyle name="Énfasis5 40 8" xfId="22838" xr:uid="{00000000-0005-0000-0000-000010590000}"/>
    <cellStyle name="Énfasis5 40 9" xfId="22839" xr:uid="{00000000-0005-0000-0000-000011590000}"/>
    <cellStyle name="Énfasis5 41" xfId="22840" xr:uid="{00000000-0005-0000-0000-000012590000}"/>
    <cellStyle name="Énfasis5 41 10" xfId="22841" xr:uid="{00000000-0005-0000-0000-000013590000}"/>
    <cellStyle name="Énfasis5 41 11" xfId="22842" xr:uid="{00000000-0005-0000-0000-000014590000}"/>
    <cellStyle name="Énfasis5 41 12" xfId="22843" xr:uid="{00000000-0005-0000-0000-000015590000}"/>
    <cellStyle name="Énfasis5 41 13" xfId="22844" xr:uid="{00000000-0005-0000-0000-000016590000}"/>
    <cellStyle name="Énfasis5 41 14" xfId="22845" xr:uid="{00000000-0005-0000-0000-000017590000}"/>
    <cellStyle name="Énfasis5 41 15" xfId="22846" xr:uid="{00000000-0005-0000-0000-000018590000}"/>
    <cellStyle name="Énfasis5 41 16" xfId="22847" xr:uid="{00000000-0005-0000-0000-000019590000}"/>
    <cellStyle name="Énfasis5 41 2" xfId="22848" xr:uid="{00000000-0005-0000-0000-00001A590000}"/>
    <cellStyle name="Énfasis5 41 3" xfId="22849" xr:uid="{00000000-0005-0000-0000-00001B590000}"/>
    <cellStyle name="Énfasis5 41 4" xfId="22850" xr:uid="{00000000-0005-0000-0000-00001C590000}"/>
    <cellStyle name="Énfasis5 41 5" xfId="22851" xr:uid="{00000000-0005-0000-0000-00001D590000}"/>
    <cellStyle name="Énfasis5 41 6" xfId="22852" xr:uid="{00000000-0005-0000-0000-00001E590000}"/>
    <cellStyle name="Énfasis5 41 7" xfId="22853" xr:uid="{00000000-0005-0000-0000-00001F590000}"/>
    <cellStyle name="Énfasis5 41 8" xfId="22854" xr:uid="{00000000-0005-0000-0000-000020590000}"/>
    <cellStyle name="Énfasis5 41 9" xfId="22855" xr:uid="{00000000-0005-0000-0000-000021590000}"/>
    <cellStyle name="Énfasis5 42" xfId="22856" xr:uid="{00000000-0005-0000-0000-000022590000}"/>
    <cellStyle name="Énfasis5 43" xfId="22857" xr:uid="{00000000-0005-0000-0000-000023590000}"/>
    <cellStyle name="Énfasis5 44" xfId="22858" xr:uid="{00000000-0005-0000-0000-000024590000}"/>
    <cellStyle name="Énfasis5 45" xfId="22859" xr:uid="{00000000-0005-0000-0000-000025590000}"/>
    <cellStyle name="Énfasis5 46" xfId="22860" xr:uid="{00000000-0005-0000-0000-000026590000}"/>
    <cellStyle name="Énfasis5 47" xfId="22861" xr:uid="{00000000-0005-0000-0000-000027590000}"/>
    <cellStyle name="Énfasis5 48" xfId="22862" xr:uid="{00000000-0005-0000-0000-000028590000}"/>
    <cellStyle name="Énfasis5 49" xfId="22863" xr:uid="{00000000-0005-0000-0000-000029590000}"/>
    <cellStyle name="Énfasis5 5 10" xfId="22864" xr:uid="{00000000-0005-0000-0000-00002A590000}"/>
    <cellStyle name="Énfasis5 5 11" xfId="22865" xr:uid="{00000000-0005-0000-0000-00002B590000}"/>
    <cellStyle name="Énfasis5 5 12" xfId="22866" xr:uid="{00000000-0005-0000-0000-00002C590000}"/>
    <cellStyle name="Énfasis5 5 13" xfId="22867" xr:uid="{00000000-0005-0000-0000-00002D590000}"/>
    <cellStyle name="Énfasis5 5 14" xfId="22868" xr:uid="{00000000-0005-0000-0000-00002E590000}"/>
    <cellStyle name="Énfasis5 5 15" xfId="22869" xr:uid="{00000000-0005-0000-0000-00002F590000}"/>
    <cellStyle name="Énfasis5 5 16" xfId="22870" xr:uid="{00000000-0005-0000-0000-000030590000}"/>
    <cellStyle name="Énfasis5 5 17" xfId="22871" xr:uid="{00000000-0005-0000-0000-000031590000}"/>
    <cellStyle name="Énfasis5 5 18" xfId="22872" xr:uid="{00000000-0005-0000-0000-000032590000}"/>
    <cellStyle name="Énfasis5 5 19" xfId="22873" xr:uid="{00000000-0005-0000-0000-000033590000}"/>
    <cellStyle name="Énfasis5 5 2" xfId="22874" xr:uid="{00000000-0005-0000-0000-000034590000}"/>
    <cellStyle name="Énfasis5 5 2 2" xfId="22875" xr:uid="{00000000-0005-0000-0000-000035590000}"/>
    <cellStyle name="Énfasis5 5 3" xfId="22876" xr:uid="{00000000-0005-0000-0000-000036590000}"/>
    <cellStyle name="Énfasis5 5 3 2" xfId="22877" xr:uid="{00000000-0005-0000-0000-000037590000}"/>
    <cellStyle name="Énfasis5 5 4" xfId="22878" xr:uid="{00000000-0005-0000-0000-000038590000}"/>
    <cellStyle name="Énfasis5 5 4 2" xfId="22879" xr:uid="{00000000-0005-0000-0000-000039590000}"/>
    <cellStyle name="Énfasis5 5 5" xfId="22880" xr:uid="{00000000-0005-0000-0000-00003A590000}"/>
    <cellStyle name="Énfasis5 5 6" xfId="22881" xr:uid="{00000000-0005-0000-0000-00003B590000}"/>
    <cellStyle name="Énfasis5 5 7" xfId="22882" xr:uid="{00000000-0005-0000-0000-00003C590000}"/>
    <cellStyle name="Énfasis5 5 8" xfId="22883" xr:uid="{00000000-0005-0000-0000-00003D590000}"/>
    <cellStyle name="Énfasis5 5 9" xfId="22884" xr:uid="{00000000-0005-0000-0000-00003E590000}"/>
    <cellStyle name="Énfasis5 50" xfId="22885" xr:uid="{00000000-0005-0000-0000-00003F590000}"/>
    <cellStyle name="Énfasis5 51" xfId="22886" xr:uid="{00000000-0005-0000-0000-000040590000}"/>
    <cellStyle name="Énfasis5 52" xfId="22887" xr:uid="{00000000-0005-0000-0000-000041590000}"/>
    <cellStyle name="Énfasis5 53" xfId="22888" xr:uid="{00000000-0005-0000-0000-000042590000}"/>
    <cellStyle name="Énfasis5 54" xfId="22889" xr:uid="{00000000-0005-0000-0000-000043590000}"/>
    <cellStyle name="Énfasis5 55" xfId="22890" xr:uid="{00000000-0005-0000-0000-000044590000}"/>
    <cellStyle name="Énfasis5 56" xfId="22891" xr:uid="{00000000-0005-0000-0000-000045590000}"/>
    <cellStyle name="Énfasis5 57" xfId="22892" xr:uid="{00000000-0005-0000-0000-000046590000}"/>
    <cellStyle name="Énfasis5 58" xfId="22893" xr:uid="{00000000-0005-0000-0000-000047590000}"/>
    <cellStyle name="Énfasis5 59" xfId="22894" xr:uid="{00000000-0005-0000-0000-000048590000}"/>
    <cellStyle name="Énfasis5 6 10" xfId="22895" xr:uid="{00000000-0005-0000-0000-000049590000}"/>
    <cellStyle name="Énfasis5 6 11" xfId="22896" xr:uid="{00000000-0005-0000-0000-00004A590000}"/>
    <cellStyle name="Énfasis5 6 12" xfId="22897" xr:uid="{00000000-0005-0000-0000-00004B590000}"/>
    <cellStyle name="Énfasis5 6 13" xfId="22898" xr:uid="{00000000-0005-0000-0000-00004C590000}"/>
    <cellStyle name="Énfasis5 6 14" xfId="22899" xr:uid="{00000000-0005-0000-0000-00004D590000}"/>
    <cellStyle name="Énfasis5 6 15" xfId="22900" xr:uid="{00000000-0005-0000-0000-00004E590000}"/>
    <cellStyle name="Énfasis5 6 16" xfId="22901" xr:uid="{00000000-0005-0000-0000-00004F590000}"/>
    <cellStyle name="Énfasis5 6 17" xfId="22902" xr:uid="{00000000-0005-0000-0000-000050590000}"/>
    <cellStyle name="Énfasis5 6 18" xfId="22903" xr:uid="{00000000-0005-0000-0000-000051590000}"/>
    <cellStyle name="Énfasis5 6 19" xfId="22904" xr:uid="{00000000-0005-0000-0000-000052590000}"/>
    <cellStyle name="Énfasis5 6 2" xfId="22905" xr:uid="{00000000-0005-0000-0000-000053590000}"/>
    <cellStyle name="Énfasis5 6 2 2" xfId="22906" xr:uid="{00000000-0005-0000-0000-000054590000}"/>
    <cellStyle name="Énfasis5 6 3" xfId="22907" xr:uid="{00000000-0005-0000-0000-000055590000}"/>
    <cellStyle name="Énfasis5 6 3 2" xfId="22908" xr:uid="{00000000-0005-0000-0000-000056590000}"/>
    <cellStyle name="Énfasis5 6 4" xfId="22909" xr:uid="{00000000-0005-0000-0000-000057590000}"/>
    <cellStyle name="Énfasis5 6 4 2" xfId="22910" xr:uid="{00000000-0005-0000-0000-000058590000}"/>
    <cellStyle name="Énfasis5 6 5" xfId="22911" xr:uid="{00000000-0005-0000-0000-000059590000}"/>
    <cellStyle name="Énfasis5 6 6" xfId="22912" xr:uid="{00000000-0005-0000-0000-00005A590000}"/>
    <cellStyle name="Énfasis5 6 7" xfId="22913" xr:uid="{00000000-0005-0000-0000-00005B590000}"/>
    <cellStyle name="Énfasis5 6 8" xfId="22914" xr:uid="{00000000-0005-0000-0000-00005C590000}"/>
    <cellStyle name="Énfasis5 6 9" xfId="22915" xr:uid="{00000000-0005-0000-0000-00005D590000}"/>
    <cellStyle name="Énfasis5 60" xfId="22916" xr:uid="{00000000-0005-0000-0000-00005E590000}"/>
    <cellStyle name="Énfasis5 61" xfId="22917" xr:uid="{00000000-0005-0000-0000-00005F590000}"/>
    <cellStyle name="Énfasis5 62" xfId="22918" xr:uid="{00000000-0005-0000-0000-000060590000}"/>
    <cellStyle name="Énfasis5 63" xfId="22919" xr:uid="{00000000-0005-0000-0000-000061590000}"/>
    <cellStyle name="Énfasis5 64" xfId="22920" xr:uid="{00000000-0005-0000-0000-000062590000}"/>
    <cellStyle name="Énfasis5 7 10" xfId="22921" xr:uid="{00000000-0005-0000-0000-000063590000}"/>
    <cellStyle name="Énfasis5 7 11" xfId="22922" xr:uid="{00000000-0005-0000-0000-000064590000}"/>
    <cellStyle name="Énfasis5 7 12" xfId="22923" xr:uid="{00000000-0005-0000-0000-000065590000}"/>
    <cellStyle name="Énfasis5 7 13" xfId="22924" xr:uid="{00000000-0005-0000-0000-000066590000}"/>
    <cellStyle name="Énfasis5 7 14" xfId="22925" xr:uid="{00000000-0005-0000-0000-000067590000}"/>
    <cellStyle name="Énfasis5 7 15" xfId="22926" xr:uid="{00000000-0005-0000-0000-000068590000}"/>
    <cellStyle name="Énfasis5 7 16" xfId="22927" xr:uid="{00000000-0005-0000-0000-000069590000}"/>
    <cellStyle name="Énfasis5 7 17" xfId="22928" xr:uid="{00000000-0005-0000-0000-00006A590000}"/>
    <cellStyle name="Énfasis5 7 18" xfId="22929" xr:uid="{00000000-0005-0000-0000-00006B590000}"/>
    <cellStyle name="Énfasis5 7 19" xfId="22930" xr:uid="{00000000-0005-0000-0000-00006C590000}"/>
    <cellStyle name="Énfasis5 7 2" xfId="22931" xr:uid="{00000000-0005-0000-0000-00006D590000}"/>
    <cellStyle name="Énfasis5 7 2 2" xfId="22932" xr:uid="{00000000-0005-0000-0000-00006E590000}"/>
    <cellStyle name="Énfasis5 7 3" xfId="22933" xr:uid="{00000000-0005-0000-0000-00006F590000}"/>
    <cellStyle name="Énfasis5 7 3 2" xfId="22934" xr:uid="{00000000-0005-0000-0000-000070590000}"/>
    <cellStyle name="Énfasis5 7 4" xfId="22935" xr:uid="{00000000-0005-0000-0000-000071590000}"/>
    <cellStyle name="Énfasis5 7 4 2" xfId="22936" xr:uid="{00000000-0005-0000-0000-000072590000}"/>
    <cellStyle name="Énfasis5 7 5" xfId="22937" xr:uid="{00000000-0005-0000-0000-000073590000}"/>
    <cellStyle name="Énfasis5 7 6" xfId="22938" xr:uid="{00000000-0005-0000-0000-000074590000}"/>
    <cellStyle name="Énfasis5 7 7" xfId="22939" xr:uid="{00000000-0005-0000-0000-000075590000}"/>
    <cellStyle name="Énfasis5 7 8" xfId="22940" xr:uid="{00000000-0005-0000-0000-000076590000}"/>
    <cellStyle name="Énfasis5 7 9" xfId="22941" xr:uid="{00000000-0005-0000-0000-000077590000}"/>
    <cellStyle name="Énfasis5 8 10" xfId="22942" xr:uid="{00000000-0005-0000-0000-000078590000}"/>
    <cellStyle name="Énfasis5 8 11" xfId="22943" xr:uid="{00000000-0005-0000-0000-000079590000}"/>
    <cellStyle name="Énfasis5 8 12" xfId="22944" xr:uid="{00000000-0005-0000-0000-00007A590000}"/>
    <cellStyle name="Énfasis5 8 13" xfId="22945" xr:uid="{00000000-0005-0000-0000-00007B590000}"/>
    <cellStyle name="Énfasis5 8 14" xfId="22946" xr:uid="{00000000-0005-0000-0000-00007C590000}"/>
    <cellStyle name="Énfasis5 8 15" xfId="22947" xr:uid="{00000000-0005-0000-0000-00007D590000}"/>
    <cellStyle name="Énfasis5 8 16" xfId="22948" xr:uid="{00000000-0005-0000-0000-00007E590000}"/>
    <cellStyle name="Énfasis5 8 17" xfId="22949" xr:uid="{00000000-0005-0000-0000-00007F590000}"/>
    <cellStyle name="Énfasis5 8 18" xfId="22950" xr:uid="{00000000-0005-0000-0000-000080590000}"/>
    <cellStyle name="Énfasis5 8 19" xfId="22951" xr:uid="{00000000-0005-0000-0000-000081590000}"/>
    <cellStyle name="Énfasis5 8 2" xfId="22952" xr:uid="{00000000-0005-0000-0000-000082590000}"/>
    <cellStyle name="Énfasis5 8 2 2" xfId="22953" xr:uid="{00000000-0005-0000-0000-000083590000}"/>
    <cellStyle name="Énfasis5 8 3" xfId="22954" xr:uid="{00000000-0005-0000-0000-000084590000}"/>
    <cellStyle name="Énfasis5 8 3 2" xfId="22955" xr:uid="{00000000-0005-0000-0000-000085590000}"/>
    <cellStyle name="Énfasis5 8 4" xfId="22956" xr:uid="{00000000-0005-0000-0000-000086590000}"/>
    <cellStyle name="Énfasis5 8 4 2" xfId="22957" xr:uid="{00000000-0005-0000-0000-000087590000}"/>
    <cellStyle name="Énfasis5 8 5" xfId="22958" xr:uid="{00000000-0005-0000-0000-000088590000}"/>
    <cellStyle name="Énfasis5 8 6" xfId="22959" xr:uid="{00000000-0005-0000-0000-000089590000}"/>
    <cellStyle name="Énfasis5 8 7" xfId="22960" xr:uid="{00000000-0005-0000-0000-00008A590000}"/>
    <cellStyle name="Énfasis5 8 8" xfId="22961" xr:uid="{00000000-0005-0000-0000-00008B590000}"/>
    <cellStyle name="Énfasis5 8 9" xfId="22962" xr:uid="{00000000-0005-0000-0000-00008C590000}"/>
    <cellStyle name="Énfasis5 9 10" xfId="22963" xr:uid="{00000000-0005-0000-0000-00008D590000}"/>
    <cellStyle name="Énfasis5 9 11" xfId="22964" xr:uid="{00000000-0005-0000-0000-00008E590000}"/>
    <cellStyle name="Énfasis5 9 12" xfId="22965" xr:uid="{00000000-0005-0000-0000-00008F590000}"/>
    <cellStyle name="Énfasis5 9 13" xfId="22966" xr:uid="{00000000-0005-0000-0000-000090590000}"/>
    <cellStyle name="Énfasis5 9 14" xfId="22967" xr:uid="{00000000-0005-0000-0000-000091590000}"/>
    <cellStyle name="Énfasis5 9 15" xfId="22968" xr:uid="{00000000-0005-0000-0000-000092590000}"/>
    <cellStyle name="Énfasis5 9 16" xfId="22969" xr:uid="{00000000-0005-0000-0000-000093590000}"/>
    <cellStyle name="Énfasis5 9 17" xfId="22970" xr:uid="{00000000-0005-0000-0000-000094590000}"/>
    <cellStyle name="Énfasis5 9 18" xfId="22971" xr:uid="{00000000-0005-0000-0000-000095590000}"/>
    <cellStyle name="Énfasis5 9 19" xfId="22972" xr:uid="{00000000-0005-0000-0000-000096590000}"/>
    <cellStyle name="Énfasis5 9 2" xfId="22973" xr:uid="{00000000-0005-0000-0000-000097590000}"/>
    <cellStyle name="Énfasis5 9 2 2" xfId="22974" xr:uid="{00000000-0005-0000-0000-000098590000}"/>
    <cellStyle name="Énfasis5 9 3" xfId="22975" xr:uid="{00000000-0005-0000-0000-000099590000}"/>
    <cellStyle name="Énfasis5 9 3 2" xfId="22976" xr:uid="{00000000-0005-0000-0000-00009A590000}"/>
    <cellStyle name="Énfasis5 9 4" xfId="22977" xr:uid="{00000000-0005-0000-0000-00009B590000}"/>
    <cellStyle name="Énfasis5 9 4 2" xfId="22978" xr:uid="{00000000-0005-0000-0000-00009C590000}"/>
    <cellStyle name="Énfasis5 9 5" xfId="22979" xr:uid="{00000000-0005-0000-0000-00009D590000}"/>
    <cellStyle name="Énfasis5 9 6" xfId="22980" xr:uid="{00000000-0005-0000-0000-00009E590000}"/>
    <cellStyle name="Énfasis5 9 7" xfId="22981" xr:uid="{00000000-0005-0000-0000-00009F590000}"/>
    <cellStyle name="Énfasis5 9 8" xfId="22982" xr:uid="{00000000-0005-0000-0000-0000A0590000}"/>
    <cellStyle name="Énfasis5 9 9" xfId="22983" xr:uid="{00000000-0005-0000-0000-0000A1590000}"/>
    <cellStyle name="Énfasis6" xfId="32548" builtinId="49" customBuiltin="1"/>
    <cellStyle name="Énfasis6 10 10" xfId="22984" xr:uid="{00000000-0005-0000-0000-0000A3590000}"/>
    <cellStyle name="Énfasis6 10 11" xfId="22985" xr:uid="{00000000-0005-0000-0000-0000A4590000}"/>
    <cellStyle name="Énfasis6 10 12" xfId="22986" xr:uid="{00000000-0005-0000-0000-0000A5590000}"/>
    <cellStyle name="Énfasis6 10 13" xfId="22987" xr:uid="{00000000-0005-0000-0000-0000A6590000}"/>
    <cellStyle name="Énfasis6 10 14" xfId="22988" xr:uid="{00000000-0005-0000-0000-0000A7590000}"/>
    <cellStyle name="Énfasis6 10 15" xfId="22989" xr:uid="{00000000-0005-0000-0000-0000A8590000}"/>
    <cellStyle name="Énfasis6 10 16" xfId="22990" xr:uid="{00000000-0005-0000-0000-0000A9590000}"/>
    <cellStyle name="Énfasis6 10 17" xfId="22991" xr:uid="{00000000-0005-0000-0000-0000AA590000}"/>
    <cellStyle name="Énfasis6 10 18" xfId="22992" xr:uid="{00000000-0005-0000-0000-0000AB590000}"/>
    <cellStyle name="Énfasis6 10 19" xfId="22993" xr:uid="{00000000-0005-0000-0000-0000AC590000}"/>
    <cellStyle name="Énfasis6 10 2" xfId="22994" xr:uid="{00000000-0005-0000-0000-0000AD590000}"/>
    <cellStyle name="Énfasis6 10 2 2" xfId="22995" xr:uid="{00000000-0005-0000-0000-0000AE590000}"/>
    <cellStyle name="Énfasis6 10 3" xfId="22996" xr:uid="{00000000-0005-0000-0000-0000AF590000}"/>
    <cellStyle name="Énfasis6 10 3 2" xfId="22997" xr:uid="{00000000-0005-0000-0000-0000B0590000}"/>
    <cellStyle name="Énfasis6 10 4" xfId="22998" xr:uid="{00000000-0005-0000-0000-0000B1590000}"/>
    <cellStyle name="Énfasis6 10 4 2" xfId="22999" xr:uid="{00000000-0005-0000-0000-0000B2590000}"/>
    <cellStyle name="Énfasis6 10 5" xfId="23000" xr:uid="{00000000-0005-0000-0000-0000B3590000}"/>
    <cellStyle name="Énfasis6 10 6" xfId="23001" xr:uid="{00000000-0005-0000-0000-0000B4590000}"/>
    <cellStyle name="Énfasis6 10 7" xfId="23002" xr:uid="{00000000-0005-0000-0000-0000B5590000}"/>
    <cellStyle name="Énfasis6 10 8" xfId="23003" xr:uid="{00000000-0005-0000-0000-0000B6590000}"/>
    <cellStyle name="Énfasis6 10 9" xfId="23004" xr:uid="{00000000-0005-0000-0000-0000B7590000}"/>
    <cellStyle name="Énfasis6 11 10" xfId="23005" xr:uid="{00000000-0005-0000-0000-0000B8590000}"/>
    <cellStyle name="Énfasis6 11 11" xfId="23006" xr:uid="{00000000-0005-0000-0000-0000B9590000}"/>
    <cellStyle name="Énfasis6 11 12" xfId="23007" xr:uid="{00000000-0005-0000-0000-0000BA590000}"/>
    <cellStyle name="Énfasis6 11 13" xfId="23008" xr:uid="{00000000-0005-0000-0000-0000BB590000}"/>
    <cellStyle name="Énfasis6 11 14" xfId="23009" xr:uid="{00000000-0005-0000-0000-0000BC590000}"/>
    <cellStyle name="Énfasis6 11 15" xfId="23010" xr:uid="{00000000-0005-0000-0000-0000BD590000}"/>
    <cellStyle name="Énfasis6 11 16" xfId="23011" xr:uid="{00000000-0005-0000-0000-0000BE590000}"/>
    <cellStyle name="Énfasis6 11 17" xfId="23012" xr:uid="{00000000-0005-0000-0000-0000BF590000}"/>
    <cellStyle name="Énfasis6 11 18" xfId="23013" xr:uid="{00000000-0005-0000-0000-0000C0590000}"/>
    <cellStyle name="Énfasis6 11 19" xfId="23014" xr:uid="{00000000-0005-0000-0000-0000C1590000}"/>
    <cellStyle name="Énfasis6 11 2" xfId="23015" xr:uid="{00000000-0005-0000-0000-0000C2590000}"/>
    <cellStyle name="Énfasis6 11 2 2" xfId="23016" xr:uid="{00000000-0005-0000-0000-0000C3590000}"/>
    <cellStyle name="Énfasis6 11 3" xfId="23017" xr:uid="{00000000-0005-0000-0000-0000C4590000}"/>
    <cellStyle name="Énfasis6 11 3 2" xfId="23018" xr:uid="{00000000-0005-0000-0000-0000C5590000}"/>
    <cellStyle name="Énfasis6 11 4" xfId="23019" xr:uid="{00000000-0005-0000-0000-0000C6590000}"/>
    <cellStyle name="Énfasis6 11 4 2" xfId="23020" xr:uid="{00000000-0005-0000-0000-0000C7590000}"/>
    <cellStyle name="Énfasis6 11 5" xfId="23021" xr:uid="{00000000-0005-0000-0000-0000C8590000}"/>
    <cellStyle name="Énfasis6 11 6" xfId="23022" xr:uid="{00000000-0005-0000-0000-0000C9590000}"/>
    <cellStyle name="Énfasis6 11 7" xfId="23023" xr:uid="{00000000-0005-0000-0000-0000CA590000}"/>
    <cellStyle name="Énfasis6 11 8" xfId="23024" xr:uid="{00000000-0005-0000-0000-0000CB590000}"/>
    <cellStyle name="Énfasis6 11 9" xfId="23025" xr:uid="{00000000-0005-0000-0000-0000CC590000}"/>
    <cellStyle name="Énfasis6 12 10" xfId="23026" xr:uid="{00000000-0005-0000-0000-0000CD590000}"/>
    <cellStyle name="Énfasis6 12 11" xfId="23027" xr:uid="{00000000-0005-0000-0000-0000CE590000}"/>
    <cellStyle name="Énfasis6 12 12" xfId="23028" xr:uid="{00000000-0005-0000-0000-0000CF590000}"/>
    <cellStyle name="Énfasis6 12 13" xfId="23029" xr:uid="{00000000-0005-0000-0000-0000D0590000}"/>
    <cellStyle name="Énfasis6 12 14" xfId="23030" xr:uid="{00000000-0005-0000-0000-0000D1590000}"/>
    <cellStyle name="Énfasis6 12 15" xfId="23031" xr:uid="{00000000-0005-0000-0000-0000D2590000}"/>
    <cellStyle name="Énfasis6 12 16" xfId="23032" xr:uid="{00000000-0005-0000-0000-0000D3590000}"/>
    <cellStyle name="Énfasis6 12 17" xfId="23033" xr:uid="{00000000-0005-0000-0000-0000D4590000}"/>
    <cellStyle name="Énfasis6 12 18" xfId="23034" xr:uid="{00000000-0005-0000-0000-0000D5590000}"/>
    <cellStyle name="Énfasis6 12 19" xfId="23035" xr:uid="{00000000-0005-0000-0000-0000D6590000}"/>
    <cellStyle name="Énfasis6 12 2" xfId="23036" xr:uid="{00000000-0005-0000-0000-0000D7590000}"/>
    <cellStyle name="Énfasis6 12 2 2" xfId="23037" xr:uid="{00000000-0005-0000-0000-0000D8590000}"/>
    <cellStyle name="Énfasis6 12 3" xfId="23038" xr:uid="{00000000-0005-0000-0000-0000D9590000}"/>
    <cellStyle name="Énfasis6 12 3 2" xfId="23039" xr:uid="{00000000-0005-0000-0000-0000DA590000}"/>
    <cellStyle name="Énfasis6 12 4" xfId="23040" xr:uid="{00000000-0005-0000-0000-0000DB590000}"/>
    <cellStyle name="Énfasis6 12 4 2" xfId="23041" xr:uid="{00000000-0005-0000-0000-0000DC590000}"/>
    <cellStyle name="Énfasis6 12 5" xfId="23042" xr:uid="{00000000-0005-0000-0000-0000DD590000}"/>
    <cellStyle name="Énfasis6 12 6" xfId="23043" xr:uid="{00000000-0005-0000-0000-0000DE590000}"/>
    <cellStyle name="Énfasis6 12 7" xfId="23044" xr:uid="{00000000-0005-0000-0000-0000DF590000}"/>
    <cellStyle name="Énfasis6 12 8" xfId="23045" xr:uid="{00000000-0005-0000-0000-0000E0590000}"/>
    <cellStyle name="Énfasis6 12 9" xfId="23046" xr:uid="{00000000-0005-0000-0000-0000E1590000}"/>
    <cellStyle name="Énfasis6 13 10" xfId="23047" xr:uid="{00000000-0005-0000-0000-0000E2590000}"/>
    <cellStyle name="Énfasis6 13 11" xfId="23048" xr:uid="{00000000-0005-0000-0000-0000E3590000}"/>
    <cellStyle name="Énfasis6 13 12" xfId="23049" xr:uid="{00000000-0005-0000-0000-0000E4590000}"/>
    <cellStyle name="Énfasis6 13 13" xfId="23050" xr:uid="{00000000-0005-0000-0000-0000E5590000}"/>
    <cellStyle name="Énfasis6 13 14" xfId="23051" xr:uid="{00000000-0005-0000-0000-0000E6590000}"/>
    <cellStyle name="Énfasis6 13 15" xfId="23052" xr:uid="{00000000-0005-0000-0000-0000E7590000}"/>
    <cellStyle name="Énfasis6 13 16" xfId="23053" xr:uid="{00000000-0005-0000-0000-0000E8590000}"/>
    <cellStyle name="Énfasis6 13 17" xfId="23054" xr:uid="{00000000-0005-0000-0000-0000E9590000}"/>
    <cellStyle name="Énfasis6 13 18" xfId="23055" xr:uid="{00000000-0005-0000-0000-0000EA590000}"/>
    <cellStyle name="Énfasis6 13 19" xfId="23056" xr:uid="{00000000-0005-0000-0000-0000EB590000}"/>
    <cellStyle name="Énfasis6 13 2" xfId="23057" xr:uid="{00000000-0005-0000-0000-0000EC590000}"/>
    <cellStyle name="Énfasis6 13 2 2" xfId="23058" xr:uid="{00000000-0005-0000-0000-0000ED590000}"/>
    <cellStyle name="Énfasis6 13 3" xfId="23059" xr:uid="{00000000-0005-0000-0000-0000EE590000}"/>
    <cellStyle name="Énfasis6 13 3 2" xfId="23060" xr:uid="{00000000-0005-0000-0000-0000EF590000}"/>
    <cellStyle name="Énfasis6 13 4" xfId="23061" xr:uid="{00000000-0005-0000-0000-0000F0590000}"/>
    <cellStyle name="Énfasis6 13 4 2" xfId="23062" xr:uid="{00000000-0005-0000-0000-0000F1590000}"/>
    <cellStyle name="Énfasis6 13 5" xfId="23063" xr:uid="{00000000-0005-0000-0000-0000F2590000}"/>
    <cellStyle name="Énfasis6 13 6" xfId="23064" xr:uid="{00000000-0005-0000-0000-0000F3590000}"/>
    <cellStyle name="Énfasis6 13 7" xfId="23065" xr:uid="{00000000-0005-0000-0000-0000F4590000}"/>
    <cellStyle name="Énfasis6 13 8" xfId="23066" xr:uid="{00000000-0005-0000-0000-0000F5590000}"/>
    <cellStyle name="Énfasis6 13 9" xfId="23067" xr:uid="{00000000-0005-0000-0000-0000F6590000}"/>
    <cellStyle name="Énfasis6 14 10" xfId="23068" xr:uid="{00000000-0005-0000-0000-0000F7590000}"/>
    <cellStyle name="Énfasis6 14 11" xfId="23069" xr:uid="{00000000-0005-0000-0000-0000F8590000}"/>
    <cellStyle name="Énfasis6 14 12" xfId="23070" xr:uid="{00000000-0005-0000-0000-0000F9590000}"/>
    <cellStyle name="Énfasis6 14 13" xfId="23071" xr:uid="{00000000-0005-0000-0000-0000FA590000}"/>
    <cellStyle name="Énfasis6 14 14" xfId="23072" xr:uid="{00000000-0005-0000-0000-0000FB590000}"/>
    <cellStyle name="Énfasis6 14 15" xfId="23073" xr:uid="{00000000-0005-0000-0000-0000FC590000}"/>
    <cellStyle name="Énfasis6 14 16" xfId="23074" xr:uid="{00000000-0005-0000-0000-0000FD590000}"/>
    <cellStyle name="Énfasis6 14 17" xfId="23075" xr:uid="{00000000-0005-0000-0000-0000FE590000}"/>
    <cellStyle name="Énfasis6 14 18" xfId="23076" xr:uid="{00000000-0005-0000-0000-0000FF590000}"/>
    <cellStyle name="Énfasis6 14 19" xfId="23077" xr:uid="{00000000-0005-0000-0000-0000005A0000}"/>
    <cellStyle name="Énfasis6 14 2" xfId="23078" xr:uid="{00000000-0005-0000-0000-0000015A0000}"/>
    <cellStyle name="Énfasis6 14 2 2" xfId="23079" xr:uid="{00000000-0005-0000-0000-0000025A0000}"/>
    <cellStyle name="Énfasis6 14 3" xfId="23080" xr:uid="{00000000-0005-0000-0000-0000035A0000}"/>
    <cellStyle name="Énfasis6 14 3 2" xfId="23081" xr:uid="{00000000-0005-0000-0000-0000045A0000}"/>
    <cellStyle name="Énfasis6 14 4" xfId="23082" xr:uid="{00000000-0005-0000-0000-0000055A0000}"/>
    <cellStyle name="Énfasis6 14 4 2" xfId="23083" xr:uid="{00000000-0005-0000-0000-0000065A0000}"/>
    <cellStyle name="Énfasis6 14 5" xfId="23084" xr:uid="{00000000-0005-0000-0000-0000075A0000}"/>
    <cellStyle name="Énfasis6 14 6" xfId="23085" xr:uid="{00000000-0005-0000-0000-0000085A0000}"/>
    <cellStyle name="Énfasis6 14 7" xfId="23086" xr:uid="{00000000-0005-0000-0000-0000095A0000}"/>
    <cellStyle name="Énfasis6 14 8" xfId="23087" xr:uid="{00000000-0005-0000-0000-00000A5A0000}"/>
    <cellStyle name="Énfasis6 14 9" xfId="23088" xr:uid="{00000000-0005-0000-0000-00000B5A0000}"/>
    <cellStyle name="Énfasis6 15 10" xfId="23089" xr:uid="{00000000-0005-0000-0000-00000C5A0000}"/>
    <cellStyle name="Énfasis6 15 11" xfId="23090" xr:uid="{00000000-0005-0000-0000-00000D5A0000}"/>
    <cellStyle name="Énfasis6 15 12" xfId="23091" xr:uid="{00000000-0005-0000-0000-00000E5A0000}"/>
    <cellStyle name="Énfasis6 15 13" xfId="23092" xr:uid="{00000000-0005-0000-0000-00000F5A0000}"/>
    <cellStyle name="Énfasis6 15 14" xfId="23093" xr:uid="{00000000-0005-0000-0000-0000105A0000}"/>
    <cellStyle name="Énfasis6 15 15" xfId="23094" xr:uid="{00000000-0005-0000-0000-0000115A0000}"/>
    <cellStyle name="Énfasis6 15 16" xfId="23095" xr:uid="{00000000-0005-0000-0000-0000125A0000}"/>
    <cellStyle name="Énfasis6 15 17" xfId="23096" xr:uid="{00000000-0005-0000-0000-0000135A0000}"/>
    <cellStyle name="Énfasis6 15 18" xfId="23097" xr:uid="{00000000-0005-0000-0000-0000145A0000}"/>
    <cellStyle name="Énfasis6 15 19" xfId="23098" xr:uid="{00000000-0005-0000-0000-0000155A0000}"/>
    <cellStyle name="Énfasis6 15 2" xfId="23099" xr:uid="{00000000-0005-0000-0000-0000165A0000}"/>
    <cellStyle name="Énfasis6 15 2 2" xfId="23100" xr:uid="{00000000-0005-0000-0000-0000175A0000}"/>
    <cellStyle name="Énfasis6 15 3" xfId="23101" xr:uid="{00000000-0005-0000-0000-0000185A0000}"/>
    <cellStyle name="Énfasis6 15 3 2" xfId="23102" xr:uid="{00000000-0005-0000-0000-0000195A0000}"/>
    <cellStyle name="Énfasis6 15 4" xfId="23103" xr:uid="{00000000-0005-0000-0000-00001A5A0000}"/>
    <cellStyle name="Énfasis6 15 4 2" xfId="23104" xr:uid="{00000000-0005-0000-0000-00001B5A0000}"/>
    <cellStyle name="Énfasis6 15 5" xfId="23105" xr:uid="{00000000-0005-0000-0000-00001C5A0000}"/>
    <cellStyle name="Énfasis6 15 6" xfId="23106" xr:uid="{00000000-0005-0000-0000-00001D5A0000}"/>
    <cellStyle name="Énfasis6 15 7" xfId="23107" xr:uid="{00000000-0005-0000-0000-00001E5A0000}"/>
    <cellStyle name="Énfasis6 15 8" xfId="23108" xr:uid="{00000000-0005-0000-0000-00001F5A0000}"/>
    <cellStyle name="Énfasis6 15 9" xfId="23109" xr:uid="{00000000-0005-0000-0000-0000205A0000}"/>
    <cellStyle name="Énfasis6 16 10" xfId="23110" xr:uid="{00000000-0005-0000-0000-0000215A0000}"/>
    <cellStyle name="Énfasis6 16 11" xfId="23111" xr:uid="{00000000-0005-0000-0000-0000225A0000}"/>
    <cellStyle name="Énfasis6 16 12" xfId="23112" xr:uid="{00000000-0005-0000-0000-0000235A0000}"/>
    <cellStyle name="Énfasis6 16 13" xfId="23113" xr:uid="{00000000-0005-0000-0000-0000245A0000}"/>
    <cellStyle name="Énfasis6 16 14" xfId="23114" xr:uid="{00000000-0005-0000-0000-0000255A0000}"/>
    <cellStyle name="Énfasis6 16 15" xfId="23115" xr:uid="{00000000-0005-0000-0000-0000265A0000}"/>
    <cellStyle name="Énfasis6 16 16" xfId="23116" xr:uid="{00000000-0005-0000-0000-0000275A0000}"/>
    <cellStyle name="Énfasis6 16 17" xfId="23117" xr:uid="{00000000-0005-0000-0000-0000285A0000}"/>
    <cellStyle name="Énfasis6 16 18" xfId="23118" xr:uid="{00000000-0005-0000-0000-0000295A0000}"/>
    <cellStyle name="Énfasis6 16 19" xfId="23119" xr:uid="{00000000-0005-0000-0000-00002A5A0000}"/>
    <cellStyle name="Énfasis6 16 2" xfId="23120" xr:uid="{00000000-0005-0000-0000-00002B5A0000}"/>
    <cellStyle name="Énfasis6 16 2 2" xfId="23121" xr:uid="{00000000-0005-0000-0000-00002C5A0000}"/>
    <cellStyle name="Énfasis6 16 3" xfId="23122" xr:uid="{00000000-0005-0000-0000-00002D5A0000}"/>
    <cellStyle name="Énfasis6 16 3 2" xfId="23123" xr:uid="{00000000-0005-0000-0000-00002E5A0000}"/>
    <cellStyle name="Énfasis6 16 4" xfId="23124" xr:uid="{00000000-0005-0000-0000-00002F5A0000}"/>
    <cellStyle name="Énfasis6 16 4 2" xfId="23125" xr:uid="{00000000-0005-0000-0000-0000305A0000}"/>
    <cellStyle name="Énfasis6 16 5" xfId="23126" xr:uid="{00000000-0005-0000-0000-0000315A0000}"/>
    <cellStyle name="Énfasis6 16 6" xfId="23127" xr:uid="{00000000-0005-0000-0000-0000325A0000}"/>
    <cellStyle name="Énfasis6 16 7" xfId="23128" xr:uid="{00000000-0005-0000-0000-0000335A0000}"/>
    <cellStyle name="Énfasis6 16 8" xfId="23129" xr:uid="{00000000-0005-0000-0000-0000345A0000}"/>
    <cellStyle name="Énfasis6 16 9" xfId="23130" xr:uid="{00000000-0005-0000-0000-0000355A0000}"/>
    <cellStyle name="Énfasis6 17 10" xfId="23131" xr:uid="{00000000-0005-0000-0000-0000365A0000}"/>
    <cellStyle name="Énfasis6 17 11" xfId="23132" xr:uid="{00000000-0005-0000-0000-0000375A0000}"/>
    <cellStyle name="Énfasis6 17 12" xfId="23133" xr:uid="{00000000-0005-0000-0000-0000385A0000}"/>
    <cellStyle name="Énfasis6 17 13" xfId="23134" xr:uid="{00000000-0005-0000-0000-0000395A0000}"/>
    <cellStyle name="Énfasis6 17 14" xfId="23135" xr:uid="{00000000-0005-0000-0000-00003A5A0000}"/>
    <cellStyle name="Énfasis6 17 15" xfId="23136" xr:uid="{00000000-0005-0000-0000-00003B5A0000}"/>
    <cellStyle name="Énfasis6 17 16" xfId="23137" xr:uid="{00000000-0005-0000-0000-00003C5A0000}"/>
    <cellStyle name="Énfasis6 17 17" xfId="23138" xr:uid="{00000000-0005-0000-0000-00003D5A0000}"/>
    <cellStyle name="Énfasis6 17 18" xfId="23139" xr:uid="{00000000-0005-0000-0000-00003E5A0000}"/>
    <cellStyle name="Énfasis6 17 19" xfId="23140" xr:uid="{00000000-0005-0000-0000-00003F5A0000}"/>
    <cellStyle name="Énfasis6 17 2" xfId="23141" xr:uid="{00000000-0005-0000-0000-0000405A0000}"/>
    <cellStyle name="Énfasis6 17 2 2" xfId="23142" xr:uid="{00000000-0005-0000-0000-0000415A0000}"/>
    <cellStyle name="Énfasis6 17 3" xfId="23143" xr:uid="{00000000-0005-0000-0000-0000425A0000}"/>
    <cellStyle name="Énfasis6 17 3 2" xfId="23144" xr:uid="{00000000-0005-0000-0000-0000435A0000}"/>
    <cellStyle name="Énfasis6 17 4" xfId="23145" xr:uid="{00000000-0005-0000-0000-0000445A0000}"/>
    <cellStyle name="Énfasis6 17 4 2" xfId="23146" xr:uid="{00000000-0005-0000-0000-0000455A0000}"/>
    <cellStyle name="Énfasis6 17 5" xfId="23147" xr:uid="{00000000-0005-0000-0000-0000465A0000}"/>
    <cellStyle name="Énfasis6 17 6" xfId="23148" xr:uid="{00000000-0005-0000-0000-0000475A0000}"/>
    <cellStyle name="Énfasis6 17 7" xfId="23149" xr:uid="{00000000-0005-0000-0000-0000485A0000}"/>
    <cellStyle name="Énfasis6 17 8" xfId="23150" xr:uid="{00000000-0005-0000-0000-0000495A0000}"/>
    <cellStyle name="Énfasis6 17 9" xfId="23151" xr:uid="{00000000-0005-0000-0000-00004A5A0000}"/>
    <cellStyle name="Énfasis6 18 10" xfId="23152" xr:uid="{00000000-0005-0000-0000-00004B5A0000}"/>
    <cellStyle name="Énfasis6 18 11" xfId="23153" xr:uid="{00000000-0005-0000-0000-00004C5A0000}"/>
    <cellStyle name="Énfasis6 18 12" xfId="23154" xr:uid="{00000000-0005-0000-0000-00004D5A0000}"/>
    <cellStyle name="Énfasis6 18 13" xfId="23155" xr:uid="{00000000-0005-0000-0000-00004E5A0000}"/>
    <cellStyle name="Énfasis6 18 14" xfId="23156" xr:uid="{00000000-0005-0000-0000-00004F5A0000}"/>
    <cellStyle name="Énfasis6 18 15" xfId="23157" xr:uid="{00000000-0005-0000-0000-0000505A0000}"/>
    <cellStyle name="Énfasis6 18 16" xfId="23158" xr:uid="{00000000-0005-0000-0000-0000515A0000}"/>
    <cellStyle name="Énfasis6 18 17" xfId="23159" xr:uid="{00000000-0005-0000-0000-0000525A0000}"/>
    <cellStyle name="Énfasis6 18 18" xfId="23160" xr:uid="{00000000-0005-0000-0000-0000535A0000}"/>
    <cellStyle name="Énfasis6 18 19" xfId="23161" xr:uid="{00000000-0005-0000-0000-0000545A0000}"/>
    <cellStyle name="Énfasis6 18 2" xfId="23162" xr:uid="{00000000-0005-0000-0000-0000555A0000}"/>
    <cellStyle name="Énfasis6 18 2 2" xfId="23163" xr:uid="{00000000-0005-0000-0000-0000565A0000}"/>
    <cellStyle name="Énfasis6 18 3" xfId="23164" xr:uid="{00000000-0005-0000-0000-0000575A0000}"/>
    <cellStyle name="Énfasis6 18 3 2" xfId="23165" xr:uid="{00000000-0005-0000-0000-0000585A0000}"/>
    <cellStyle name="Énfasis6 18 4" xfId="23166" xr:uid="{00000000-0005-0000-0000-0000595A0000}"/>
    <cellStyle name="Énfasis6 18 4 2" xfId="23167" xr:uid="{00000000-0005-0000-0000-00005A5A0000}"/>
    <cellStyle name="Énfasis6 18 5" xfId="23168" xr:uid="{00000000-0005-0000-0000-00005B5A0000}"/>
    <cellStyle name="Énfasis6 18 6" xfId="23169" xr:uid="{00000000-0005-0000-0000-00005C5A0000}"/>
    <cellStyle name="Énfasis6 18 7" xfId="23170" xr:uid="{00000000-0005-0000-0000-00005D5A0000}"/>
    <cellStyle name="Énfasis6 18 8" xfId="23171" xr:uid="{00000000-0005-0000-0000-00005E5A0000}"/>
    <cellStyle name="Énfasis6 18 9" xfId="23172" xr:uid="{00000000-0005-0000-0000-00005F5A0000}"/>
    <cellStyle name="Énfasis6 19 10" xfId="23173" xr:uid="{00000000-0005-0000-0000-0000605A0000}"/>
    <cellStyle name="Énfasis6 19 11" xfId="23174" xr:uid="{00000000-0005-0000-0000-0000615A0000}"/>
    <cellStyle name="Énfasis6 19 12" xfId="23175" xr:uid="{00000000-0005-0000-0000-0000625A0000}"/>
    <cellStyle name="Énfasis6 19 13" xfId="23176" xr:uid="{00000000-0005-0000-0000-0000635A0000}"/>
    <cellStyle name="Énfasis6 19 14" xfId="23177" xr:uid="{00000000-0005-0000-0000-0000645A0000}"/>
    <cellStyle name="Énfasis6 19 15" xfId="23178" xr:uid="{00000000-0005-0000-0000-0000655A0000}"/>
    <cellStyle name="Énfasis6 19 16" xfId="23179" xr:uid="{00000000-0005-0000-0000-0000665A0000}"/>
    <cellStyle name="Énfasis6 19 17" xfId="23180" xr:uid="{00000000-0005-0000-0000-0000675A0000}"/>
    <cellStyle name="Énfasis6 19 18" xfId="23181" xr:uid="{00000000-0005-0000-0000-0000685A0000}"/>
    <cellStyle name="Énfasis6 19 19" xfId="23182" xr:uid="{00000000-0005-0000-0000-0000695A0000}"/>
    <cellStyle name="Énfasis6 19 2" xfId="23183" xr:uid="{00000000-0005-0000-0000-00006A5A0000}"/>
    <cellStyle name="Énfasis6 19 2 2" xfId="23184" xr:uid="{00000000-0005-0000-0000-00006B5A0000}"/>
    <cellStyle name="Énfasis6 19 3" xfId="23185" xr:uid="{00000000-0005-0000-0000-00006C5A0000}"/>
    <cellStyle name="Énfasis6 19 3 2" xfId="23186" xr:uid="{00000000-0005-0000-0000-00006D5A0000}"/>
    <cellStyle name="Énfasis6 19 4" xfId="23187" xr:uid="{00000000-0005-0000-0000-00006E5A0000}"/>
    <cellStyle name="Énfasis6 19 4 2" xfId="23188" xr:uid="{00000000-0005-0000-0000-00006F5A0000}"/>
    <cellStyle name="Énfasis6 19 5" xfId="23189" xr:uid="{00000000-0005-0000-0000-0000705A0000}"/>
    <cellStyle name="Énfasis6 19 6" xfId="23190" xr:uid="{00000000-0005-0000-0000-0000715A0000}"/>
    <cellStyle name="Énfasis6 19 7" xfId="23191" xr:uid="{00000000-0005-0000-0000-0000725A0000}"/>
    <cellStyle name="Énfasis6 19 8" xfId="23192" xr:uid="{00000000-0005-0000-0000-0000735A0000}"/>
    <cellStyle name="Énfasis6 19 9" xfId="23193" xr:uid="{00000000-0005-0000-0000-0000745A0000}"/>
    <cellStyle name="Énfasis6 2 10" xfId="23194" xr:uid="{00000000-0005-0000-0000-0000755A0000}"/>
    <cellStyle name="Énfasis6 2 11" xfId="23195" xr:uid="{00000000-0005-0000-0000-0000765A0000}"/>
    <cellStyle name="Énfasis6 2 12" xfId="23196" xr:uid="{00000000-0005-0000-0000-0000775A0000}"/>
    <cellStyle name="Énfasis6 2 13" xfId="23197" xr:uid="{00000000-0005-0000-0000-0000785A0000}"/>
    <cellStyle name="Énfasis6 2 14" xfId="23198" xr:uid="{00000000-0005-0000-0000-0000795A0000}"/>
    <cellStyle name="Énfasis6 2 15" xfId="23199" xr:uid="{00000000-0005-0000-0000-00007A5A0000}"/>
    <cellStyle name="Énfasis6 2 16" xfId="23200" xr:uid="{00000000-0005-0000-0000-00007B5A0000}"/>
    <cellStyle name="Énfasis6 2 17" xfId="23201" xr:uid="{00000000-0005-0000-0000-00007C5A0000}"/>
    <cellStyle name="Énfasis6 2 18" xfId="23202" xr:uid="{00000000-0005-0000-0000-00007D5A0000}"/>
    <cellStyle name="Énfasis6 2 19" xfId="23203" xr:uid="{00000000-0005-0000-0000-00007E5A0000}"/>
    <cellStyle name="Énfasis6 2 2" xfId="23204" xr:uid="{00000000-0005-0000-0000-00007F5A0000}"/>
    <cellStyle name="Énfasis6 2 2 2" xfId="23205" xr:uid="{00000000-0005-0000-0000-0000805A0000}"/>
    <cellStyle name="Énfasis6 2 3" xfId="23206" xr:uid="{00000000-0005-0000-0000-0000815A0000}"/>
    <cellStyle name="Énfasis6 2 3 2" xfId="23207" xr:uid="{00000000-0005-0000-0000-0000825A0000}"/>
    <cellStyle name="Énfasis6 2 4" xfId="23208" xr:uid="{00000000-0005-0000-0000-0000835A0000}"/>
    <cellStyle name="Énfasis6 2 4 2" xfId="23209" xr:uid="{00000000-0005-0000-0000-0000845A0000}"/>
    <cellStyle name="Énfasis6 2 5" xfId="23210" xr:uid="{00000000-0005-0000-0000-0000855A0000}"/>
    <cellStyle name="Énfasis6 2 6" xfId="23211" xr:uid="{00000000-0005-0000-0000-0000865A0000}"/>
    <cellStyle name="Énfasis6 2 7" xfId="23212" xr:uid="{00000000-0005-0000-0000-0000875A0000}"/>
    <cellStyle name="Énfasis6 2 8" xfId="23213" xr:uid="{00000000-0005-0000-0000-0000885A0000}"/>
    <cellStyle name="Énfasis6 2 9" xfId="23214" xr:uid="{00000000-0005-0000-0000-0000895A0000}"/>
    <cellStyle name="Énfasis6 20 10" xfId="23215" xr:uid="{00000000-0005-0000-0000-00008A5A0000}"/>
    <cellStyle name="Énfasis6 20 11" xfId="23216" xr:uid="{00000000-0005-0000-0000-00008B5A0000}"/>
    <cellStyle name="Énfasis6 20 12" xfId="23217" xr:uid="{00000000-0005-0000-0000-00008C5A0000}"/>
    <cellStyle name="Énfasis6 20 13" xfId="23218" xr:uid="{00000000-0005-0000-0000-00008D5A0000}"/>
    <cellStyle name="Énfasis6 20 14" xfId="23219" xr:uid="{00000000-0005-0000-0000-00008E5A0000}"/>
    <cellStyle name="Énfasis6 20 15" xfId="23220" xr:uid="{00000000-0005-0000-0000-00008F5A0000}"/>
    <cellStyle name="Énfasis6 20 16" xfId="23221" xr:uid="{00000000-0005-0000-0000-0000905A0000}"/>
    <cellStyle name="Énfasis6 20 17" xfId="23222" xr:uid="{00000000-0005-0000-0000-0000915A0000}"/>
    <cellStyle name="Énfasis6 20 18" xfId="23223" xr:uid="{00000000-0005-0000-0000-0000925A0000}"/>
    <cellStyle name="Énfasis6 20 19" xfId="23224" xr:uid="{00000000-0005-0000-0000-0000935A0000}"/>
    <cellStyle name="Énfasis6 20 2" xfId="23225" xr:uid="{00000000-0005-0000-0000-0000945A0000}"/>
    <cellStyle name="Énfasis6 20 2 2" xfId="23226" xr:uid="{00000000-0005-0000-0000-0000955A0000}"/>
    <cellStyle name="Énfasis6 20 3" xfId="23227" xr:uid="{00000000-0005-0000-0000-0000965A0000}"/>
    <cellStyle name="Énfasis6 20 3 2" xfId="23228" xr:uid="{00000000-0005-0000-0000-0000975A0000}"/>
    <cellStyle name="Énfasis6 20 4" xfId="23229" xr:uid="{00000000-0005-0000-0000-0000985A0000}"/>
    <cellStyle name="Énfasis6 20 4 2" xfId="23230" xr:uid="{00000000-0005-0000-0000-0000995A0000}"/>
    <cellStyle name="Énfasis6 20 5" xfId="23231" xr:uid="{00000000-0005-0000-0000-00009A5A0000}"/>
    <cellStyle name="Énfasis6 20 6" xfId="23232" xr:uid="{00000000-0005-0000-0000-00009B5A0000}"/>
    <cellStyle name="Énfasis6 20 7" xfId="23233" xr:uid="{00000000-0005-0000-0000-00009C5A0000}"/>
    <cellStyle name="Énfasis6 20 8" xfId="23234" xr:uid="{00000000-0005-0000-0000-00009D5A0000}"/>
    <cellStyle name="Énfasis6 20 9" xfId="23235" xr:uid="{00000000-0005-0000-0000-00009E5A0000}"/>
    <cellStyle name="Énfasis6 21 10" xfId="23236" xr:uid="{00000000-0005-0000-0000-00009F5A0000}"/>
    <cellStyle name="Énfasis6 21 11" xfId="23237" xr:uid="{00000000-0005-0000-0000-0000A05A0000}"/>
    <cellStyle name="Énfasis6 21 12" xfId="23238" xr:uid="{00000000-0005-0000-0000-0000A15A0000}"/>
    <cellStyle name="Énfasis6 21 13" xfId="23239" xr:uid="{00000000-0005-0000-0000-0000A25A0000}"/>
    <cellStyle name="Énfasis6 21 14" xfId="23240" xr:uid="{00000000-0005-0000-0000-0000A35A0000}"/>
    <cellStyle name="Énfasis6 21 15" xfId="23241" xr:uid="{00000000-0005-0000-0000-0000A45A0000}"/>
    <cellStyle name="Énfasis6 21 16" xfId="23242" xr:uid="{00000000-0005-0000-0000-0000A55A0000}"/>
    <cellStyle name="Énfasis6 21 17" xfId="23243" xr:uid="{00000000-0005-0000-0000-0000A65A0000}"/>
    <cellStyle name="Énfasis6 21 18" xfId="23244" xr:uid="{00000000-0005-0000-0000-0000A75A0000}"/>
    <cellStyle name="Énfasis6 21 19" xfId="23245" xr:uid="{00000000-0005-0000-0000-0000A85A0000}"/>
    <cellStyle name="Énfasis6 21 2" xfId="23246" xr:uid="{00000000-0005-0000-0000-0000A95A0000}"/>
    <cellStyle name="Énfasis6 21 2 2" xfId="23247" xr:uid="{00000000-0005-0000-0000-0000AA5A0000}"/>
    <cellStyle name="Énfasis6 21 3" xfId="23248" xr:uid="{00000000-0005-0000-0000-0000AB5A0000}"/>
    <cellStyle name="Énfasis6 21 3 2" xfId="23249" xr:uid="{00000000-0005-0000-0000-0000AC5A0000}"/>
    <cellStyle name="Énfasis6 21 4" xfId="23250" xr:uid="{00000000-0005-0000-0000-0000AD5A0000}"/>
    <cellStyle name="Énfasis6 21 4 2" xfId="23251" xr:uid="{00000000-0005-0000-0000-0000AE5A0000}"/>
    <cellStyle name="Énfasis6 21 5" xfId="23252" xr:uid="{00000000-0005-0000-0000-0000AF5A0000}"/>
    <cellStyle name="Énfasis6 21 6" xfId="23253" xr:uid="{00000000-0005-0000-0000-0000B05A0000}"/>
    <cellStyle name="Énfasis6 21 7" xfId="23254" xr:uid="{00000000-0005-0000-0000-0000B15A0000}"/>
    <cellStyle name="Énfasis6 21 8" xfId="23255" xr:uid="{00000000-0005-0000-0000-0000B25A0000}"/>
    <cellStyle name="Énfasis6 21 9" xfId="23256" xr:uid="{00000000-0005-0000-0000-0000B35A0000}"/>
    <cellStyle name="Énfasis6 22 10" xfId="23257" xr:uid="{00000000-0005-0000-0000-0000B45A0000}"/>
    <cellStyle name="Énfasis6 22 11" xfId="23258" xr:uid="{00000000-0005-0000-0000-0000B55A0000}"/>
    <cellStyle name="Énfasis6 22 12" xfId="23259" xr:uid="{00000000-0005-0000-0000-0000B65A0000}"/>
    <cellStyle name="Énfasis6 22 13" xfId="23260" xr:uid="{00000000-0005-0000-0000-0000B75A0000}"/>
    <cellStyle name="Énfasis6 22 14" xfId="23261" xr:uid="{00000000-0005-0000-0000-0000B85A0000}"/>
    <cellStyle name="Énfasis6 22 15" xfId="23262" xr:uid="{00000000-0005-0000-0000-0000B95A0000}"/>
    <cellStyle name="Énfasis6 22 16" xfId="23263" xr:uid="{00000000-0005-0000-0000-0000BA5A0000}"/>
    <cellStyle name="Énfasis6 22 17" xfId="23264" xr:uid="{00000000-0005-0000-0000-0000BB5A0000}"/>
    <cellStyle name="Énfasis6 22 18" xfId="23265" xr:uid="{00000000-0005-0000-0000-0000BC5A0000}"/>
    <cellStyle name="Énfasis6 22 19" xfId="23266" xr:uid="{00000000-0005-0000-0000-0000BD5A0000}"/>
    <cellStyle name="Énfasis6 22 2" xfId="23267" xr:uid="{00000000-0005-0000-0000-0000BE5A0000}"/>
    <cellStyle name="Énfasis6 22 2 2" xfId="23268" xr:uid="{00000000-0005-0000-0000-0000BF5A0000}"/>
    <cellStyle name="Énfasis6 22 3" xfId="23269" xr:uid="{00000000-0005-0000-0000-0000C05A0000}"/>
    <cellStyle name="Énfasis6 22 3 2" xfId="23270" xr:uid="{00000000-0005-0000-0000-0000C15A0000}"/>
    <cellStyle name="Énfasis6 22 4" xfId="23271" xr:uid="{00000000-0005-0000-0000-0000C25A0000}"/>
    <cellStyle name="Énfasis6 22 4 2" xfId="23272" xr:uid="{00000000-0005-0000-0000-0000C35A0000}"/>
    <cellStyle name="Énfasis6 22 5" xfId="23273" xr:uid="{00000000-0005-0000-0000-0000C45A0000}"/>
    <cellStyle name="Énfasis6 22 6" xfId="23274" xr:uid="{00000000-0005-0000-0000-0000C55A0000}"/>
    <cellStyle name="Énfasis6 22 7" xfId="23275" xr:uid="{00000000-0005-0000-0000-0000C65A0000}"/>
    <cellStyle name="Énfasis6 22 8" xfId="23276" xr:uid="{00000000-0005-0000-0000-0000C75A0000}"/>
    <cellStyle name="Énfasis6 22 9" xfId="23277" xr:uid="{00000000-0005-0000-0000-0000C85A0000}"/>
    <cellStyle name="Énfasis6 23 10" xfId="23278" xr:uid="{00000000-0005-0000-0000-0000C95A0000}"/>
    <cellStyle name="Énfasis6 23 11" xfId="23279" xr:uid="{00000000-0005-0000-0000-0000CA5A0000}"/>
    <cellStyle name="Énfasis6 23 12" xfId="23280" xr:uid="{00000000-0005-0000-0000-0000CB5A0000}"/>
    <cellStyle name="Énfasis6 23 13" xfId="23281" xr:uid="{00000000-0005-0000-0000-0000CC5A0000}"/>
    <cellStyle name="Énfasis6 23 14" xfId="23282" xr:uid="{00000000-0005-0000-0000-0000CD5A0000}"/>
    <cellStyle name="Énfasis6 23 15" xfId="23283" xr:uid="{00000000-0005-0000-0000-0000CE5A0000}"/>
    <cellStyle name="Énfasis6 23 16" xfId="23284" xr:uid="{00000000-0005-0000-0000-0000CF5A0000}"/>
    <cellStyle name="Énfasis6 23 17" xfId="23285" xr:uid="{00000000-0005-0000-0000-0000D05A0000}"/>
    <cellStyle name="Énfasis6 23 18" xfId="23286" xr:uid="{00000000-0005-0000-0000-0000D15A0000}"/>
    <cellStyle name="Énfasis6 23 19" xfId="23287" xr:uid="{00000000-0005-0000-0000-0000D25A0000}"/>
    <cellStyle name="Énfasis6 23 2" xfId="23288" xr:uid="{00000000-0005-0000-0000-0000D35A0000}"/>
    <cellStyle name="Énfasis6 23 2 2" xfId="23289" xr:uid="{00000000-0005-0000-0000-0000D45A0000}"/>
    <cellStyle name="Énfasis6 23 3" xfId="23290" xr:uid="{00000000-0005-0000-0000-0000D55A0000}"/>
    <cellStyle name="Énfasis6 23 3 2" xfId="23291" xr:uid="{00000000-0005-0000-0000-0000D65A0000}"/>
    <cellStyle name="Énfasis6 23 4" xfId="23292" xr:uid="{00000000-0005-0000-0000-0000D75A0000}"/>
    <cellStyle name="Énfasis6 23 4 2" xfId="23293" xr:uid="{00000000-0005-0000-0000-0000D85A0000}"/>
    <cellStyle name="Énfasis6 23 5" xfId="23294" xr:uid="{00000000-0005-0000-0000-0000D95A0000}"/>
    <cellStyle name="Énfasis6 23 6" xfId="23295" xr:uid="{00000000-0005-0000-0000-0000DA5A0000}"/>
    <cellStyle name="Énfasis6 23 7" xfId="23296" xr:uid="{00000000-0005-0000-0000-0000DB5A0000}"/>
    <cellStyle name="Énfasis6 23 8" xfId="23297" xr:uid="{00000000-0005-0000-0000-0000DC5A0000}"/>
    <cellStyle name="Énfasis6 23 9" xfId="23298" xr:uid="{00000000-0005-0000-0000-0000DD5A0000}"/>
    <cellStyle name="Énfasis6 24 10" xfId="23299" xr:uid="{00000000-0005-0000-0000-0000DE5A0000}"/>
    <cellStyle name="Énfasis6 24 11" xfId="23300" xr:uid="{00000000-0005-0000-0000-0000DF5A0000}"/>
    <cellStyle name="Énfasis6 24 12" xfId="23301" xr:uid="{00000000-0005-0000-0000-0000E05A0000}"/>
    <cellStyle name="Énfasis6 24 13" xfId="23302" xr:uid="{00000000-0005-0000-0000-0000E15A0000}"/>
    <cellStyle name="Énfasis6 24 14" xfId="23303" xr:uid="{00000000-0005-0000-0000-0000E25A0000}"/>
    <cellStyle name="Énfasis6 24 15" xfId="23304" xr:uid="{00000000-0005-0000-0000-0000E35A0000}"/>
    <cellStyle name="Énfasis6 24 16" xfId="23305" xr:uid="{00000000-0005-0000-0000-0000E45A0000}"/>
    <cellStyle name="Énfasis6 24 17" xfId="23306" xr:uid="{00000000-0005-0000-0000-0000E55A0000}"/>
    <cellStyle name="Énfasis6 24 18" xfId="23307" xr:uid="{00000000-0005-0000-0000-0000E65A0000}"/>
    <cellStyle name="Énfasis6 24 19" xfId="23308" xr:uid="{00000000-0005-0000-0000-0000E75A0000}"/>
    <cellStyle name="Énfasis6 24 2" xfId="23309" xr:uid="{00000000-0005-0000-0000-0000E85A0000}"/>
    <cellStyle name="Énfasis6 24 2 2" xfId="23310" xr:uid="{00000000-0005-0000-0000-0000E95A0000}"/>
    <cellStyle name="Énfasis6 24 3" xfId="23311" xr:uid="{00000000-0005-0000-0000-0000EA5A0000}"/>
    <cellStyle name="Énfasis6 24 3 2" xfId="23312" xr:uid="{00000000-0005-0000-0000-0000EB5A0000}"/>
    <cellStyle name="Énfasis6 24 4" xfId="23313" xr:uid="{00000000-0005-0000-0000-0000EC5A0000}"/>
    <cellStyle name="Énfasis6 24 4 2" xfId="23314" xr:uid="{00000000-0005-0000-0000-0000ED5A0000}"/>
    <cellStyle name="Énfasis6 24 5" xfId="23315" xr:uid="{00000000-0005-0000-0000-0000EE5A0000}"/>
    <cellStyle name="Énfasis6 24 6" xfId="23316" xr:uid="{00000000-0005-0000-0000-0000EF5A0000}"/>
    <cellStyle name="Énfasis6 24 7" xfId="23317" xr:uid="{00000000-0005-0000-0000-0000F05A0000}"/>
    <cellStyle name="Énfasis6 24 8" xfId="23318" xr:uid="{00000000-0005-0000-0000-0000F15A0000}"/>
    <cellStyle name="Énfasis6 24 9" xfId="23319" xr:uid="{00000000-0005-0000-0000-0000F25A0000}"/>
    <cellStyle name="Énfasis6 25 10" xfId="23320" xr:uid="{00000000-0005-0000-0000-0000F35A0000}"/>
    <cellStyle name="Énfasis6 25 11" xfId="23321" xr:uid="{00000000-0005-0000-0000-0000F45A0000}"/>
    <cellStyle name="Énfasis6 25 12" xfId="23322" xr:uid="{00000000-0005-0000-0000-0000F55A0000}"/>
    <cellStyle name="Énfasis6 25 13" xfId="23323" xr:uid="{00000000-0005-0000-0000-0000F65A0000}"/>
    <cellStyle name="Énfasis6 25 14" xfId="23324" xr:uid="{00000000-0005-0000-0000-0000F75A0000}"/>
    <cellStyle name="Énfasis6 25 15" xfId="23325" xr:uid="{00000000-0005-0000-0000-0000F85A0000}"/>
    <cellStyle name="Énfasis6 25 16" xfId="23326" xr:uid="{00000000-0005-0000-0000-0000F95A0000}"/>
    <cellStyle name="Énfasis6 25 17" xfId="23327" xr:uid="{00000000-0005-0000-0000-0000FA5A0000}"/>
    <cellStyle name="Énfasis6 25 18" xfId="23328" xr:uid="{00000000-0005-0000-0000-0000FB5A0000}"/>
    <cellStyle name="Énfasis6 25 19" xfId="23329" xr:uid="{00000000-0005-0000-0000-0000FC5A0000}"/>
    <cellStyle name="Énfasis6 25 2" xfId="23330" xr:uid="{00000000-0005-0000-0000-0000FD5A0000}"/>
    <cellStyle name="Énfasis6 25 2 2" xfId="23331" xr:uid="{00000000-0005-0000-0000-0000FE5A0000}"/>
    <cellStyle name="Énfasis6 25 3" xfId="23332" xr:uid="{00000000-0005-0000-0000-0000FF5A0000}"/>
    <cellStyle name="Énfasis6 25 3 2" xfId="23333" xr:uid="{00000000-0005-0000-0000-0000005B0000}"/>
    <cellStyle name="Énfasis6 25 4" xfId="23334" xr:uid="{00000000-0005-0000-0000-0000015B0000}"/>
    <cellStyle name="Énfasis6 25 4 2" xfId="23335" xr:uid="{00000000-0005-0000-0000-0000025B0000}"/>
    <cellStyle name="Énfasis6 25 5" xfId="23336" xr:uid="{00000000-0005-0000-0000-0000035B0000}"/>
    <cellStyle name="Énfasis6 25 6" xfId="23337" xr:uid="{00000000-0005-0000-0000-0000045B0000}"/>
    <cellStyle name="Énfasis6 25 7" xfId="23338" xr:uid="{00000000-0005-0000-0000-0000055B0000}"/>
    <cellStyle name="Énfasis6 25 8" xfId="23339" xr:uid="{00000000-0005-0000-0000-0000065B0000}"/>
    <cellStyle name="Énfasis6 25 9" xfId="23340" xr:uid="{00000000-0005-0000-0000-0000075B0000}"/>
    <cellStyle name="Énfasis6 26 10" xfId="23341" xr:uid="{00000000-0005-0000-0000-0000085B0000}"/>
    <cellStyle name="Énfasis6 26 11" xfId="23342" xr:uid="{00000000-0005-0000-0000-0000095B0000}"/>
    <cellStyle name="Énfasis6 26 12" xfId="23343" xr:uid="{00000000-0005-0000-0000-00000A5B0000}"/>
    <cellStyle name="Énfasis6 26 13" xfId="23344" xr:uid="{00000000-0005-0000-0000-00000B5B0000}"/>
    <cellStyle name="Énfasis6 26 14" xfId="23345" xr:uid="{00000000-0005-0000-0000-00000C5B0000}"/>
    <cellStyle name="Énfasis6 26 15" xfId="23346" xr:uid="{00000000-0005-0000-0000-00000D5B0000}"/>
    <cellStyle name="Énfasis6 26 16" xfId="23347" xr:uid="{00000000-0005-0000-0000-00000E5B0000}"/>
    <cellStyle name="Énfasis6 26 17" xfId="23348" xr:uid="{00000000-0005-0000-0000-00000F5B0000}"/>
    <cellStyle name="Énfasis6 26 18" xfId="23349" xr:uid="{00000000-0005-0000-0000-0000105B0000}"/>
    <cellStyle name="Énfasis6 26 19" xfId="23350" xr:uid="{00000000-0005-0000-0000-0000115B0000}"/>
    <cellStyle name="Énfasis6 26 2" xfId="23351" xr:uid="{00000000-0005-0000-0000-0000125B0000}"/>
    <cellStyle name="Énfasis6 26 2 2" xfId="23352" xr:uid="{00000000-0005-0000-0000-0000135B0000}"/>
    <cellStyle name="Énfasis6 26 3" xfId="23353" xr:uid="{00000000-0005-0000-0000-0000145B0000}"/>
    <cellStyle name="Énfasis6 26 3 2" xfId="23354" xr:uid="{00000000-0005-0000-0000-0000155B0000}"/>
    <cellStyle name="Énfasis6 26 4" xfId="23355" xr:uid="{00000000-0005-0000-0000-0000165B0000}"/>
    <cellStyle name="Énfasis6 26 4 2" xfId="23356" xr:uid="{00000000-0005-0000-0000-0000175B0000}"/>
    <cellStyle name="Énfasis6 26 5" xfId="23357" xr:uid="{00000000-0005-0000-0000-0000185B0000}"/>
    <cellStyle name="Énfasis6 26 6" xfId="23358" xr:uid="{00000000-0005-0000-0000-0000195B0000}"/>
    <cellStyle name="Énfasis6 26 7" xfId="23359" xr:uid="{00000000-0005-0000-0000-00001A5B0000}"/>
    <cellStyle name="Énfasis6 26 8" xfId="23360" xr:uid="{00000000-0005-0000-0000-00001B5B0000}"/>
    <cellStyle name="Énfasis6 26 9" xfId="23361" xr:uid="{00000000-0005-0000-0000-00001C5B0000}"/>
    <cellStyle name="Énfasis6 27 10" xfId="23362" xr:uid="{00000000-0005-0000-0000-00001D5B0000}"/>
    <cellStyle name="Énfasis6 27 11" xfId="23363" xr:uid="{00000000-0005-0000-0000-00001E5B0000}"/>
    <cellStyle name="Énfasis6 27 12" xfId="23364" xr:uid="{00000000-0005-0000-0000-00001F5B0000}"/>
    <cellStyle name="Énfasis6 27 13" xfId="23365" xr:uid="{00000000-0005-0000-0000-0000205B0000}"/>
    <cellStyle name="Énfasis6 27 14" xfId="23366" xr:uid="{00000000-0005-0000-0000-0000215B0000}"/>
    <cellStyle name="Énfasis6 27 15" xfId="23367" xr:uid="{00000000-0005-0000-0000-0000225B0000}"/>
    <cellStyle name="Énfasis6 27 16" xfId="23368" xr:uid="{00000000-0005-0000-0000-0000235B0000}"/>
    <cellStyle name="Énfasis6 27 17" xfId="23369" xr:uid="{00000000-0005-0000-0000-0000245B0000}"/>
    <cellStyle name="Énfasis6 27 18" xfId="23370" xr:uid="{00000000-0005-0000-0000-0000255B0000}"/>
    <cellStyle name="Énfasis6 27 19" xfId="23371" xr:uid="{00000000-0005-0000-0000-0000265B0000}"/>
    <cellStyle name="Énfasis6 27 2" xfId="23372" xr:uid="{00000000-0005-0000-0000-0000275B0000}"/>
    <cellStyle name="Énfasis6 27 2 2" xfId="23373" xr:uid="{00000000-0005-0000-0000-0000285B0000}"/>
    <cellStyle name="Énfasis6 27 3" xfId="23374" xr:uid="{00000000-0005-0000-0000-0000295B0000}"/>
    <cellStyle name="Énfasis6 27 3 2" xfId="23375" xr:uid="{00000000-0005-0000-0000-00002A5B0000}"/>
    <cellStyle name="Énfasis6 27 4" xfId="23376" xr:uid="{00000000-0005-0000-0000-00002B5B0000}"/>
    <cellStyle name="Énfasis6 27 4 2" xfId="23377" xr:uid="{00000000-0005-0000-0000-00002C5B0000}"/>
    <cellStyle name="Énfasis6 27 5" xfId="23378" xr:uid="{00000000-0005-0000-0000-00002D5B0000}"/>
    <cellStyle name="Énfasis6 27 6" xfId="23379" xr:uid="{00000000-0005-0000-0000-00002E5B0000}"/>
    <cellStyle name="Énfasis6 27 7" xfId="23380" xr:uid="{00000000-0005-0000-0000-00002F5B0000}"/>
    <cellStyle name="Énfasis6 27 8" xfId="23381" xr:uid="{00000000-0005-0000-0000-0000305B0000}"/>
    <cellStyle name="Énfasis6 27 9" xfId="23382" xr:uid="{00000000-0005-0000-0000-0000315B0000}"/>
    <cellStyle name="Énfasis6 28 10" xfId="23383" xr:uid="{00000000-0005-0000-0000-0000325B0000}"/>
    <cellStyle name="Énfasis6 28 11" xfId="23384" xr:uid="{00000000-0005-0000-0000-0000335B0000}"/>
    <cellStyle name="Énfasis6 28 12" xfId="23385" xr:uid="{00000000-0005-0000-0000-0000345B0000}"/>
    <cellStyle name="Énfasis6 28 13" xfId="23386" xr:uid="{00000000-0005-0000-0000-0000355B0000}"/>
    <cellStyle name="Énfasis6 28 14" xfId="23387" xr:uid="{00000000-0005-0000-0000-0000365B0000}"/>
    <cellStyle name="Énfasis6 28 15" xfId="23388" xr:uid="{00000000-0005-0000-0000-0000375B0000}"/>
    <cellStyle name="Énfasis6 28 16" xfId="23389" xr:uid="{00000000-0005-0000-0000-0000385B0000}"/>
    <cellStyle name="Énfasis6 28 17" xfId="23390" xr:uid="{00000000-0005-0000-0000-0000395B0000}"/>
    <cellStyle name="Énfasis6 28 18" xfId="23391" xr:uid="{00000000-0005-0000-0000-00003A5B0000}"/>
    <cellStyle name="Énfasis6 28 19" xfId="23392" xr:uid="{00000000-0005-0000-0000-00003B5B0000}"/>
    <cellStyle name="Énfasis6 28 2" xfId="23393" xr:uid="{00000000-0005-0000-0000-00003C5B0000}"/>
    <cellStyle name="Énfasis6 28 2 2" xfId="23394" xr:uid="{00000000-0005-0000-0000-00003D5B0000}"/>
    <cellStyle name="Énfasis6 28 3" xfId="23395" xr:uid="{00000000-0005-0000-0000-00003E5B0000}"/>
    <cellStyle name="Énfasis6 28 3 2" xfId="23396" xr:uid="{00000000-0005-0000-0000-00003F5B0000}"/>
    <cellStyle name="Énfasis6 28 4" xfId="23397" xr:uid="{00000000-0005-0000-0000-0000405B0000}"/>
    <cellStyle name="Énfasis6 28 4 2" xfId="23398" xr:uid="{00000000-0005-0000-0000-0000415B0000}"/>
    <cellStyle name="Énfasis6 28 5" xfId="23399" xr:uid="{00000000-0005-0000-0000-0000425B0000}"/>
    <cellStyle name="Énfasis6 28 6" xfId="23400" xr:uid="{00000000-0005-0000-0000-0000435B0000}"/>
    <cellStyle name="Énfasis6 28 7" xfId="23401" xr:uid="{00000000-0005-0000-0000-0000445B0000}"/>
    <cellStyle name="Énfasis6 28 8" xfId="23402" xr:uid="{00000000-0005-0000-0000-0000455B0000}"/>
    <cellStyle name="Énfasis6 28 9" xfId="23403" xr:uid="{00000000-0005-0000-0000-0000465B0000}"/>
    <cellStyle name="Énfasis6 29 10" xfId="23404" xr:uid="{00000000-0005-0000-0000-0000475B0000}"/>
    <cellStyle name="Énfasis6 29 11" xfId="23405" xr:uid="{00000000-0005-0000-0000-0000485B0000}"/>
    <cellStyle name="Énfasis6 29 12" xfId="23406" xr:uid="{00000000-0005-0000-0000-0000495B0000}"/>
    <cellStyle name="Énfasis6 29 13" xfId="23407" xr:uid="{00000000-0005-0000-0000-00004A5B0000}"/>
    <cellStyle name="Énfasis6 29 14" xfId="23408" xr:uid="{00000000-0005-0000-0000-00004B5B0000}"/>
    <cellStyle name="Énfasis6 29 15" xfId="23409" xr:uid="{00000000-0005-0000-0000-00004C5B0000}"/>
    <cellStyle name="Énfasis6 29 16" xfId="23410" xr:uid="{00000000-0005-0000-0000-00004D5B0000}"/>
    <cellStyle name="Énfasis6 29 17" xfId="23411" xr:uid="{00000000-0005-0000-0000-00004E5B0000}"/>
    <cellStyle name="Énfasis6 29 18" xfId="23412" xr:uid="{00000000-0005-0000-0000-00004F5B0000}"/>
    <cellStyle name="Énfasis6 29 19" xfId="23413" xr:uid="{00000000-0005-0000-0000-0000505B0000}"/>
    <cellStyle name="Énfasis6 29 2" xfId="23414" xr:uid="{00000000-0005-0000-0000-0000515B0000}"/>
    <cellStyle name="Énfasis6 29 2 2" xfId="23415" xr:uid="{00000000-0005-0000-0000-0000525B0000}"/>
    <cellStyle name="Énfasis6 29 3" xfId="23416" xr:uid="{00000000-0005-0000-0000-0000535B0000}"/>
    <cellStyle name="Énfasis6 29 3 2" xfId="23417" xr:uid="{00000000-0005-0000-0000-0000545B0000}"/>
    <cellStyle name="Énfasis6 29 4" xfId="23418" xr:uid="{00000000-0005-0000-0000-0000555B0000}"/>
    <cellStyle name="Énfasis6 29 4 2" xfId="23419" xr:uid="{00000000-0005-0000-0000-0000565B0000}"/>
    <cellStyle name="Énfasis6 29 5" xfId="23420" xr:uid="{00000000-0005-0000-0000-0000575B0000}"/>
    <cellStyle name="Énfasis6 29 6" xfId="23421" xr:uid="{00000000-0005-0000-0000-0000585B0000}"/>
    <cellStyle name="Énfasis6 29 7" xfId="23422" xr:uid="{00000000-0005-0000-0000-0000595B0000}"/>
    <cellStyle name="Énfasis6 29 8" xfId="23423" xr:uid="{00000000-0005-0000-0000-00005A5B0000}"/>
    <cellStyle name="Énfasis6 29 9" xfId="23424" xr:uid="{00000000-0005-0000-0000-00005B5B0000}"/>
    <cellStyle name="Énfasis6 3 10" xfId="23425" xr:uid="{00000000-0005-0000-0000-00005C5B0000}"/>
    <cellStyle name="Énfasis6 3 11" xfId="23426" xr:uid="{00000000-0005-0000-0000-00005D5B0000}"/>
    <cellStyle name="Énfasis6 3 12" xfId="23427" xr:uid="{00000000-0005-0000-0000-00005E5B0000}"/>
    <cellStyle name="Énfasis6 3 13" xfId="23428" xr:uid="{00000000-0005-0000-0000-00005F5B0000}"/>
    <cellStyle name="Énfasis6 3 14" xfId="23429" xr:uid="{00000000-0005-0000-0000-0000605B0000}"/>
    <cellStyle name="Énfasis6 3 15" xfId="23430" xr:uid="{00000000-0005-0000-0000-0000615B0000}"/>
    <cellStyle name="Énfasis6 3 16" xfId="23431" xr:uid="{00000000-0005-0000-0000-0000625B0000}"/>
    <cellStyle name="Énfasis6 3 17" xfId="23432" xr:uid="{00000000-0005-0000-0000-0000635B0000}"/>
    <cellStyle name="Énfasis6 3 18" xfId="23433" xr:uid="{00000000-0005-0000-0000-0000645B0000}"/>
    <cellStyle name="Énfasis6 3 19" xfId="23434" xr:uid="{00000000-0005-0000-0000-0000655B0000}"/>
    <cellStyle name="Énfasis6 3 2" xfId="23435" xr:uid="{00000000-0005-0000-0000-0000665B0000}"/>
    <cellStyle name="Énfasis6 3 2 2" xfId="23436" xr:uid="{00000000-0005-0000-0000-0000675B0000}"/>
    <cellStyle name="Énfasis6 3 3" xfId="23437" xr:uid="{00000000-0005-0000-0000-0000685B0000}"/>
    <cellStyle name="Énfasis6 3 3 2" xfId="23438" xr:uid="{00000000-0005-0000-0000-0000695B0000}"/>
    <cellStyle name="Énfasis6 3 4" xfId="23439" xr:uid="{00000000-0005-0000-0000-00006A5B0000}"/>
    <cellStyle name="Énfasis6 3 4 2" xfId="23440" xr:uid="{00000000-0005-0000-0000-00006B5B0000}"/>
    <cellStyle name="Énfasis6 3 5" xfId="23441" xr:uid="{00000000-0005-0000-0000-00006C5B0000}"/>
    <cellStyle name="Énfasis6 3 6" xfId="23442" xr:uid="{00000000-0005-0000-0000-00006D5B0000}"/>
    <cellStyle name="Énfasis6 3 7" xfId="23443" xr:uid="{00000000-0005-0000-0000-00006E5B0000}"/>
    <cellStyle name="Énfasis6 3 8" xfId="23444" xr:uid="{00000000-0005-0000-0000-00006F5B0000}"/>
    <cellStyle name="Énfasis6 3 9" xfId="23445" xr:uid="{00000000-0005-0000-0000-0000705B0000}"/>
    <cellStyle name="Énfasis6 30 10" xfId="23446" xr:uid="{00000000-0005-0000-0000-0000715B0000}"/>
    <cellStyle name="Énfasis6 30 11" xfId="23447" xr:uid="{00000000-0005-0000-0000-0000725B0000}"/>
    <cellStyle name="Énfasis6 30 12" xfId="23448" xr:uid="{00000000-0005-0000-0000-0000735B0000}"/>
    <cellStyle name="Énfasis6 30 13" xfId="23449" xr:uid="{00000000-0005-0000-0000-0000745B0000}"/>
    <cellStyle name="Énfasis6 30 14" xfId="23450" xr:uid="{00000000-0005-0000-0000-0000755B0000}"/>
    <cellStyle name="Énfasis6 30 15" xfId="23451" xr:uid="{00000000-0005-0000-0000-0000765B0000}"/>
    <cellStyle name="Énfasis6 30 16" xfId="23452" xr:uid="{00000000-0005-0000-0000-0000775B0000}"/>
    <cellStyle name="Énfasis6 30 17" xfId="23453" xr:uid="{00000000-0005-0000-0000-0000785B0000}"/>
    <cellStyle name="Énfasis6 30 18" xfId="23454" xr:uid="{00000000-0005-0000-0000-0000795B0000}"/>
    <cellStyle name="Énfasis6 30 19" xfId="23455" xr:uid="{00000000-0005-0000-0000-00007A5B0000}"/>
    <cellStyle name="Énfasis6 30 2" xfId="23456" xr:uid="{00000000-0005-0000-0000-00007B5B0000}"/>
    <cellStyle name="Énfasis6 30 2 2" xfId="23457" xr:uid="{00000000-0005-0000-0000-00007C5B0000}"/>
    <cellStyle name="Énfasis6 30 3" xfId="23458" xr:uid="{00000000-0005-0000-0000-00007D5B0000}"/>
    <cellStyle name="Énfasis6 30 3 2" xfId="23459" xr:uid="{00000000-0005-0000-0000-00007E5B0000}"/>
    <cellStyle name="Énfasis6 30 4" xfId="23460" xr:uid="{00000000-0005-0000-0000-00007F5B0000}"/>
    <cellStyle name="Énfasis6 30 4 2" xfId="23461" xr:uid="{00000000-0005-0000-0000-0000805B0000}"/>
    <cellStyle name="Énfasis6 30 5" xfId="23462" xr:uid="{00000000-0005-0000-0000-0000815B0000}"/>
    <cellStyle name="Énfasis6 30 6" xfId="23463" xr:uid="{00000000-0005-0000-0000-0000825B0000}"/>
    <cellStyle name="Énfasis6 30 7" xfId="23464" xr:uid="{00000000-0005-0000-0000-0000835B0000}"/>
    <cellStyle name="Énfasis6 30 8" xfId="23465" xr:uid="{00000000-0005-0000-0000-0000845B0000}"/>
    <cellStyle name="Énfasis6 30 9" xfId="23466" xr:uid="{00000000-0005-0000-0000-0000855B0000}"/>
    <cellStyle name="Énfasis6 31 10" xfId="23467" xr:uid="{00000000-0005-0000-0000-0000865B0000}"/>
    <cellStyle name="Énfasis6 31 11" xfId="23468" xr:uid="{00000000-0005-0000-0000-0000875B0000}"/>
    <cellStyle name="Énfasis6 31 12" xfId="23469" xr:uid="{00000000-0005-0000-0000-0000885B0000}"/>
    <cellStyle name="Énfasis6 31 13" xfId="23470" xr:uid="{00000000-0005-0000-0000-0000895B0000}"/>
    <cellStyle name="Énfasis6 31 14" xfId="23471" xr:uid="{00000000-0005-0000-0000-00008A5B0000}"/>
    <cellStyle name="Énfasis6 31 15" xfId="23472" xr:uid="{00000000-0005-0000-0000-00008B5B0000}"/>
    <cellStyle name="Énfasis6 31 16" xfId="23473" xr:uid="{00000000-0005-0000-0000-00008C5B0000}"/>
    <cellStyle name="Énfasis6 31 17" xfId="23474" xr:uid="{00000000-0005-0000-0000-00008D5B0000}"/>
    <cellStyle name="Énfasis6 31 18" xfId="23475" xr:uid="{00000000-0005-0000-0000-00008E5B0000}"/>
    <cellStyle name="Énfasis6 31 19" xfId="23476" xr:uid="{00000000-0005-0000-0000-00008F5B0000}"/>
    <cellStyle name="Énfasis6 31 2" xfId="23477" xr:uid="{00000000-0005-0000-0000-0000905B0000}"/>
    <cellStyle name="Énfasis6 31 2 2" xfId="23478" xr:uid="{00000000-0005-0000-0000-0000915B0000}"/>
    <cellStyle name="Énfasis6 31 3" xfId="23479" xr:uid="{00000000-0005-0000-0000-0000925B0000}"/>
    <cellStyle name="Énfasis6 31 3 2" xfId="23480" xr:uid="{00000000-0005-0000-0000-0000935B0000}"/>
    <cellStyle name="Énfasis6 31 4" xfId="23481" xr:uid="{00000000-0005-0000-0000-0000945B0000}"/>
    <cellStyle name="Énfasis6 31 4 2" xfId="23482" xr:uid="{00000000-0005-0000-0000-0000955B0000}"/>
    <cellStyle name="Énfasis6 31 5" xfId="23483" xr:uid="{00000000-0005-0000-0000-0000965B0000}"/>
    <cellStyle name="Énfasis6 31 6" xfId="23484" xr:uid="{00000000-0005-0000-0000-0000975B0000}"/>
    <cellStyle name="Énfasis6 31 7" xfId="23485" xr:uid="{00000000-0005-0000-0000-0000985B0000}"/>
    <cellStyle name="Énfasis6 31 8" xfId="23486" xr:uid="{00000000-0005-0000-0000-0000995B0000}"/>
    <cellStyle name="Énfasis6 31 9" xfId="23487" xr:uid="{00000000-0005-0000-0000-00009A5B0000}"/>
    <cellStyle name="Énfasis6 32 10" xfId="23488" xr:uid="{00000000-0005-0000-0000-00009B5B0000}"/>
    <cellStyle name="Énfasis6 32 11" xfId="23489" xr:uid="{00000000-0005-0000-0000-00009C5B0000}"/>
    <cellStyle name="Énfasis6 32 12" xfId="23490" xr:uid="{00000000-0005-0000-0000-00009D5B0000}"/>
    <cellStyle name="Énfasis6 32 13" xfId="23491" xr:uid="{00000000-0005-0000-0000-00009E5B0000}"/>
    <cellStyle name="Énfasis6 32 14" xfId="23492" xr:uid="{00000000-0005-0000-0000-00009F5B0000}"/>
    <cellStyle name="Énfasis6 32 15" xfId="23493" xr:uid="{00000000-0005-0000-0000-0000A05B0000}"/>
    <cellStyle name="Énfasis6 32 16" xfId="23494" xr:uid="{00000000-0005-0000-0000-0000A15B0000}"/>
    <cellStyle name="Énfasis6 32 17" xfId="23495" xr:uid="{00000000-0005-0000-0000-0000A25B0000}"/>
    <cellStyle name="Énfasis6 32 18" xfId="23496" xr:uid="{00000000-0005-0000-0000-0000A35B0000}"/>
    <cellStyle name="Énfasis6 32 19" xfId="23497" xr:uid="{00000000-0005-0000-0000-0000A45B0000}"/>
    <cellStyle name="Énfasis6 32 2" xfId="23498" xr:uid="{00000000-0005-0000-0000-0000A55B0000}"/>
    <cellStyle name="Énfasis6 32 2 2" xfId="23499" xr:uid="{00000000-0005-0000-0000-0000A65B0000}"/>
    <cellStyle name="Énfasis6 32 3" xfId="23500" xr:uid="{00000000-0005-0000-0000-0000A75B0000}"/>
    <cellStyle name="Énfasis6 32 3 2" xfId="23501" xr:uid="{00000000-0005-0000-0000-0000A85B0000}"/>
    <cellStyle name="Énfasis6 32 4" xfId="23502" xr:uid="{00000000-0005-0000-0000-0000A95B0000}"/>
    <cellStyle name="Énfasis6 32 4 2" xfId="23503" xr:uid="{00000000-0005-0000-0000-0000AA5B0000}"/>
    <cellStyle name="Énfasis6 32 5" xfId="23504" xr:uid="{00000000-0005-0000-0000-0000AB5B0000}"/>
    <cellStyle name="Énfasis6 32 6" xfId="23505" xr:uid="{00000000-0005-0000-0000-0000AC5B0000}"/>
    <cellStyle name="Énfasis6 32 7" xfId="23506" xr:uid="{00000000-0005-0000-0000-0000AD5B0000}"/>
    <cellStyle name="Énfasis6 32 8" xfId="23507" xr:uid="{00000000-0005-0000-0000-0000AE5B0000}"/>
    <cellStyle name="Énfasis6 32 9" xfId="23508" xr:uid="{00000000-0005-0000-0000-0000AF5B0000}"/>
    <cellStyle name="Énfasis6 33 10" xfId="23509" xr:uid="{00000000-0005-0000-0000-0000B05B0000}"/>
    <cellStyle name="Énfasis6 33 11" xfId="23510" xr:uid="{00000000-0005-0000-0000-0000B15B0000}"/>
    <cellStyle name="Énfasis6 33 12" xfId="23511" xr:uid="{00000000-0005-0000-0000-0000B25B0000}"/>
    <cellStyle name="Énfasis6 33 13" xfId="23512" xr:uid="{00000000-0005-0000-0000-0000B35B0000}"/>
    <cellStyle name="Énfasis6 33 14" xfId="23513" xr:uid="{00000000-0005-0000-0000-0000B45B0000}"/>
    <cellStyle name="Énfasis6 33 15" xfId="23514" xr:uid="{00000000-0005-0000-0000-0000B55B0000}"/>
    <cellStyle name="Énfasis6 33 16" xfId="23515" xr:uid="{00000000-0005-0000-0000-0000B65B0000}"/>
    <cellStyle name="Énfasis6 33 17" xfId="23516" xr:uid="{00000000-0005-0000-0000-0000B75B0000}"/>
    <cellStyle name="Énfasis6 33 18" xfId="23517" xr:uid="{00000000-0005-0000-0000-0000B85B0000}"/>
    <cellStyle name="Énfasis6 33 19" xfId="23518" xr:uid="{00000000-0005-0000-0000-0000B95B0000}"/>
    <cellStyle name="Énfasis6 33 2" xfId="23519" xr:uid="{00000000-0005-0000-0000-0000BA5B0000}"/>
    <cellStyle name="Énfasis6 33 2 2" xfId="23520" xr:uid="{00000000-0005-0000-0000-0000BB5B0000}"/>
    <cellStyle name="Énfasis6 33 3" xfId="23521" xr:uid="{00000000-0005-0000-0000-0000BC5B0000}"/>
    <cellStyle name="Énfasis6 33 3 2" xfId="23522" xr:uid="{00000000-0005-0000-0000-0000BD5B0000}"/>
    <cellStyle name="Énfasis6 33 4" xfId="23523" xr:uid="{00000000-0005-0000-0000-0000BE5B0000}"/>
    <cellStyle name="Énfasis6 33 4 2" xfId="23524" xr:uid="{00000000-0005-0000-0000-0000BF5B0000}"/>
    <cellStyle name="Énfasis6 33 5" xfId="23525" xr:uid="{00000000-0005-0000-0000-0000C05B0000}"/>
    <cellStyle name="Énfasis6 33 6" xfId="23526" xr:uid="{00000000-0005-0000-0000-0000C15B0000}"/>
    <cellStyle name="Énfasis6 33 7" xfId="23527" xr:uid="{00000000-0005-0000-0000-0000C25B0000}"/>
    <cellStyle name="Énfasis6 33 8" xfId="23528" xr:uid="{00000000-0005-0000-0000-0000C35B0000}"/>
    <cellStyle name="Énfasis6 33 9" xfId="23529" xr:uid="{00000000-0005-0000-0000-0000C45B0000}"/>
    <cellStyle name="Énfasis6 34 10" xfId="23530" xr:uid="{00000000-0005-0000-0000-0000C55B0000}"/>
    <cellStyle name="Énfasis6 34 11" xfId="23531" xr:uid="{00000000-0005-0000-0000-0000C65B0000}"/>
    <cellStyle name="Énfasis6 34 12" xfId="23532" xr:uid="{00000000-0005-0000-0000-0000C75B0000}"/>
    <cellStyle name="Énfasis6 34 13" xfId="23533" xr:uid="{00000000-0005-0000-0000-0000C85B0000}"/>
    <cellStyle name="Énfasis6 34 14" xfId="23534" xr:uid="{00000000-0005-0000-0000-0000C95B0000}"/>
    <cellStyle name="Énfasis6 34 15" xfId="23535" xr:uid="{00000000-0005-0000-0000-0000CA5B0000}"/>
    <cellStyle name="Énfasis6 34 16" xfId="23536" xr:uid="{00000000-0005-0000-0000-0000CB5B0000}"/>
    <cellStyle name="Énfasis6 34 17" xfId="23537" xr:uid="{00000000-0005-0000-0000-0000CC5B0000}"/>
    <cellStyle name="Énfasis6 34 18" xfId="23538" xr:uid="{00000000-0005-0000-0000-0000CD5B0000}"/>
    <cellStyle name="Énfasis6 34 19" xfId="23539" xr:uid="{00000000-0005-0000-0000-0000CE5B0000}"/>
    <cellStyle name="Énfasis6 34 2" xfId="23540" xr:uid="{00000000-0005-0000-0000-0000CF5B0000}"/>
    <cellStyle name="Énfasis6 34 2 2" xfId="23541" xr:uid="{00000000-0005-0000-0000-0000D05B0000}"/>
    <cellStyle name="Énfasis6 34 3" xfId="23542" xr:uid="{00000000-0005-0000-0000-0000D15B0000}"/>
    <cellStyle name="Énfasis6 34 3 2" xfId="23543" xr:uid="{00000000-0005-0000-0000-0000D25B0000}"/>
    <cellStyle name="Énfasis6 34 4" xfId="23544" xr:uid="{00000000-0005-0000-0000-0000D35B0000}"/>
    <cellStyle name="Énfasis6 34 4 2" xfId="23545" xr:uid="{00000000-0005-0000-0000-0000D45B0000}"/>
    <cellStyle name="Énfasis6 34 5" xfId="23546" xr:uid="{00000000-0005-0000-0000-0000D55B0000}"/>
    <cellStyle name="Énfasis6 34 6" xfId="23547" xr:uid="{00000000-0005-0000-0000-0000D65B0000}"/>
    <cellStyle name="Énfasis6 34 7" xfId="23548" xr:uid="{00000000-0005-0000-0000-0000D75B0000}"/>
    <cellStyle name="Énfasis6 34 8" xfId="23549" xr:uid="{00000000-0005-0000-0000-0000D85B0000}"/>
    <cellStyle name="Énfasis6 34 9" xfId="23550" xr:uid="{00000000-0005-0000-0000-0000D95B0000}"/>
    <cellStyle name="Énfasis6 35 10" xfId="23551" xr:uid="{00000000-0005-0000-0000-0000DA5B0000}"/>
    <cellStyle name="Énfasis6 35 11" xfId="23552" xr:uid="{00000000-0005-0000-0000-0000DB5B0000}"/>
    <cellStyle name="Énfasis6 35 12" xfId="23553" xr:uid="{00000000-0005-0000-0000-0000DC5B0000}"/>
    <cellStyle name="Énfasis6 35 13" xfId="23554" xr:uid="{00000000-0005-0000-0000-0000DD5B0000}"/>
    <cellStyle name="Énfasis6 35 14" xfId="23555" xr:uid="{00000000-0005-0000-0000-0000DE5B0000}"/>
    <cellStyle name="Énfasis6 35 15" xfId="23556" xr:uid="{00000000-0005-0000-0000-0000DF5B0000}"/>
    <cellStyle name="Énfasis6 35 16" xfId="23557" xr:uid="{00000000-0005-0000-0000-0000E05B0000}"/>
    <cellStyle name="Énfasis6 35 17" xfId="23558" xr:uid="{00000000-0005-0000-0000-0000E15B0000}"/>
    <cellStyle name="Énfasis6 35 18" xfId="23559" xr:uid="{00000000-0005-0000-0000-0000E25B0000}"/>
    <cellStyle name="Énfasis6 35 19" xfId="23560" xr:uid="{00000000-0005-0000-0000-0000E35B0000}"/>
    <cellStyle name="Énfasis6 35 2" xfId="23561" xr:uid="{00000000-0005-0000-0000-0000E45B0000}"/>
    <cellStyle name="Énfasis6 35 2 2" xfId="23562" xr:uid="{00000000-0005-0000-0000-0000E55B0000}"/>
    <cellStyle name="Énfasis6 35 3" xfId="23563" xr:uid="{00000000-0005-0000-0000-0000E65B0000}"/>
    <cellStyle name="Énfasis6 35 3 2" xfId="23564" xr:uid="{00000000-0005-0000-0000-0000E75B0000}"/>
    <cellStyle name="Énfasis6 35 4" xfId="23565" xr:uid="{00000000-0005-0000-0000-0000E85B0000}"/>
    <cellStyle name="Énfasis6 35 4 2" xfId="23566" xr:uid="{00000000-0005-0000-0000-0000E95B0000}"/>
    <cellStyle name="Énfasis6 35 5" xfId="23567" xr:uid="{00000000-0005-0000-0000-0000EA5B0000}"/>
    <cellStyle name="Énfasis6 35 6" xfId="23568" xr:uid="{00000000-0005-0000-0000-0000EB5B0000}"/>
    <cellStyle name="Énfasis6 35 7" xfId="23569" xr:uid="{00000000-0005-0000-0000-0000EC5B0000}"/>
    <cellStyle name="Énfasis6 35 8" xfId="23570" xr:uid="{00000000-0005-0000-0000-0000ED5B0000}"/>
    <cellStyle name="Énfasis6 35 9" xfId="23571" xr:uid="{00000000-0005-0000-0000-0000EE5B0000}"/>
    <cellStyle name="Énfasis6 36 10" xfId="23572" xr:uid="{00000000-0005-0000-0000-0000EF5B0000}"/>
    <cellStyle name="Énfasis6 36 11" xfId="23573" xr:uid="{00000000-0005-0000-0000-0000F05B0000}"/>
    <cellStyle name="Énfasis6 36 12" xfId="23574" xr:uid="{00000000-0005-0000-0000-0000F15B0000}"/>
    <cellStyle name="Énfasis6 36 13" xfId="23575" xr:uid="{00000000-0005-0000-0000-0000F25B0000}"/>
    <cellStyle name="Énfasis6 36 14" xfId="23576" xr:uid="{00000000-0005-0000-0000-0000F35B0000}"/>
    <cellStyle name="Énfasis6 36 15" xfId="23577" xr:uid="{00000000-0005-0000-0000-0000F45B0000}"/>
    <cellStyle name="Énfasis6 36 16" xfId="23578" xr:uid="{00000000-0005-0000-0000-0000F55B0000}"/>
    <cellStyle name="Énfasis6 36 17" xfId="23579" xr:uid="{00000000-0005-0000-0000-0000F65B0000}"/>
    <cellStyle name="Énfasis6 36 18" xfId="23580" xr:uid="{00000000-0005-0000-0000-0000F75B0000}"/>
    <cellStyle name="Énfasis6 36 19" xfId="23581" xr:uid="{00000000-0005-0000-0000-0000F85B0000}"/>
    <cellStyle name="Énfasis6 36 2" xfId="23582" xr:uid="{00000000-0005-0000-0000-0000F95B0000}"/>
    <cellStyle name="Énfasis6 36 2 2" xfId="23583" xr:uid="{00000000-0005-0000-0000-0000FA5B0000}"/>
    <cellStyle name="Énfasis6 36 3" xfId="23584" xr:uid="{00000000-0005-0000-0000-0000FB5B0000}"/>
    <cellStyle name="Énfasis6 36 3 2" xfId="23585" xr:uid="{00000000-0005-0000-0000-0000FC5B0000}"/>
    <cellStyle name="Énfasis6 36 4" xfId="23586" xr:uid="{00000000-0005-0000-0000-0000FD5B0000}"/>
    <cellStyle name="Énfasis6 36 4 2" xfId="23587" xr:uid="{00000000-0005-0000-0000-0000FE5B0000}"/>
    <cellStyle name="Énfasis6 36 5" xfId="23588" xr:uid="{00000000-0005-0000-0000-0000FF5B0000}"/>
    <cellStyle name="Énfasis6 36 6" xfId="23589" xr:uid="{00000000-0005-0000-0000-0000005C0000}"/>
    <cellStyle name="Énfasis6 36 7" xfId="23590" xr:uid="{00000000-0005-0000-0000-0000015C0000}"/>
    <cellStyle name="Énfasis6 36 8" xfId="23591" xr:uid="{00000000-0005-0000-0000-0000025C0000}"/>
    <cellStyle name="Énfasis6 36 9" xfId="23592" xr:uid="{00000000-0005-0000-0000-0000035C0000}"/>
    <cellStyle name="Énfasis6 37 10" xfId="23593" xr:uid="{00000000-0005-0000-0000-0000045C0000}"/>
    <cellStyle name="Énfasis6 37 11" xfId="23594" xr:uid="{00000000-0005-0000-0000-0000055C0000}"/>
    <cellStyle name="Énfasis6 37 12" xfId="23595" xr:uid="{00000000-0005-0000-0000-0000065C0000}"/>
    <cellStyle name="Énfasis6 37 13" xfId="23596" xr:uid="{00000000-0005-0000-0000-0000075C0000}"/>
    <cellStyle name="Énfasis6 37 14" xfId="23597" xr:uid="{00000000-0005-0000-0000-0000085C0000}"/>
    <cellStyle name="Énfasis6 37 15" xfId="23598" xr:uid="{00000000-0005-0000-0000-0000095C0000}"/>
    <cellStyle name="Énfasis6 37 16" xfId="23599" xr:uid="{00000000-0005-0000-0000-00000A5C0000}"/>
    <cellStyle name="Énfasis6 37 17" xfId="23600" xr:uid="{00000000-0005-0000-0000-00000B5C0000}"/>
    <cellStyle name="Énfasis6 37 18" xfId="23601" xr:uid="{00000000-0005-0000-0000-00000C5C0000}"/>
    <cellStyle name="Énfasis6 37 19" xfId="23602" xr:uid="{00000000-0005-0000-0000-00000D5C0000}"/>
    <cellStyle name="Énfasis6 37 2" xfId="23603" xr:uid="{00000000-0005-0000-0000-00000E5C0000}"/>
    <cellStyle name="Énfasis6 37 2 2" xfId="23604" xr:uid="{00000000-0005-0000-0000-00000F5C0000}"/>
    <cellStyle name="Énfasis6 37 3" xfId="23605" xr:uid="{00000000-0005-0000-0000-0000105C0000}"/>
    <cellStyle name="Énfasis6 37 3 2" xfId="23606" xr:uid="{00000000-0005-0000-0000-0000115C0000}"/>
    <cellStyle name="Énfasis6 37 4" xfId="23607" xr:uid="{00000000-0005-0000-0000-0000125C0000}"/>
    <cellStyle name="Énfasis6 37 4 2" xfId="23608" xr:uid="{00000000-0005-0000-0000-0000135C0000}"/>
    <cellStyle name="Énfasis6 37 5" xfId="23609" xr:uid="{00000000-0005-0000-0000-0000145C0000}"/>
    <cellStyle name="Énfasis6 37 6" xfId="23610" xr:uid="{00000000-0005-0000-0000-0000155C0000}"/>
    <cellStyle name="Énfasis6 37 7" xfId="23611" xr:uid="{00000000-0005-0000-0000-0000165C0000}"/>
    <cellStyle name="Énfasis6 37 8" xfId="23612" xr:uid="{00000000-0005-0000-0000-0000175C0000}"/>
    <cellStyle name="Énfasis6 37 9" xfId="23613" xr:uid="{00000000-0005-0000-0000-0000185C0000}"/>
    <cellStyle name="Énfasis6 38 10" xfId="23614" xr:uid="{00000000-0005-0000-0000-0000195C0000}"/>
    <cellStyle name="Énfasis6 38 11" xfId="23615" xr:uid="{00000000-0005-0000-0000-00001A5C0000}"/>
    <cellStyle name="Énfasis6 38 12" xfId="23616" xr:uid="{00000000-0005-0000-0000-00001B5C0000}"/>
    <cellStyle name="Énfasis6 38 13" xfId="23617" xr:uid="{00000000-0005-0000-0000-00001C5C0000}"/>
    <cellStyle name="Énfasis6 38 14" xfId="23618" xr:uid="{00000000-0005-0000-0000-00001D5C0000}"/>
    <cellStyle name="Énfasis6 38 15" xfId="23619" xr:uid="{00000000-0005-0000-0000-00001E5C0000}"/>
    <cellStyle name="Énfasis6 38 16" xfId="23620" xr:uid="{00000000-0005-0000-0000-00001F5C0000}"/>
    <cellStyle name="Énfasis6 38 17" xfId="23621" xr:uid="{00000000-0005-0000-0000-0000205C0000}"/>
    <cellStyle name="Énfasis6 38 18" xfId="23622" xr:uid="{00000000-0005-0000-0000-0000215C0000}"/>
    <cellStyle name="Énfasis6 38 19" xfId="23623" xr:uid="{00000000-0005-0000-0000-0000225C0000}"/>
    <cellStyle name="Énfasis6 38 2" xfId="23624" xr:uid="{00000000-0005-0000-0000-0000235C0000}"/>
    <cellStyle name="Énfasis6 38 2 2" xfId="23625" xr:uid="{00000000-0005-0000-0000-0000245C0000}"/>
    <cellStyle name="Énfasis6 38 3" xfId="23626" xr:uid="{00000000-0005-0000-0000-0000255C0000}"/>
    <cellStyle name="Énfasis6 38 3 2" xfId="23627" xr:uid="{00000000-0005-0000-0000-0000265C0000}"/>
    <cellStyle name="Énfasis6 38 4" xfId="23628" xr:uid="{00000000-0005-0000-0000-0000275C0000}"/>
    <cellStyle name="Énfasis6 38 4 2" xfId="23629" xr:uid="{00000000-0005-0000-0000-0000285C0000}"/>
    <cellStyle name="Énfasis6 38 5" xfId="23630" xr:uid="{00000000-0005-0000-0000-0000295C0000}"/>
    <cellStyle name="Énfasis6 38 6" xfId="23631" xr:uid="{00000000-0005-0000-0000-00002A5C0000}"/>
    <cellStyle name="Énfasis6 38 7" xfId="23632" xr:uid="{00000000-0005-0000-0000-00002B5C0000}"/>
    <cellStyle name="Énfasis6 38 8" xfId="23633" xr:uid="{00000000-0005-0000-0000-00002C5C0000}"/>
    <cellStyle name="Énfasis6 38 9" xfId="23634" xr:uid="{00000000-0005-0000-0000-00002D5C0000}"/>
    <cellStyle name="Énfasis6 39" xfId="23635" xr:uid="{00000000-0005-0000-0000-00002E5C0000}"/>
    <cellStyle name="Énfasis6 39 10" xfId="23636" xr:uid="{00000000-0005-0000-0000-00002F5C0000}"/>
    <cellStyle name="Énfasis6 39 11" xfId="23637" xr:uid="{00000000-0005-0000-0000-0000305C0000}"/>
    <cellStyle name="Énfasis6 39 12" xfId="23638" xr:uid="{00000000-0005-0000-0000-0000315C0000}"/>
    <cellStyle name="Énfasis6 39 13" xfId="23639" xr:uid="{00000000-0005-0000-0000-0000325C0000}"/>
    <cellStyle name="Énfasis6 39 14" xfId="23640" xr:uid="{00000000-0005-0000-0000-0000335C0000}"/>
    <cellStyle name="Énfasis6 39 15" xfId="23641" xr:uid="{00000000-0005-0000-0000-0000345C0000}"/>
    <cellStyle name="Énfasis6 39 16" xfId="23642" xr:uid="{00000000-0005-0000-0000-0000355C0000}"/>
    <cellStyle name="Énfasis6 39 2" xfId="23643" xr:uid="{00000000-0005-0000-0000-0000365C0000}"/>
    <cellStyle name="Énfasis6 39 3" xfId="23644" xr:uid="{00000000-0005-0000-0000-0000375C0000}"/>
    <cellStyle name="Énfasis6 39 4" xfId="23645" xr:uid="{00000000-0005-0000-0000-0000385C0000}"/>
    <cellStyle name="Énfasis6 39 5" xfId="23646" xr:uid="{00000000-0005-0000-0000-0000395C0000}"/>
    <cellStyle name="Énfasis6 39 6" xfId="23647" xr:uid="{00000000-0005-0000-0000-00003A5C0000}"/>
    <cellStyle name="Énfasis6 39 7" xfId="23648" xr:uid="{00000000-0005-0000-0000-00003B5C0000}"/>
    <cellStyle name="Énfasis6 39 8" xfId="23649" xr:uid="{00000000-0005-0000-0000-00003C5C0000}"/>
    <cellStyle name="Énfasis6 39 9" xfId="23650" xr:uid="{00000000-0005-0000-0000-00003D5C0000}"/>
    <cellStyle name="Énfasis6 4 10" xfId="23651" xr:uid="{00000000-0005-0000-0000-00003E5C0000}"/>
    <cellStyle name="Énfasis6 4 11" xfId="23652" xr:uid="{00000000-0005-0000-0000-00003F5C0000}"/>
    <cellStyle name="Énfasis6 4 12" xfId="23653" xr:uid="{00000000-0005-0000-0000-0000405C0000}"/>
    <cellStyle name="Énfasis6 4 13" xfId="23654" xr:uid="{00000000-0005-0000-0000-0000415C0000}"/>
    <cellStyle name="Énfasis6 4 14" xfId="23655" xr:uid="{00000000-0005-0000-0000-0000425C0000}"/>
    <cellStyle name="Énfasis6 4 15" xfId="23656" xr:uid="{00000000-0005-0000-0000-0000435C0000}"/>
    <cellStyle name="Énfasis6 4 16" xfId="23657" xr:uid="{00000000-0005-0000-0000-0000445C0000}"/>
    <cellStyle name="Énfasis6 4 17" xfId="23658" xr:uid="{00000000-0005-0000-0000-0000455C0000}"/>
    <cellStyle name="Énfasis6 4 18" xfId="23659" xr:uid="{00000000-0005-0000-0000-0000465C0000}"/>
    <cellStyle name="Énfasis6 4 19" xfId="23660" xr:uid="{00000000-0005-0000-0000-0000475C0000}"/>
    <cellStyle name="Énfasis6 4 2" xfId="23661" xr:uid="{00000000-0005-0000-0000-0000485C0000}"/>
    <cellStyle name="Énfasis6 4 2 2" xfId="23662" xr:uid="{00000000-0005-0000-0000-0000495C0000}"/>
    <cellStyle name="Énfasis6 4 3" xfId="23663" xr:uid="{00000000-0005-0000-0000-00004A5C0000}"/>
    <cellStyle name="Énfasis6 4 3 2" xfId="23664" xr:uid="{00000000-0005-0000-0000-00004B5C0000}"/>
    <cellStyle name="Énfasis6 4 4" xfId="23665" xr:uid="{00000000-0005-0000-0000-00004C5C0000}"/>
    <cellStyle name="Énfasis6 4 4 2" xfId="23666" xr:uid="{00000000-0005-0000-0000-00004D5C0000}"/>
    <cellStyle name="Énfasis6 4 5" xfId="23667" xr:uid="{00000000-0005-0000-0000-00004E5C0000}"/>
    <cellStyle name="Énfasis6 4 6" xfId="23668" xr:uid="{00000000-0005-0000-0000-00004F5C0000}"/>
    <cellStyle name="Énfasis6 4 7" xfId="23669" xr:uid="{00000000-0005-0000-0000-0000505C0000}"/>
    <cellStyle name="Énfasis6 4 8" xfId="23670" xr:uid="{00000000-0005-0000-0000-0000515C0000}"/>
    <cellStyle name="Énfasis6 4 9" xfId="23671" xr:uid="{00000000-0005-0000-0000-0000525C0000}"/>
    <cellStyle name="Énfasis6 40" xfId="23672" xr:uid="{00000000-0005-0000-0000-0000535C0000}"/>
    <cellStyle name="Énfasis6 40 10" xfId="23673" xr:uid="{00000000-0005-0000-0000-0000545C0000}"/>
    <cellStyle name="Énfasis6 40 11" xfId="23674" xr:uid="{00000000-0005-0000-0000-0000555C0000}"/>
    <cellStyle name="Énfasis6 40 12" xfId="23675" xr:uid="{00000000-0005-0000-0000-0000565C0000}"/>
    <cellStyle name="Énfasis6 40 13" xfId="23676" xr:uid="{00000000-0005-0000-0000-0000575C0000}"/>
    <cellStyle name="Énfasis6 40 14" xfId="23677" xr:uid="{00000000-0005-0000-0000-0000585C0000}"/>
    <cellStyle name="Énfasis6 40 15" xfId="23678" xr:uid="{00000000-0005-0000-0000-0000595C0000}"/>
    <cellStyle name="Énfasis6 40 16" xfId="23679" xr:uid="{00000000-0005-0000-0000-00005A5C0000}"/>
    <cellStyle name="Énfasis6 40 2" xfId="23680" xr:uid="{00000000-0005-0000-0000-00005B5C0000}"/>
    <cellStyle name="Énfasis6 40 3" xfId="23681" xr:uid="{00000000-0005-0000-0000-00005C5C0000}"/>
    <cellStyle name="Énfasis6 40 4" xfId="23682" xr:uid="{00000000-0005-0000-0000-00005D5C0000}"/>
    <cellStyle name="Énfasis6 40 5" xfId="23683" xr:uid="{00000000-0005-0000-0000-00005E5C0000}"/>
    <cellStyle name="Énfasis6 40 6" xfId="23684" xr:uid="{00000000-0005-0000-0000-00005F5C0000}"/>
    <cellStyle name="Énfasis6 40 7" xfId="23685" xr:uid="{00000000-0005-0000-0000-0000605C0000}"/>
    <cellStyle name="Énfasis6 40 8" xfId="23686" xr:uid="{00000000-0005-0000-0000-0000615C0000}"/>
    <cellStyle name="Énfasis6 40 9" xfId="23687" xr:uid="{00000000-0005-0000-0000-0000625C0000}"/>
    <cellStyle name="Énfasis6 41" xfId="23688" xr:uid="{00000000-0005-0000-0000-0000635C0000}"/>
    <cellStyle name="Énfasis6 41 10" xfId="23689" xr:uid="{00000000-0005-0000-0000-0000645C0000}"/>
    <cellStyle name="Énfasis6 41 11" xfId="23690" xr:uid="{00000000-0005-0000-0000-0000655C0000}"/>
    <cellStyle name="Énfasis6 41 12" xfId="23691" xr:uid="{00000000-0005-0000-0000-0000665C0000}"/>
    <cellStyle name="Énfasis6 41 13" xfId="23692" xr:uid="{00000000-0005-0000-0000-0000675C0000}"/>
    <cellStyle name="Énfasis6 41 14" xfId="23693" xr:uid="{00000000-0005-0000-0000-0000685C0000}"/>
    <cellStyle name="Énfasis6 41 15" xfId="23694" xr:uid="{00000000-0005-0000-0000-0000695C0000}"/>
    <cellStyle name="Énfasis6 41 16" xfId="23695" xr:uid="{00000000-0005-0000-0000-00006A5C0000}"/>
    <cellStyle name="Énfasis6 41 2" xfId="23696" xr:uid="{00000000-0005-0000-0000-00006B5C0000}"/>
    <cellStyle name="Énfasis6 41 3" xfId="23697" xr:uid="{00000000-0005-0000-0000-00006C5C0000}"/>
    <cellStyle name="Énfasis6 41 4" xfId="23698" xr:uid="{00000000-0005-0000-0000-00006D5C0000}"/>
    <cellStyle name="Énfasis6 41 5" xfId="23699" xr:uid="{00000000-0005-0000-0000-00006E5C0000}"/>
    <cellStyle name="Énfasis6 41 6" xfId="23700" xr:uid="{00000000-0005-0000-0000-00006F5C0000}"/>
    <cellStyle name="Énfasis6 41 7" xfId="23701" xr:uid="{00000000-0005-0000-0000-0000705C0000}"/>
    <cellStyle name="Énfasis6 41 8" xfId="23702" xr:uid="{00000000-0005-0000-0000-0000715C0000}"/>
    <cellStyle name="Énfasis6 41 9" xfId="23703" xr:uid="{00000000-0005-0000-0000-0000725C0000}"/>
    <cellStyle name="Énfasis6 42" xfId="23704" xr:uid="{00000000-0005-0000-0000-0000735C0000}"/>
    <cellStyle name="Énfasis6 43" xfId="23705" xr:uid="{00000000-0005-0000-0000-0000745C0000}"/>
    <cellStyle name="Énfasis6 44" xfId="23706" xr:uid="{00000000-0005-0000-0000-0000755C0000}"/>
    <cellStyle name="Énfasis6 45" xfId="23707" xr:uid="{00000000-0005-0000-0000-0000765C0000}"/>
    <cellStyle name="Énfasis6 46" xfId="23708" xr:uid="{00000000-0005-0000-0000-0000775C0000}"/>
    <cellStyle name="Énfasis6 47" xfId="23709" xr:uid="{00000000-0005-0000-0000-0000785C0000}"/>
    <cellStyle name="Énfasis6 48" xfId="23710" xr:uid="{00000000-0005-0000-0000-0000795C0000}"/>
    <cellStyle name="Énfasis6 49" xfId="23711" xr:uid="{00000000-0005-0000-0000-00007A5C0000}"/>
    <cellStyle name="Énfasis6 5 10" xfId="23712" xr:uid="{00000000-0005-0000-0000-00007B5C0000}"/>
    <cellStyle name="Énfasis6 5 11" xfId="23713" xr:uid="{00000000-0005-0000-0000-00007C5C0000}"/>
    <cellStyle name="Énfasis6 5 12" xfId="23714" xr:uid="{00000000-0005-0000-0000-00007D5C0000}"/>
    <cellStyle name="Énfasis6 5 13" xfId="23715" xr:uid="{00000000-0005-0000-0000-00007E5C0000}"/>
    <cellStyle name="Énfasis6 5 14" xfId="23716" xr:uid="{00000000-0005-0000-0000-00007F5C0000}"/>
    <cellStyle name="Énfasis6 5 15" xfId="23717" xr:uid="{00000000-0005-0000-0000-0000805C0000}"/>
    <cellStyle name="Énfasis6 5 16" xfId="23718" xr:uid="{00000000-0005-0000-0000-0000815C0000}"/>
    <cellStyle name="Énfasis6 5 17" xfId="23719" xr:uid="{00000000-0005-0000-0000-0000825C0000}"/>
    <cellStyle name="Énfasis6 5 18" xfId="23720" xr:uid="{00000000-0005-0000-0000-0000835C0000}"/>
    <cellStyle name="Énfasis6 5 19" xfId="23721" xr:uid="{00000000-0005-0000-0000-0000845C0000}"/>
    <cellStyle name="Énfasis6 5 2" xfId="23722" xr:uid="{00000000-0005-0000-0000-0000855C0000}"/>
    <cellStyle name="Énfasis6 5 2 2" xfId="23723" xr:uid="{00000000-0005-0000-0000-0000865C0000}"/>
    <cellStyle name="Énfasis6 5 3" xfId="23724" xr:uid="{00000000-0005-0000-0000-0000875C0000}"/>
    <cellStyle name="Énfasis6 5 3 2" xfId="23725" xr:uid="{00000000-0005-0000-0000-0000885C0000}"/>
    <cellStyle name="Énfasis6 5 4" xfId="23726" xr:uid="{00000000-0005-0000-0000-0000895C0000}"/>
    <cellStyle name="Énfasis6 5 4 2" xfId="23727" xr:uid="{00000000-0005-0000-0000-00008A5C0000}"/>
    <cellStyle name="Énfasis6 5 5" xfId="23728" xr:uid="{00000000-0005-0000-0000-00008B5C0000}"/>
    <cellStyle name="Énfasis6 5 6" xfId="23729" xr:uid="{00000000-0005-0000-0000-00008C5C0000}"/>
    <cellStyle name="Énfasis6 5 7" xfId="23730" xr:uid="{00000000-0005-0000-0000-00008D5C0000}"/>
    <cellStyle name="Énfasis6 5 8" xfId="23731" xr:uid="{00000000-0005-0000-0000-00008E5C0000}"/>
    <cellStyle name="Énfasis6 5 9" xfId="23732" xr:uid="{00000000-0005-0000-0000-00008F5C0000}"/>
    <cellStyle name="Énfasis6 50" xfId="23733" xr:uid="{00000000-0005-0000-0000-0000905C0000}"/>
    <cellStyle name="Énfasis6 51" xfId="23734" xr:uid="{00000000-0005-0000-0000-0000915C0000}"/>
    <cellStyle name="Énfasis6 52" xfId="23735" xr:uid="{00000000-0005-0000-0000-0000925C0000}"/>
    <cellStyle name="Énfasis6 53" xfId="23736" xr:uid="{00000000-0005-0000-0000-0000935C0000}"/>
    <cellStyle name="Énfasis6 54" xfId="23737" xr:uid="{00000000-0005-0000-0000-0000945C0000}"/>
    <cellStyle name="Énfasis6 55" xfId="23738" xr:uid="{00000000-0005-0000-0000-0000955C0000}"/>
    <cellStyle name="Énfasis6 56" xfId="23739" xr:uid="{00000000-0005-0000-0000-0000965C0000}"/>
    <cellStyle name="Énfasis6 57" xfId="23740" xr:uid="{00000000-0005-0000-0000-0000975C0000}"/>
    <cellStyle name="Énfasis6 58" xfId="23741" xr:uid="{00000000-0005-0000-0000-0000985C0000}"/>
    <cellStyle name="Énfasis6 59" xfId="23742" xr:uid="{00000000-0005-0000-0000-0000995C0000}"/>
    <cellStyle name="Énfasis6 6 10" xfId="23743" xr:uid="{00000000-0005-0000-0000-00009A5C0000}"/>
    <cellStyle name="Énfasis6 6 11" xfId="23744" xr:uid="{00000000-0005-0000-0000-00009B5C0000}"/>
    <cellStyle name="Énfasis6 6 12" xfId="23745" xr:uid="{00000000-0005-0000-0000-00009C5C0000}"/>
    <cellStyle name="Énfasis6 6 13" xfId="23746" xr:uid="{00000000-0005-0000-0000-00009D5C0000}"/>
    <cellStyle name="Énfasis6 6 14" xfId="23747" xr:uid="{00000000-0005-0000-0000-00009E5C0000}"/>
    <cellStyle name="Énfasis6 6 15" xfId="23748" xr:uid="{00000000-0005-0000-0000-00009F5C0000}"/>
    <cellStyle name="Énfasis6 6 16" xfId="23749" xr:uid="{00000000-0005-0000-0000-0000A05C0000}"/>
    <cellStyle name="Énfasis6 6 17" xfId="23750" xr:uid="{00000000-0005-0000-0000-0000A15C0000}"/>
    <cellStyle name="Énfasis6 6 18" xfId="23751" xr:uid="{00000000-0005-0000-0000-0000A25C0000}"/>
    <cellStyle name="Énfasis6 6 19" xfId="23752" xr:uid="{00000000-0005-0000-0000-0000A35C0000}"/>
    <cellStyle name="Énfasis6 6 2" xfId="23753" xr:uid="{00000000-0005-0000-0000-0000A45C0000}"/>
    <cellStyle name="Énfasis6 6 2 2" xfId="23754" xr:uid="{00000000-0005-0000-0000-0000A55C0000}"/>
    <cellStyle name="Énfasis6 6 3" xfId="23755" xr:uid="{00000000-0005-0000-0000-0000A65C0000}"/>
    <cellStyle name="Énfasis6 6 3 2" xfId="23756" xr:uid="{00000000-0005-0000-0000-0000A75C0000}"/>
    <cellStyle name="Énfasis6 6 4" xfId="23757" xr:uid="{00000000-0005-0000-0000-0000A85C0000}"/>
    <cellStyle name="Énfasis6 6 4 2" xfId="23758" xr:uid="{00000000-0005-0000-0000-0000A95C0000}"/>
    <cellStyle name="Énfasis6 6 5" xfId="23759" xr:uid="{00000000-0005-0000-0000-0000AA5C0000}"/>
    <cellStyle name="Énfasis6 6 6" xfId="23760" xr:uid="{00000000-0005-0000-0000-0000AB5C0000}"/>
    <cellStyle name="Énfasis6 6 7" xfId="23761" xr:uid="{00000000-0005-0000-0000-0000AC5C0000}"/>
    <cellStyle name="Énfasis6 6 8" xfId="23762" xr:uid="{00000000-0005-0000-0000-0000AD5C0000}"/>
    <cellStyle name="Énfasis6 6 9" xfId="23763" xr:uid="{00000000-0005-0000-0000-0000AE5C0000}"/>
    <cellStyle name="Énfasis6 60" xfId="23764" xr:uid="{00000000-0005-0000-0000-0000AF5C0000}"/>
    <cellStyle name="Énfasis6 61" xfId="23765" xr:uid="{00000000-0005-0000-0000-0000B05C0000}"/>
    <cellStyle name="Énfasis6 62" xfId="23766" xr:uid="{00000000-0005-0000-0000-0000B15C0000}"/>
    <cellStyle name="Énfasis6 63" xfId="23767" xr:uid="{00000000-0005-0000-0000-0000B25C0000}"/>
    <cellStyle name="Énfasis6 64" xfId="23768" xr:uid="{00000000-0005-0000-0000-0000B35C0000}"/>
    <cellStyle name="Énfasis6 7 10" xfId="23769" xr:uid="{00000000-0005-0000-0000-0000B45C0000}"/>
    <cellStyle name="Énfasis6 7 11" xfId="23770" xr:uid="{00000000-0005-0000-0000-0000B55C0000}"/>
    <cellStyle name="Énfasis6 7 12" xfId="23771" xr:uid="{00000000-0005-0000-0000-0000B65C0000}"/>
    <cellStyle name="Énfasis6 7 13" xfId="23772" xr:uid="{00000000-0005-0000-0000-0000B75C0000}"/>
    <cellStyle name="Énfasis6 7 14" xfId="23773" xr:uid="{00000000-0005-0000-0000-0000B85C0000}"/>
    <cellStyle name="Énfasis6 7 15" xfId="23774" xr:uid="{00000000-0005-0000-0000-0000B95C0000}"/>
    <cellStyle name="Énfasis6 7 16" xfId="23775" xr:uid="{00000000-0005-0000-0000-0000BA5C0000}"/>
    <cellStyle name="Énfasis6 7 17" xfId="23776" xr:uid="{00000000-0005-0000-0000-0000BB5C0000}"/>
    <cellStyle name="Énfasis6 7 18" xfId="23777" xr:uid="{00000000-0005-0000-0000-0000BC5C0000}"/>
    <cellStyle name="Énfasis6 7 19" xfId="23778" xr:uid="{00000000-0005-0000-0000-0000BD5C0000}"/>
    <cellStyle name="Énfasis6 7 2" xfId="23779" xr:uid="{00000000-0005-0000-0000-0000BE5C0000}"/>
    <cellStyle name="Énfasis6 7 2 2" xfId="23780" xr:uid="{00000000-0005-0000-0000-0000BF5C0000}"/>
    <cellStyle name="Énfasis6 7 3" xfId="23781" xr:uid="{00000000-0005-0000-0000-0000C05C0000}"/>
    <cellStyle name="Énfasis6 7 3 2" xfId="23782" xr:uid="{00000000-0005-0000-0000-0000C15C0000}"/>
    <cellStyle name="Énfasis6 7 4" xfId="23783" xr:uid="{00000000-0005-0000-0000-0000C25C0000}"/>
    <cellStyle name="Énfasis6 7 4 2" xfId="23784" xr:uid="{00000000-0005-0000-0000-0000C35C0000}"/>
    <cellStyle name="Énfasis6 7 5" xfId="23785" xr:uid="{00000000-0005-0000-0000-0000C45C0000}"/>
    <cellStyle name="Énfasis6 7 6" xfId="23786" xr:uid="{00000000-0005-0000-0000-0000C55C0000}"/>
    <cellStyle name="Énfasis6 7 7" xfId="23787" xr:uid="{00000000-0005-0000-0000-0000C65C0000}"/>
    <cellStyle name="Énfasis6 7 8" xfId="23788" xr:uid="{00000000-0005-0000-0000-0000C75C0000}"/>
    <cellStyle name="Énfasis6 7 9" xfId="23789" xr:uid="{00000000-0005-0000-0000-0000C85C0000}"/>
    <cellStyle name="Énfasis6 8 10" xfId="23790" xr:uid="{00000000-0005-0000-0000-0000C95C0000}"/>
    <cellStyle name="Énfasis6 8 11" xfId="23791" xr:uid="{00000000-0005-0000-0000-0000CA5C0000}"/>
    <cellStyle name="Énfasis6 8 12" xfId="23792" xr:uid="{00000000-0005-0000-0000-0000CB5C0000}"/>
    <cellStyle name="Énfasis6 8 13" xfId="23793" xr:uid="{00000000-0005-0000-0000-0000CC5C0000}"/>
    <cellStyle name="Énfasis6 8 14" xfId="23794" xr:uid="{00000000-0005-0000-0000-0000CD5C0000}"/>
    <cellStyle name="Énfasis6 8 15" xfId="23795" xr:uid="{00000000-0005-0000-0000-0000CE5C0000}"/>
    <cellStyle name="Énfasis6 8 16" xfId="23796" xr:uid="{00000000-0005-0000-0000-0000CF5C0000}"/>
    <cellStyle name="Énfasis6 8 17" xfId="23797" xr:uid="{00000000-0005-0000-0000-0000D05C0000}"/>
    <cellStyle name="Énfasis6 8 18" xfId="23798" xr:uid="{00000000-0005-0000-0000-0000D15C0000}"/>
    <cellStyle name="Énfasis6 8 19" xfId="23799" xr:uid="{00000000-0005-0000-0000-0000D25C0000}"/>
    <cellStyle name="Énfasis6 8 2" xfId="23800" xr:uid="{00000000-0005-0000-0000-0000D35C0000}"/>
    <cellStyle name="Énfasis6 8 2 2" xfId="23801" xr:uid="{00000000-0005-0000-0000-0000D45C0000}"/>
    <cellStyle name="Énfasis6 8 3" xfId="23802" xr:uid="{00000000-0005-0000-0000-0000D55C0000}"/>
    <cellStyle name="Énfasis6 8 3 2" xfId="23803" xr:uid="{00000000-0005-0000-0000-0000D65C0000}"/>
    <cellStyle name="Énfasis6 8 4" xfId="23804" xr:uid="{00000000-0005-0000-0000-0000D75C0000}"/>
    <cellStyle name="Énfasis6 8 4 2" xfId="23805" xr:uid="{00000000-0005-0000-0000-0000D85C0000}"/>
    <cellStyle name="Énfasis6 8 5" xfId="23806" xr:uid="{00000000-0005-0000-0000-0000D95C0000}"/>
    <cellStyle name="Énfasis6 8 6" xfId="23807" xr:uid="{00000000-0005-0000-0000-0000DA5C0000}"/>
    <cellStyle name="Énfasis6 8 7" xfId="23808" xr:uid="{00000000-0005-0000-0000-0000DB5C0000}"/>
    <cellStyle name="Énfasis6 8 8" xfId="23809" xr:uid="{00000000-0005-0000-0000-0000DC5C0000}"/>
    <cellStyle name="Énfasis6 8 9" xfId="23810" xr:uid="{00000000-0005-0000-0000-0000DD5C0000}"/>
    <cellStyle name="Énfasis6 9 10" xfId="23811" xr:uid="{00000000-0005-0000-0000-0000DE5C0000}"/>
    <cellStyle name="Énfasis6 9 11" xfId="23812" xr:uid="{00000000-0005-0000-0000-0000DF5C0000}"/>
    <cellStyle name="Énfasis6 9 12" xfId="23813" xr:uid="{00000000-0005-0000-0000-0000E05C0000}"/>
    <cellStyle name="Énfasis6 9 13" xfId="23814" xr:uid="{00000000-0005-0000-0000-0000E15C0000}"/>
    <cellStyle name="Énfasis6 9 14" xfId="23815" xr:uid="{00000000-0005-0000-0000-0000E25C0000}"/>
    <cellStyle name="Énfasis6 9 15" xfId="23816" xr:uid="{00000000-0005-0000-0000-0000E35C0000}"/>
    <cellStyle name="Énfasis6 9 16" xfId="23817" xr:uid="{00000000-0005-0000-0000-0000E45C0000}"/>
    <cellStyle name="Énfasis6 9 17" xfId="23818" xr:uid="{00000000-0005-0000-0000-0000E55C0000}"/>
    <cellStyle name="Énfasis6 9 18" xfId="23819" xr:uid="{00000000-0005-0000-0000-0000E65C0000}"/>
    <cellStyle name="Énfasis6 9 19" xfId="23820" xr:uid="{00000000-0005-0000-0000-0000E75C0000}"/>
    <cellStyle name="Énfasis6 9 2" xfId="23821" xr:uid="{00000000-0005-0000-0000-0000E85C0000}"/>
    <cellStyle name="Énfasis6 9 2 2" xfId="23822" xr:uid="{00000000-0005-0000-0000-0000E95C0000}"/>
    <cellStyle name="Énfasis6 9 3" xfId="23823" xr:uid="{00000000-0005-0000-0000-0000EA5C0000}"/>
    <cellStyle name="Énfasis6 9 3 2" xfId="23824" xr:uid="{00000000-0005-0000-0000-0000EB5C0000}"/>
    <cellStyle name="Énfasis6 9 4" xfId="23825" xr:uid="{00000000-0005-0000-0000-0000EC5C0000}"/>
    <cellStyle name="Énfasis6 9 4 2" xfId="23826" xr:uid="{00000000-0005-0000-0000-0000ED5C0000}"/>
    <cellStyle name="Énfasis6 9 5" xfId="23827" xr:uid="{00000000-0005-0000-0000-0000EE5C0000}"/>
    <cellStyle name="Énfasis6 9 6" xfId="23828" xr:uid="{00000000-0005-0000-0000-0000EF5C0000}"/>
    <cellStyle name="Énfasis6 9 7" xfId="23829" xr:uid="{00000000-0005-0000-0000-0000F05C0000}"/>
    <cellStyle name="Énfasis6 9 8" xfId="23830" xr:uid="{00000000-0005-0000-0000-0000F15C0000}"/>
    <cellStyle name="Énfasis6 9 9" xfId="23831" xr:uid="{00000000-0005-0000-0000-0000F25C0000}"/>
    <cellStyle name="Entrada" xfId="32520" builtinId="20" customBuiltin="1"/>
    <cellStyle name="Entrada 10 10" xfId="23832" xr:uid="{00000000-0005-0000-0000-0000F45C0000}"/>
    <cellStyle name="Entrada 10 11" xfId="23833" xr:uid="{00000000-0005-0000-0000-0000F55C0000}"/>
    <cellStyle name="Entrada 10 12" xfId="23834" xr:uid="{00000000-0005-0000-0000-0000F65C0000}"/>
    <cellStyle name="Entrada 10 13" xfId="23835" xr:uid="{00000000-0005-0000-0000-0000F75C0000}"/>
    <cellStyle name="Entrada 10 14" xfId="23836" xr:uid="{00000000-0005-0000-0000-0000F85C0000}"/>
    <cellStyle name="Entrada 10 15" xfId="23837" xr:uid="{00000000-0005-0000-0000-0000F95C0000}"/>
    <cellStyle name="Entrada 10 16" xfId="23838" xr:uid="{00000000-0005-0000-0000-0000FA5C0000}"/>
    <cellStyle name="Entrada 10 17" xfId="23839" xr:uid="{00000000-0005-0000-0000-0000FB5C0000}"/>
    <cellStyle name="Entrada 10 18" xfId="23840" xr:uid="{00000000-0005-0000-0000-0000FC5C0000}"/>
    <cellStyle name="Entrada 10 19" xfId="23841" xr:uid="{00000000-0005-0000-0000-0000FD5C0000}"/>
    <cellStyle name="Entrada 10 2" xfId="23842" xr:uid="{00000000-0005-0000-0000-0000FE5C0000}"/>
    <cellStyle name="Entrada 10 2 2" xfId="23843" xr:uid="{00000000-0005-0000-0000-0000FF5C0000}"/>
    <cellStyle name="Entrada 10 3" xfId="23844" xr:uid="{00000000-0005-0000-0000-0000005D0000}"/>
    <cellStyle name="Entrada 10 3 2" xfId="23845" xr:uid="{00000000-0005-0000-0000-0000015D0000}"/>
    <cellStyle name="Entrada 10 4" xfId="23846" xr:uid="{00000000-0005-0000-0000-0000025D0000}"/>
    <cellStyle name="Entrada 10 4 2" xfId="23847" xr:uid="{00000000-0005-0000-0000-0000035D0000}"/>
    <cellStyle name="Entrada 10 5" xfId="23848" xr:uid="{00000000-0005-0000-0000-0000045D0000}"/>
    <cellStyle name="Entrada 10 6" xfId="23849" xr:uid="{00000000-0005-0000-0000-0000055D0000}"/>
    <cellStyle name="Entrada 10 7" xfId="23850" xr:uid="{00000000-0005-0000-0000-0000065D0000}"/>
    <cellStyle name="Entrada 10 8" xfId="23851" xr:uid="{00000000-0005-0000-0000-0000075D0000}"/>
    <cellStyle name="Entrada 10 9" xfId="23852" xr:uid="{00000000-0005-0000-0000-0000085D0000}"/>
    <cellStyle name="Entrada 11 10" xfId="23853" xr:uid="{00000000-0005-0000-0000-0000095D0000}"/>
    <cellStyle name="Entrada 11 11" xfId="23854" xr:uid="{00000000-0005-0000-0000-00000A5D0000}"/>
    <cellStyle name="Entrada 11 12" xfId="23855" xr:uid="{00000000-0005-0000-0000-00000B5D0000}"/>
    <cellStyle name="Entrada 11 13" xfId="23856" xr:uid="{00000000-0005-0000-0000-00000C5D0000}"/>
    <cellStyle name="Entrada 11 14" xfId="23857" xr:uid="{00000000-0005-0000-0000-00000D5D0000}"/>
    <cellStyle name="Entrada 11 15" xfId="23858" xr:uid="{00000000-0005-0000-0000-00000E5D0000}"/>
    <cellStyle name="Entrada 11 16" xfId="23859" xr:uid="{00000000-0005-0000-0000-00000F5D0000}"/>
    <cellStyle name="Entrada 11 17" xfId="23860" xr:uid="{00000000-0005-0000-0000-0000105D0000}"/>
    <cellStyle name="Entrada 11 18" xfId="23861" xr:uid="{00000000-0005-0000-0000-0000115D0000}"/>
    <cellStyle name="Entrada 11 19" xfId="23862" xr:uid="{00000000-0005-0000-0000-0000125D0000}"/>
    <cellStyle name="Entrada 11 2" xfId="23863" xr:uid="{00000000-0005-0000-0000-0000135D0000}"/>
    <cellStyle name="Entrada 11 2 2" xfId="23864" xr:uid="{00000000-0005-0000-0000-0000145D0000}"/>
    <cellStyle name="Entrada 11 3" xfId="23865" xr:uid="{00000000-0005-0000-0000-0000155D0000}"/>
    <cellStyle name="Entrada 11 3 2" xfId="23866" xr:uid="{00000000-0005-0000-0000-0000165D0000}"/>
    <cellStyle name="Entrada 11 4" xfId="23867" xr:uid="{00000000-0005-0000-0000-0000175D0000}"/>
    <cellStyle name="Entrada 11 4 2" xfId="23868" xr:uid="{00000000-0005-0000-0000-0000185D0000}"/>
    <cellStyle name="Entrada 11 5" xfId="23869" xr:uid="{00000000-0005-0000-0000-0000195D0000}"/>
    <cellStyle name="Entrada 11 6" xfId="23870" xr:uid="{00000000-0005-0000-0000-00001A5D0000}"/>
    <cellStyle name="Entrada 11 7" xfId="23871" xr:uid="{00000000-0005-0000-0000-00001B5D0000}"/>
    <cellStyle name="Entrada 11 8" xfId="23872" xr:uid="{00000000-0005-0000-0000-00001C5D0000}"/>
    <cellStyle name="Entrada 11 9" xfId="23873" xr:uid="{00000000-0005-0000-0000-00001D5D0000}"/>
    <cellStyle name="Entrada 12 10" xfId="23874" xr:uid="{00000000-0005-0000-0000-00001E5D0000}"/>
    <cellStyle name="Entrada 12 11" xfId="23875" xr:uid="{00000000-0005-0000-0000-00001F5D0000}"/>
    <cellStyle name="Entrada 12 12" xfId="23876" xr:uid="{00000000-0005-0000-0000-0000205D0000}"/>
    <cellStyle name="Entrada 12 13" xfId="23877" xr:uid="{00000000-0005-0000-0000-0000215D0000}"/>
    <cellStyle name="Entrada 12 14" xfId="23878" xr:uid="{00000000-0005-0000-0000-0000225D0000}"/>
    <cellStyle name="Entrada 12 15" xfId="23879" xr:uid="{00000000-0005-0000-0000-0000235D0000}"/>
    <cellStyle name="Entrada 12 16" xfId="23880" xr:uid="{00000000-0005-0000-0000-0000245D0000}"/>
    <cellStyle name="Entrada 12 17" xfId="23881" xr:uid="{00000000-0005-0000-0000-0000255D0000}"/>
    <cellStyle name="Entrada 12 18" xfId="23882" xr:uid="{00000000-0005-0000-0000-0000265D0000}"/>
    <cellStyle name="Entrada 12 19" xfId="23883" xr:uid="{00000000-0005-0000-0000-0000275D0000}"/>
    <cellStyle name="Entrada 12 2" xfId="23884" xr:uid="{00000000-0005-0000-0000-0000285D0000}"/>
    <cellStyle name="Entrada 12 2 2" xfId="23885" xr:uid="{00000000-0005-0000-0000-0000295D0000}"/>
    <cellStyle name="Entrada 12 3" xfId="23886" xr:uid="{00000000-0005-0000-0000-00002A5D0000}"/>
    <cellStyle name="Entrada 12 3 2" xfId="23887" xr:uid="{00000000-0005-0000-0000-00002B5D0000}"/>
    <cellStyle name="Entrada 12 4" xfId="23888" xr:uid="{00000000-0005-0000-0000-00002C5D0000}"/>
    <cellStyle name="Entrada 12 4 2" xfId="23889" xr:uid="{00000000-0005-0000-0000-00002D5D0000}"/>
    <cellStyle name="Entrada 12 5" xfId="23890" xr:uid="{00000000-0005-0000-0000-00002E5D0000}"/>
    <cellStyle name="Entrada 12 6" xfId="23891" xr:uid="{00000000-0005-0000-0000-00002F5D0000}"/>
    <cellStyle name="Entrada 12 7" xfId="23892" xr:uid="{00000000-0005-0000-0000-0000305D0000}"/>
    <cellStyle name="Entrada 12 8" xfId="23893" xr:uid="{00000000-0005-0000-0000-0000315D0000}"/>
    <cellStyle name="Entrada 12 9" xfId="23894" xr:uid="{00000000-0005-0000-0000-0000325D0000}"/>
    <cellStyle name="Entrada 13 10" xfId="23895" xr:uid="{00000000-0005-0000-0000-0000335D0000}"/>
    <cellStyle name="Entrada 13 11" xfId="23896" xr:uid="{00000000-0005-0000-0000-0000345D0000}"/>
    <cellStyle name="Entrada 13 12" xfId="23897" xr:uid="{00000000-0005-0000-0000-0000355D0000}"/>
    <cellStyle name="Entrada 13 13" xfId="23898" xr:uid="{00000000-0005-0000-0000-0000365D0000}"/>
    <cellStyle name="Entrada 13 14" xfId="23899" xr:uid="{00000000-0005-0000-0000-0000375D0000}"/>
    <cellStyle name="Entrada 13 15" xfId="23900" xr:uid="{00000000-0005-0000-0000-0000385D0000}"/>
    <cellStyle name="Entrada 13 16" xfId="23901" xr:uid="{00000000-0005-0000-0000-0000395D0000}"/>
    <cellStyle name="Entrada 13 17" xfId="23902" xr:uid="{00000000-0005-0000-0000-00003A5D0000}"/>
    <cellStyle name="Entrada 13 18" xfId="23903" xr:uid="{00000000-0005-0000-0000-00003B5D0000}"/>
    <cellStyle name="Entrada 13 19" xfId="23904" xr:uid="{00000000-0005-0000-0000-00003C5D0000}"/>
    <cellStyle name="Entrada 13 2" xfId="23905" xr:uid="{00000000-0005-0000-0000-00003D5D0000}"/>
    <cellStyle name="Entrada 13 2 2" xfId="23906" xr:uid="{00000000-0005-0000-0000-00003E5D0000}"/>
    <cellStyle name="Entrada 13 3" xfId="23907" xr:uid="{00000000-0005-0000-0000-00003F5D0000}"/>
    <cellStyle name="Entrada 13 3 2" xfId="23908" xr:uid="{00000000-0005-0000-0000-0000405D0000}"/>
    <cellStyle name="Entrada 13 4" xfId="23909" xr:uid="{00000000-0005-0000-0000-0000415D0000}"/>
    <cellStyle name="Entrada 13 4 2" xfId="23910" xr:uid="{00000000-0005-0000-0000-0000425D0000}"/>
    <cellStyle name="Entrada 13 5" xfId="23911" xr:uid="{00000000-0005-0000-0000-0000435D0000}"/>
    <cellStyle name="Entrada 13 6" xfId="23912" xr:uid="{00000000-0005-0000-0000-0000445D0000}"/>
    <cellStyle name="Entrada 13 7" xfId="23913" xr:uid="{00000000-0005-0000-0000-0000455D0000}"/>
    <cellStyle name="Entrada 13 8" xfId="23914" xr:uid="{00000000-0005-0000-0000-0000465D0000}"/>
    <cellStyle name="Entrada 13 9" xfId="23915" xr:uid="{00000000-0005-0000-0000-0000475D0000}"/>
    <cellStyle name="Entrada 14 10" xfId="23916" xr:uid="{00000000-0005-0000-0000-0000485D0000}"/>
    <cellStyle name="Entrada 14 11" xfId="23917" xr:uid="{00000000-0005-0000-0000-0000495D0000}"/>
    <cellStyle name="Entrada 14 12" xfId="23918" xr:uid="{00000000-0005-0000-0000-00004A5D0000}"/>
    <cellStyle name="Entrada 14 13" xfId="23919" xr:uid="{00000000-0005-0000-0000-00004B5D0000}"/>
    <cellStyle name="Entrada 14 14" xfId="23920" xr:uid="{00000000-0005-0000-0000-00004C5D0000}"/>
    <cellStyle name="Entrada 14 15" xfId="23921" xr:uid="{00000000-0005-0000-0000-00004D5D0000}"/>
    <cellStyle name="Entrada 14 16" xfId="23922" xr:uid="{00000000-0005-0000-0000-00004E5D0000}"/>
    <cellStyle name="Entrada 14 17" xfId="23923" xr:uid="{00000000-0005-0000-0000-00004F5D0000}"/>
    <cellStyle name="Entrada 14 18" xfId="23924" xr:uid="{00000000-0005-0000-0000-0000505D0000}"/>
    <cellStyle name="Entrada 14 19" xfId="23925" xr:uid="{00000000-0005-0000-0000-0000515D0000}"/>
    <cellStyle name="Entrada 14 2" xfId="23926" xr:uid="{00000000-0005-0000-0000-0000525D0000}"/>
    <cellStyle name="Entrada 14 2 2" xfId="23927" xr:uid="{00000000-0005-0000-0000-0000535D0000}"/>
    <cellStyle name="Entrada 14 3" xfId="23928" xr:uid="{00000000-0005-0000-0000-0000545D0000}"/>
    <cellStyle name="Entrada 14 3 2" xfId="23929" xr:uid="{00000000-0005-0000-0000-0000555D0000}"/>
    <cellStyle name="Entrada 14 4" xfId="23930" xr:uid="{00000000-0005-0000-0000-0000565D0000}"/>
    <cellStyle name="Entrada 14 4 2" xfId="23931" xr:uid="{00000000-0005-0000-0000-0000575D0000}"/>
    <cellStyle name="Entrada 14 5" xfId="23932" xr:uid="{00000000-0005-0000-0000-0000585D0000}"/>
    <cellStyle name="Entrada 14 6" xfId="23933" xr:uid="{00000000-0005-0000-0000-0000595D0000}"/>
    <cellStyle name="Entrada 14 7" xfId="23934" xr:uid="{00000000-0005-0000-0000-00005A5D0000}"/>
    <cellStyle name="Entrada 14 8" xfId="23935" xr:uid="{00000000-0005-0000-0000-00005B5D0000}"/>
    <cellStyle name="Entrada 14 9" xfId="23936" xr:uid="{00000000-0005-0000-0000-00005C5D0000}"/>
    <cellStyle name="Entrada 15 10" xfId="23937" xr:uid="{00000000-0005-0000-0000-00005D5D0000}"/>
    <cellStyle name="Entrada 15 11" xfId="23938" xr:uid="{00000000-0005-0000-0000-00005E5D0000}"/>
    <cellStyle name="Entrada 15 12" xfId="23939" xr:uid="{00000000-0005-0000-0000-00005F5D0000}"/>
    <cellStyle name="Entrada 15 13" xfId="23940" xr:uid="{00000000-0005-0000-0000-0000605D0000}"/>
    <cellStyle name="Entrada 15 14" xfId="23941" xr:uid="{00000000-0005-0000-0000-0000615D0000}"/>
    <cellStyle name="Entrada 15 15" xfId="23942" xr:uid="{00000000-0005-0000-0000-0000625D0000}"/>
    <cellStyle name="Entrada 15 16" xfId="23943" xr:uid="{00000000-0005-0000-0000-0000635D0000}"/>
    <cellStyle name="Entrada 15 17" xfId="23944" xr:uid="{00000000-0005-0000-0000-0000645D0000}"/>
    <cellStyle name="Entrada 15 18" xfId="23945" xr:uid="{00000000-0005-0000-0000-0000655D0000}"/>
    <cellStyle name="Entrada 15 19" xfId="23946" xr:uid="{00000000-0005-0000-0000-0000665D0000}"/>
    <cellStyle name="Entrada 15 2" xfId="23947" xr:uid="{00000000-0005-0000-0000-0000675D0000}"/>
    <cellStyle name="Entrada 15 2 2" xfId="23948" xr:uid="{00000000-0005-0000-0000-0000685D0000}"/>
    <cellStyle name="Entrada 15 3" xfId="23949" xr:uid="{00000000-0005-0000-0000-0000695D0000}"/>
    <cellStyle name="Entrada 15 3 2" xfId="23950" xr:uid="{00000000-0005-0000-0000-00006A5D0000}"/>
    <cellStyle name="Entrada 15 4" xfId="23951" xr:uid="{00000000-0005-0000-0000-00006B5D0000}"/>
    <cellStyle name="Entrada 15 4 2" xfId="23952" xr:uid="{00000000-0005-0000-0000-00006C5D0000}"/>
    <cellStyle name="Entrada 15 5" xfId="23953" xr:uid="{00000000-0005-0000-0000-00006D5D0000}"/>
    <cellStyle name="Entrada 15 6" xfId="23954" xr:uid="{00000000-0005-0000-0000-00006E5D0000}"/>
    <cellStyle name="Entrada 15 7" xfId="23955" xr:uid="{00000000-0005-0000-0000-00006F5D0000}"/>
    <cellStyle name="Entrada 15 8" xfId="23956" xr:uid="{00000000-0005-0000-0000-0000705D0000}"/>
    <cellStyle name="Entrada 15 9" xfId="23957" xr:uid="{00000000-0005-0000-0000-0000715D0000}"/>
    <cellStyle name="Entrada 16 10" xfId="23958" xr:uid="{00000000-0005-0000-0000-0000725D0000}"/>
    <cellStyle name="Entrada 16 11" xfId="23959" xr:uid="{00000000-0005-0000-0000-0000735D0000}"/>
    <cellStyle name="Entrada 16 12" xfId="23960" xr:uid="{00000000-0005-0000-0000-0000745D0000}"/>
    <cellStyle name="Entrada 16 13" xfId="23961" xr:uid="{00000000-0005-0000-0000-0000755D0000}"/>
    <cellStyle name="Entrada 16 14" xfId="23962" xr:uid="{00000000-0005-0000-0000-0000765D0000}"/>
    <cellStyle name="Entrada 16 15" xfId="23963" xr:uid="{00000000-0005-0000-0000-0000775D0000}"/>
    <cellStyle name="Entrada 16 16" xfId="23964" xr:uid="{00000000-0005-0000-0000-0000785D0000}"/>
    <cellStyle name="Entrada 16 17" xfId="23965" xr:uid="{00000000-0005-0000-0000-0000795D0000}"/>
    <cellStyle name="Entrada 16 18" xfId="23966" xr:uid="{00000000-0005-0000-0000-00007A5D0000}"/>
    <cellStyle name="Entrada 16 19" xfId="23967" xr:uid="{00000000-0005-0000-0000-00007B5D0000}"/>
    <cellStyle name="Entrada 16 2" xfId="23968" xr:uid="{00000000-0005-0000-0000-00007C5D0000}"/>
    <cellStyle name="Entrada 16 2 2" xfId="23969" xr:uid="{00000000-0005-0000-0000-00007D5D0000}"/>
    <cellStyle name="Entrada 16 3" xfId="23970" xr:uid="{00000000-0005-0000-0000-00007E5D0000}"/>
    <cellStyle name="Entrada 16 3 2" xfId="23971" xr:uid="{00000000-0005-0000-0000-00007F5D0000}"/>
    <cellStyle name="Entrada 16 4" xfId="23972" xr:uid="{00000000-0005-0000-0000-0000805D0000}"/>
    <cellStyle name="Entrada 16 4 2" xfId="23973" xr:uid="{00000000-0005-0000-0000-0000815D0000}"/>
    <cellStyle name="Entrada 16 5" xfId="23974" xr:uid="{00000000-0005-0000-0000-0000825D0000}"/>
    <cellStyle name="Entrada 16 6" xfId="23975" xr:uid="{00000000-0005-0000-0000-0000835D0000}"/>
    <cellStyle name="Entrada 16 7" xfId="23976" xr:uid="{00000000-0005-0000-0000-0000845D0000}"/>
    <cellStyle name="Entrada 16 8" xfId="23977" xr:uid="{00000000-0005-0000-0000-0000855D0000}"/>
    <cellStyle name="Entrada 16 9" xfId="23978" xr:uid="{00000000-0005-0000-0000-0000865D0000}"/>
    <cellStyle name="Entrada 17 10" xfId="23979" xr:uid="{00000000-0005-0000-0000-0000875D0000}"/>
    <cellStyle name="Entrada 17 11" xfId="23980" xr:uid="{00000000-0005-0000-0000-0000885D0000}"/>
    <cellStyle name="Entrada 17 12" xfId="23981" xr:uid="{00000000-0005-0000-0000-0000895D0000}"/>
    <cellStyle name="Entrada 17 13" xfId="23982" xr:uid="{00000000-0005-0000-0000-00008A5D0000}"/>
    <cellStyle name="Entrada 17 14" xfId="23983" xr:uid="{00000000-0005-0000-0000-00008B5D0000}"/>
    <cellStyle name="Entrada 17 15" xfId="23984" xr:uid="{00000000-0005-0000-0000-00008C5D0000}"/>
    <cellStyle name="Entrada 17 16" xfId="23985" xr:uid="{00000000-0005-0000-0000-00008D5D0000}"/>
    <cellStyle name="Entrada 17 17" xfId="23986" xr:uid="{00000000-0005-0000-0000-00008E5D0000}"/>
    <cellStyle name="Entrada 17 18" xfId="23987" xr:uid="{00000000-0005-0000-0000-00008F5D0000}"/>
    <cellStyle name="Entrada 17 19" xfId="23988" xr:uid="{00000000-0005-0000-0000-0000905D0000}"/>
    <cellStyle name="Entrada 17 2" xfId="23989" xr:uid="{00000000-0005-0000-0000-0000915D0000}"/>
    <cellStyle name="Entrada 17 2 2" xfId="23990" xr:uid="{00000000-0005-0000-0000-0000925D0000}"/>
    <cellStyle name="Entrada 17 3" xfId="23991" xr:uid="{00000000-0005-0000-0000-0000935D0000}"/>
    <cellStyle name="Entrada 17 3 2" xfId="23992" xr:uid="{00000000-0005-0000-0000-0000945D0000}"/>
    <cellStyle name="Entrada 17 4" xfId="23993" xr:uid="{00000000-0005-0000-0000-0000955D0000}"/>
    <cellStyle name="Entrada 17 4 2" xfId="23994" xr:uid="{00000000-0005-0000-0000-0000965D0000}"/>
    <cellStyle name="Entrada 17 5" xfId="23995" xr:uid="{00000000-0005-0000-0000-0000975D0000}"/>
    <cellStyle name="Entrada 17 6" xfId="23996" xr:uid="{00000000-0005-0000-0000-0000985D0000}"/>
    <cellStyle name="Entrada 17 7" xfId="23997" xr:uid="{00000000-0005-0000-0000-0000995D0000}"/>
    <cellStyle name="Entrada 17 8" xfId="23998" xr:uid="{00000000-0005-0000-0000-00009A5D0000}"/>
    <cellStyle name="Entrada 17 9" xfId="23999" xr:uid="{00000000-0005-0000-0000-00009B5D0000}"/>
    <cellStyle name="Entrada 18 10" xfId="24000" xr:uid="{00000000-0005-0000-0000-00009C5D0000}"/>
    <cellStyle name="Entrada 18 11" xfId="24001" xr:uid="{00000000-0005-0000-0000-00009D5D0000}"/>
    <cellStyle name="Entrada 18 12" xfId="24002" xr:uid="{00000000-0005-0000-0000-00009E5D0000}"/>
    <cellStyle name="Entrada 18 13" xfId="24003" xr:uid="{00000000-0005-0000-0000-00009F5D0000}"/>
    <cellStyle name="Entrada 18 14" xfId="24004" xr:uid="{00000000-0005-0000-0000-0000A05D0000}"/>
    <cellStyle name="Entrada 18 15" xfId="24005" xr:uid="{00000000-0005-0000-0000-0000A15D0000}"/>
    <cellStyle name="Entrada 18 16" xfId="24006" xr:uid="{00000000-0005-0000-0000-0000A25D0000}"/>
    <cellStyle name="Entrada 18 17" xfId="24007" xr:uid="{00000000-0005-0000-0000-0000A35D0000}"/>
    <cellStyle name="Entrada 18 18" xfId="24008" xr:uid="{00000000-0005-0000-0000-0000A45D0000}"/>
    <cellStyle name="Entrada 18 19" xfId="24009" xr:uid="{00000000-0005-0000-0000-0000A55D0000}"/>
    <cellStyle name="Entrada 18 2" xfId="24010" xr:uid="{00000000-0005-0000-0000-0000A65D0000}"/>
    <cellStyle name="Entrada 18 2 2" xfId="24011" xr:uid="{00000000-0005-0000-0000-0000A75D0000}"/>
    <cellStyle name="Entrada 18 3" xfId="24012" xr:uid="{00000000-0005-0000-0000-0000A85D0000}"/>
    <cellStyle name="Entrada 18 3 2" xfId="24013" xr:uid="{00000000-0005-0000-0000-0000A95D0000}"/>
    <cellStyle name="Entrada 18 4" xfId="24014" xr:uid="{00000000-0005-0000-0000-0000AA5D0000}"/>
    <cellStyle name="Entrada 18 4 2" xfId="24015" xr:uid="{00000000-0005-0000-0000-0000AB5D0000}"/>
    <cellStyle name="Entrada 18 5" xfId="24016" xr:uid="{00000000-0005-0000-0000-0000AC5D0000}"/>
    <cellStyle name="Entrada 18 6" xfId="24017" xr:uid="{00000000-0005-0000-0000-0000AD5D0000}"/>
    <cellStyle name="Entrada 18 7" xfId="24018" xr:uid="{00000000-0005-0000-0000-0000AE5D0000}"/>
    <cellStyle name="Entrada 18 8" xfId="24019" xr:uid="{00000000-0005-0000-0000-0000AF5D0000}"/>
    <cellStyle name="Entrada 18 9" xfId="24020" xr:uid="{00000000-0005-0000-0000-0000B05D0000}"/>
    <cellStyle name="Entrada 19 10" xfId="24021" xr:uid="{00000000-0005-0000-0000-0000B15D0000}"/>
    <cellStyle name="Entrada 19 11" xfId="24022" xr:uid="{00000000-0005-0000-0000-0000B25D0000}"/>
    <cellStyle name="Entrada 19 12" xfId="24023" xr:uid="{00000000-0005-0000-0000-0000B35D0000}"/>
    <cellStyle name="Entrada 19 13" xfId="24024" xr:uid="{00000000-0005-0000-0000-0000B45D0000}"/>
    <cellStyle name="Entrada 19 14" xfId="24025" xr:uid="{00000000-0005-0000-0000-0000B55D0000}"/>
    <cellStyle name="Entrada 19 15" xfId="24026" xr:uid="{00000000-0005-0000-0000-0000B65D0000}"/>
    <cellStyle name="Entrada 19 16" xfId="24027" xr:uid="{00000000-0005-0000-0000-0000B75D0000}"/>
    <cellStyle name="Entrada 19 17" xfId="24028" xr:uid="{00000000-0005-0000-0000-0000B85D0000}"/>
    <cellStyle name="Entrada 19 18" xfId="24029" xr:uid="{00000000-0005-0000-0000-0000B95D0000}"/>
    <cellStyle name="Entrada 19 19" xfId="24030" xr:uid="{00000000-0005-0000-0000-0000BA5D0000}"/>
    <cellStyle name="Entrada 19 2" xfId="24031" xr:uid="{00000000-0005-0000-0000-0000BB5D0000}"/>
    <cellStyle name="Entrada 19 2 2" xfId="24032" xr:uid="{00000000-0005-0000-0000-0000BC5D0000}"/>
    <cellStyle name="Entrada 19 3" xfId="24033" xr:uid="{00000000-0005-0000-0000-0000BD5D0000}"/>
    <cellStyle name="Entrada 19 3 2" xfId="24034" xr:uid="{00000000-0005-0000-0000-0000BE5D0000}"/>
    <cellStyle name="Entrada 19 4" xfId="24035" xr:uid="{00000000-0005-0000-0000-0000BF5D0000}"/>
    <cellStyle name="Entrada 19 4 2" xfId="24036" xr:uid="{00000000-0005-0000-0000-0000C05D0000}"/>
    <cellStyle name="Entrada 19 5" xfId="24037" xr:uid="{00000000-0005-0000-0000-0000C15D0000}"/>
    <cellStyle name="Entrada 19 6" xfId="24038" xr:uid="{00000000-0005-0000-0000-0000C25D0000}"/>
    <cellStyle name="Entrada 19 7" xfId="24039" xr:uid="{00000000-0005-0000-0000-0000C35D0000}"/>
    <cellStyle name="Entrada 19 8" xfId="24040" xr:uid="{00000000-0005-0000-0000-0000C45D0000}"/>
    <cellStyle name="Entrada 19 9" xfId="24041" xr:uid="{00000000-0005-0000-0000-0000C55D0000}"/>
    <cellStyle name="Entrada 2 10" xfId="24042" xr:uid="{00000000-0005-0000-0000-0000C65D0000}"/>
    <cellStyle name="Entrada 2 11" xfId="24043" xr:uid="{00000000-0005-0000-0000-0000C75D0000}"/>
    <cellStyle name="Entrada 2 12" xfId="24044" xr:uid="{00000000-0005-0000-0000-0000C85D0000}"/>
    <cellStyle name="Entrada 2 13" xfId="24045" xr:uid="{00000000-0005-0000-0000-0000C95D0000}"/>
    <cellStyle name="Entrada 2 14" xfId="24046" xr:uid="{00000000-0005-0000-0000-0000CA5D0000}"/>
    <cellStyle name="Entrada 2 15" xfId="24047" xr:uid="{00000000-0005-0000-0000-0000CB5D0000}"/>
    <cellStyle name="Entrada 2 16" xfId="24048" xr:uid="{00000000-0005-0000-0000-0000CC5D0000}"/>
    <cellStyle name="Entrada 2 17" xfId="24049" xr:uid="{00000000-0005-0000-0000-0000CD5D0000}"/>
    <cellStyle name="Entrada 2 18" xfId="24050" xr:uid="{00000000-0005-0000-0000-0000CE5D0000}"/>
    <cellStyle name="Entrada 2 19" xfId="24051" xr:uid="{00000000-0005-0000-0000-0000CF5D0000}"/>
    <cellStyle name="Entrada 2 2" xfId="24052" xr:uid="{00000000-0005-0000-0000-0000D05D0000}"/>
    <cellStyle name="Entrada 2 2 2" xfId="24053" xr:uid="{00000000-0005-0000-0000-0000D15D0000}"/>
    <cellStyle name="Entrada 2 3" xfId="24054" xr:uid="{00000000-0005-0000-0000-0000D25D0000}"/>
    <cellStyle name="Entrada 2 3 2" xfId="24055" xr:uid="{00000000-0005-0000-0000-0000D35D0000}"/>
    <cellStyle name="Entrada 2 4" xfId="24056" xr:uid="{00000000-0005-0000-0000-0000D45D0000}"/>
    <cellStyle name="Entrada 2 4 2" xfId="24057" xr:uid="{00000000-0005-0000-0000-0000D55D0000}"/>
    <cellStyle name="Entrada 2 5" xfId="24058" xr:uid="{00000000-0005-0000-0000-0000D65D0000}"/>
    <cellStyle name="Entrada 2 6" xfId="24059" xr:uid="{00000000-0005-0000-0000-0000D75D0000}"/>
    <cellStyle name="Entrada 2 7" xfId="24060" xr:uid="{00000000-0005-0000-0000-0000D85D0000}"/>
    <cellStyle name="Entrada 2 8" xfId="24061" xr:uid="{00000000-0005-0000-0000-0000D95D0000}"/>
    <cellStyle name="Entrada 2 9" xfId="24062" xr:uid="{00000000-0005-0000-0000-0000DA5D0000}"/>
    <cellStyle name="Entrada 20 10" xfId="24063" xr:uid="{00000000-0005-0000-0000-0000DB5D0000}"/>
    <cellStyle name="Entrada 20 11" xfId="24064" xr:uid="{00000000-0005-0000-0000-0000DC5D0000}"/>
    <cellStyle name="Entrada 20 12" xfId="24065" xr:uid="{00000000-0005-0000-0000-0000DD5D0000}"/>
    <cellStyle name="Entrada 20 13" xfId="24066" xr:uid="{00000000-0005-0000-0000-0000DE5D0000}"/>
    <cellStyle name="Entrada 20 14" xfId="24067" xr:uid="{00000000-0005-0000-0000-0000DF5D0000}"/>
    <cellStyle name="Entrada 20 15" xfId="24068" xr:uid="{00000000-0005-0000-0000-0000E05D0000}"/>
    <cellStyle name="Entrada 20 16" xfId="24069" xr:uid="{00000000-0005-0000-0000-0000E15D0000}"/>
    <cellStyle name="Entrada 20 17" xfId="24070" xr:uid="{00000000-0005-0000-0000-0000E25D0000}"/>
    <cellStyle name="Entrada 20 18" xfId="24071" xr:uid="{00000000-0005-0000-0000-0000E35D0000}"/>
    <cellStyle name="Entrada 20 19" xfId="24072" xr:uid="{00000000-0005-0000-0000-0000E45D0000}"/>
    <cellStyle name="Entrada 20 2" xfId="24073" xr:uid="{00000000-0005-0000-0000-0000E55D0000}"/>
    <cellStyle name="Entrada 20 2 2" xfId="24074" xr:uid="{00000000-0005-0000-0000-0000E65D0000}"/>
    <cellStyle name="Entrada 20 3" xfId="24075" xr:uid="{00000000-0005-0000-0000-0000E75D0000}"/>
    <cellStyle name="Entrada 20 3 2" xfId="24076" xr:uid="{00000000-0005-0000-0000-0000E85D0000}"/>
    <cellStyle name="Entrada 20 4" xfId="24077" xr:uid="{00000000-0005-0000-0000-0000E95D0000}"/>
    <cellStyle name="Entrada 20 4 2" xfId="24078" xr:uid="{00000000-0005-0000-0000-0000EA5D0000}"/>
    <cellStyle name="Entrada 20 5" xfId="24079" xr:uid="{00000000-0005-0000-0000-0000EB5D0000}"/>
    <cellStyle name="Entrada 20 6" xfId="24080" xr:uid="{00000000-0005-0000-0000-0000EC5D0000}"/>
    <cellStyle name="Entrada 20 7" xfId="24081" xr:uid="{00000000-0005-0000-0000-0000ED5D0000}"/>
    <cellStyle name="Entrada 20 8" xfId="24082" xr:uid="{00000000-0005-0000-0000-0000EE5D0000}"/>
    <cellStyle name="Entrada 20 9" xfId="24083" xr:uid="{00000000-0005-0000-0000-0000EF5D0000}"/>
    <cellStyle name="Entrada 21 10" xfId="24084" xr:uid="{00000000-0005-0000-0000-0000F05D0000}"/>
    <cellStyle name="Entrada 21 11" xfId="24085" xr:uid="{00000000-0005-0000-0000-0000F15D0000}"/>
    <cellStyle name="Entrada 21 12" xfId="24086" xr:uid="{00000000-0005-0000-0000-0000F25D0000}"/>
    <cellStyle name="Entrada 21 13" xfId="24087" xr:uid="{00000000-0005-0000-0000-0000F35D0000}"/>
    <cellStyle name="Entrada 21 14" xfId="24088" xr:uid="{00000000-0005-0000-0000-0000F45D0000}"/>
    <cellStyle name="Entrada 21 15" xfId="24089" xr:uid="{00000000-0005-0000-0000-0000F55D0000}"/>
    <cellStyle name="Entrada 21 16" xfId="24090" xr:uid="{00000000-0005-0000-0000-0000F65D0000}"/>
    <cellStyle name="Entrada 21 17" xfId="24091" xr:uid="{00000000-0005-0000-0000-0000F75D0000}"/>
    <cellStyle name="Entrada 21 18" xfId="24092" xr:uid="{00000000-0005-0000-0000-0000F85D0000}"/>
    <cellStyle name="Entrada 21 19" xfId="24093" xr:uid="{00000000-0005-0000-0000-0000F95D0000}"/>
    <cellStyle name="Entrada 21 2" xfId="24094" xr:uid="{00000000-0005-0000-0000-0000FA5D0000}"/>
    <cellStyle name="Entrada 21 2 2" xfId="24095" xr:uid="{00000000-0005-0000-0000-0000FB5D0000}"/>
    <cellStyle name="Entrada 21 3" xfId="24096" xr:uid="{00000000-0005-0000-0000-0000FC5D0000}"/>
    <cellStyle name="Entrada 21 3 2" xfId="24097" xr:uid="{00000000-0005-0000-0000-0000FD5D0000}"/>
    <cellStyle name="Entrada 21 4" xfId="24098" xr:uid="{00000000-0005-0000-0000-0000FE5D0000}"/>
    <cellStyle name="Entrada 21 4 2" xfId="24099" xr:uid="{00000000-0005-0000-0000-0000FF5D0000}"/>
    <cellStyle name="Entrada 21 5" xfId="24100" xr:uid="{00000000-0005-0000-0000-0000005E0000}"/>
    <cellStyle name="Entrada 21 6" xfId="24101" xr:uid="{00000000-0005-0000-0000-0000015E0000}"/>
    <cellStyle name="Entrada 21 7" xfId="24102" xr:uid="{00000000-0005-0000-0000-0000025E0000}"/>
    <cellStyle name="Entrada 21 8" xfId="24103" xr:uid="{00000000-0005-0000-0000-0000035E0000}"/>
    <cellStyle name="Entrada 21 9" xfId="24104" xr:uid="{00000000-0005-0000-0000-0000045E0000}"/>
    <cellStyle name="Entrada 22 10" xfId="24105" xr:uid="{00000000-0005-0000-0000-0000055E0000}"/>
    <cellStyle name="Entrada 22 11" xfId="24106" xr:uid="{00000000-0005-0000-0000-0000065E0000}"/>
    <cellStyle name="Entrada 22 12" xfId="24107" xr:uid="{00000000-0005-0000-0000-0000075E0000}"/>
    <cellStyle name="Entrada 22 13" xfId="24108" xr:uid="{00000000-0005-0000-0000-0000085E0000}"/>
    <cellStyle name="Entrada 22 14" xfId="24109" xr:uid="{00000000-0005-0000-0000-0000095E0000}"/>
    <cellStyle name="Entrada 22 15" xfId="24110" xr:uid="{00000000-0005-0000-0000-00000A5E0000}"/>
    <cellStyle name="Entrada 22 16" xfId="24111" xr:uid="{00000000-0005-0000-0000-00000B5E0000}"/>
    <cellStyle name="Entrada 22 17" xfId="24112" xr:uid="{00000000-0005-0000-0000-00000C5E0000}"/>
    <cellStyle name="Entrada 22 18" xfId="24113" xr:uid="{00000000-0005-0000-0000-00000D5E0000}"/>
    <cellStyle name="Entrada 22 19" xfId="24114" xr:uid="{00000000-0005-0000-0000-00000E5E0000}"/>
    <cellStyle name="Entrada 22 2" xfId="24115" xr:uid="{00000000-0005-0000-0000-00000F5E0000}"/>
    <cellStyle name="Entrada 22 2 2" xfId="24116" xr:uid="{00000000-0005-0000-0000-0000105E0000}"/>
    <cellStyle name="Entrada 22 3" xfId="24117" xr:uid="{00000000-0005-0000-0000-0000115E0000}"/>
    <cellStyle name="Entrada 22 3 2" xfId="24118" xr:uid="{00000000-0005-0000-0000-0000125E0000}"/>
    <cellStyle name="Entrada 22 4" xfId="24119" xr:uid="{00000000-0005-0000-0000-0000135E0000}"/>
    <cellStyle name="Entrada 22 4 2" xfId="24120" xr:uid="{00000000-0005-0000-0000-0000145E0000}"/>
    <cellStyle name="Entrada 22 5" xfId="24121" xr:uid="{00000000-0005-0000-0000-0000155E0000}"/>
    <cellStyle name="Entrada 22 6" xfId="24122" xr:uid="{00000000-0005-0000-0000-0000165E0000}"/>
    <cellStyle name="Entrada 22 7" xfId="24123" xr:uid="{00000000-0005-0000-0000-0000175E0000}"/>
    <cellStyle name="Entrada 22 8" xfId="24124" xr:uid="{00000000-0005-0000-0000-0000185E0000}"/>
    <cellStyle name="Entrada 22 9" xfId="24125" xr:uid="{00000000-0005-0000-0000-0000195E0000}"/>
    <cellStyle name="Entrada 23 10" xfId="24126" xr:uid="{00000000-0005-0000-0000-00001A5E0000}"/>
    <cellStyle name="Entrada 23 11" xfId="24127" xr:uid="{00000000-0005-0000-0000-00001B5E0000}"/>
    <cellStyle name="Entrada 23 12" xfId="24128" xr:uid="{00000000-0005-0000-0000-00001C5E0000}"/>
    <cellStyle name="Entrada 23 13" xfId="24129" xr:uid="{00000000-0005-0000-0000-00001D5E0000}"/>
    <cellStyle name="Entrada 23 14" xfId="24130" xr:uid="{00000000-0005-0000-0000-00001E5E0000}"/>
    <cellStyle name="Entrada 23 15" xfId="24131" xr:uid="{00000000-0005-0000-0000-00001F5E0000}"/>
    <cellStyle name="Entrada 23 16" xfId="24132" xr:uid="{00000000-0005-0000-0000-0000205E0000}"/>
    <cellStyle name="Entrada 23 17" xfId="24133" xr:uid="{00000000-0005-0000-0000-0000215E0000}"/>
    <cellStyle name="Entrada 23 18" xfId="24134" xr:uid="{00000000-0005-0000-0000-0000225E0000}"/>
    <cellStyle name="Entrada 23 19" xfId="24135" xr:uid="{00000000-0005-0000-0000-0000235E0000}"/>
    <cellStyle name="Entrada 23 2" xfId="24136" xr:uid="{00000000-0005-0000-0000-0000245E0000}"/>
    <cellStyle name="Entrada 23 2 2" xfId="24137" xr:uid="{00000000-0005-0000-0000-0000255E0000}"/>
    <cellStyle name="Entrada 23 3" xfId="24138" xr:uid="{00000000-0005-0000-0000-0000265E0000}"/>
    <cellStyle name="Entrada 23 3 2" xfId="24139" xr:uid="{00000000-0005-0000-0000-0000275E0000}"/>
    <cellStyle name="Entrada 23 4" xfId="24140" xr:uid="{00000000-0005-0000-0000-0000285E0000}"/>
    <cellStyle name="Entrada 23 4 2" xfId="24141" xr:uid="{00000000-0005-0000-0000-0000295E0000}"/>
    <cellStyle name="Entrada 23 5" xfId="24142" xr:uid="{00000000-0005-0000-0000-00002A5E0000}"/>
    <cellStyle name="Entrada 23 6" xfId="24143" xr:uid="{00000000-0005-0000-0000-00002B5E0000}"/>
    <cellStyle name="Entrada 23 7" xfId="24144" xr:uid="{00000000-0005-0000-0000-00002C5E0000}"/>
    <cellStyle name="Entrada 23 8" xfId="24145" xr:uid="{00000000-0005-0000-0000-00002D5E0000}"/>
    <cellStyle name="Entrada 23 9" xfId="24146" xr:uid="{00000000-0005-0000-0000-00002E5E0000}"/>
    <cellStyle name="Entrada 24 10" xfId="24147" xr:uid="{00000000-0005-0000-0000-00002F5E0000}"/>
    <cellStyle name="Entrada 24 11" xfId="24148" xr:uid="{00000000-0005-0000-0000-0000305E0000}"/>
    <cellStyle name="Entrada 24 12" xfId="24149" xr:uid="{00000000-0005-0000-0000-0000315E0000}"/>
    <cellStyle name="Entrada 24 13" xfId="24150" xr:uid="{00000000-0005-0000-0000-0000325E0000}"/>
    <cellStyle name="Entrada 24 14" xfId="24151" xr:uid="{00000000-0005-0000-0000-0000335E0000}"/>
    <cellStyle name="Entrada 24 15" xfId="24152" xr:uid="{00000000-0005-0000-0000-0000345E0000}"/>
    <cellStyle name="Entrada 24 16" xfId="24153" xr:uid="{00000000-0005-0000-0000-0000355E0000}"/>
    <cellStyle name="Entrada 24 17" xfId="24154" xr:uid="{00000000-0005-0000-0000-0000365E0000}"/>
    <cellStyle name="Entrada 24 18" xfId="24155" xr:uid="{00000000-0005-0000-0000-0000375E0000}"/>
    <cellStyle name="Entrada 24 19" xfId="24156" xr:uid="{00000000-0005-0000-0000-0000385E0000}"/>
    <cellStyle name="Entrada 24 2" xfId="24157" xr:uid="{00000000-0005-0000-0000-0000395E0000}"/>
    <cellStyle name="Entrada 24 2 2" xfId="24158" xr:uid="{00000000-0005-0000-0000-00003A5E0000}"/>
    <cellStyle name="Entrada 24 3" xfId="24159" xr:uid="{00000000-0005-0000-0000-00003B5E0000}"/>
    <cellStyle name="Entrada 24 3 2" xfId="24160" xr:uid="{00000000-0005-0000-0000-00003C5E0000}"/>
    <cellStyle name="Entrada 24 4" xfId="24161" xr:uid="{00000000-0005-0000-0000-00003D5E0000}"/>
    <cellStyle name="Entrada 24 4 2" xfId="24162" xr:uid="{00000000-0005-0000-0000-00003E5E0000}"/>
    <cellStyle name="Entrada 24 5" xfId="24163" xr:uid="{00000000-0005-0000-0000-00003F5E0000}"/>
    <cellStyle name="Entrada 24 6" xfId="24164" xr:uid="{00000000-0005-0000-0000-0000405E0000}"/>
    <cellStyle name="Entrada 24 7" xfId="24165" xr:uid="{00000000-0005-0000-0000-0000415E0000}"/>
    <cellStyle name="Entrada 24 8" xfId="24166" xr:uid="{00000000-0005-0000-0000-0000425E0000}"/>
    <cellStyle name="Entrada 24 9" xfId="24167" xr:uid="{00000000-0005-0000-0000-0000435E0000}"/>
    <cellStyle name="Entrada 25 10" xfId="24168" xr:uid="{00000000-0005-0000-0000-0000445E0000}"/>
    <cellStyle name="Entrada 25 11" xfId="24169" xr:uid="{00000000-0005-0000-0000-0000455E0000}"/>
    <cellStyle name="Entrada 25 12" xfId="24170" xr:uid="{00000000-0005-0000-0000-0000465E0000}"/>
    <cellStyle name="Entrada 25 13" xfId="24171" xr:uid="{00000000-0005-0000-0000-0000475E0000}"/>
    <cellStyle name="Entrada 25 14" xfId="24172" xr:uid="{00000000-0005-0000-0000-0000485E0000}"/>
    <cellStyle name="Entrada 25 15" xfId="24173" xr:uid="{00000000-0005-0000-0000-0000495E0000}"/>
    <cellStyle name="Entrada 25 16" xfId="24174" xr:uid="{00000000-0005-0000-0000-00004A5E0000}"/>
    <cellStyle name="Entrada 25 17" xfId="24175" xr:uid="{00000000-0005-0000-0000-00004B5E0000}"/>
    <cellStyle name="Entrada 25 18" xfId="24176" xr:uid="{00000000-0005-0000-0000-00004C5E0000}"/>
    <cellStyle name="Entrada 25 19" xfId="24177" xr:uid="{00000000-0005-0000-0000-00004D5E0000}"/>
    <cellStyle name="Entrada 25 2" xfId="24178" xr:uid="{00000000-0005-0000-0000-00004E5E0000}"/>
    <cellStyle name="Entrada 25 2 2" xfId="24179" xr:uid="{00000000-0005-0000-0000-00004F5E0000}"/>
    <cellStyle name="Entrada 25 3" xfId="24180" xr:uid="{00000000-0005-0000-0000-0000505E0000}"/>
    <cellStyle name="Entrada 25 3 2" xfId="24181" xr:uid="{00000000-0005-0000-0000-0000515E0000}"/>
    <cellStyle name="Entrada 25 4" xfId="24182" xr:uid="{00000000-0005-0000-0000-0000525E0000}"/>
    <cellStyle name="Entrada 25 4 2" xfId="24183" xr:uid="{00000000-0005-0000-0000-0000535E0000}"/>
    <cellStyle name="Entrada 25 5" xfId="24184" xr:uid="{00000000-0005-0000-0000-0000545E0000}"/>
    <cellStyle name="Entrada 25 6" xfId="24185" xr:uid="{00000000-0005-0000-0000-0000555E0000}"/>
    <cellStyle name="Entrada 25 7" xfId="24186" xr:uid="{00000000-0005-0000-0000-0000565E0000}"/>
    <cellStyle name="Entrada 25 8" xfId="24187" xr:uid="{00000000-0005-0000-0000-0000575E0000}"/>
    <cellStyle name="Entrada 25 9" xfId="24188" xr:uid="{00000000-0005-0000-0000-0000585E0000}"/>
    <cellStyle name="Entrada 26 10" xfId="24189" xr:uid="{00000000-0005-0000-0000-0000595E0000}"/>
    <cellStyle name="Entrada 26 11" xfId="24190" xr:uid="{00000000-0005-0000-0000-00005A5E0000}"/>
    <cellStyle name="Entrada 26 12" xfId="24191" xr:uid="{00000000-0005-0000-0000-00005B5E0000}"/>
    <cellStyle name="Entrada 26 13" xfId="24192" xr:uid="{00000000-0005-0000-0000-00005C5E0000}"/>
    <cellStyle name="Entrada 26 14" xfId="24193" xr:uid="{00000000-0005-0000-0000-00005D5E0000}"/>
    <cellStyle name="Entrada 26 15" xfId="24194" xr:uid="{00000000-0005-0000-0000-00005E5E0000}"/>
    <cellStyle name="Entrada 26 16" xfId="24195" xr:uid="{00000000-0005-0000-0000-00005F5E0000}"/>
    <cellStyle name="Entrada 26 17" xfId="24196" xr:uid="{00000000-0005-0000-0000-0000605E0000}"/>
    <cellStyle name="Entrada 26 18" xfId="24197" xr:uid="{00000000-0005-0000-0000-0000615E0000}"/>
    <cellStyle name="Entrada 26 19" xfId="24198" xr:uid="{00000000-0005-0000-0000-0000625E0000}"/>
    <cellStyle name="Entrada 26 2" xfId="24199" xr:uid="{00000000-0005-0000-0000-0000635E0000}"/>
    <cellStyle name="Entrada 26 2 2" xfId="24200" xr:uid="{00000000-0005-0000-0000-0000645E0000}"/>
    <cellStyle name="Entrada 26 3" xfId="24201" xr:uid="{00000000-0005-0000-0000-0000655E0000}"/>
    <cellStyle name="Entrada 26 3 2" xfId="24202" xr:uid="{00000000-0005-0000-0000-0000665E0000}"/>
    <cellStyle name="Entrada 26 4" xfId="24203" xr:uid="{00000000-0005-0000-0000-0000675E0000}"/>
    <cellStyle name="Entrada 26 4 2" xfId="24204" xr:uid="{00000000-0005-0000-0000-0000685E0000}"/>
    <cellStyle name="Entrada 26 5" xfId="24205" xr:uid="{00000000-0005-0000-0000-0000695E0000}"/>
    <cellStyle name="Entrada 26 6" xfId="24206" xr:uid="{00000000-0005-0000-0000-00006A5E0000}"/>
    <cellStyle name="Entrada 26 7" xfId="24207" xr:uid="{00000000-0005-0000-0000-00006B5E0000}"/>
    <cellStyle name="Entrada 26 8" xfId="24208" xr:uid="{00000000-0005-0000-0000-00006C5E0000}"/>
    <cellStyle name="Entrada 26 9" xfId="24209" xr:uid="{00000000-0005-0000-0000-00006D5E0000}"/>
    <cellStyle name="Entrada 27 10" xfId="24210" xr:uid="{00000000-0005-0000-0000-00006E5E0000}"/>
    <cellStyle name="Entrada 27 11" xfId="24211" xr:uid="{00000000-0005-0000-0000-00006F5E0000}"/>
    <cellStyle name="Entrada 27 12" xfId="24212" xr:uid="{00000000-0005-0000-0000-0000705E0000}"/>
    <cellStyle name="Entrada 27 13" xfId="24213" xr:uid="{00000000-0005-0000-0000-0000715E0000}"/>
    <cellStyle name="Entrada 27 14" xfId="24214" xr:uid="{00000000-0005-0000-0000-0000725E0000}"/>
    <cellStyle name="Entrada 27 15" xfId="24215" xr:uid="{00000000-0005-0000-0000-0000735E0000}"/>
    <cellStyle name="Entrada 27 16" xfId="24216" xr:uid="{00000000-0005-0000-0000-0000745E0000}"/>
    <cellStyle name="Entrada 27 17" xfId="24217" xr:uid="{00000000-0005-0000-0000-0000755E0000}"/>
    <cellStyle name="Entrada 27 18" xfId="24218" xr:uid="{00000000-0005-0000-0000-0000765E0000}"/>
    <cellStyle name="Entrada 27 19" xfId="24219" xr:uid="{00000000-0005-0000-0000-0000775E0000}"/>
    <cellStyle name="Entrada 27 2" xfId="24220" xr:uid="{00000000-0005-0000-0000-0000785E0000}"/>
    <cellStyle name="Entrada 27 2 2" xfId="24221" xr:uid="{00000000-0005-0000-0000-0000795E0000}"/>
    <cellStyle name="Entrada 27 3" xfId="24222" xr:uid="{00000000-0005-0000-0000-00007A5E0000}"/>
    <cellStyle name="Entrada 27 3 2" xfId="24223" xr:uid="{00000000-0005-0000-0000-00007B5E0000}"/>
    <cellStyle name="Entrada 27 4" xfId="24224" xr:uid="{00000000-0005-0000-0000-00007C5E0000}"/>
    <cellStyle name="Entrada 27 4 2" xfId="24225" xr:uid="{00000000-0005-0000-0000-00007D5E0000}"/>
    <cellStyle name="Entrada 27 5" xfId="24226" xr:uid="{00000000-0005-0000-0000-00007E5E0000}"/>
    <cellStyle name="Entrada 27 6" xfId="24227" xr:uid="{00000000-0005-0000-0000-00007F5E0000}"/>
    <cellStyle name="Entrada 27 7" xfId="24228" xr:uid="{00000000-0005-0000-0000-0000805E0000}"/>
    <cellStyle name="Entrada 27 8" xfId="24229" xr:uid="{00000000-0005-0000-0000-0000815E0000}"/>
    <cellStyle name="Entrada 27 9" xfId="24230" xr:uid="{00000000-0005-0000-0000-0000825E0000}"/>
    <cellStyle name="Entrada 28 10" xfId="24231" xr:uid="{00000000-0005-0000-0000-0000835E0000}"/>
    <cellStyle name="Entrada 28 11" xfId="24232" xr:uid="{00000000-0005-0000-0000-0000845E0000}"/>
    <cellStyle name="Entrada 28 12" xfId="24233" xr:uid="{00000000-0005-0000-0000-0000855E0000}"/>
    <cellStyle name="Entrada 28 13" xfId="24234" xr:uid="{00000000-0005-0000-0000-0000865E0000}"/>
    <cellStyle name="Entrada 28 14" xfId="24235" xr:uid="{00000000-0005-0000-0000-0000875E0000}"/>
    <cellStyle name="Entrada 28 15" xfId="24236" xr:uid="{00000000-0005-0000-0000-0000885E0000}"/>
    <cellStyle name="Entrada 28 16" xfId="24237" xr:uid="{00000000-0005-0000-0000-0000895E0000}"/>
    <cellStyle name="Entrada 28 17" xfId="24238" xr:uid="{00000000-0005-0000-0000-00008A5E0000}"/>
    <cellStyle name="Entrada 28 18" xfId="24239" xr:uid="{00000000-0005-0000-0000-00008B5E0000}"/>
    <cellStyle name="Entrada 28 19" xfId="24240" xr:uid="{00000000-0005-0000-0000-00008C5E0000}"/>
    <cellStyle name="Entrada 28 2" xfId="24241" xr:uid="{00000000-0005-0000-0000-00008D5E0000}"/>
    <cellStyle name="Entrada 28 2 2" xfId="24242" xr:uid="{00000000-0005-0000-0000-00008E5E0000}"/>
    <cellStyle name="Entrada 28 3" xfId="24243" xr:uid="{00000000-0005-0000-0000-00008F5E0000}"/>
    <cellStyle name="Entrada 28 3 2" xfId="24244" xr:uid="{00000000-0005-0000-0000-0000905E0000}"/>
    <cellStyle name="Entrada 28 4" xfId="24245" xr:uid="{00000000-0005-0000-0000-0000915E0000}"/>
    <cellStyle name="Entrada 28 4 2" xfId="24246" xr:uid="{00000000-0005-0000-0000-0000925E0000}"/>
    <cellStyle name="Entrada 28 5" xfId="24247" xr:uid="{00000000-0005-0000-0000-0000935E0000}"/>
    <cellStyle name="Entrada 28 6" xfId="24248" xr:uid="{00000000-0005-0000-0000-0000945E0000}"/>
    <cellStyle name="Entrada 28 7" xfId="24249" xr:uid="{00000000-0005-0000-0000-0000955E0000}"/>
    <cellStyle name="Entrada 28 8" xfId="24250" xr:uid="{00000000-0005-0000-0000-0000965E0000}"/>
    <cellStyle name="Entrada 28 9" xfId="24251" xr:uid="{00000000-0005-0000-0000-0000975E0000}"/>
    <cellStyle name="Entrada 29 10" xfId="24252" xr:uid="{00000000-0005-0000-0000-0000985E0000}"/>
    <cellStyle name="Entrada 29 11" xfId="24253" xr:uid="{00000000-0005-0000-0000-0000995E0000}"/>
    <cellStyle name="Entrada 29 12" xfId="24254" xr:uid="{00000000-0005-0000-0000-00009A5E0000}"/>
    <cellStyle name="Entrada 29 13" xfId="24255" xr:uid="{00000000-0005-0000-0000-00009B5E0000}"/>
    <cellStyle name="Entrada 29 14" xfId="24256" xr:uid="{00000000-0005-0000-0000-00009C5E0000}"/>
    <cellStyle name="Entrada 29 15" xfId="24257" xr:uid="{00000000-0005-0000-0000-00009D5E0000}"/>
    <cellStyle name="Entrada 29 16" xfId="24258" xr:uid="{00000000-0005-0000-0000-00009E5E0000}"/>
    <cellStyle name="Entrada 29 17" xfId="24259" xr:uid="{00000000-0005-0000-0000-00009F5E0000}"/>
    <cellStyle name="Entrada 29 18" xfId="24260" xr:uid="{00000000-0005-0000-0000-0000A05E0000}"/>
    <cellStyle name="Entrada 29 19" xfId="24261" xr:uid="{00000000-0005-0000-0000-0000A15E0000}"/>
    <cellStyle name="Entrada 29 2" xfId="24262" xr:uid="{00000000-0005-0000-0000-0000A25E0000}"/>
    <cellStyle name="Entrada 29 2 2" xfId="24263" xr:uid="{00000000-0005-0000-0000-0000A35E0000}"/>
    <cellStyle name="Entrada 29 3" xfId="24264" xr:uid="{00000000-0005-0000-0000-0000A45E0000}"/>
    <cellStyle name="Entrada 29 3 2" xfId="24265" xr:uid="{00000000-0005-0000-0000-0000A55E0000}"/>
    <cellStyle name="Entrada 29 4" xfId="24266" xr:uid="{00000000-0005-0000-0000-0000A65E0000}"/>
    <cellStyle name="Entrada 29 4 2" xfId="24267" xr:uid="{00000000-0005-0000-0000-0000A75E0000}"/>
    <cellStyle name="Entrada 29 5" xfId="24268" xr:uid="{00000000-0005-0000-0000-0000A85E0000}"/>
    <cellStyle name="Entrada 29 6" xfId="24269" xr:uid="{00000000-0005-0000-0000-0000A95E0000}"/>
    <cellStyle name="Entrada 29 7" xfId="24270" xr:uid="{00000000-0005-0000-0000-0000AA5E0000}"/>
    <cellStyle name="Entrada 29 8" xfId="24271" xr:uid="{00000000-0005-0000-0000-0000AB5E0000}"/>
    <cellStyle name="Entrada 29 9" xfId="24272" xr:uid="{00000000-0005-0000-0000-0000AC5E0000}"/>
    <cellStyle name="Entrada 3 10" xfId="24273" xr:uid="{00000000-0005-0000-0000-0000AD5E0000}"/>
    <cellStyle name="Entrada 3 11" xfId="24274" xr:uid="{00000000-0005-0000-0000-0000AE5E0000}"/>
    <cellStyle name="Entrada 3 12" xfId="24275" xr:uid="{00000000-0005-0000-0000-0000AF5E0000}"/>
    <cellStyle name="Entrada 3 13" xfId="24276" xr:uid="{00000000-0005-0000-0000-0000B05E0000}"/>
    <cellStyle name="Entrada 3 14" xfId="24277" xr:uid="{00000000-0005-0000-0000-0000B15E0000}"/>
    <cellStyle name="Entrada 3 15" xfId="24278" xr:uid="{00000000-0005-0000-0000-0000B25E0000}"/>
    <cellStyle name="Entrada 3 16" xfId="24279" xr:uid="{00000000-0005-0000-0000-0000B35E0000}"/>
    <cellStyle name="Entrada 3 17" xfId="24280" xr:uid="{00000000-0005-0000-0000-0000B45E0000}"/>
    <cellStyle name="Entrada 3 18" xfId="24281" xr:uid="{00000000-0005-0000-0000-0000B55E0000}"/>
    <cellStyle name="Entrada 3 19" xfId="24282" xr:uid="{00000000-0005-0000-0000-0000B65E0000}"/>
    <cellStyle name="Entrada 3 2" xfId="24283" xr:uid="{00000000-0005-0000-0000-0000B75E0000}"/>
    <cellStyle name="Entrada 3 2 2" xfId="24284" xr:uid="{00000000-0005-0000-0000-0000B85E0000}"/>
    <cellStyle name="Entrada 3 3" xfId="24285" xr:uid="{00000000-0005-0000-0000-0000B95E0000}"/>
    <cellStyle name="Entrada 3 3 2" xfId="24286" xr:uid="{00000000-0005-0000-0000-0000BA5E0000}"/>
    <cellStyle name="Entrada 3 4" xfId="24287" xr:uid="{00000000-0005-0000-0000-0000BB5E0000}"/>
    <cellStyle name="Entrada 3 4 2" xfId="24288" xr:uid="{00000000-0005-0000-0000-0000BC5E0000}"/>
    <cellStyle name="Entrada 3 5" xfId="24289" xr:uid="{00000000-0005-0000-0000-0000BD5E0000}"/>
    <cellStyle name="Entrada 3 6" xfId="24290" xr:uid="{00000000-0005-0000-0000-0000BE5E0000}"/>
    <cellStyle name="Entrada 3 7" xfId="24291" xr:uid="{00000000-0005-0000-0000-0000BF5E0000}"/>
    <cellStyle name="Entrada 3 8" xfId="24292" xr:uid="{00000000-0005-0000-0000-0000C05E0000}"/>
    <cellStyle name="Entrada 3 9" xfId="24293" xr:uid="{00000000-0005-0000-0000-0000C15E0000}"/>
    <cellStyle name="Entrada 30 10" xfId="24294" xr:uid="{00000000-0005-0000-0000-0000C25E0000}"/>
    <cellStyle name="Entrada 30 11" xfId="24295" xr:uid="{00000000-0005-0000-0000-0000C35E0000}"/>
    <cellStyle name="Entrada 30 12" xfId="24296" xr:uid="{00000000-0005-0000-0000-0000C45E0000}"/>
    <cellStyle name="Entrada 30 13" xfId="24297" xr:uid="{00000000-0005-0000-0000-0000C55E0000}"/>
    <cellStyle name="Entrada 30 14" xfId="24298" xr:uid="{00000000-0005-0000-0000-0000C65E0000}"/>
    <cellStyle name="Entrada 30 15" xfId="24299" xr:uid="{00000000-0005-0000-0000-0000C75E0000}"/>
    <cellStyle name="Entrada 30 16" xfId="24300" xr:uid="{00000000-0005-0000-0000-0000C85E0000}"/>
    <cellStyle name="Entrada 30 17" xfId="24301" xr:uid="{00000000-0005-0000-0000-0000C95E0000}"/>
    <cellStyle name="Entrada 30 18" xfId="24302" xr:uid="{00000000-0005-0000-0000-0000CA5E0000}"/>
    <cellStyle name="Entrada 30 19" xfId="24303" xr:uid="{00000000-0005-0000-0000-0000CB5E0000}"/>
    <cellStyle name="Entrada 30 2" xfId="24304" xr:uid="{00000000-0005-0000-0000-0000CC5E0000}"/>
    <cellStyle name="Entrada 30 2 2" xfId="24305" xr:uid="{00000000-0005-0000-0000-0000CD5E0000}"/>
    <cellStyle name="Entrada 30 3" xfId="24306" xr:uid="{00000000-0005-0000-0000-0000CE5E0000}"/>
    <cellStyle name="Entrada 30 3 2" xfId="24307" xr:uid="{00000000-0005-0000-0000-0000CF5E0000}"/>
    <cellStyle name="Entrada 30 4" xfId="24308" xr:uid="{00000000-0005-0000-0000-0000D05E0000}"/>
    <cellStyle name="Entrada 30 4 2" xfId="24309" xr:uid="{00000000-0005-0000-0000-0000D15E0000}"/>
    <cellStyle name="Entrada 30 5" xfId="24310" xr:uid="{00000000-0005-0000-0000-0000D25E0000}"/>
    <cellStyle name="Entrada 30 6" xfId="24311" xr:uid="{00000000-0005-0000-0000-0000D35E0000}"/>
    <cellStyle name="Entrada 30 7" xfId="24312" xr:uid="{00000000-0005-0000-0000-0000D45E0000}"/>
    <cellStyle name="Entrada 30 8" xfId="24313" xr:uid="{00000000-0005-0000-0000-0000D55E0000}"/>
    <cellStyle name="Entrada 30 9" xfId="24314" xr:uid="{00000000-0005-0000-0000-0000D65E0000}"/>
    <cellStyle name="Entrada 31 10" xfId="24315" xr:uid="{00000000-0005-0000-0000-0000D75E0000}"/>
    <cellStyle name="Entrada 31 11" xfId="24316" xr:uid="{00000000-0005-0000-0000-0000D85E0000}"/>
    <cellStyle name="Entrada 31 12" xfId="24317" xr:uid="{00000000-0005-0000-0000-0000D95E0000}"/>
    <cellStyle name="Entrada 31 13" xfId="24318" xr:uid="{00000000-0005-0000-0000-0000DA5E0000}"/>
    <cellStyle name="Entrada 31 14" xfId="24319" xr:uid="{00000000-0005-0000-0000-0000DB5E0000}"/>
    <cellStyle name="Entrada 31 15" xfId="24320" xr:uid="{00000000-0005-0000-0000-0000DC5E0000}"/>
    <cellStyle name="Entrada 31 16" xfId="24321" xr:uid="{00000000-0005-0000-0000-0000DD5E0000}"/>
    <cellStyle name="Entrada 31 17" xfId="24322" xr:uid="{00000000-0005-0000-0000-0000DE5E0000}"/>
    <cellStyle name="Entrada 31 18" xfId="24323" xr:uid="{00000000-0005-0000-0000-0000DF5E0000}"/>
    <cellStyle name="Entrada 31 19" xfId="24324" xr:uid="{00000000-0005-0000-0000-0000E05E0000}"/>
    <cellStyle name="Entrada 31 2" xfId="24325" xr:uid="{00000000-0005-0000-0000-0000E15E0000}"/>
    <cellStyle name="Entrada 31 2 2" xfId="24326" xr:uid="{00000000-0005-0000-0000-0000E25E0000}"/>
    <cellStyle name="Entrada 31 3" xfId="24327" xr:uid="{00000000-0005-0000-0000-0000E35E0000}"/>
    <cellStyle name="Entrada 31 3 2" xfId="24328" xr:uid="{00000000-0005-0000-0000-0000E45E0000}"/>
    <cellStyle name="Entrada 31 4" xfId="24329" xr:uid="{00000000-0005-0000-0000-0000E55E0000}"/>
    <cellStyle name="Entrada 31 4 2" xfId="24330" xr:uid="{00000000-0005-0000-0000-0000E65E0000}"/>
    <cellStyle name="Entrada 31 5" xfId="24331" xr:uid="{00000000-0005-0000-0000-0000E75E0000}"/>
    <cellStyle name="Entrada 31 6" xfId="24332" xr:uid="{00000000-0005-0000-0000-0000E85E0000}"/>
    <cellStyle name="Entrada 31 7" xfId="24333" xr:uid="{00000000-0005-0000-0000-0000E95E0000}"/>
    <cellStyle name="Entrada 31 8" xfId="24334" xr:uid="{00000000-0005-0000-0000-0000EA5E0000}"/>
    <cellStyle name="Entrada 31 9" xfId="24335" xr:uid="{00000000-0005-0000-0000-0000EB5E0000}"/>
    <cellStyle name="Entrada 32 10" xfId="24336" xr:uid="{00000000-0005-0000-0000-0000EC5E0000}"/>
    <cellStyle name="Entrada 32 11" xfId="24337" xr:uid="{00000000-0005-0000-0000-0000ED5E0000}"/>
    <cellStyle name="Entrada 32 12" xfId="24338" xr:uid="{00000000-0005-0000-0000-0000EE5E0000}"/>
    <cellStyle name="Entrada 32 13" xfId="24339" xr:uid="{00000000-0005-0000-0000-0000EF5E0000}"/>
    <cellStyle name="Entrada 32 14" xfId="24340" xr:uid="{00000000-0005-0000-0000-0000F05E0000}"/>
    <cellStyle name="Entrada 32 15" xfId="24341" xr:uid="{00000000-0005-0000-0000-0000F15E0000}"/>
    <cellStyle name="Entrada 32 16" xfId="24342" xr:uid="{00000000-0005-0000-0000-0000F25E0000}"/>
    <cellStyle name="Entrada 32 17" xfId="24343" xr:uid="{00000000-0005-0000-0000-0000F35E0000}"/>
    <cellStyle name="Entrada 32 18" xfId="24344" xr:uid="{00000000-0005-0000-0000-0000F45E0000}"/>
    <cellStyle name="Entrada 32 19" xfId="24345" xr:uid="{00000000-0005-0000-0000-0000F55E0000}"/>
    <cellStyle name="Entrada 32 2" xfId="24346" xr:uid="{00000000-0005-0000-0000-0000F65E0000}"/>
    <cellStyle name="Entrada 32 2 2" xfId="24347" xr:uid="{00000000-0005-0000-0000-0000F75E0000}"/>
    <cellStyle name="Entrada 32 3" xfId="24348" xr:uid="{00000000-0005-0000-0000-0000F85E0000}"/>
    <cellStyle name="Entrada 32 3 2" xfId="24349" xr:uid="{00000000-0005-0000-0000-0000F95E0000}"/>
    <cellStyle name="Entrada 32 4" xfId="24350" xr:uid="{00000000-0005-0000-0000-0000FA5E0000}"/>
    <cellStyle name="Entrada 32 4 2" xfId="24351" xr:uid="{00000000-0005-0000-0000-0000FB5E0000}"/>
    <cellStyle name="Entrada 32 5" xfId="24352" xr:uid="{00000000-0005-0000-0000-0000FC5E0000}"/>
    <cellStyle name="Entrada 32 6" xfId="24353" xr:uid="{00000000-0005-0000-0000-0000FD5E0000}"/>
    <cellStyle name="Entrada 32 7" xfId="24354" xr:uid="{00000000-0005-0000-0000-0000FE5E0000}"/>
    <cellStyle name="Entrada 32 8" xfId="24355" xr:uid="{00000000-0005-0000-0000-0000FF5E0000}"/>
    <cellStyle name="Entrada 32 9" xfId="24356" xr:uid="{00000000-0005-0000-0000-0000005F0000}"/>
    <cellStyle name="Entrada 33 10" xfId="24357" xr:uid="{00000000-0005-0000-0000-0000015F0000}"/>
    <cellStyle name="Entrada 33 11" xfId="24358" xr:uid="{00000000-0005-0000-0000-0000025F0000}"/>
    <cellStyle name="Entrada 33 12" xfId="24359" xr:uid="{00000000-0005-0000-0000-0000035F0000}"/>
    <cellStyle name="Entrada 33 13" xfId="24360" xr:uid="{00000000-0005-0000-0000-0000045F0000}"/>
    <cellStyle name="Entrada 33 14" xfId="24361" xr:uid="{00000000-0005-0000-0000-0000055F0000}"/>
    <cellStyle name="Entrada 33 15" xfId="24362" xr:uid="{00000000-0005-0000-0000-0000065F0000}"/>
    <cellStyle name="Entrada 33 16" xfId="24363" xr:uid="{00000000-0005-0000-0000-0000075F0000}"/>
    <cellStyle name="Entrada 33 17" xfId="24364" xr:uid="{00000000-0005-0000-0000-0000085F0000}"/>
    <cellStyle name="Entrada 33 18" xfId="24365" xr:uid="{00000000-0005-0000-0000-0000095F0000}"/>
    <cellStyle name="Entrada 33 19" xfId="24366" xr:uid="{00000000-0005-0000-0000-00000A5F0000}"/>
    <cellStyle name="Entrada 33 2" xfId="24367" xr:uid="{00000000-0005-0000-0000-00000B5F0000}"/>
    <cellStyle name="Entrada 33 2 2" xfId="24368" xr:uid="{00000000-0005-0000-0000-00000C5F0000}"/>
    <cellStyle name="Entrada 33 3" xfId="24369" xr:uid="{00000000-0005-0000-0000-00000D5F0000}"/>
    <cellStyle name="Entrada 33 3 2" xfId="24370" xr:uid="{00000000-0005-0000-0000-00000E5F0000}"/>
    <cellStyle name="Entrada 33 4" xfId="24371" xr:uid="{00000000-0005-0000-0000-00000F5F0000}"/>
    <cellStyle name="Entrada 33 4 2" xfId="24372" xr:uid="{00000000-0005-0000-0000-0000105F0000}"/>
    <cellStyle name="Entrada 33 5" xfId="24373" xr:uid="{00000000-0005-0000-0000-0000115F0000}"/>
    <cellStyle name="Entrada 33 6" xfId="24374" xr:uid="{00000000-0005-0000-0000-0000125F0000}"/>
    <cellStyle name="Entrada 33 7" xfId="24375" xr:uid="{00000000-0005-0000-0000-0000135F0000}"/>
    <cellStyle name="Entrada 33 8" xfId="24376" xr:uid="{00000000-0005-0000-0000-0000145F0000}"/>
    <cellStyle name="Entrada 33 9" xfId="24377" xr:uid="{00000000-0005-0000-0000-0000155F0000}"/>
    <cellStyle name="Entrada 34 10" xfId="24378" xr:uid="{00000000-0005-0000-0000-0000165F0000}"/>
    <cellStyle name="Entrada 34 11" xfId="24379" xr:uid="{00000000-0005-0000-0000-0000175F0000}"/>
    <cellStyle name="Entrada 34 12" xfId="24380" xr:uid="{00000000-0005-0000-0000-0000185F0000}"/>
    <cellStyle name="Entrada 34 13" xfId="24381" xr:uid="{00000000-0005-0000-0000-0000195F0000}"/>
    <cellStyle name="Entrada 34 14" xfId="24382" xr:uid="{00000000-0005-0000-0000-00001A5F0000}"/>
    <cellStyle name="Entrada 34 15" xfId="24383" xr:uid="{00000000-0005-0000-0000-00001B5F0000}"/>
    <cellStyle name="Entrada 34 16" xfId="24384" xr:uid="{00000000-0005-0000-0000-00001C5F0000}"/>
    <cellStyle name="Entrada 34 17" xfId="24385" xr:uid="{00000000-0005-0000-0000-00001D5F0000}"/>
    <cellStyle name="Entrada 34 18" xfId="24386" xr:uid="{00000000-0005-0000-0000-00001E5F0000}"/>
    <cellStyle name="Entrada 34 19" xfId="24387" xr:uid="{00000000-0005-0000-0000-00001F5F0000}"/>
    <cellStyle name="Entrada 34 2" xfId="24388" xr:uid="{00000000-0005-0000-0000-0000205F0000}"/>
    <cellStyle name="Entrada 34 2 2" xfId="24389" xr:uid="{00000000-0005-0000-0000-0000215F0000}"/>
    <cellStyle name="Entrada 34 3" xfId="24390" xr:uid="{00000000-0005-0000-0000-0000225F0000}"/>
    <cellStyle name="Entrada 34 3 2" xfId="24391" xr:uid="{00000000-0005-0000-0000-0000235F0000}"/>
    <cellStyle name="Entrada 34 4" xfId="24392" xr:uid="{00000000-0005-0000-0000-0000245F0000}"/>
    <cellStyle name="Entrada 34 4 2" xfId="24393" xr:uid="{00000000-0005-0000-0000-0000255F0000}"/>
    <cellStyle name="Entrada 34 5" xfId="24394" xr:uid="{00000000-0005-0000-0000-0000265F0000}"/>
    <cellStyle name="Entrada 34 6" xfId="24395" xr:uid="{00000000-0005-0000-0000-0000275F0000}"/>
    <cellStyle name="Entrada 34 7" xfId="24396" xr:uid="{00000000-0005-0000-0000-0000285F0000}"/>
    <cellStyle name="Entrada 34 8" xfId="24397" xr:uid="{00000000-0005-0000-0000-0000295F0000}"/>
    <cellStyle name="Entrada 34 9" xfId="24398" xr:uid="{00000000-0005-0000-0000-00002A5F0000}"/>
    <cellStyle name="Entrada 35 10" xfId="24399" xr:uid="{00000000-0005-0000-0000-00002B5F0000}"/>
    <cellStyle name="Entrada 35 11" xfId="24400" xr:uid="{00000000-0005-0000-0000-00002C5F0000}"/>
    <cellStyle name="Entrada 35 12" xfId="24401" xr:uid="{00000000-0005-0000-0000-00002D5F0000}"/>
    <cellStyle name="Entrada 35 13" xfId="24402" xr:uid="{00000000-0005-0000-0000-00002E5F0000}"/>
    <cellStyle name="Entrada 35 14" xfId="24403" xr:uid="{00000000-0005-0000-0000-00002F5F0000}"/>
    <cellStyle name="Entrada 35 15" xfId="24404" xr:uid="{00000000-0005-0000-0000-0000305F0000}"/>
    <cellStyle name="Entrada 35 16" xfId="24405" xr:uid="{00000000-0005-0000-0000-0000315F0000}"/>
    <cellStyle name="Entrada 35 17" xfId="24406" xr:uid="{00000000-0005-0000-0000-0000325F0000}"/>
    <cellStyle name="Entrada 35 18" xfId="24407" xr:uid="{00000000-0005-0000-0000-0000335F0000}"/>
    <cellStyle name="Entrada 35 19" xfId="24408" xr:uid="{00000000-0005-0000-0000-0000345F0000}"/>
    <cellStyle name="Entrada 35 2" xfId="24409" xr:uid="{00000000-0005-0000-0000-0000355F0000}"/>
    <cellStyle name="Entrada 35 2 2" xfId="24410" xr:uid="{00000000-0005-0000-0000-0000365F0000}"/>
    <cellStyle name="Entrada 35 3" xfId="24411" xr:uid="{00000000-0005-0000-0000-0000375F0000}"/>
    <cellStyle name="Entrada 35 3 2" xfId="24412" xr:uid="{00000000-0005-0000-0000-0000385F0000}"/>
    <cellStyle name="Entrada 35 4" xfId="24413" xr:uid="{00000000-0005-0000-0000-0000395F0000}"/>
    <cellStyle name="Entrada 35 4 2" xfId="24414" xr:uid="{00000000-0005-0000-0000-00003A5F0000}"/>
    <cellStyle name="Entrada 35 5" xfId="24415" xr:uid="{00000000-0005-0000-0000-00003B5F0000}"/>
    <cellStyle name="Entrada 35 6" xfId="24416" xr:uid="{00000000-0005-0000-0000-00003C5F0000}"/>
    <cellStyle name="Entrada 35 7" xfId="24417" xr:uid="{00000000-0005-0000-0000-00003D5F0000}"/>
    <cellStyle name="Entrada 35 8" xfId="24418" xr:uid="{00000000-0005-0000-0000-00003E5F0000}"/>
    <cellStyle name="Entrada 35 9" xfId="24419" xr:uid="{00000000-0005-0000-0000-00003F5F0000}"/>
    <cellStyle name="Entrada 36 10" xfId="24420" xr:uid="{00000000-0005-0000-0000-0000405F0000}"/>
    <cellStyle name="Entrada 36 11" xfId="24421" xr:uid="{00000000-0005-0000-0000-0000415F0000}"/>
    <cellStyle name="Entrada 36 12" xfId="24422" xr:uid="{00000000-0005-0000-0000-0000425F0000}"/>
    <cellStyle name="Entrada 36 13" xfId="24423" xr:uid="{00000000-0005-0000-0000-0000435F0000}"/>
    <cellStyle name="Entrada 36 14" xfId="24424" xr:uid="{00000000-0005-0000-0000-0000445F0000}"/>
    <cellStyle name="Entrada 36 15" xfId="24425" xr:uid="{00000000-0005-0000-0000-0000455F0000}"/>
    <cellStyle name="Entrada 36 16" xfId="24426" xr:uid="{00000000-0005-0000-0000-0000465F0000}"/>
    <cellStyle name="Entrada 36 17" xfId="24427" xr:uid="{00000000-0005-0000-0000-0000475F0000}"/>
    <cellStyle name="Entrada 36 18" xfId="24428" xr:uid="{00000000-0005-0000-0000-0000485F0000}"/>
    <cellStyle name="Entrada 36 19" xfId="24429" xr:uid="{00000000-0005-0000-0000-0000495F0000}"/>
    <cellStyle name="Entrada 36 2" xfId="24430" xr:uid="{00000000-0005-0000-0000-00004A5F0000}"/>
    <cellStyle name="Entrada 36 2 2" xfId="24431" xr:uid="{00000000-0005-0000-0000-00004B5F0000}"/>
    <cellStyle name="Entrada 36 3" xfId="24432" xr:uid="{00000000-0005-0000-0000-00004C5F0000}"/>
    <cellStyle name="Entrada 36 3 2" xfId="24433" xr:uid="{00000000-0005-0000-0000-00004D5F0000}"/>
    <cellStyle name="Entrada 36 4" xfId="24434" xr:uid="{00000000-0005-0000-0000-00004E5F0000}"/>
    <cellStyle name="Entrada 36 4 2" xfId="24435" xr:uid="{00000000-0005-0000-0000-00004F5F0000}"/>
    <cellStyle name="Entrada 36 5" xfId="24436" xr:uid="{00000000-0005-0000-0000-0000505F0000}"/>
    <cellStyle name="Entrada 36 6" xfId="24437" xr:uid="{00000000-0005-0000-0000-0000515F0000}"/>
    <cellStyle name="Entrada 36 7" xfId="24438" xr:uid="{00000000-0005-0000-0000-0000525F0000}"/>
    <cellStyle name="Entrada 36 8" xfId="24439" xr:uid="{00000000-0005-0000-0000-0000535F0000}"/>
    <cellStyle name="Entrada 36 9" xfId="24440" xr:uid="{00000000-0005-0000-0000-0000545F0000}"/>
    <cellStyle name="Entrada 37 10" xfId="24441" xr:uid="{00000000-0005-0000-0000-0000555F0000}"/>
    <cellStyle name="Entrada 37 11" xfId="24442" xr:uid="{00000000-0005-0000-0000-0000565F0000}"/>
    <cellStyle name="Entrada 37 12" xfId="24443" xr:uid="{00000000-0005-0000-0000-0000575F0000}"/>
    <cellStyle name="Entrada 37 13" xfId="24444" xr:uid="{00000000-0005-0000-0000-0000585F0000}"/>
    <cellStyle name="Entrada 37 14" xfId="24445" xr:uid="{00000000-0005-0000-0000-0000595F0000}"/>
    <cellStyle name="Entrada 37 15" xfId="24446" xr:uid="{00000000-0005-0000-0000-00005A5F0000}"/>
    <cellStyle name="Entrada 37 16" xfId="24447" xr:uid="{00000000-0005-0000-0000-00005B5F0000}"/>
    <cellStyle name="Entrada 37 17" xfId="24448" xr:uid="{00000000-0005-0000-0000-00005C5F0000}"/>
    <cellStyle name="Entrada 37 18" xfId="24449" xr:uid="{00000000-0005-0000-0000-00005D5F0000}"/>
    <cellStyle name="Entrada 37 19" xfId="24450" xr:uid="{00000000-0005-0000-0000-00005E5F0000}"/>
    <cellStyle name="Entrada 37 2" xfId="24451" xr:uid="{00000000-0005-0000-0000-00005F5F0000}"/>
    <cellStyle name="Entrada 37 2 2" xfId="24452" xr:uid="{00000000-0005-0000-0000-0000605F0000}"/>
    <cellStyle name="Entrada 37 3" xfId="24453" xr:uid="{00000000-0005-0000-0000-0000615F0000}"/>
    <cellStyle name="Entrada 37 3 2" xfId="24454" xr:uid="{00000000-0005-0000-0000-0000625F0000}"/>
    <cellStyle name="Entrada 37 4" xfId="24455" xr:uid="{00000000-0005-0000-0000-0000635F0000}"/>
    <cellStyle name="Entrada 37 4 2" xfId="24456" xr:uid="{00000000-0005-0000-0000-0000645F0000}"/>
    <cellStyle name="Entrada 37 5" xfId="24457" xr:uid="{00000000-0005-0000-0000-0000655F0000}"/>
    <cellStyle name="Entrada 37 6" xfId="24458" xr:uid="{00000000-0005-0000-0000-0000665F0000}"/>
    <cellStyle name="Entrada 37 7" xfId="24459" xr:uid="{00000000-0005-0000-0000-0000675F0000}"/>
    <cellStyle name="Entrada 37 8" xfId="24460" xr:uid="{00000000-0005-0000-0000-0000685F0000}"/>
    <cellStyle name="Entrada 37 9" xfId="24461" xr:uid="{00000000-0005-0000-0000-0000695F0000}"/>
    <cellStyle name="Entrada 38 10" xfId="24462" xr:uid="{00000000-0005-0000-0000-00006A5F0000}"/>
    <cellStyle name="Entrada 38 11" xfId="24463" xr:uid="{00000000-0005-0000-0000-00006B5F0000}"/>
    <cellStyle name="Entrada 38 12" xfId="24464" xr:uid="{00000000-0005-0000-0000-00006C5F0000}"/>
    <cellStyle name="Entrada 38 13" xfId="24465" xr:uid="{00000000-0005-0000-0000-00006D5F0000}"/>
    <cellStyle name="Entrada 38 14" xfId="24466" xr:uid="{00000000-0005-0000-0000-00006E5F0000}"/>
    <cellStyle name="Entrada 38 15" xfId="24467" xr:uid="{00000000-0005-0000-0000-00006F5F0000}"/>
    <cellStyle name="Entrada 38 16" xfId="24468" xr:uid="{00000000-0005-0000-0000-0000705F0000}"/>
    <cellStyle name="Entrada 38 17" xfId="24469" xr:uid="{00000000-0005-0000-0000-0000715F0000}"/>
    <cellStyle name="Entrada 38 18" xfId="24470" xr:uid="{00000000-0005-0000-0000-0000725F0000}"/>
    <cellStyle name="Entrada 38 19" xfId="24471" xr:uid="{00000000-0005-0000-0000-0000735F0000}"/>
    <cellStyle name="Entrada 38 2" xfId="24472" xr:uid="{00000000-0005-0000-0000-0000745F0000}"/>
    <cellStyle name="Entrada 38 2 2" xfId="24473" xr:uid="{00000000-0005-0000-0000-0000755F0000}"/>
    <cellStyle name="Entrada 38 3" xfId="24474" xr:uid="{00000000-0005-0000-0000-0000765F0000}"/>
    <cellStyle name="Entrada 38 3 2" xfId="24475" xr:uid="{00000000-0005-0000-0000-0000775F0000}"/>
    <cellStyle name="Entrada 38 4" xfId="24476" xr:uid="{00000000-0005-0000-0000-0000785F0000}"/>
    <cellStyle name="Entrada 38 4 2" xfId="24477" xr:uid="{00000000-0005-0000-0000-0000795F0000}"/>
    <cellStyle name="Entrada 38 5" xfId="24478" xr:uid="{00000000-0005-0000-0000-00007A5F0000}"/>
    <cellStyle name="Entrada 38 6" xfId="24479" xr:uid="{00000000-0005-0000-0000-00007B5F0000}"/>
    <cellStyle name="Entrada 38 7" xfId="24480" xr:uid="{00000000-0005-0000-0000-00007C5F0000}"/>
    <cellStyle name="Entrada 38 8" xfId="24481" xr:uid="{00000000-0005-0000-0000-00007D5F0000}"/>
    <cellStyle name="Entrada 38 9" xfId="24482" xr:uid="{00000000-0005-0000-0000-00007E5F0000}"/>
    <cellStyle name="Entrada 39" xfId="24483" xr:uid="{00000000-0005-0000-0000-00007F5F0000}"/>
    <cellStyle name="Entrada 39 10" xfId="24484" xr:uid="{00000000-0005-0000-0000-0000805F0000}"/>
    <cellStyle name="Entrada 39 11" xfId="24485" xr:uid="{00000000-0005-0000-0000-0000815F0000}"/>
    <cellStyle name="Entrada 39 12" xfId="24486" xr:uid="{00000000-0005-0000-0000-0000825F0000}"/>
    <cellStyle name="Entrada 39 13" xfId="24487" xr:uid="{00000000-0005-0000-0000-0000835F0000}"/>
    <cellStyle name="Entrada 39 14" xfId="24488" xr:uid="{00000000-0005-0000-0000-0000845F0000}"/>
    <cellStyle name="Entrada 39 15" xfId="24489" xr:uid="{00000000-0005-0000-0000-0000855F0000}"/>
    <cellStyle name="Entrada 39 16" xfId="24490" xr:uid="{00000000-0005-0000-0000-0000865F0000}"/>
    <cellStyle name="Entrada 39 2" xfId="24491" xr:uid="{00000000-0005-0000-0000-0000875F0000}"/>
    <cellStyle name="Entrada 39 3" xfId="24492" xr:uid="{00000000-0005-0000-0000-0000885F0000}"/>
    <cellStyle name="Entrada 39 4" xfId="24493" xr:uid="{00000000-0005-0000-0000-0000895F0000}"/>
    <cellStyle name="Entrada 39 5" xfId="24494" xr:uid="{00000000-0005-0000-0000-00008A5F0000}"/>
    <cellStyle name="Entrada 39 6" xfId="24495" xr:uid="{00000000-0005-0000-0000-00008B5F0000}"/>
    <cellStyle name="Entrada 39 7" xfId="24496" xr:uid="{00000000-0005-0000-0000-00008C5F0000}"/>
    <cellStyle name="Entrada 39 8" xfId="24497" xr:uid="{00000000-0005-0000-0000-00008D5F0000}"/>
    <cellStyle name="Entrada 39 9" xfId="24498" xr:uid="{00000000-0005-0000-0000-00008E5F0000}"/>
    <cellStyle name="Entrada 4 10" xfId="24499" xr:uid="{00000000-0005-0000-0000-00008F5F0000}"/>
    <cellStyle name="Entrada 4 11" xfId="24500" xr:uid="{00000000-0005-0000-0000-0000905F0000}"/>
    <cellStyle name="Entrada 4 12" xfId="24501" xr:uid="{00000000-0005-0000-0000-0000915F0000}"/>
    <cellStyle name="Entrada 4 13" xfId="24502" xr:uid="{00000000-0005-0000-0000-0000925F0000}"/>
    <cellStyle name="Entrada 4 14" xfId="24503" xr:uid="{00000000-0005-0000-0000-0000935F0000}"/>
    <cellStyle name="Entrada 4 15" xfId="24504" xr:uid="{00000000-0005-0000-0000-0000945F0000}"/>
    <cellStyle name="Entrada 4 16" xfId="24505" xr:uid="{00000000-0005-0000-0000-0000955F0000}"/>
    <cellStyle name="Entrada 4 17" xfId="24506" xr:uid="{00000000-0005-0000-0000-0000965F0000}"/>
    <cellStyle name="Entrada 4 18" xfId="24507" xr:uid="{00000000-0005-0000-0000-0000975F0000}"/>
    <cellStyle name="Entrada 4 19" xfId="24508" xr:uid="{00000000-0005-0000-0000-0000985F0000}"/>
    <cellStyle name="Entrada 4 2" xfId="24509" xr:uid="{00000000-0005-0000-0000-0000995F0000}"/>
    <cellStyle name="Entrada 4 2 2" xfId="24510" xr:uid="{00000000-0005-0000-0000-00009A5F0000}"/>
    <cellStyle name="Entrada 4 3" xfId="24511" xr:uid="{00000000-0005-0000-0000-00009B5F0000}"/>
    <cellStyle name="Entrada 4 3 2" xfId="24512" xr:uid="{00000000-0005-0000-0000-00009C5F0000}"/>
    <cellStyle name="Entrada 4 4" xfId="24513" xr:uid="{00000000-0005-0000-0000-00009D5F0000}"/>
    <cellStyle name="Entrada 4 4 2" xfId="24514" xr:uid="{00000000-0005-0000-0000-00009E5F0000}"/>
    <cellStyle name="Entrada 4 5" xfId="24515" xr:uid="{00000000-0005-0000-0000-00009F5F0000}"/>
    <cellStyle name="Entrada 4 6" xfId="24516" xr:uid="{00000000-0005-0000-0000-0000A05F0000}"/>
    <cellStyle name="Entrada 4 7" xfId="24517" xr:uid="{00000000-0005-0000-0000-0000A15F0000}"/>
    <cellStyle name="Entrada 4 8" xfId="24518" xr:uid="{00000000-0005-0000-0000-0000A25F0000}"/>
    <cellStyle name="Entrada 4 9" xfId="24519" xr:uid="{00000000-0005-0000-0000-0000A35F0000}"/>
    <cellStyle name="Entrada 40" xfId="24520" xr:uid="{00000000-0005-0000-0000-0000A45F0000}"/>
    <cellStyle name="Entrada 40 10" xfId="24521" xr:uid="{00000000-0005-0000-0000-0000A55F0000}"/>
    <cellStyle name="Entrada 40 11" xfId="24522" xr:uid="{00000000-0005-0000-0000-0000A65F0000}"/>
    <cellStyle name="Entrada 40 12" xfId="24523" xr:uid="{00000000-0005-0000-0000-0000A75F0000}"/>
    <cellStyle name="Entrada 40 13" xfId="24524" xr:uid="{00000000-0005-0000-0000-0000A85F0000}"/>
    <cellStyle name="Entrada 40 14" xfId="24525" xr:uid="{00000000-0005-0000-0000-0000A95F0000}"/>
    <cellStyle name="Entrada 40 15" xfId="24526" xr:uid="{00000000-0005-0000-0000-0000AA5F0000}"/>
    <cellStyle name="Entrada 40 16" xfId="24527" xr:uid="{00000000-0005-0000-0000-0000AB5F0000}"/>
    <cellStyle name="Entrada 40 2" xfId="24528" xr:uid="{00000000-0005-0000-0000-0000AC5F0000}"/>
    <cellStyle name="Entrada 40 3" xfId="24529" xr:uid="{00000000-0005-0000-0000-0000AD5F0000}"/>
    <cellStyle name="Entrada 40 4" xfId="24530" xr:uid="{00000000-0005-0000-0000-0000AE5F0000}"/>
    <cellStyle name="Entrada 40 5" xfId="24531" xr:uid="{00000000-0005-0000-0000-0000AF5F0000}"/>
    <cellStyle name="Entrada 40 6" xfId="24532" xr:uid="{00000000-0005-0000-0000-0000B05F0000}"/>
    <cellStyle name="Entrada 40 7" xfId="24533" xr:uid="{00000000-0005-0000-0000-0000B15F0000}"/>
    <cellStyle name="Entrada 40 8" xfId="24534" xr:uid="{00000000-0005-0000-0000-0000B25F0000}"/>
    <cellStyle name="Entrada 40 9" xfId="24535" xr:uid="{00000000-0005-0000-0000-0000B35F0000}"/>
    <cellStyle name="Entrada 41" xfId="24536" xr:uid="{00000000-0005-0000-0000-0000B45F0000}"/>
    <cellStyle name="Entrada 41 10" xfId="24537" xr:uid="{00000000-0005-0000-0000-0000B55F0000}"/>
    <cellStyle name="Entrada 41 11" xfId="24538" xr:uid="{00000000-0005-0000-0000-0000B65F0000}"/>
    <cellStyle name="Entrada 41 12" xfId="24539" xr:uid="{00000000-0005-0000-0000-0000B75F0000}"/>
    <cellStyle name="Entrada 41 13" xfId="24540" xr:uid="{00000000-0005-0000-0000-0000B85F0000}"/>
    <cellStyle name="Entrada 41 14" xfId="24541" xr:uid="{00000000-0005-0000-0000-0000B95F0000}"/>
    <cellStyle name="Entrada 41 15" xfId="24542" xr:uid="{00000000-0005-0000-0000-0000BA5F0000}"/>
    <cellStyle name="Entrada 41 16" xfId="24543" xr:uid="{00000000-0005-0000-0000-0000BB5F0000}"/>
    <cellStyle name="Entrada 41 2" xfId="24544" xr:uid="{00000000-0005-0000-0000-0000BC5F0000}"/>
    <cellStyle name="Entrada 41 3" xfId="24545" xr:uid="{00000000-0005-0000-0000-0000BD5F0000}"/>
    <cellStyle name="Entrada 41 4" xfId="24546" xr:uid="{00000000-0005-0000-0000-0000BE5F0000}"/>
    <cellStyle name="Entrada 41 5" xfId="24547" xr:uid="{00000000-0005-0000-0000-0000BF5F0000}"/>
    <cellStyle name="Entrada 41 6" xfId="24548" xr:uid="{00000000-0005-0000-0000-0000C05F0000}"/>
    <cellStyle name="Entrada 41 7" xfId="24549" xr:uid="{00000000-0005-0000-0000-0000C15F0000}"/>
    <cellStyle name="Entrada 41 8" xfId="24550" xr:uid="{00000000-0005-0000-0000-0000C25F0000}"/>
    <cellStyle name="Entrada 41 9" xfId="24551" xr:uid="{00000000-0005-0000-0000-0000C35F0000}"/>
    <cellStyle name="Entrada 42" xfId="24552" xr:uid="{00000000-0005-0000-0000-0000C45F0000}"/>
    <cellStyle name="Entrada 43" xfId="24553" xr:uid="{00000000-0005-0000-0000-0000C55F0000}"/>
    <cellStyle name="Entrada 44" xfId="24554" xr:uid="{00000000-0005-0000-0000-0000C65F0000}"/>
    <cellStyle name="Entrada 45" xfId="24555" xr:uid="{00000000-0005-0000-0000-0000C75F0000}"/>
    <cellStyle name="Entrada 46" xfId="24556" xr:uid="{00000000-0005-0000-0000-0000C85F0000}"/>
    <cellStyle name="Entrada 47" xfId="24557" xr:uid="{00000000-0005-0000-0000-0000C95F0000}"/>
    <cellStyle name="Entrada 48" xfId="24558" xr:uid="{00000000-0005-0000-0000-0000CA5F0000}"/>
    <cellStyle name="Entrada 49" xfId="24559" xr:uid="{00000000-0005-0000-0000-0000CB5F0000}"/>
    <cellStyle name="Entrada 5 10" xfId="24560" xr:uid="{00000000-0005-0000-0000-0000CC5F0000}"/>
    <cellStyle name="Entrada 5 11" xfId="24561" xr:uid="{00000000-0005-0000-0000-0000CD5F0000}"/>
    <cellStyle name="Entrada 5 12" xfId="24562" xr:uid="{00000000-0005-0000-0000-0000CE5F0000}"/>
    <cellStyle name="Entrada 5 13" xfId="24563" xr:uid="{00000000-0005-0000-0000-0000CF5F0000}"/>
    <cellStyle name="Entrada 5 14" xfId="24564" xr:uid="{00000000-0005-0000-0000-0000D05F0000}"/>
    <cellStyle name="Entrada 5 15" xfId="24565" xr:uid="{00000000-0005-0000-0000-0000D15F0000}"/>
    <cellStyle name="Entrada 5 16" xfId="24566" xr:uid="{00000000-0005-0000-0000-0000D25F0000}"/>
    <cellStyle name="Entrada 5 17" xfId="24567" xr:uid="{00000000-0005-0000-0000-0000D35F0000}"/>
    <cellStyle name="Entrada 5 18" xfId="24568" xr:uid="{00000000-0005-0000-0000-0000D45F0000}"/>
    <cellStyle name="Entrada 5 19" xfId="24569" xr:uid="{00000000-0005-0000-0000-0000D55F0000}"/>
    <cellStyle name="Entrada 5 2" xfId="24570" xr:uid="{00000000-0005-0000-0000-0000D65F0000}"/>
    <cellStyle name="Entrada 5 2 2" xfId="24571" xr:uid="{00000000-0005-0000-0000-0000D75F0000}"/>
    <cellStyle name="Entrada 5 3" xfId="24572" xr:uid="{00000000-0005-0000-0000-0000D85F0000}"/>
    <cellStyle name="Entrada 5 3 2" xfId="24573" xr:uid="{00000000-0005-0000-0000-0000D95F0000}"/>
    <cellStyle name="Entrada 5 4" xfId="24574" xr:uid="{00000000-0005-0000-0000-0000DA5F0000}"/>
    <cellStyle name="Entrada 5 4 2" xfId="24575" xr:uid="{00000000-0005-0000-0000-0000DB5F0000}"/>
    <cellStyle name="Entrada 5 5" xfId="24576" xr:uid="{00000000-0005-0000-0000-0000DC5F0000}"/>
    <cellStyle name="Entrada 5 6" xfId="24577" xr:uid="{00000000-0005-0000-0000-0000DD5F0000}"/>
    <cellStyle name="Entrada 5 7" xfId="24578" xr:uid="{00000000-0005-0000-0000-0000DE5F0000}"/>
    <cellStyle name="Entrada 5 8" xfId="24579" xr:uid="{00000000-0005-0000-0000-0000DF5F0000}"/>
    <cellStyle name="Entrada 5 9" xfId="24580" xr:uid="{00000000-0005-0000-0000-0000E05F0000}"/>
    <cellStyle name="Entrada 50" xfId="24581" xr:uid="{00000000-0005-0000-0000-0000E15F0000}"/>
    <cellStyle name="Entrada 51" xfId="24582" xr:uid="{00000000-0005-0000-0000-0000E25F0000}"/>
    <cellStyle name="Entrada 52" xfId="24583" xr:uid="{00000000-0005-0000-0000-0000E35F0000}"/>
    <cellStyle name="Entrada 53" xfId="24584" xr:uid="{00000000-0005-0000-0000-0000E45F0000}"/>
    <cellStyle name="Entrada 54" xfId="24585" xr:uid="{00000000-0005-0000-0000-0000E55F0000}"/>
    <cellStyle name="Entrada 55" xfId="24586" xr:uid="{00000000-0005-0000-0000-0000E65F0000}"/>
    <cellStyle name="Entrada 56" xfId="24587" xr:uid="{00000000-0005-0000-0000-0000E75F0000}"/>
    <cellStyle name="Entrada 57" xfId="24588" xr:uid="{00000000-0005-0000-0000-0000E85F0000}"/>
    <cellStyle name="Entrada 58" xfId="24589" xr:uid="{00000000-0005-0000-0000-0000E95F0000}"/>
    <cellStyle name="Entrada 59" xfId="24590" xr:uid="{00000000-0005-0000-0000-0000EA5F0000}"/>
    <cellStyle name="Entrada 6 10" xfId="24591" xr:uid="{00000000-0005-0000-0000-0000EB5F0000}"/>
    <cellStyle name="Entrada 6 11" xfId="24592" xr:uid="{00000000-0005-0000-0000-0000EC5F0000}"/>
    <cellStyle name="Entrada 6 12" xfId="24593" xr:uid="{00000000-0005-0000-0000-0000ED5F0000}"/>
    <cellStyle name="Entrada 6 13" xfId="24594" xr:uid="{00000000-0005-0000-0000-0000EE5F0000}"/>
    <cellStyle name="Entrada 6 14" xfId="24595" xr:uid="{00000000-0005-0000-0000-0000EF5F0000}"/>
    <cellStyle name="Entrada 6 15" xfId="24596" xr:uid="{00000000-0005-0000-0000-0000F05F0000}"/>
    <cellStyle name="Entrada 6 16" xfId="24597" xr:uid="{00000000-0005-0000-0000-0000F15F0000}"/>
    <cellStyle name="Entrada 6 17" xfId="24598" xr:uid="{00000000-0005-0000-0000-0000F25F0000}"/>
    <cellStyle name="Entrada 6 18" xfId="24599" xr:uid="{00000000-0005-0000-0000-0000F35F0000}"/>
    <cellStyle name="Entrada 6 19" xfId="24600" xr:uid="{00000000-0005-0000-0000-0000F45F0000}"/>
    <cellStyle name="Entrada 6 2" xfId="24601" xr:uid="{00000000-0005-0000-0000-0000F55F0000}"/>
    <cellStyle name="Entrada 6 2 2" xfId="24602" xr:uid="{00000000-0005-0000-0000-0000F65F0000}"/>
    <cellStyle name="Entrada 6 3" xfId="24603" xr:uid="{00000000-0005-0000-0000-0000F75F0000}"/>
    <cellStyle name="Entrada 6 3 2" xfId="24604" xr:uid="{00000000-0005-0000-0000-0000F85F0000}"/>
    <cellStyle name="Entrada 6 4" xfId="24605" xr:uid="{00000000-0005-0000-0000-0000F95F0000}"/>
    <cellStyle name="Entrada 6 4 2" xfId="24606" xr:uid="{00000000-0005-0000-0000-0000FA5F0000}"/>
    <cellStyle name="Entrada 6 5" xfId="24607" xr:uid="{00000000-0005-0000-0000-0000FB5F0000}"/>
    <cellStyle name="Entrada 6 6" xfId="24608" xr:uid="{00000000-0005-0000-0000-0000FC5F0000}"/>
    <cellStyle name="Entrada 6 7" xfId="24609" xr:uid="{00000000-0005-0000-0000-0000FD5F0000}"/>
    <cellStyle name="Entrada 6 8" xfId="24610" xr:uid="{00000000-0005-0000-0000-0000FE5F0000}"/>
    <cellStyle name="Entrada 6 9" xfId="24611" xr:uid="{00000000-0005-0000-0000-0000FF5F0000}"/>
    <cellStyle name="Entrada 60" xfId="24612" xr:uid="{00000000-0005-0000-0000-000000600000}"/>
    <cellStyle name="Entrada 61" xfId="24613" xr:uid="{00000000-0005-0000-0000-000001600000}"/>
    <cellStyle name="Entrada 62" xfId="24614" xr:uid="{00000000-0005-0000-0000-000002600000}"/>
    <cellStyle name="Entrada 63" xfId="24615" xr:uid="{00000000-0005-0000-0000-000003600000}"/>
    <cellStyle name="Entrada 64" xfId="24616" xr:uid="{00000000-0005-0000-0000-000004600000}"/>
    <cellStyle name="Entrada 7 10" xfId="24617" xr:uid="{00000000-0005-0000-0000-000005600000}"/>
    <cellStyle name="Entrada 7 11" xfId="24618" xr:uid="{00000000-0005-0000-0000-000006600000}"/>
    <cellStyle name="Entrada 7 12" xfId="24619" xr:uid="{00000000-0005-0000-0000-000007600000}"/>
    <cellStyle name="Entrada 7 13" xfId="24620" xr:uid="{00000000-0005-0000-0000-000008600000}"/>
    <cellStyle name="Entrada 7 14" xfId="24621" xr:uid="{00000000-0005-0000-0000-000009600000}"/>
    <cellStyle name="Entrada 7 15" xfId="24622" xr:uid="{00000000-0005-0000-0000-00000A600000}"/>
    <cellStyle name="Entrada 7 16" xfId="24623" xr:uid="{00000000-0005-0000-0000-00000B600000}"/>
    <cellStyle name="Entrada 7 17" xfId="24624" xr:uid="{00000000-0005-0000-0000-00000C600000}"/>
    <cellStyle name="Entrada 7 18" xfId="24625" xr:uid="{00000000-0005-0000-0000-00000D600000}"/>
    <cellStyle name="Entrada 7 19" xfId="24626" xr:uid="{00000000-0005-0000-0000-00000E600000}"/>
    <cellStyle name="Entrada 7 2" xfId="24627" xr:uid="{00000000-0005-0000-0000-00000F600000}"/>
    <cellStyle name="Entrada 7 2 2" xfId="24628" xr:uid="{00000000-0005-0000-0000-000010600000}"/>
    <cellStyle name="Entrada 7 3" xfId="24629" xr:uid="{00000000-0005-0000-0000-000011600000}"/>
    <cellStyle name="Entrada 7 3 2" xfId="24630" xr:uid="{00000000-0005-0000-0000-000012600000}"/>
    <cellStyle name="Entrada 7 4" xfId="24631" xr:uid="{00000000-0005-0000-0000-000013600000}"/>
    <cellStyle name="Entrada 7 4 2" xfId="24632" xr:uid="{00000000-0005-0000-0000-000014600000}"/>
    <cellStyle name="Entrada 7 5" xfId="24633" xr:uid="{00000000-0005-0000-0000-000015600000}"/>
    <cellStyle name="Entrada 7 6" xfId="24634" xr:uid="{00000000-0005-0000-0000-000016600000}"/>
    <cellStyle name="Entrada 7 7" xfId="24635" xr:uid="{00000000-0005-0000-0000-000017600000}"/>
    <cellStyle name="Entrada 7 8" xfId="24636" xr:uid="{00000000-0005-0000-0000-000018600000}"/>
    <cellStyle name="Entrada 7 9" xfId="24637" xr:uid="{00000000-0005-0000-0000-000019600000}"/>
    <cellStyle name="Entrada 8 10" xfId="24638" xr:uid="{00000000-0005-0000-0000-00001A600000}"/>
    <cellStyle name="Entrada 8 11" xfId="24639" xr:uid="{00000000-0005-0000-0000-00001B600000}"/>
    <cellStyle name="Entrada 8 12" xfId="24640" xr:uid="{00000000-0005-0000-0000-00001C600000}"/>
    <cellStyle name="Entrada 8 13" xfId="24641" xr:uid="{00000000-0005-0000-0000-00001D600000}"/>
    <cellStyle name="Entrada 8 14" xfId="24642" xr:uid="{00000000-0005-0000-0000-00001E600000}"/>
    <cellStyle name="Entrada 8 15" xfId="24643" xr:uid="{00000000-0005-0000-0000-00001F600000}"/>
    <cellStyle name="Entrada 8 16" xfId="24644" xr:uid="{00000000-0005-0000-0000-000020600000}"/>
    <cellStyle name="Entrada 8 17" xfId="24645" xr:uid="{00000000-0005-0000-0000-000021600000}"/>
    <cellStyle name="Entrada 8 18" xfId="24646" xr:uid="{00000000-0005-0000-0000-000022600000}"/>
    <cellStyle name="Entrada 8 19" xfId="24647" xr:uid="{00000000-0005-0000-0000-000023600000}"/>
    <cellStyle name="Entrada 8 2" xfId="24648" xr:uid="{00000000-0005-0000-0000-000024600000}"/>
    <cellStyle name="Entrada 8 2 2" xfId="24649" xr:uid="{00000000-0005-0000-0000-000025600000}"/>
    <cellStyle name="Entrada 8 3" xfId="24650" xr:uid="{00000000-0005-0000-0000-000026600000}"/>
    <cellStyle name="Entrada 8 3 2" xfId="24651" xr:uid="{00000000-0005-0000-0000-000027600000}"/>
    <cellStyle name="Entrada 8 4" xfId="24652" xr:uid="{00000000-0005-0000-0000-000028600000}"/>
    <cellStyle name="Entrada 8 4 2" xfId="24653" xr:uid="{00000000-0005-0000-0000-000029600000}"/>
    <cellStyle name="Entrada 8 5" xfId="24654" xr:uid="{00000000-0005-0000-0000-00002A600000}"/>
    <cellStyle name="Entrada 8 6" xfId="24655" xr:uid="{00000000-0005-0000-0000-00002B600000}"/>
    <cellStyle name="Entrada 8 7" xfId="24656" xr:uid="{00000000-0005-0000-0000-00002C600000}"/>
    <cellStyle name="Entrada 8 8" xfId="24657" xr:uid="{00000000-0005-0000-0000-00002D600000}"/>
    <cellStyle name="Entrada 8 9" xfId="24658" xr:uid="{00000000-0005-0000-0000-00002E600000}"/>
    <cellStyle name="Entrada 9 10" xfId="24659" xr:uid="{00000000-0005-0000-0000-00002F600000}"/>
    <cellStyle name="Entrada 9 11" xfId="24660" xr:uid="{00000000-0005-0000-0000-000030600000}"/>
    <cellStyle name="Entrada 9 12" xfId="24661" xr:uid="{00000000-0005-0000-0000-000031600000}"/>
    <cellStyle name="Entrada 9 13" xfId="24662" xr:uid="{00000000-0005-0000-0000-000032600000}"/>
    <cellStyle name="Entrada 9 14" xfId="24663" xr:uid="{00000000-0005-0000-0000-000033600000}"/>
    <cellStyle name="Entrada 9 15" xfId="24664" xr:uid="{00000000-0005-0000-0000-000034600000}"/>
    <cellStyle name="Entrada 9 16" xfId="24665" xr:uid="{00000000-0005-0000-0000-000035600000}"/>
    <cellStyle name="Entrada 9 17" xfId="24666" xr:uid="{00000000-0005-0000-0000-000036600000}"/>
    <cellStyle name="Entrada 9 18" xfId="24667" xr:uid="{00000000-0005-0000-0000-000037600000}"/>
    <cellStyle name="Entrada 9 19" xfId="24668" xr:uid="{00000000-0005-0000-0000-000038600000}"/>
    <cellStyle name="Entrada 9 2" xfId="24669" xr:uid="{00000000-0005-0000-0000-000039600000}"/>
    <cellStyle name="Entrada 9 2 2" xfId="24670" xr:uid="{00000000-0005-0000-0000-00003A600000}"/>
    <cellStyle name="Entrada 9 3" xfId="24671" xr:uid="{00000000-0005-0000-0000-00003B600000}"/>
    <cellStyle name="Entrada 9 3 2" xfId="24672" xr:uid="{00000000-0005-0000-0000-00003C600000}"/>
    <cellStyle name="Entrada 9 4" xfId="24673" xr:uid="{00000000-0005-0000-0000-00003D600000}"/>
    <cellStyle name="Entrada 9 4 2" xfId="24674" xr:uid="{00000000-0005-0000-0000-00003E600000}"/>
    <cellStyle name="Entrada 9 5" xfId="24675" xr:uid="{00000000-0005-0000-0000-00003F600000}"/>
    <cellStyle name="Entrada 9 6" xfId="24676" xr:uid="{00000000-0005-0000-0000-000040600000}"/>
    <cellStyle name="Entrada 9 7" xfId="24677" xr:uid="{00000000-0005-0000-0000-000041600000}"/>
    <cellStyle name="Entrada 9 8" xfId="24678" xr:uid="{00000000-0005-0000-0000-000042600000}"/>
    <cellStyle name="Entrada 9 9" xfId="24679" xr:uid="{00000000-0005-0000-0000-000043600000}"/>
    <cellStyle name="Euro" xfId="10" xr:uid="{00000000-0005-0000-0000-000044600000}"/>
    <cellStyle name="Hipervínculo 2" xfId="11" xr:uid="{00000000-0005-0000-0000-000045600000}"/>
    <cellStyle name="Hipervínculo 2 2" xfId="24680" xr:uid="{00000000-0005-0000-0000-000046600000}"/>
    <cellStyle name="Hipervínculo 3 2" xfId="24681" xr:uid="{00000000-0005-0000-0000-000047600000}"/>
    <cellStyle name="Hipervínculo visitado 2 2" xfId="24682" xr:uid="{00000000-0005-0000-0000-000048600000}"/>
    <cellStyle name="Hipervínculo visitado 3 2" xfId="24683" xr:uid="{00000000-0005-0000-0000-000049600000}"/>
    <cellStyle name="Incorrecto" xfId="32518" builtinId="27" customBuiltin="1"/>
    <cellStyle name="Incorrecto 10 10" xfId="24684" xr:uid="{00000000-0005-0000-0000-00004B600000}"/>
    <cellStyle name="Incorrecto 10 11" xfId="24685" xr:uid="{00000000-0005-0000-0000-00004C600000}"/>
    <cellStyle name="Incorrecto 10 12" xfId="24686" xr:uid="{00000000-0005-0000-0000-00004D600000}"/>
    <cellStyle name="Incorrecto 10 13" xfId="24687" xr:uid="{00000000-0005-0000-0000-00004E600000}"/>
    <cellStyle name="Incorrecto 10 14" xfId="24688" xr:uid="{00000000-0005-0000-0000-00004F600000}"/>
    <cellStyle name="Incorrecto 10 15" xfId="24689" xr:uid="{00000000-0005-0000-0000-000050600000}"/>
    <cellStyle name="Incorrecto 10 16" xfId="24690" xr:uid="{00000000-0005-0000-0000-000051600000}"/>
    <cellStyle name="Incorrecto 10 17" xfId="24691" xr:uid="{00000000-0005-0000-0000-000052600000}"/>
    <cellStyle name="Incorrecto 10 18" xfId="24692" xr:uid="{00000000-0005-0000-0000-000053600000}"/>
    <cellStyle name="Incorrecto 10 19" xfId="24693" xr:uid="{00000000-0005-0000-0000-000054600000}"/>
    <cellStyle name="Incorrecto 10 2" xfId="24694" xr:uid="{00000000-0005-0000-0000-000055600000}"/>
    <cellStyle name="Incorrecto 10 2 2" xfId="24695" xr:uid="{00000000-0005-0000-0000-000056600000}"/>
    <cellStyle name="Incorrecto 10 3" xfId="24696" xr:uid="{00000000-0005-0000-0000-000057600000}"/>
    <cellStyle name="Incorrecto 10 3 2" xfId="24697" xr:uid="{00000000-0005-0000-0000-000058600000}"/>
    <cellStyle name="Incorrecto 10 4" xfId="24698" xr:uid="{00000000-0005-0000-0000-000059600000}"/>
    <cellStyle name="Incorrecto 10 4 2" xfId="24699" xr:uid="{00000000-0005-0000-0000-00005A600000}"/>
    <cellStyle name="Incorrecto 10 5" xfId="24700" xr:uid="{00000000-0005-0000-0000-00005B600000}"/>
    <cellStyle name="Incorrecto 10 6" xfId="24701" xr:uid="{00000000-0005-0000-0000-00005C600000}"/>
    <cellStyle name="Incorrecto 10 7" xfId="24702" xr:uid="{00000000-0005-0000-0000-00005D600000}"/>
    <cellStyle name="Incorrecto 10 8" xfId="24703" xr:uid="{00000000-0005-0000-0000-00005E600000}"/>
    <cellStyle name="Incorrecto 10 9" xfId="24704" xr:uid="{00000000-0005-0000-0000-00005F600000}"/>
    <cellStyle name="Incorrecto 11 10" xfId="24705" xr:uid="{00000000-0005-0000-0000-000060600000}"/>
    <cellStyle name="Incorrecto 11 11" xfId="24706" xr:uid="{00000000-0005-0000-0000-000061600000}"/>
    <cellStyle name="Incorrecto 11 12" xfId="24707" xr:uid="{00000000-0005-0000-0000-000062600000}"/>
    <cellStyle name="Incorrecto 11 13" xfId="24708" xr:uid="{00000000-0005-0000-0000-000063600000}"/>
    <cellStyle name="Incorrecto 11 14" xfId="24709" xr:uid="{00000000-0005-0000-0000-000064600000}"/>
    <cellStyle name="Incorrecto 11 15" xfId="24710" xr:uid="{00000000-0005-0000-0000-000065600000}"/>
    <cellStyle name="Incorrecto 11 16" xfId="24711" xr:uid="{00000000-0005-0000-0000-000066600000}"/>
    <cellStyle name="Incorrecto 11 17" xfId="24712" xr:uid="{00000000-0005-0000-0000-000067600000}"/>
    <cellStyle name="Incorrecto 11 18" xfId="24713" xr:uid="{00000000-0005-0000-0000-000068600000}"/>
    <cellStyle name="Incorrecto 11 19" xfId="24714" xr:uid="{00000000-0005-0000-0000-000069600000}"/>
    <cellStyle name="Incorrecto 11 2" xfId="24715" xr:uid="{00000000-0005-0000-0000-00006A600000}"/>
    <cellStyle name="Incorrecto 11 2 2" xfId="24716" xr:uid="{00000000-0005-0000-0000-00006B600000}"/>
    <cellStyle name="Incorrecto 11 3" xfId="24717" xr:uid="{00000000-0005-0000-0000-00006C600000}"/>
    <cellStyle name="Incorrecto 11 3 2" xfId="24718" xr:uid="{00000000-0005-0000-0000-00006D600000}"/>
    <cellStyle name="Incorrecto 11 4" xfId="24719" xr:uid="{00000000-0005-0000-0000-00006E600000}"/>
    <cellStyle name="Incorrecto 11 4 2" xfId="24720" xr:uid="{00000000-0005-0000-0000-00006F600000}"/>
    <cellStyle name="Incorrecto 11 5" xfId="24721" xr:uid="{00000000-0005-0000-0000-000070600000}"/>
    <cellStyle name="Incorrecto 11 6" xfId="24722" xr:uid="{00000000-0005-0000-0000-000071600000}"/>
    <cellStyle name="Incorrecto 11 7" xfId="24723" xr:uid="{00000000-0005-0000-0000-000072600000}"/>
    <cellStyle name="Incorrecto 11 8" xfId="24724" xr:uid="{00000000-0005-0000-0000-000073600000}"/>
    <cellStyle name="Incorrecto 11 9" xfId="24725" xr:uid="{00000000-0005-0000-0000-000074600000}"/>
    <cellStyle name="Incorrecto 12 10" xfId="24726" xr:uid="{00000000-0005-0000-0000-000075600000}"/>
    <cellStyle name="Incorrecto 12 11" xfId="24727" xr:uid="{00000000-0005-0000-0000-000076600000}"/>
    <cellStyle name="Incorrecto 12 12" xfId="24728" xr:uid="{00000000-0005-0000-0000-000077600000}"/>
    <cellStyle name="Incorrecto 12 13" xfId="24729" xr:uid="{00000000-0005-0000-0000-000078600000}"/>
    <cellStyle name="Incorrecto 12 14" xfId="24730" xr:uid="{00000000-0005-0000-0000-000079600000}"/>
    <cellStyle name="Incorrecto 12 15" xfId="24731" xr:uid="{00000000-0005-0000-0000-00007A600000}"/>
    <cellStyle name="Incorrecto 12 16" xfId="24732" xr:uid="{00000000-0005-0000-0000-00007B600000}"/>
    <cellStyle name="Incorrecto 12 17" xfId="24733" xr:uid="{00000000-0005-0000-0000-00007C600000}"/>
    <cellStyle name="Incorrecto 12 18" xfId="24734" xr:uid="{00000000-0005-0000-0000-00007D600000}"/>
    <cellStyle name="Incorrecto 12 19" xfId="24735" xr:uid="{00000000-0005-0000-0000-00007E600000}"/>
    <cellStyle name="Incorrecto 12 2" xfId="24736" xr:uid="{00000000-0005-0000-0000-00007F600000}"/>
    <cellStyle name="Incorrecto 12 2 2" xfId="24737" xr:uid="{00000000-0005-0000-0000-000080600000}"/>
    <cellStyle name="Incorrecto 12 3" xfId="24738" xr:uid="{00000000-0005-0000-0000-000081600000}"/>
    <cellStyle name="Incorrecto 12 3 2" xfId="24739" xr:uid="{00000000-0005-0000-0000-000082600000}"/>
    <cellStyle name="Incorrecto 12 4" xfId="24740" xr:uid="{00000000-0005-0000-0000-000083600000}"/>
    <cellStyle name="Incorrecto 12 4 2" xfId="24741" xr:uid="{00000000-0005-0000-0000-000084600000}"/>
    <cellStyle name="Incorrecto 12 5" xfId="24742" xr:uid="{00000000-0005-0000-0000-000085600000}"/>
    <cellStyle name="Incorrecto 12 6" xfId="24743" xr:uid="{00000000-0005-0000-0000-000086600000}"/>
    <cellStyle name="Incorrecto 12 7" xfId="24744" xr:uid="{00000000-0005-0000-0000-000087600000}"/>
    <cellStyle name="Incorrecto 12 8" xfId="24745" xr:uid="{00000000-0005-0000-0000-000088600000}"/>
    <cellStyle name="Incorrecto 12 9" xfId="24746" xr:uid="{00000000-0005-0000-0000-000089600000}"/>
    <cellStyle name="Incorrecto 13 10" xfId="24747" xr:uid="{00000000-0005-0000-0000-00008A600000}"/>
    <cellStyle name="Incorrecto 13 11" xfId="24748" xr:uid="{00000000-0005-0000-0000-00008B600000}"/>
    <cellStyle name="Incorrecto 13 12" xfId="24749" xr:uid="{00000000-0005-0000-0000-00008C600000}"/>
    <cellStyle name="Incorrecto 13 13" xfId="24750" xr:uid="{00000000-0005-0000-0000-00008D600000}"/>
    <cellStyle name="Incorrecto 13 14" xfId="24751" xr:uid="{00000000-0005-0000-0000-00008E600000}"/>
    <cellStyle name="Incorrecto 13 15" xfId="24752" xr:uid="{00000000-0005-0000-0000-00008F600000}"/>
    <cellStyle name="Incorrecto 13 16" xfId="24753" xr:uid="{00000000-0005-0000-0000-000090600000}"/>
    <cellStyle name="Incorrecto 13 17" xfId="24754" xr:uid="{00000000-0005-0000-0000-000091600000}"/>
    <cellStyle name="Incorrecto 13 18" xfId="24755" xr:uid="{00000000-0005-0000-0000-000092600000}"/>
    <cellStyle name="Incorrecto 13 19" xfId="24756" xr:uid="{00000000-0005-0000-0000-000093600000}"/>
    <cellStyle name="Incorrecto 13 2" xfId="24757" xr:uid="{00000000-0005-0000-0000-000094600000}"/>
    <cellStyle name="Incorrecto 13 2 2" xfId="24758" xr:uid="{00000000-0005-0000-0000-000095600000}"/>
    <cellStyle name="Incorrecto 13 3" xfId="24759" xr:uid="{00000000-0005-0000-0000-000096600000}"/>
    <cellStyle name="Incorrecto 13 3 2" xfId="24760" xr:uid="{00000000-0005-0000-0000-000097600000}"/>
    <cellStyle name="Incorrecto 13 4" xfId="24761" xr:uid="{00000000-0005-0000-0000-000098600000}"/>
    <cellStyle name="Incorrecto 13 4 2" xfId="24762" xr:uid="{00000000-0005-0000-0000-000099600000}"/>
    <cellStyle name="Incorrecto 13 5" xfId="24763" xr:uid="{00000000-0005-0000-0000-00009A600000}"/>
    <cellStyle name="Incorrecto 13 6" xfId="24764" xr:uid="{00000000-0005-0000-0000-00009B600000}"/>
    <cellStyle name="Incorrecto 13 7" xfId="24765" xr:uid="{00000000-0005-0000-0000-00009C600000}"/>
    <cellStyle name="Incorrecto 13 8" xfId="24766" xr:uid="{00000000-0005-0000-0000-00009D600000}"/>
    <cellStyle name="Incorrecto 13 9" xfId="24767" xr:uid="{00000000-0005-0000-0000-00009E600000}"/>
    <cellStyle name="Incorrecto 14 10" xfId="24768" xr:uid="{00000000-0005-0000-0000-00009F600000}"/>
    <cellStyle name="Incorrecto 14 11" xfId="24769" xr:uid="{00000000-0005-0000-0000-0000A0600000}"/>
    <cellStyle name="Incorrecto 14 12" xfId="24770" xr:uid="{00000000-0005-0000-0000-0000A1600000}"/>
    <cellStyle name="Incorrecto 14 13" xfId="24771" xr:uid="{00000000-0005-0000-0000-0000A2600000}"/>
    <cellStyle name="Incorrecto 14 14" xfId="24772" xr:uid="{00000000-0005-0000-0000-0000A3600000}"/>
    <cellStyle name="Incorrecto 14 15" xfId="24773" xr:uid="{00000000-0005-0000-0000-0000A4600000}"/>
    <cellStyle name="Incorrecto 14 16" xfId="24774" xr:uid="{00000000-0005-0000-0000-0000A5600000}"/>
    <cellStyle name="Incorrecto 14 17" xfId="24775" xr:uid="{00000000-0005-0000-0000-0000A6600000}"/>
    <cellStyle name="Incorrecto 14 18" xfId="24776" xr:uid="{00000000-0005-0000-0000-0000A7600000}"/>
    <cellStyle name="Incorrecto 14 19" xfId="24777" xr:uid="{00000000-0005-0000-0000-0000A8600000}"/>
    <cellStyle name="Incorrecto 14 2" xfId="24778" xr:uid="{00000000-0005-0000-0000-0000A9600000}"/>
    <cellStyle name="Incorrecto 14 2 2" xfId="24779" xr:uid="{00000000-0005-0000-0000-0000AA600000}"/>
    <cellStyle name="Incorrecto 14 3" xfId="24780" xr:uid="{00000000-0005-0000-0000-0000AB600000}"/>
    <cellStyle name="Incorrecto 14 3 2" xfId="24781" xr:uid="{00000000-0005-0000-0000-0000AC600000}"/>
    <cellStyle name="Incorrecto 14 4" xfId="24782" xr:uid="{00000000-0005-0000-0000-0000AD600000}"/>
    <cellStyle name="Incorrecto 14 4 2" xfId="24783" xr:uid="{00000000-0005-0000-0000-0000AE600000}"/>
    <cellStyle name="Incorrecto 14 5" xfId="24784" xr:uid="{00000000-0005-0000-0000-0000AF600000}"/>
    <cellStyle name="Incorrecto 14 6" xfId="24785" xr:uid="{00000000-0005-0000-0000-0000B0600000}"/>
    <cellStyle name="Incorrecto 14 7" xfId="24786" xr:uid="{00000000-0005-0000-0000-0000B1600000}"/>
    <cellStyle name="Incorrecto 14 8" xfId="24787" xr:uid="{00000000-0005-0000-0000-0000B2600000}"/>
    <cellStyle name="Incorrecto 14 9" xfId="24788" xr:uid="{00000000-0005-0000-0000-0000B3600000}"/>
    <cellStyle name="Incorrecto 15 10" xfId="24789" xr:uid="{00000000-0005-0000-0000-0000B4600000}"/>
    <cellStyle name="Incorrecto 15 11" xfId="24790" xr:uid="{00000000-0005-0000-0000-0000B5600000}"/>
    <cellStyle name="Incorrecto 15 12" xfId="24791" xr:uid="{00000000-0005-0000-0000-0000B6600000}"/>
    <cellStyle name="Incorrecto 15 13" xfId="24792" xr:uid="{00000000-0005-0000-0000-0000B7600000}"/>
    <cellStyle name="Incorrecto 15 14" xfId="24793" xr:uid="{00000000-0005-0000-0000-0000B8600000}"/>
    <cellStyle name="Incorrecto 15 15" xfId="24794" xr:uid="{00000000-0005-0000-0000-0000B9600000}"/>
    <cellStyle name="Incorrecto 15 16" xfId="24795" xr:uid="{00000000-0005-0000-0000-0000BA600000}"/>
    <cellStyle name="Incorrecto 15 17" xfId="24796" xr:uid="{00000000-0005-0000-0000-0000BB600000}"/>
    <cellStyle name="Incorrecto 15 18" xfId="24797" xr:uid="{00000000-0005-0000-0000-0000BC600000}"/>
    <cellStyle name="Incorrecto 15 19" xfId="24798" xr:uid="{00000000-0005-0000-0000-0000BD600000}"/>
    <cellStyle name="Incorrecto 15 2" xfId="24799" xr:uid="{00000000-0005-0000-0000-0000BE600000}"/>
    <cellStyle name="Incorrecto 15 2 2" xfId="24800" xr:uid="{00000000-0005-0000-0000-0000BF600000}"/>
    <cellStyle name="Incorrecto 15 3" xfId="24801" xr:uid="{00000000-0005-0000-0000-0000C0600000}"/>
    <cellStyle name="Incorrecto 15 3 2" xfId="24802" xr:uid="{00000000-0005-0000-0000-0000C1600000}"/>
    <cellStyle name="Incorrecto 15 4" xfId="24803" xr:uid="{00000000-0005-0000-0000-0000C2600000}"/>
    <cellStyle name="Incorrecto 15 4 2" xfId="24804" xr:uid="{00000000-0005-0000-0000-0000C3600000}"/>
    <cellStyle name="Incorrecto 15 5" xfId="24805" xr:uid="{00000000-0005-0000-0000-0000C4600000}"/>
    <cellStyle name="Incorrecto 15 6" xfId="24806" xr:uid="{00000000-0005-0000-0000-0000C5600000}"/>
    <cellStyle name="Incorrecto 15 7" xfId="24807" xr:uid="{00000000-0005-0000-0000-0000C6600000}"/>
    <cellStyle name="Incorrecto 15 8" xfId="24808" xr:uid="{00000000-0005-0000-0000-0000C7600000}"/>
    <cellStyle name="Incorrecto 15 9" xfId="24809" xr:uid="{00000000-0005-0000-0000-0000C8600000}"/>
    <cellStyle name="Incorrecto 16 10" xfId="24810" xr:uid="{00000000-0005-0000-0000-0000C9600000}"/>
    <cellStyle name="Incorrecto 16 11" xfId="24811" xr:uid="{00000000-0005-0000-0000-0000CA600000}"/>
    <cellStyle name="Incorrecto 16 12" xfId="24812" xr:uid="{00000000-0005-0000-0000-0000CB600000}"/>
    <cellStyle name="Incorrecto 16 13" xfId="24813" xr:uid="{00000000-0005-0000-0000-0000CC600000}"/>
    <cellStyle name="Incorrecto 16 14" xfId="24814" xr:uid="{00000000-0005-0000-0000-0000CD600000}"/>
    <cellStyle name="Incorrecto 16 15" xfId="24815" xr:uid="{00000000-0005-0000-0000-0000CE600000}"/>
    <cellStyle name="Incorrecto 16 16" xfId="24816" xr:uid="{00000000-0005-0000-0000-0000CF600000}"/>
    <cellStyle name="Incorrecto 16 17" xfId="24817" xr:uid="{00000000-0005-0000-0000-0000D0600000}"/>
    <cellStyle name="Incorrecto 16 18" xfId="24818" xr:uid="{00000000-0005-0000-0000-0000D1600000}"/>
    <cellStyle name="Incorrecto 16 19" xfId="24819" xr:uid="{00000000-0005-0000-0000-0000D2600000}"/>
    <cellStyle name="Incorrecto 16 2" xfId="24820" xr:uid="{00000000-0005-0000-0000-0000D3600000}"/>
    <cellStyle name="Incorrecto 16 2 2" xfId="24821" xr:uid="{00000000-0005-0000-0000-0000D4600000}"/>
    <cellStyle name="Incorrecto 16 3" xfId="24822" xr:uid="{00000000-0005-0000-0000-0000D5600000}"/>
    <cellStyle name="Incorrecto 16 3 2" xfId="24823" xr:uid="{00000000-0005-0000-0000-0000D6600000}"/>
    <cellStyle name="Incorrecto 16 4" xfId="24824" xr:uid="{00000000-0005-0000-0000-0000D7600000}"/>
    <cellStyle name="Incorrecto 16 4 2" xfId="24825" xr:uid="{00000000-0005-0000-0000-0000D8600000}"/>
    <cellStyle name="Incorrecto 16 5" xfId="24826" xr:uid="{00000000-0005-0000-0000-0000D9600000}"/>
    <cellStyle name="Incorrecto 16 6" xfId="24827" xr:uid="{00000000-0005-0000-0000-0000DA600000}"/>
    <cellStyle name="Incorrecto 16 7" xfId="24828" xr:uid="{00000000-0005-0000-0000-0000DB600000}"/>
    <cellStyle name="Incorrecto 16 8" xfId="24829" xr:uid="{00000000-0005-0000-0000-0000DC600000}"/>
    <cellStyle name="Incorrecto 16 9" xfId="24830" xr:uid="{00000000-0005-0000-0000-0000DD600000}"/>
    <cellStyle name="Incorrecto 17 10" xfId="24831" xr:uid="{00000000-0005-0000-0000-0000DE600000}"/>
    <cellStyle name="Incorrecto 17 11" xfId="24832" xr:uid="{00000000-0005-0000-0000-0000DF600000}"/>
    <cellStyle name="Incorrecto 17 12" xfId="24833" xr:uid="{00000000-0005-0000-0000-0000E0600000}"/>
    <cellStyle name="Incorrecto 17 13" xfId="24834" xr:uid="{00000000-0005-0000-0000-0000E1600000}"/>
    <cellStyle name="Incorrecto 17 14" xfId="24835" xr:uid="{00000000-0005-0000-0000-0000E2600000}"/>
    <cellStyle name="Incorrecto 17 15" xfId="24836" xr:uid="{00000000-0005-0000-0000-0000E3600000}"/>
    <cellStyle name="Incorrecto 17 16" xfId="24837" xr:uid="{00000000-0005-0000-0000-0000E4600000}"/>
    <cellStyle name="Incorrecto 17 17" xfId="24838" xr:uid="{00000000-0005-0000-0000-0000E5600000}"/>
    <cellStyle name="Incorrecto 17 18" xfId="24839" xr:uid="{00000000-0005-0000-0000-0000E6600000}"/>
    <cellStyle name="Incorrecto 17 19" xfId="24840" xr:uid="{00000000-0005-0000-0000-0000E7600000}"/>
    <cellStyle name="Incorrecto 17 2" xfId="24841" xr:uid="{00000000-0005-0000-0000-0000E8600000}"/>
    <cellStyle name="Incorrecto 17 2 2" xfId="24842" xr:uid="{00000000-0005-0000-0000-0000E9600000}"/>
    <cellStyle name="Incorrecto 17 3" xfId="24843" xr:uid="{00000000-0005-0000-0000-0000EA600000}"/>
    <cellStyle name="Incorrecto 17 3 2" xfId="24844" xr:uid="{00000000-0005-0000-0000-0000EB600000}"/>
    <cellStyle name="Incorrecto 17 4" xfId="24845" xr:uid="{00000000-0005-0000-0000-0000EC600000}"/>
    <cellStyle name="Incorrecto 17 4 2" xfId="24846" xr:uid="{00000000-0005-0000-0000-0000ED600000}"/>
    <cellStyle name="Incorrecto 17 5" xfId="24847" xr:uid="{00000000-0005-0000-0000-0000EE600000}"/>
    <cellStyle name="Incorrecto 17 6" xfId="24848" xr:uid="{00000000-0005-0000-0000-0000EF600000}"/>
    <cellStyle name="Incorrecto 17 7" xfId="24849" xr:uid="{00000000-0005-0000-0000-0000F0600000}"/>
    <cellStyle name="Incorrecto 17 8" xfId="24850" xr:uid="{00000000-0005-0000-0000-0000F1600000}"/>
    <cellStyle name="Incorrecto 17 9" xfId="24851" xr:uid="{00000000-0005-0000-0000-0000F2600000}"/>
    <cellStyle name="Incorrecto 18 10" xfId="24852" xr:uid="{00000000-0005-0000-0000-0000F3600000}"/>
    <cellStyle name="Incorrecto 18 11" xfId="24853" xr:uid="{00000000-0005-0000-0000-0000F4600000}"/>
    <cellStyle name="Incorrecto 18 12" xfId="24854" xr:uid="{00000000-0005-0000-0000-0000F5600000}"/>
    <cellStyle name="Incorrecto 18 13" xfId="24855" xr:uid="{00000000-0005-0000-0000-0000F6600000}"/>
    <cellStyle name="Incorrecto 18 14" xfId="24856" xr:uid="{00000000-0005-0000-0000-0000F7600000}"/>
    <cellStyle name="Incorrecto 18 15" xfId="24857" xr:uid="{00000000-0005-0000-0000-0000F8600000}"/>
    <cellStyle name="Incorrecto 18 16" xfId="24858" xr:uid="{00000000-0005-0000-0000-0000F9600000}"/>
    <cellStyle name="Incorrecto 18 17" xfId="24859" xr:uid="{00000000-0005-0000-0000-0000FA600000}"/>
    <cellStyle name="Incorrecto 18 18" xfId="24860" xr:uid="{00000000-0005-0000-0000-0000FB600000}"/>
    <cellStyle name="Incorrecto 18 19" xfId="24861" xr:uid="{00000000-0005-0000-0000-0000FC600000}"/>
    <cellStyle name="Incorrecto 18 2" xfId="24862" xr:uid="{00000000-0005-0000-0000-0000FD600000}"/>
    <cellStyle name="Incorrecto 18 2 2" xfId="24863" xr:uid="{00000000-0005-0000-0000-0000FE600000}"/>
    <cellStyle name="Incorrecto 18 3" xfId="24864" xr:uid="{00000000-0005-0000-0000-0000FF600000}"/>
    <cellStyle name="Incorrecto 18 3 2" xfId="24865" xr:uid="{00000000-0005-0000-0000-000000610000}"/>
    <cellStyle name="Incorrecto 18 4" xfId="24866" xr:uid="{00000000-0005-0000-0000-000001610000}"/>
    <cellStyle name="Incorrecto 18 4 2" xfId="24867" xr:uid="{00000000-0005-0000-0000-000002610000}"/>
    <cellStyle name="Incorrecto 18 5" xfId="24868" xr:uid="{00000000-0005-0000-0000-000003610000}"/>
    <cellStyle name="Incorrecto 18 6" xfId="24869" xr:uid="{00000000-0005-0000-0000-000004610000}"/>
    <cellStyle name="Incorrecto 18 7" xfId="24870" xr:uid="{00000000-0005-0000-0000-000005610000}"/>
    <cellStyle name="Incorrecto 18 8" xfId="24871" xr:uid="{00000000-0005-0000-0000-000006610000}"/>
    <cellStyle name="Incorrecto 18 9" xfId="24872" xr:uid="{00000000-0005-0000-0000-000007610000}"/>
    <cellStyle name="Incorrecto 19 10" xfId="24873" xr:uid="{00000000-0005-0000-0000-000008610000}"/>
    <cellStyle name="Incorrecto 19 11" xfId="24874" xr:uid="{00000000-0005-0000-0000-000009610000}"/>
    <cellStyle name="Incorrecto 19 12" xfId="24875" xr:uid="{00000000-0005-0000-0000-00000A610000}"/>
    <cellStyle name="Incorrecto 19 13" xfId="24876" xr:uid="{00000000-0005-0000-0000-00000B610000}"/>
    <cellStyle name="Incorrecto 19 14" xfId="24877" xr:uid="{00000000-0005-0000-0000-00000C610000}"/>
    <cellStyle name="Incorrecto 19 15" xfId="24878" xr:uid="{00000000-0005-0000-0000-00000D610000}"/>
    <cellStyle name="Incorrecto 19 16" xfId="24879" xr:uid="{00000000-0005-0000-0000-00000E610000}"/>
    <cellStyle name="Incorrecto 19 17" xfId="24880" xr:uid="{00000000-0005-0000-0000-00000F610000}"/>
    <cellStyle name="Incorrecto 19 18" xfId="24881" xr:uid="{00000000-0005-0000-0000-000010610000}"/>
    <cellStyle name="Incorrecto 19 19" xfId="24882" xr:uid="{00000000-0005-0000-0000-000011610000}"/>
    <cellStyle name="Incorrecto 19 2" xfId="24883" xr:uid="{00000000-0005-0000-0000-000012610000}"/>
    <cellStyle name="Incorrecto 19 2 2" xfId="24884" xr:uid="{00000000-0005-0000-0000-000013610000}"/>
    <cellStyle name="Incorrecto 19 3" xfId="24885" xr:uid="{00000000-0005-0000-0000-000014610000}"/>
    <cellStyle name="Incorrecto 19 3 2" xfId="24886" xr:uid="{00000000-0005-0000-0000-000015610000}"/>
    <cellStyle name="Incorrecto 19 4" xfId="24887" xr:uid="{00000000-0005-0000-0000-000016610000}"/>
    <cellStyle name="Incorrecto 19 4 2" xfId="24888" xr:uid="{00000000-0005-0000-0000-000017610000}"/>
    <cellStyle name="Incorrecto 19 5" xfId="24889" xr:uid="{00000000-0005-0000-0000-000018610000}"/>
    <cellStyle name="Incorrecto 19 6" xfId="24890" xr:uid="{00000000-0005-0000-0000-000019610000}"/>
    <cellStyle name="Incorrecto 19 7" xfId="24891" xr:uid="{00000000-0005-0000-0000-00001A610000}"/>
    <cellStyle name="Incorrecto 19 8" xfId="24892" xr:uid="{00000000-0005-0000-0000-00001B610000}"/>
    <cellStyle name="Incorrecto 19 9" xfId="24893" xr:uid="{00000000-0005-0000-0000-00001C610000}"/>
    <cellStyle name="Incorrecto 2 10" xfId="24894" xr:uid="{00000000-0005-0000-0000-00001D610000}"/>
    <cellStyle name="Incorrecto 2 11" xfId="24895" xr:uid="{00000000-0005-0000-0000-00001E610000}"/>
    <cellStyle name="Incorrecto 2 12" xfId="24896" xr:uid="{00000000-0005-0000-0000-00001F610000}"/>
    <cellStyle name="Incorrecto 2 13" xfId="24897" xr:uid="{00000000-0005-0000-0000-000020610000}"/>
    <cellStyle name="Incorrecto 2 14" xfId="24898" xr:uid="{00000000-0005-0000-0000-000021610000}"/>
    <cellStyle name="Incorrecto 2 15" xfId="24899" xr:uid="{00000000-0005-0000-0000-000022610000}"/>
    <cellStyle name="Incorrecto 2 16" xfId="24900" xr:uid="{00000000-0005-0000-0000-000023610000}"/>
    <cellStyle name="Incorrecto 2 17" xfId="24901" xr:uid="{00000000-0005-0000-0000-000024610000}"/>
    <cellStyle name="Incorrecto 2 18" xfId="24902" xr:uid="{00000000-0005-0000-0000-000025610000}"/>
    <cellStyle name="Incorrecto 2 19" xfId="24903" xr:uid="{00000000-0005-0000-0000-000026610000}"/>
    <cellStyle name="Incorrecto 2 2" xfId="24904" xr:uid="{00000000-0005-0000-0000-000027610000}"/>
    <cellStyle name="Incorrecto 2 2 2" xfId="24905" xr:uid="{00000000-0005-0000-0000-000028610000}"/>
    <cellStyle name="Incorrecto 2 3" xfId="24906" xr:uid="{00000000-0005-0000-0000-000029610000}"/>
    <cellStyle name="Incorrecto 2 3 2" xfId="24907" xr:uid="{00000000-0005-0000-0000-00002A610000}"/>
    <cellStyle name="Incorrecto 2 4" xfId="24908" xr:uid="{00000000-0005-0000-0000-00002B610000}"/>
    <cellStyle name="Incorrecto 2 4 2" xfId="24909" xr:uid="{00000000-0005-0000-0000-00002C610000}"/>
    <cellStyle name="Incorrecto 2 5" xfId="24910" xr:uid="{00000000-0005-0000-0000-00002D610000}"/>
    <cellStyle name="Incorrecto 2 6" xfId="24911" xr:uid="{00000000-0005-0000-0000-00002E610000}"/>
    <cellStyle name="Incorrecto 2 7" xfId="24912" xr:uid="{00000000-0005-0000-0000-00002F610000}"/>
    <cellStyle name="Incorrecto 2 8" xfId="24913" xr:uid="{00000000-0005-0000-0000-000030610000}"/>
    <cellStyle name="Incorrecto 2 9" xfId="24914" xr:uid="{00000000-0005-0000-0000-000031610000}"/>
    <cellStyle name="Incorrecto 20 10" xfId="24915" xr:uid="{00000000-0005-0000-0000-000032610000}"/>
    <cellStyle name="Incorrecto 20 11" xfId="24916" xr:uid="{00000000-0005-0000-0000-000033610000}"/>
    <cellStyle name="Incorrecto 20 12" xfId="24917" xr:uid="{00000000-0005-0000-0000-000034610000}"/>
    <cellStyle name="Incorrecto 20 13" xfId="24918" xr:uid="{00000000-0005-0000-0000-000035610000}"/>
    <cellStyle name="Incorrecto 20 14" xfId="24919" xr:uid="{00000000-0005-0000-0000-000036610000}"/>
    <cellStyle name="Incorrecto 20 15" xfId="24920" xr:uid="{00000000-0005-0000-0000-000037610000}"/>
    <cellStyle name="Incorrecto 20 16" xfId="24921" xr:uid="{00000000-0005-0000-0000-000038610000}"/>
    <cellStyle name="Incorrecto 20 17" xfId="24922" xr:uid="{00000000-0005-0000-0000-000039610000}"/>
    <cellStyle name="Incorrecto 20 18" xfId="24923" xr:uid="{00000000-0005-0000-0000-00003A610000}"/>
    <cellStyle name="Incorrecto 20 19" xfId="24924" xr:uid="{00000000-0005-0000-0000-00003B610000}"/>
    <cellStyle name="Incorrecto 20 2" xfId="24925" xr:uid="{00000000-0005-0000-0000-00003C610000}"/>
    <cellStyle name="Incorrecto 20 2 2" xfId="24926" xr:uid="{00000000-0005-0000-0000-00003D610000}"/>
    <cellStyle name="Incorrecto 20 3" xfId="24927" xr:uid="{00000000-0005-0000-0000-00003E610000}"/>
    <cellStyle name="Incorrecto 20 3 2" xfId="24928" xr:uid="{00000000-0005-0000-0000-00003F610000}"/>
    <cellStyle name="Incorrecto 20 4" xfId="24929" xr:uid="{00000000-0005-0000-0000-000040610000}"/>
    <cellStyle name="Incorrecto 20 4 2" xfId="24930" xr:uid="{00000000-0005-0000-0000-000041610000}"/>
    <cellStyle name="Incorrecto 20 5" xfId="24931" xr:uid="{00000000-0005-0000-0000-000042610000}"/>
    <cellStyle name="Incorrecto 20 6" xfId="24932" xr:uid="{00000000-0005-0000-0000-000043610000}"/>
    <cellStyle name="Incorrecto 20 7" xfId="24933" xr:uid="{00000000-0005-0000-0000-000044610000}"/>
    <cellStyle name="Incorrecto 20 8" xfId="24934" xr:uid="{00000000-0005-0000-0000-000045610000}"/>
    <cellStyle name="Incorrecto 20 9" xfId="24935" xr:uid="{00000000-0005-0000-0000-000046610000}"/>
    <cellStyle name="Incorrecto 21 10" xfId="24936" xr:uid="{00000000-0005-0000-0000-000047610000}"/>
    <cellStyle name="Incorrecto 21 11" xfId="24937" xr:uid="{00000000-0005-0000-0000-000048610000}"/>
    <cellStyle name="Incorrecto 21 12" xfId="24938" xr:uid="{00000000-0005-0000-0000-000049610000}"/>
    <cellStyle name="Incorrecto 21 13" xfId="24939" xr:uid="{00000000-0005-0000-0000-00004A610000}"/>
    <cellStyle name="Incorrecto 21 14" xfId="24940" xr:uid="{00000000-0005-0000-0000-00004B610000}"/>
    <cellStyle name="Incorrecto 21 15" xfId="24941" xr:uid="{00000000-0005-0000-0000-00004C610000}"/>
    <cellStyle name="Incorrecto 21 16" xfId="24942" xr:uid="{00000000-0005-0000-0000-00004D610000}"/>
    <cellStyle name="Incorrecto 21 17" xfId="24943" xr:uid="{00000000-0005-0000-0000-00004E610000}"/>
    <cellStyle name="Incorrecto 21 18" xfId="24944" xr:uid="{00000000-0005-0000-0000-00004F610000}"/>
    <cellStyle name="Incorrecto 21 19" xfId="24945" xr:uid="{00000000-0005-0000-0000-000050610000}"/>
    <cellStyle name="Incorrecto 21 2" xfId="24946" xr:uid="{00000000-0005-0000-0000-000051610000}"/>
    <cellStyle name="Incorrecto 21 2 2" xfId="24947" xr:uid="{00000000-0005-0000-0000-000052610000}"/>
    <cellStyle name="Incorrecto 21 3" xfId="24948" xr:uid="{00000000-0005-0000-0000-000053610000}"/>
    <cellStyle name="Incorrecto 21 3 2" xfId="24949" xr:uid="{00000000-0005-0000-0000-000054610000}"/>
    <cellStyle name="Incorrecto 21 4" xfId="24950" xr:uid="{00000000-0005-0000-0000-000055610000}"/>
    <cellStyle name="Incorrecto 21 4 2" xfId="24951" xr:uid="{00000000-0005-0000-0000-000056610000}"/>
    <cellStyle name="Incorrecto 21 5" xfId="24952" xr:uid="{00000000-0005-0000-0000-000057610000}"/>
    <cellStyle name="Incorrecto 21 6" xfId="24953" xr:uid="{00000000-0005-0000-0000-000058610000}"/>
    <cellStyle name="Incorrecto 21 7" xfId="24954" xr:uid="{00000000-0005-0000-0000-000059610000}"/>
    <cellStyle name="Incorrecto 21 8" xfId="24955" xr:uid="{00000000-0005-0000-0000-00005A610000}"/>
    <cellStyle name="Incorrecto 21 9" xfId="24956" xr:uid="{00000000-0005-0000-0000-00005B610000}"/>
    <cellStyle name="Incorrecto 22 10" xfId="24957" xr:uid="{00000000-0005-0000-0000-00005C610000}"/>
    <cellStyle name="Incorrecto 22 11" xfId="24958" xr:uid="{00000000-0005-0000-0000-00005D610000}"/>
    <cellStyle name="Incorrecto 22 12" xfId="24959" xr:uid="{00000000-0005-0000-0000-00005E610000}"/>
    <cellStyle name="Incorrecto 22 13" xfId="24960" xr:uid="{00000000-0005-0000-0000-00005F610000}"/>
    <cellStyle name="Incorrecto 22 14" xfId="24961" xr:uid="{00000000-0005-0000-0000-000060610000}"/>
    <cellStyle name="Incorrecto 22 15" xfId="24962" xr:uid="{00000000-0005-0000-0000-000061610000}"/>
    <cellStyle name="Incorrecto 22 16" xfId="24963" xr:uid="{00000000-0005-0000-0000-000062610000}"/>
    <cellStyle name="Incorrecto 22 17" xfId="24964" xr:uid="{00000000-0005-0000-0000-000063610000}"/>
    <cellStyle name="Incorrecto 22 18" xfId="24965" xr:uid="{00000000-0005-0000-0000-000064610000}"/>
    <cellStyle name="Incorrecto 22 19" xfId="24966" xr:uid="{00000000-0005-0000-0000-000065610000}"/>
    <cellStyle name="Incorrecto 22 2" xfId="24967" xr:uid="{00000000-0005-0000-0000-000066610000}"/>
    <cellStyle name="Incorrecto 22 2 2" xfId="24968" xr:uid="{00000000-0005-0000-0000-000067610000}"/>
    <cellStyle name="Incorrecto 22 3" xfId="24969" xr:uid="{00000000-0005-0000-0000-000068610000}"/>
    <cellStyle name="Incorrecto 22 3 2" xfId="24970" xr:uid="{00000000-0005-0000-0000-000069610000}"/>
    <cellStyle name="Incorrecto 22 4" xfId="24971" xr:uid="{00000000-0005-0000-0000-00006A610000}"/>
    <cellStyle name="Incorrecto 22 4 2" xfId="24972" xr:uid="{00000000-0005-0000-0000-00006B610000}"/>
    <cellStyle name="Incorrecto 22 5" xfId="24973" xr:uid="{00000000-0005-0000-0000-00006C610000}"/>
    <cellStyle name="Incorrecto 22 6" xfId="24974" xr:uid="{00000000-0005-0000-0000-00006D610000}"/>
    <cellStyle name="Incorrecto 22 7" xfId="24975" xr:uid="{00000000-0005-0000-0000-00006E610000}"/>
    <cellStyle name="Incorrecto 22 8" xfId="24976" xr:uid="{00000000-0005-0000-0000-00006F610000}"/>
    <cellStyle name="Incorrecto 22 9" xfId="24977" xr:uid="{00000000-0005-0000-0000-000070610000}"/>
    <cellStyle name="Incorrecto 23 10" xfId="24978" xr:uid="{00000000-0005-0000-0000-000071610000}"/>
    <cellStyle name="Incorrecto 23 11" xfId="24979" xr:uid="{00000000-0005-0000-0000-000072610000}"/>
    <cellStyle name="Incorrecto 23 12" xfId="24980" xr:uid="{00000000-0005-0000-0000-000073610000}"/>
    <cellStyle name="Incorrecto 23 13" xfId="24981" xr:uid="{00000000-0005-0000-0000-000074610000}"/>
    <cellStyle name="Incorrecto 23 14" xfId="24982" xr:uid="{00000000-0005-0000-0000-000075610000}"/>
    <cellStyle name="Incorrecto 23 15" xfId="24983" xr:uid="{00000000-0005-0000-0000-000076610000}"/>
    <cellStyle name="Incorrecto 23 16" xfId="24984" xr:uid="{00000000-0005-0000-0000-000077610000}"/>
    <cellStyle name="Incorrecto 23 17" xfId="24985" xr:uid="{00000000-0005-0000-0000-000078610000}"/>
    <cellStyle name="Incorrecto 23 18" xfId="24986" xr:uid="{00000000-0005-0000-0000-000079610000}"/>
    <cellStyle name="Incorrecto 23 19" xfId="24987" xr:uid="{00000000-0005-0000-0000-00007A610000}"/>
    <cellStyle name="Incorrecto 23 2" xfId="24988" xr:uid="{00000000-0005-0000-0000-00007B610000}"/>
    <cellStyle name="Incorrecto 23 2 2" xfId="24989" xr:uid="{00000000-0005-0000-0000-00007C610000}"/>
    <cellStyle name="Incorrecto 23 3" xfId="24990" xr:uid="{00000000-0005-0000-0000-00007D610000}"/>
    <cellStyle name="Incorrecto 23 3 2" xfId="24991" xr:uid="{00000000-0005-0000-0000-00007E610000}"/>
    <cellStyle name="Incorrecto 23 4" xfId="24992" xr:uid="{00000000-0005-0000-0000-00007F610000}"/>
    <cellStyle name="Incorrecto 23 4 2" xfId="24993" xr:uid="{00000000-0005-0000-0000-000080610000}"/>
    <cellStyle name="Incorrecto 23 5" xfId="24994" xr:uid="{00000000-0005-0000-0000-000081610000}"/>
    <cellStyle name="Incorrecto 23 6" xfId="24995" xr:uid="{00000000-0005-0000-0000-000082610000}"/>
    <cellStyle name="Incorrecto 23 7" xfId="24996" xr:uid="{00000000-0005-0000-0000-000083610000}"/>
    <cellStyle name="Incorrecto 23 8" xfId="24997" xr:uid="{00000000-0005-0000-0000-000084610000}"/>
    <cellStyle name="Incorrecto 23 9" xfId="24998" xr:uid="{00000000-0005-0000-0000-000085610000}"/>
    <cellStyle name="Incorrecto 24 10" xfId="24999" xr:uid="{00000000-0005-0000-0000-000086610000}"/>
    <cellStyle name="Incorrecto 24 11" xfId="25000" xr:uid="{00000000-0005-0000-0000-000087610000}"/>
    <cellStyle name="Incorrecto 24 12" xfId="25001" xr:uid="{00000000-0005-0000-0000-000088610000}"/>
    <cellStyle name="Incorrecto 24 13" xfId="25002" xr:uid="{00000000-0005-0000-0000-000089610000}"/>
    <cellStyle name="Incorrecto 24 14" xfId="25003" xr:uid="{00000000-0005-0000-0000-00008A610000}"/>
    <cellStyle name="Incorrecto 24 15" xfId="25004" xr:uid="{00000000-0005-0000-0000-00008B610000}"/>
    <cellStyle name="Incorrecto 24 16" xfId="25005" xr:uid="{00000000-0005-0000-0000-00008C610000}"/>
    <cellStyle name="Incorrecto 24 17" xfId="25006" xr:uid="{00000000-0005-0000-0000-00008D610000}"/>
    <cellStyle name="Incorrecto 24 18" xfId="25007" xr:uid="{00000000-0005-0000-0000-00008E610000}"/>
    <cellStyle name="Incorrecto 24 19" xfId="25008" xr:uid="{00000000-0005-0000-0000-00008F610000}"/>
    <cellStyle name="Incorrecto 24 2" xfId="25009" xr:uid="{00000000-0005-0000-0000-000090610000}"/>
    <cellStyle name="Incorrecto 24 2 2" xfId="25010" xr:uid="{00000000-0005-0000-0000-000091610000}"/>
    <cellStyle name="Incorrecto 24 3" xfId="25011" xr:uid="{00000000-0005-0000-0000-000092610000}"/>
    <cellStyle name="Incorrecto 24 3 2" xfId="25012" xr:uid="{00000000-0005-0000-0000-000093610000}"/>
    <cellStyle name="Incorrecto 24 4" xfId="25013" xr:uid="{00000000-0005-0000-0000-000094610000}"/>
    <cellStyle name="Incorrecto 24 4 2" xfId="25014" xr:uid="{00000000-0005-0000-0000-000095610000}"/>
    <cellStyle name="Incorrecto 24 5" xfId="25015" xr:uid="{00000000-0005-0000-0000-000096610000}"/>
    <cellStyle name="Incorrecto 24 6" xfId="25016" xr:uid="{00000000-0005-0000-0000-000097610000}"/>
    <cellStyle name="Incorrecto 24 7" xfId="25017" xr:uid="{00000000-0005-0000-0000-000098610000}"/>
    <cellStyle name="Incorrecto 24 8" xfId="25018" xr:uid="{00000000-0005-0000-0000-000099610000}"/>
    <cellStyle name="Incorrecto 24 9" xfId="25019" xr:uid="{00000000-0005-0000-0000-00009A610000}"/>
    <cellStyle name="Incorrecto 25 10" xfId="25020" xr:uid="{00000000-0005-0000-0000-00009B610000}"/>
    <cellStyle name="Incorrecto 25 11" xfId="25021" xr:uid="{00000000-0005-0000-0000-00009C610000}"/>
    <cellStyle name="Incorrecto 25 12" xfId="25022" xr:uid="{00000000-0005-0000-0000-00009D610000}"/>
    <cellStyle name="Incorrecto 25 13" xfId="25023" xr:uid="{00000000-0005-0000-0000-00009E610000}"/>
    <cellStyle name="Incorrecto 25 14" xfId="25024" xr:uid="{00000000-0005-0000-0000-00009F610000}"/>
    <cellStyle name="Incorrecto 25 15" xfId="25025" xr:uid="{00000000-0005-0000-0000-0000A0610000}"/>
    <cellStyle name="Incorrecto 25 16" xfId="25026" xr:uid="{00000000-0005-0000-0000-0000A1610000}"/>
    <cellStyle name="Incorrecto 25 17" xfId="25027" xr:uid="{00000000-0005-0000-0000-0000A2610000}"/>
    <cellStyle name="Incorrecto 25 18" xfId="25028" xr:uid="{00000000-0005-0000-0000-0000A3610000}"/>
    <cellStyle name="Incorrecto 25 19" xfId="25029" xr:uid="{00000000-0005-0000-0000-0000A4610000}"/>
    <cellStyle name="Incorrecto 25 2" xfId="25030" xr:uid="{00000000-0005-0000-0000-0000A5610000}"/>
    <cellStyle name="Incorrecto 25 2 2" xfId="25031" xr:uid="{00000000-0005-0000-0000-0000A6610000}"/>
    <cellStyle name="Incorrecto 25 3" xfId="25032" xr:uid="{00000000-0005-0000-0000-0000A7610000}"/>
    <cellStyle name="Incorrecto 25 3 2" xfId="25033" xr:uid="{00000000-0005-0000-0000-0000A8610000}"/>
    <cellStyle name="Incorrecto 25 4" xfId="25034" xr:uid="{00000000-0005-0000-0000-0000A9610000}"/>
    <cellStyle name="Incorrecto 25 4 2" xfId="25035" xr:uid="{00000000-0005-0000-0000-0000AA610000}"/>
    <cellStyle name="Incorrecto 25 5" xfId="25036" xr:uid="{00000000-0005-0000-0000-0000AB610000}"/>
    <cellStyle name="Incorrecto 25 6" xfId="25037" xr:uid="{00000000-0005-0000-0000-0000AC610000}"/>
    <cellStyle name="Incorrecto 25 7" xfId="25038" xr:uid="{00000000-0005-0000-0000-0000AD610000}"/>
    <cellStyle name="Incorrecto 25 8" xfId="25039" xr:uid="{00000000-0005-0000-0000-0000AE610000}"/>
    <cellStyle name="Incorrecto 25 9" xfId="25040" xr:uid="{00000000-0005-0000-0000-0000AF610000}"/>
    <cellStyle name="Incorrecto 26 10" xfId="25041" xr:uid="{00000000-0005-0000-0000-0000B0610000}"/>
    <cellStyle name="Incorrecto 26 11" xfId="25042" xr:uid="{00000000-0005-0000-0000-0000B1610000}"/>
    <cellStyle name="Incorrecto 26 12" xfId="25043" xr:uid="{00000000-0005-0000-0000-0000B2610000}"/>
    <cellStyle name="Incorrecto 26 13" xfId="25044" xr:uid="{00000000-0005-0000-0000-0000B3610000}"/>
    <cellStyle name="Incorrecto 26 14" xfId="25045" xr:uid="{00000000-0005-0000-0000-0000B4610000}"/>
    <cellStyle name="Incorrecto 26 15" xfId="25046" xr:uid="{00000000-0005-0000-0000-0000B5610000}"/>
    <cellStyle name="Incorrecto 26 16" xfId="25047" xr:uid="{00000000-0005-0000-0000-0000B6610000}"/>
    <cellStyle name="Incorrecto 26 17" xfId="25048" xr:uid="{00000000-0005-0000-0000-0000B7610000}"/>
    <cellStyle name="Incorrecto 26 18" xfId="25049" xr:uid="{00000000-0005-0000-0000-0000B8610000}"/>
    <cellStyle name="Incorrecto 26 19" xfId="25050" xr:uid="{00000000-0005-0000-0000-0000B9610000}"/>
    <cellStyle name="Incorrecto 26 2" xfId="25051" xr:uid="{00000000-0005-0000-0000-0000BA610000}"/>
    <cellStyle name="Incorrecto 26 2 2" xfId="25052" xr:uid="{00000000-0005-0000-0000-0000BB610000}"/>
    <cellStyle name="Incorrecto 26 3" xfId="25053" xr:uid="{00000000-0005-0000-0000-0000BC610000}"/>
    <cellStyle name="Incorrecto 26 3 2" xfId="25054" xr:uid="{00000000-0005-0000-0000-0000BD610000}"/>
    <cellStyle name="Incorrecto 26 4" xfId="25055" xr:uid="{00000000-0005-0000-0000-0000BE610000}"/>
    <cellStyle name="Incorrecto 26 4 2" xfId="25056" xr:uid="{00000000-0005-0000-0000-0000BF610000}"/>
    <cellStyle name="Incorrecto 26 5" xfId="25057" xr:uid="{00000000-0005-0000-0000-0000C0610000}"/>
    <cellStyle name="Incorrecto 26 6" xfId="25058" xr:uid="{00000000-0005-0000-0000-0000C1610000}"/>
    <cellStyle name="Incorrecto 26 7" xfId="25059" xr:uid="{00000000-0005-0000-0000-0000C2610000}"/>
    <cellStyle name="Incorrecto 26 8" xfId="25060" xr:uid="{00000000-0005-0000-0000-0000C3610000}"/>
    <cellStyle name="Incorrecto 26 9" xfId="25061" xr:uid="{00000000-0005-0000-0000-0000C4610000}"/>
    <cellStyle name="Incorrecto 27 10" xfId="25062" xr:uid="{00000000-0005-0000-0000-0000C5610000}"/>
    <cellStyle name="Incorrecto 27 11" xfId="25063" xr:uid="{00000000-0005-0000-0000-0000C6610000}"/>
    <cellStyle name="Incorrecto 27 12" xfId="25064" xr:uid="{00000000-0005-0000-0000-0000C7610000}"/>
    <cellStyle name="Incorrecto 27 13" xfId="25065" xr:uid="{00000000-0005-0000-0000-0000C8610000}"/>
    <cellStyle name="Incorrecto 27 14" xfId="25066" xr:uid="{00000000-0005-0000-0000-0000C9610000}"/>
    <cellStyle name="Incorrecto 27 15" xfId="25067" xr:uid="{00000000-0005-0000-0000-0000CA610000}"/>
    <cellStyle name="Incorrecto 27 16" xfId="25068" xr:uid="{00000000-0005-0000-0000-0000CB610000}"/>
    <cellStyle name="Incorrecto 27 17" xfId="25069" xr:uid="{00000000-0005-0000-0000-0000CC610000}"/>
    <cellStyle name="Incorrecto 27 18" xfId="25070" xr:uid="{00000000-0005-0000-0000-0000CD610000}"/>
    <cellStyle name="Incorrecto 27 19" xfId="25071" xr:uid="{00000000-0005-0000-0000-0000CE610000}"/>
    <cellStyle name="Incorrecto 27 2" xfId="25072" xr:uid="{00000000-0005-0000-0000-0000CF610000}"/>
    <cellStyle name="Incorrecto 27 2 2" xfId="25073" xr:uid="{00000000-0005-0000-0000-0000D0610000}"/>
    <cellStyle name="Incorrecto 27 3" xfId="25074" xr:uid="{00000000-0005-0000-0000-0000D1610000}"/>
    <cellStyle name="Incorrecto 27 3 2" xfId="25075" xr:uid="{00000000-0005-0000-0000-0000D2610000}"/>
    <cellStyle name="Incorrecto 27 4" xfId="25076" xr:uid="{00000000-0005-0000-0000-0000D3610000}"/>
    <cellStyle name="Incorrecto 27 4 2" xfId="25077" xr:uid="{00000000-0005-0000-0000-0000D4610000}"/>
    <cellStyle name="Incorrecto 27 5" xfId="25078" xr:uid="{00000000-0005-0000-0000-0000D5610000}"/>
    <cellStyle name="Incorrecto 27 6" xfId="25079" xr:uid="{00000000-0005-0000-0000-0000D6610000}"/>
    <cellStyle name="Incorrecto 27 7" xfId="25080" xr:uid="{00000000-0005-0000-0000-0000D7610000}"/>
    <cellStyle name="Incorrecto 27 8" xfId="25081" xr:uid="{00000000-0005-0000-0000-0000D8610000}"/>
    <cellStyle name="Incorrecto 27 9" xfId="25082" xr:uid="{00000000-0005-0000-0000-0000D9610000}"/>
    <cellStyle name="Incorrecto 28 10" xfId="25083" xr:uid="{00000000-0005-0000-0000-0000DA610000}"/>
    <cellStyle name="Incorrecto 28 11" xfId="25084" xr:uid="{00000000-0005-0000-0000-0000DB610000}"/>
    <cellStyle name="Incorrecto 28 12" xfId="25085" xr:uid="{00000000-0005-0000-0000-0000DC610000}"/>
    <cellStyle name="Incorrecto 28 13" xfId="25086" xr:uid="{00000000-0005-0000-0000-0000DD610000}"/>
    <cellStyle name="Incorrecto 28 14" xfId="25087" xr:uid="{00000000-0005-0000-0000-0000DE610000}"/>
    <cellStyle name="Incorrecto 28 15" xfId="25088" xr:uid="{00000000-0005-0000-0000-0000DF610000}"/>
    <cellStyle name="Incorrecto 28 16" xfId="25089" xr:uid="{00000000-0005-0000-0000-0000E0610000}"/>
    <cellStyle name="Incorrecto 28 17" xfId="25090" xr:uid="{00000000-0005-0000-0000-0000E1610000}"/>
    <cellStyle name="Incorrecto 28 18" xfId="25091" xr:uid="{00000000-0005-0000-0000-0000E2610000}"/>
    <cellStyle name="Incorrecto 28 19" xfId="25092" xr:uid="{00000000-0005-0000-0000-0000E3610000}"/>
    <cellStyle name="Incorrecto 28 2" xfId="25093" xr:uid="{00000000-0005-0000-0000-0000E4610000}"/>
    <cellStyle name="Incorrecto 28 2 2" xfId="25094" xr:uid="{00000000-0005-0000-0000-0000E5610000}"/>
    <cellStyle name="Incorrecto 28 3" xfId="25095" xr:uid="{00000000-0005-0000-0000-0000E6610000}"/>
    <cellStyle name="Incorrecto 28 3 2" xfId="25096" xr:uid="{00000000-0005-0000-0000-0000E7610000}"/>
    <cellStyle name="Incorrecto 28 4" xfId="25097" xr:uid="{00000000-0005-0000-0000-0000E8610000}"/>
    <cellStyle name="Incorrecto 28 4 2" xfId="25098" xr:uid="{00000000-0005-0000-0000-0000E9610000}"/>
    <cellStyle name="Incorrecto 28 5" xfId="25099" xr:uid="{00000000-0005-0000-0000-0000EA610000}"/>
    <cellStyle name="Incorrecto 28 6" xfId="25100" xr:uid="{00000000-0005-0000-0000-0000EB610000}"/>
    <cellStyle name="Incorrecto 28 7" xfId="25101" xr:uid="{00000000-0005-0000-0000-0000EC610000}"/>
    <cellStyle name="Incorrecto 28 8" xfId="25102" xr:uid="{00000000-0005-0000-0000-0000ED610000}"/>
    <cellStyle name="Incorrecto 28 9" xfId="25103" xr:uid="{00000000-0005-0000-0000-0000EE610000}"/>
    <cellStyle name="Incorrecto 29 10" xfId="25104" xr:uid="{00000000-0005-0000-0000-0000EF610000}"/>
    <cellStyle name="Incorrecto 29 11" xfId="25105" xr:uid="{00000000-0005-0000-0000-0000F0610000}"/>
    <cellStyle name="Incorrecto 29 12" xfId="25106" xr:uid="{00000000-0005-0000-0000-0000F1610000}"/>
    <cellStyle name="Incorrecto 29 13" xfId="25107" xr:uid="{00000000-0005-0000-0000-0000F2610000}"/>
    <cellStyle name="Incorrecto 29 14" xfId="25108" xr:uid="{00000000-0005-0000-0000-0000F3610000}"/>
    <cellStyle name="Incorrecto 29 15" xfId="25109" xr:uid="{00000000-0005-0000-0000-0000F4610000}"/>
    <cellStyle name="Incorrecto 29 16" xfId="25110" xr:uid="{00000000-0005-0000-0000-0000F5610000}"/>
    <cellStyle name="Incorrecto 29 17" xfId="25111" xr:uid="{00000000-0005-0000-0000-0000F6610000}"/>
    <cellStyle name="Incorrecto 29 18" xfId="25112" xr:uid="{00000000-0005-0000-0000-0000F7610000}"/>
    <cellStyle name="Incorrecto 29 19" xfId="25113" xr:uid="{00000000-0005-0000-0000-0000F8610000}"/>
    <cellStyle name="Incorrecto 29 2" xfId="25114" xr:uid="{00000000-0005-0000-0000-0000F9610000}"/>
    <cellStyle name="Incorrecto 29 2 2" xfId="25115" xr:uid="{00000000-0005-0000-0000-0000FA610000}"/>
    <cellStyle name="Incorrecto 29 3" xfId="25116" xr:uid="{00000000-0005-0000-0000-0000FB610000}"/>
    <cellStyle name="Incorrecto 29 3 2" xfId="25117" xr:uid="{00000000-0005-0000-0000-0000FC610000}"/>
    <cellStyle name="Incorrecto 29 4" xfId="25118" xr:uid="{00000000-0005-0000-0000-0000FD610000}"/>
    <cellStyle name="Incorrecto 29 4 2" xfId="25119" xr:uid="{00000000-0005-0000-0000-0000FE610000}"/>
    <cellStyle name="Incorrecto 29 5" xfId="25120" xr:uid="{00000000-0005-0000-0000-0000FF610000}"/>
    <cellStyle name="Incorrecto 29 6" xfId="25121" xr:uid="{00000000-0005-0000-0000-000000620000}"/>
    <cellStyle name="Incorrecto 29 7" xfId="25122" xr:uid="{00000000-0005-0000-0000-000001620000}"/>
    <cellStyle name="Incorrecto 29 8" xfId="25123" xr:uid="{00000000-0005-0000-0000-000002620000}"/>
    <cellStyle name="Incorrecto 29 9" xfId="25124" xr:uid="{00000000-0005-0000-0000-000003620000}"/>
    <cellStyle name="Incorrecto 3 10" xfId="25125" xr:uid="{00000000-0005-0000-0000-000004620000}"/>
    <cellStyle name="Incorrecto 3 11" xfId="25126" xr:uid="{00000000-0005-0000-0000-000005620000}"/>
    <cellStyle name="Incorrecto 3 12" xfId="25127" xr:uid="{00000000-0005-0000-0000-000006620000}"/>
    <cellStyle name="Incorrecto 3 13" xfId="25128" xr:uid="{00000000-0005-0000-0000-000007620000}"/>
    <cellStyle name="Incorrecto 3 14" xfId="25129" xr:uid="{00000000-0005-0000-0000-000008620000}"/>
    <cellStyle name="Incorrecto 3 15" xfId="25130" xr:uid="{00000000-0005-0000-0000-000009620000}"/>
    <cellStyle name="Incorrecto 3 16" xfId="25131" xr:uid="{00000000-0005-0000-0000-00000A620000}"/>
    <cellStyle name="Incorrecto 3 17" xfId="25132" xr:uid="{00000000-0005-0000-0000-00000B620000}"/>
    <cellStyle name="Incorrecto 3 18" xfId="25133" xr:uid="{00000000-0005-0000-0000-00000C620000}"/>
    <cellStyle name="Incorrecto 3 19" xfId="25134" xr:uid="{00000000-0005-0000-0000-00000D620000}"/>
    <cellStyle name="Incorrecto 3 2" xfId="25135" xr:uid="{00000000-0005-0000-0000-00000E620000}"/>
    <cellStyle name="Incorrecto 3 2 2" xfId="25136" xr:uid="{00000000-0005-0000-0000-00000F620000}"/>
    <cellStyle name="Incorrecto 3 3" xfId="25137" xr:uid="{00000000-0005-0000-0000-000010620000}"/>
    <cellStyle name="Incorrecto 3 3 2" xfId="25138" xr:uid="{00000000-0005-0000-0000-000011620000}"/>
    <cellStyle name="Incorrecto 3 4" xfId="25139" xr:uid="{00000000-0005-0000-0000-000012620000}"/>
    <cellStyle name="Incorrecto 3 4 2" xfId="25140" xr:uid="{00000000-0005-0000-0000-000013620000}"/>
    <cellStyle name="Incorrecto 3 5" xfId="25141" xr:uid="{00000000-0005-0000-0000-000014620000}"/>
    <cellStyle name="Incorrecto 3 6" xfId="25142" xr:uid="{00000000-0005-0000-0000-000015620000}"/>
    <cellStyle name="Incorrecto 3 7" xfId="25143" xr:uid="{00000000-0005-0000-0000-000016620000}"/>
    <cellStyle name="Incorrecto 3 8" xfId="25144" xr:uid="{00000000-0005-0000-0000-000017620000}"/>
    <cellStyle name="Incorrecto 3 9" xfId="25145" xr:uid="{00000000-0005-0000-0000-000018620000}"/>
    <cellStyle name="Incorrecto 30 10" xfId="25146" xr:uid="{00000000-0005-0000-0000-000019620000}"/>
    <cellStyle name="Incorrecto 30 11" xfId="25147" xr:uid="{00000000-0005-0000-0000-00001A620000}"/>
    <cellStyle name="Incorrecto 30 12" xfId="25148" xr:uid="{00000000-0005-0000-0000-00001B620000}"/>
    <cellStyle name="Incorrecto 30 13" xfId="25149" xr:uid="{00000000-0005-0000-0000-00001C620000}"/>
    <cellStyle name="Incorrecto 30 14" xfId="25150" xr:uid="{00000000-0005-0000-0000-00001D620000}"/>
    <cellStyle name="Incorrecto 30 15" xfId="25151" xr:uid="{00000000-0005-0000-0000-00001E620000}"/>
    <cellStyle name="Incorrecto 30 16" xfId="25152" xr:uid="{00000000-0005-0000-0000-00001F620000}"/>
    <cellStyle name="Incorrecto 30 17" xfId="25153" xr:uid="{00000000-0005-0000-0000-000020620000}"/>
    <cellStyle name="Incorrecto 30 18" xfId="25154" xr:uid="{00000000-0005-0000-0000-000021620000}"/>
    <cellStyle name="Incorrecto 30 19" xfId="25155" xr:uid="{00000000-0005-0000-0000-000022620000}"/>
    <cellStyle name="Incorrecto 30 2" xfId="25156" xr:uid="{00000000-0005-0000-0000-000023620000}"/>
    <cellStyle name="Incorrecto 30 2 2" xfId="25157" xr:uid="{00000000-0005-0000-0000-000024620000}"/>
    <cellStyle name="Incorrecto 30 3" xfId="25158" xr:uid="{00000000-0005-0000-0000-000025620000}"/>
    <cellStyle name="Incorrecto 30 3 2" xfId="25159" xr:uid="{00000000-0005-0000-0000-000026620000}"/>
    <cellStyle name="Incorrecto 30 4" xfId="25160" xr:uid="{00000000-0005-0000-0000-000027620000}"/>
    <cellStyle name="Incorrecto 30 4 2" xfId="25161" xr:uid="{00000000-0005-0000-0000-000028620000}"/>
    <cellStyle name="Incorrecto 30 5" xfId="25162" xr:uid="{00000000-0005-0000-0000-000029620000}"/>
    <cellStyle name="Incorrecto 30 6" xfId="25163" xr:uid="{00000000-0005-0000-0000-00002A620000}"/>
    <cellStyle name="Incorrecto 30 7" xfId="25164" xr:uid="{00000000-0005-0000-0000-00002B620000}"/>
    <cellStyle name="Incorrecto 30 8" xfId="25165" xr:uid="{00000000-0005-0000-0000-00002C620000}"/>
    <cellStyle name="Incorrecto 30 9" xfId="25166" xr:uid="{00000000-0005-0000-0000-00002D620000}"/>
    <cellStyle name="Incorrecto 31 10" xfId="25167" xr:uid="{00000000-0005-0000-0000-00002E620000}"/>
    <cellStyle name="Incorrecto 31 11" xfId="25168" xr:uid="{00000000-0005-0000-0000-00002F620000}"/>
    <cellStyle name="Incorrecto 31 12" xfId="25169" xr:uid="{00000000-0005-0000-0000-000030620000}"/>
    <cellStyle name="Incorrecto 31 13" xfId="25170" xr:uid="{00000000-0005-0000-0000-000031620000}"/>
    <cellStyle name="Incorrecto 31 14" xfId="25171" xr:uid="{00000000-0005-0000-0000-000032620000}"/>
    <cellStyle name="Incorrecto 31 15" xfId="25172" xr:uid="{00000000-0005-0000-0000-000033620000}"/>
    <cellStyle name="Incorrecto 31 16" xfId="25173" xr:uid="{00000000-0005-0000-0000-000034620000}"/>
    <cellStyle name="Incorrecto 31 17" xfId="25174" xr:uid="{00000000-0005-0000-0000-000035620000}"/>
    <cellStyle name="Incorrecto 31 18" xfId="25175" xr:uid="{00000000-0005-0000-0000-000036620000}"/>
    <cellStyle name="Incorrecto 31 19" xfId="25176" xr:uid="{00000000-0005-0000-0000-000037620000}"/>
    <cellStyle name="Incorrecto 31 2" xfId="25177" xr:uid="{00000000-0005-0000-0000-000038620000}"/>
    <cellStyle name="Incorrecto 31 2 2" xfId="25178" xr:uid="{00000000-0005-0000-0000-000039620000}"/>
    <cellStyle name="Incorrecto 31 3" xfId="25179" xr:uid="{00000000-0005-0000-0000-00003A620000}"/>
    <cellStyle name="Incorrecto 31 3 2" xfId="25180" xr:uid="{00000000-0005-0000-0000-00003B620000}"/>
    <cellStyle name="Incorrecto 31 4" xfId="25181" xr:uid="{00000000-0005-0000-0000-00003C620000}"/>
    <cellStyle name="Incorrecto 31 4 2" xfId="25182" xr:uid="{00000000-0005-0000-0000-00003D620000}"/>
    <cellStyle name="Incorrecto 31 5" xfId="25183" xr:uid="{00000000-0005-0000-0000-00003E620000}"/>
    <cellStyle name="Incorrecto 31 6" xfId="25184" xr:uid="{00000000-0005-0000-0000-00003F620000}"/>
    <cellStyle name="Incorrecto 31 7" xfId="25185" xr:uid="{00000000-0005-0000-0000-000040620000}"/>
    <cellStyle name="Incorrecto 31 8" xfId="25186" xr:uid="{00000000-0005-0000-0000-000041620000}"/>
    <cellStyle name="Incorrecto 31 9" xfId="25187" xr:uid="{00000000-0005-0000-0000-000042620000}"/>
    <cellStyle name="Incorrecto 32 10" xfId="25188" xr:uid="{00000000-0005-0000-0000-000043620000}"/>
    <cellStyle name="Incorrecto 32 11" xfId="25189" xr:uid="{00000000-0005-0000-0000-000044620000}"/>
    <cellStyle name="Incorrecto 32 12" xfId="25190" xr:uid="{00000000-0005-0000-0000-000045620000}"/>
    <cellStyle name="Incorrecto 32 13" xfId="25191" xr:uid="{00000000-0005-0000-0000-000046620000}"/>
    <cellStyle name="Incorrecto 32 14" xfId="25192" xr:uid="{00000000-0005-0000-0000-000047620000}"/>
    <cellStyle name="Incorrecto 32 15" xfId="25193" xr:uid="{00000000-0005-0000-0000-000048620000}"/>
    <cellStyle name="Incorrecto 32 16" xfId="25194" xr:uid="{00000000-0005-0000-0000-000049620000}"/>
    <cellStyle name="Incorrecto 32 17" xfId="25195" xr:uid="{00000000-0005-0000-0000-00004A620000}"/>
    <cellStyle name="Incorrecto 32 18" xfId="25196" xr:uid="{00000000-0005-0000-0000-00004B620000}"/>
    <cellStyle name="Incorrecto 32 19" xfId="25197" xr:uid="{00000000-0005-0000-0000-00004C620000}"/>
    <cellStyle name="Incorrecto 32 2" xfId="25198" xr:uid="{00000000-0005-0000-0000-00004D620000}"/>
    <cellStyle name="Incorrecto 32 2 2" xfId="25199" xr:uid="{00000000-0005-0000-0000-00004E620000}"/>
    <cellStyle name="Incorrecto 32 3" xfId="25200" xr:uid="{00000000-0005-0000-0000-00004F620000}"/>
    <cellStyle name="Incorrecto 32 3 2" xfId="25201" xr:uid="{00000000-0005-0000-0000-000050620000}"/>
    <cellStyle name="Incorrecto 32 4" xfId="25202" xr:uid="{00000000-0005-0000-0000-000051620000}"/>
    <cellStyle name="Incorrecto 32 4 2" xfId="25203" xr:uid="{00000000-0005-0000-0000-000052620000}"/>
    <cellStyle name="Incorrecto 32 5" xfId="25204" xr:uid="{00000000-0005-0000-0000-000053620000}"/>
    <cellStyle name="Incorrecto 32 6" xfId="25205" xr:uid="{00000000-0005-0000-0000-000054620000}"/>
    <cellStyle name="Incorrecto 32 7" xfId="25206" xr:uid="{00000000-0005-0000-0000-000055620000}"/>
    <cellStyle name="Incorrecto 32 8" xfId="25207" xr:uid="{00000000-0005-0000-0000-000056620000}"/>
    <cellStyle name="Incorrecto 32 9" xfId="25208" xr:uid="{00000000-0005-0000-0000-000057620000}"/>
    <cellStyle name="Incorrecto 33 10" xfId="25209" xr:uid="{00000000-0005-0000-0000-000058620000}"/>
    <cellStyle name="Incorrecto 33 11" xfId="25210" xr:uid="{00000000-0005-0000-0000-000059620000}"/>
    <cellStyle name="Incorrecto 33 12" xfId="25211" xr:uid="{00000000-0005-0000-0000-00005A620000}"/>
    <cellStyle name="Incorrecto 33 13" xfId="25212" xr:uid="{00000000-0005-0000-0000-00005B620000}"/>
    <cellStyle name="Incorrecto 33 14" xfId="25213" xr:uid="{00000000-0005-0000-0000-00005C620000}"/>
    <cellStyle name="Incorrecto 33 15" xfId="25214" xr:uid="{00000000-0005-0000-0000-00005D620000}"/>
    <cellStyle name="Incorrecto 33 16" xfId="25215" xr:uid="{00000000-0005-0000-0000-00005E620000}"/>
    <cellStyle name="Incorrecto 33 17" xfId="25216" xr:uid="{00000000-0005-0000-0000-00005F620000}"/>
    <cellStyle name="Incorrecto 33 18" xfId="25217" xr:uid="{00000000-0005-0000-0000-000060620000}"/>
    <cellStyle name="Incorrecto 33 19" xfId="25218" xr:uid="{00000000-0005-0000-0000-000061620000}"/>
    <cellStyle name="Incorrecto 33 2" xfId="25219" xr:uid="{00000000-0005-0000-0000-000062620000}"/>
    <cellStyle name="Incorrecto 33 2 2" xfId="25220" xr:uid="{00000000-0005-0000-0000-000063620000}"/>
    <cellStyle name="Incorrecto 33 3" xfId="25221" xr:uid="{00000000-0005-0000-0000-000064620000}"/>
    <cellStyle name="Incorrecto 33 3 2" xfId="25222" xr:uid="{00000000-0005-0000-0000-000065620000}"/>
    <cellStyle name="Incorrecto 33 4" xfId="25223" xr:uid="{00000000-0005-0000-0000-000066620000}"/>
    <cellStyle name="Incorrecto 33 4 2" xfId="25224" xr:uid="{00000000-0005-0000-0000-000067620000}"/>
    <cellStyle name="Incorrecto 33 5" xfId="25225" xr:uid="{00000000-0005-0000-0000-000068620000}"/>
    <cellStyle name="Incorrecto 33 6" xfId="25226" xr:uid="{00000000-0005-0000-0000-000069620000}"/>
    <cellStyle name="Incorrecto 33 7" xfId="25227" xr:uid="{00000000-0005-0000-0000-00006A620000}"/>
    <cellStyle name="Incorrecto 33 8" xfId="25228" xr:uid="{00000000-0005-0000-0000-00006B620000}"/>
    <cellStyle name="Incorrecto 33 9" xfId="25229" xr:uid="{00000000-0005-0000-0000-00006C620000}"/>
    <cellStyle name="Incorrecto 34 10" xfId="25230" xr:uid="{00000000-0005-0000-0000-00006D620000}"/>
    <cellStyle name="Incorrecto 34 11" xfId="25231" xr:uid="{00000000-0005-0000-0000-00006E620000}"/>
    <cellStyle name="Incorrecto 34 12" xfId="25232" xr:uid="{00000000-0005-0000-0000-00006F620000}"/>
    <cellStyle name="Incorrecto 34 13" xfId="25233" xr:uid="{00000000-0005-0000-0000-000070620000}"/>
    <cellStyle name="Incorrecto 34 14" xfId="25234" xr:uid="{00000000-0005-0000-0000-000071620000}"/>
    <cellStyle name="Incorrecto 34 15" xfId="25235" xr:uid="{00000000-0005-0000-0000-000072620000}"/>
    <cellStyle name="Incorrecto 34 16" xfId="25236" xr:uid="{00000000-0005-0000-0000-000073620000}"/>
    <cellStyle name="Incorrecto 34 17" xfId="25237" xr:uid="{00000000-0005-0000-0000-000074620000}"/>
    <cellStyle name="Incorrecto 34 18" xfId="25238" xr:uid="{00000000-0005-0000-0000-000075620000}"/>
    <cellStyle name="Incorrecto 34 19" xfId="25239" xr:uid="{00000000-0005-0000-0000-000076620000}"/>
    <cellStyle name="Incorrecto 34 2" xfId="25240" xr:uid="{00000000-0005-0000-0000-000077620000}"/>
    <cellStyle name="Incorrecto 34 2 2" xfId="25241" xr:uid="{00000000-0005-0000-0000-000078620000}"/>
    <cellStyle name="Incorrecto 34 3" xfId="25242" xr:uid="{00000000-0005-0000-0000-000079620000}"/>
    <cellStyle name="Incorrecto 34 3 2" xfId="25243" xr:uid="{00000000-0005-0000-0000-00007A620000}"/>
    <cellStyle name="Incorrecto 34 4" xfId="25244" xr:uid="{00000000-0005-0000-0000-00007B620000}"/>
    <cellStyle name="Incorrecto 34 4 2" xfId="25245" xr:uid="{00000000-0005-0000-0000-00007C620000}"/>
    <cellStyle name="Incorrecto 34 5" xfId="25246" xr:uid="{00000000-0005-0000-0000-00007D620000}"/>
    <cellStyle name="Incorrecto 34 6" xfId="25247" xr:uid="{00000000-0005-0000-0000-00007E620000}"/>
    <cellStyle name="Incorrecto 34 7" xfId="25248" xr:uid="{00000000-0005-0000-0000-00007F620000}"/>
    <cellStyle name="Incorrecto 34 8" xfId="25249" xr:uid="{00000000-0005-0000-0000-000080620000}"/>
    <cellStyle name="Incorrecto 34 9" xfId="25250" xr:uid="{00000000-0005-0000-0000-000081620000}"/>
    <cellStyle name="Incorrecto 35 10" xfId="25251" xr:uid="{00000000-0005-0000-0000-000082620000}"/>
    <cellStyle name="Incorrecto 35 11" xfId="25252" xr:uid="{00000000-0005-0000-0000-000083620000}"/>
    <cellStyle name="Incorrecto 35 12" xfId="25253" xr:uid="{00000000-0005-0000-0000-000084620000}"/>
    <cellStyle name="Incorrecto 35 13" xfId="25254" xr:uid="{00000000-0005-0000-0000-000085620000}"/>
    <cellStyle name="Incorrecto 35 14" xfId="25255" xr:uid="{00000000-0005-0000-0000-000086620000}"/>
    <cellStyle name="Incorrecto 35 15" xfId="25256" xr:uid="{00000000-0005-0000-0000-000087620000}"/>
    <cellStyle name="Incorrecto 35 16" xfId="25257" xr:uid="{00000000-0005-0000-0000-000088620000}"/>
    <cellStyle name="Incorrecto 35 17" xfId="25258" xr:uid="{00000000-0005-0000-0000-000089620000}"/>
    <cellStyle name="Incorrecto 35 18" xfId="25259" xr:uid="{00000000-0005-0000-0000-00008A620000}"/>
    <cellStyle name="Incorrecto 35 19" xfId="25260" xr:uid="{00000000-0005-0000-0000-00008B620000}"/>
    <cellStyle name="Incorrecto 35 2" xfId="25261" xr:uid="{00000000-0005-0000-0000-00008C620000}"/>
    <cellStyle name="Incorrecto 35 2 2" xfId="25262" xr:uid="{00000000-0005-0000-0000-00008D620000}"/>
    <cellStyle name="Incorrecto 35 3" xfId="25263" xr:uid="{00000000-0005-0000-0000-00008E620000}"/>
    <cellStyle name="Incorrecto 35 3 2" xfId="25264" xr:uid="{00000000-0005-0000-0000-00008F620000}"/>
    <cellStyle name="Incorrecto 35 4" xfId="25265" xr:uid="{00000000-0005-0000-0000-000090620000}"/>
    <cellStyle name="Incorrecto 35 4 2" xfId="25266" xr:uid="{00000000-0005-0000-0000-000091620000}"/>
    <cellStyle name="Incorrecto 35 5" xfId="25267" xr:uid="{00000000-0005-0000-0000-000092620000}"/>
    <cellStyle name="Incorrecto 35 6" xfId="25268" xr:uid="{00000000-0005-0000-0000-000093620000}"/>
    <cellStyle name="Incorrecto 35 7" xfId="25269" xr:uid="{00000000-0005-0000-0000-000094620000}"/>
    <cellStyle name="Incorrecto 35 8" xfId="25270" xr:uid="{00000000-0005-0000-0000-000095620000}"/>
    <cellStyle name="Incorrecto 35 9" xfId="25271" xr:uid="{00000000-0005-0000-0000-000096620000}"/>
    <cellStyle name="Incorrecto 36 10" xfId="25272" xr:uid="{00000000-0005-0000-0000-000097620000}"/>
    <cellStyle name="Incorrecto 36 11" xfId="25273" xr:uid="{00000000-0005-0000-0000-000098620000}"/>
    <cellStyle name="Incorrecto 36 12" xfId="25274" xr:uid="{00000000-0005-0000-0000-000099620000}"/>
    <cellStyle name="Incorrecto 36 13" xfId="25275" xr:uid="{00000000-0005-0000-0000-00009A620000}"/>
    <cellStyle name="Incorrecto 36 14" xfId="25276" xr:uid="{00000000-0005-0000-0000-00009B620000}"/>
    <cellStyle name="Incorrecto 36 15" xfId="25277" xr:uid="{00000000-0005-0000-0000-00009C620000}"/>
    <cellStyle name="Incorrecto 36 16" xfId="25278" xr:uid="{00000000-0005-0000-0000-00009D620000}"/>
    <cellStyle name="Incorrecto 36 17" xfId="25279" xr:uid="{00000000-0005-0000-0000-00009E620000}"/>
    <cellStyle name="Incorrecto 36 18" xfId="25280" xr:uid="{00000000-0005-0000-0000-00009F620000}"/>
    <cellStyle name="Incorrecto 36 19" xfId="25281" xr:uid="{00000000-0005-0000-0000-0000A0620000}"/>
    <cellStyle name="Incorrecto 36 2" xfId="25282" xr:uid="{00000000-0005-0000-0000-0000A1620000}"/>
    <cellStyle name="Incorrecto 36 2 2" xfId="25283" xr:uid="{00000000-0005-0000-0000-0000A2620000}"/>
    <cellStyle name="Incorrecto 36 3" xfId="25284" xr:uid="{00000000-0005-0000-0000-0000A3620000}"/>
    <cellStyle name="Incorrecto 36 3 2" xfId="25285" xr:uid="{00000000-0005-0000-0000-0000A4620000}"/>
    <cellStyle name="Incorrecto 36 4" xfId="25286" xr:uid="{00000000-0005-0000-0000-0000A5620000}"/>
    <cellStyle name="Incorrecto 36 4 2" xfId="25287" xr:uid="{00000000-0005-0000-0000-0000A6620000}"/>
    <cellStyle name="Incorrecto 36 5" xfId="25288" xr:uid="{00000000-0005-0000-0000-0000A7620000}"/>
    <cellStyle name="Incorrecto 36 6" xfId="25289" xr:uid="{00000000-0005-0000-0000-0000A8620000}"/>
    <cellStyle name="Incorrecto 36 7" xfId="25290" xr:uid="{00000000-0005-0000-0000-0000A9620000}"/>
    <cellStyle name="Incorrecto 36 8" xfId="25291" xr:uid="{00000000-0005-0000-0000-0000AA620000}"/>
    <cellStyle name="Incorrecto 36 9" xfId="25292" xr:uid="{00000000-0005-0000-0000-0000AB620000}"/>
    <cellStyle name="Incorrecto 37 10" xfId="25293" xr:uid="{00000000-0005-0000-0000-0000AC620000}"/>
    <cellStyle name="Incorrecto 37 11" xfId="25294" xr:uid="{00000000-0005-0000-0000-0000AD620000}"/>
    <cellStyle name="Incorrecto 37 12" xfId="25295" xr:uid="{00000000-0005-0000-0000-0000AE620000}"/>
    <cellStyle name="Incorrecto 37 13" xfId="25296" xr:uid="{00000000-0005-0000-0000-0000AF620000}"/>
    <cellStyle name="Incorrecto 37 14" xfId="25297" xr:uid="{00000000-0005-0000-0000-0000B0620000}"/>
    <cellStyle name="Incorrecto 37 15" xfId="25298" xr:uid="{00000000-0005-0000-0000-0000B1620000}"/>
    <cellStyle name="Incorrecto 37 16" xfId="25299" xr:uid="{00000000-0005-0000-0000-0000B2620000}"/>
    <cellStyle name="Incorrecto 37 17" xfId="25300" xr:uid="{00000000-0005-0000-0000-0000B3620000}"/>
    <cellStyle name="Incorrecto 37 18" xfId="25301" xr:uid="{00000000-0005-0000-0000-0000B4620000}"/>
    <cellStyle name="Incorrecto 37 19" xfId="25302" xr:uid="{00000000-0005-0000-0000-0000B5620000}"/>
    <cellStyle name="Incorrecto 37 2" xfId="25303" xr:uid="{00000000-0005-0000-0000-0000B6620000}"/>
    <cellStyle name="Incorrecto 37 2 2" xfId="25304" xr:uid="{00000000-0005-0000-0000-0000B7620000}"/>
    <cellStyle name="Incorrecto 37 3" xfId="25305" xr:uid="{00000000-0005-0000-0000-0000B8620000}"/>
    <cellStyle name="Incorrecto 37 3 2" xfId="25306" xr:uid="{00000000-0005-0000-0000-0000B9620000}"/>
    <cellStyle name="Incorrecto 37 4" xfId="25307" xr:uid="{00000000-0005-0000-0000-0000BA620000}"/>
    <cellStyle name="Incorrecto 37 4 2" xfId="25308" xr:uid="{00000000-0005-0000-0000-0000BB620000}"/>
    <cellStyle name="Incorrecto 37 5" xfId="25309" xr:uid="{00000000-0005-0000-0000-0000BC620000}"/>
    <cellStyle name="Incorrecto 37 6" xfId="25310" xr:uid="{00000000-0005-0000-0000-0000BD620000}"/>
    <cellStyle name="Incorrecto 37 7" xfId="25311" xr:uid="{00000000-0005-0000-0000-0000BE620000}"/>
    <cellStyle name="Incorrecto 37 8" xfId="25312" xr:uid="{00000000-0005-0000-0000-0000BF620000}"/>
    <cellStyle name="Incorrecto 37 9" xfId="25313" xr:uid="{00000000-0005-0000-0000-0000C0620000}"/>
    <cellStyle name="Incorrecto 38 10" xfId="25314" xr:uid="{00000000-0005-0000-0000-0000C1620000}"/>
    <cellStyle name="Incorrecto 38 11" xfId="25315" xr:uid="{00000000-0005-0000-0000-0000C2620000}"/>
    <cellStyle name="Incorrecto 38 12" xfId="25316" xr:uid="{00000000-0005-0000-0000-0000C3620000}"/>
    <cellStyle name="Incorrecto 38 13" xfId="25317" xr:uid="{00000000-0005-0000-0000-0000C4620000}"/>
    <cellStyle name="Incorrecto 38 14" xfId="25318" xr:uid="{00000000-0005-0000-0000-0000C5620000}"/>
    <cellStyle name="Incorrecto 38 15" xfId="25319" xr:uid="{00000000-0005-0000-0000-0000C6620000}"/>
    <cellStyle name="Incorrecto 38 16" xfId="25320" xr:uid="{00000000-0005-0000-0000-0000C7620000}"/>
    <cellStyle name="Incorrecto 38 17" xfId="25321" xr:uid="{00000000-0005-0000-0000-0000C8620000}"/>
    <cellStyle name="Incorrecto 38 18" xfId="25322" xr:uid="{00000000-0005-0000-0000-0000C9620000}"/>
    <cellStyle name="Incorrecto 38 19" xfId="25323" xr:uid="{00000000-0005-0000-0000-0000CA620000}"/>
    <cellStyle name="Incorrecto 38 2" xfId="25324" xr:uid="{00000000-0005-0000-0000-0000CB620000}"/>
    <cellStyle name="Incorrecto 38 2 2" xfId="25325" xr:uid="{00000000-0005-0000-0000-0000CC620000}"/>
    <cellStyle name="Incorrecto 38 3" xfId="25326" xr:uid="{00000000-0005-0000-0000-0000CD620000}"/>
    <cellStyle name="Incorrecto 38 3 2" xfId="25327" xr:uid="{00000000-0005-0000-0000-0000CE620000}"/>
    <cellStyle name="Incorrecto 38 4" xfId="25328" xr:uid="{00000000-0005-0000-0000-0000CF620000}"/>
    <cellStyle name="Incorrecto 38 4 2" xfId="25329" xr:uid="{00000000-0005-0000-0000-0000D0620000}"/>
    <cellStyle name="Incorrecto 38 5" xfId="25330" xr:uid="{00000000-0005-0000-0000-0000D1620000}"/>
    <cellStyle name="Incorrecto 38 6" xfId="25331" xr:uid="{00000000-0005-0000-0000-0000D2620000}"/>
    <cellStyle name="Incorrecto 38 7" xfId="25332" xr:uid="{00000000-0005-0000-0000-0000D3620000}"/>
    <cellStyle name="Incorrecto 38 8" xfId="25333" xr:uid="{00000000-0005-0000-0000-0000D4620000}"/>
    <cellStyle name="Incorrecto 38 9" xfId="25334" xr:uid="{00000000-0005-0000-0000-0000D5620000}"/>
    <cellStyle name="Incorrecto 39" xfId="25335" xr:uid="{00000000-0005-0000-0000-0000D6620000}"/>
    <cellStyle name="Incorrecto 39 10" xfId="25336" xr:uid="{00000000-0005-0000-0000-0000D7620000}"/>
    <cellStyle name="Incorrecto 39 11" xfId="25337" xr:uid="{00000000-0005-0000-0000-0000D8620000}"/>
    <cellStyle name="Incorrecto 39 12" xfId="25338" xr:uid="{00000000-0005-0000-0000-0000D9620000}"/>
    <cellStyle name="Incorrecto 39 13" xfId="25339" xr:uid="{00000000-0005-0000-0000-0000DA620000}"/>
    <cellStyle name="Incorrecto 39 14" xfId="25340" xr:uid="{00000000-0005-0000-0000-0000DB620000}"/>
    <cellStyle name="Incorrecto 39 15" xfId="25341" xr:uid="{00000000-0005-0000-0000-0000DC620000}"/>
    <cellStyle name="Incorrecto 39 16" xfId="25342" xr:uid="{00000000-0005-0000-0000-0000DD620000}"/>
    <cellStyle name="Incorrecto 39 2" xfId="25343" xr:uid="{00000000-0005-0000-0000-0000DE620000}"/>
    <cellStyle name="Incorrecto 39 3" xfId="25344" xr:uid="{00000000-0005-0000-0000-0000DF620000}"/>
    <cellStyle name="Incorrecto 39 4" xfId="25345" xr:uid="{00000000-0005-0000-0000-0000E0620000}"/>
    <cellStyle name="Incorrecto 39 5" xfId="25346" xr:uid="{00000000-0005-0000-0000-0000E1620000}"/>
    <cellStyle name="Incorrecto 39 6" xfId="25347" xr:uid="{00000000-0005-0000-0000-0000E2620000}"/>
    <cellStyle name="Incorrecto 39 7" xfId="25348" xr:uid="{00000000-0005-0000-0000-0000E3620000}"/>
    <cellStyle name="Incorrecto 39 8" xfId="25349" xr:uid="{00000000-0005-0000-0000-0000E4620000}"/>
    <cellStyle name="Incorrecto 39 9" xfId="25350" xr:uid="{00000000-0005-0000-0000-0000E5620000}"/>
    <cellStyle name="Incorrecto 4 10" xfId="25351" xr:uid="{00000000-0005-0000-0000-0000E6620000}"/>
    <cellStyle name="Incorrecto 4 11" xfId="25352" xr:uid="{00000000-0005-0000-0000-0000E7620000}"/>
    <cellStyle name="Incorrecto 4 12" xfId="25353" xr:uid="{00000000-0005-0000-0000-0000E8620000}"/>
    <cellStyle name="Incorrecto 4 13" xfId="25354" xr:uid="{00000000-0005-0000-0000-0000E9620000}"/>
    <cellStyle name="Incorrecto 4 14" xfId="25355" xr:uid="{00000000-0005-0000-0000-0000EA620000}"/>
    <cellStyle name="Incorrecto 4 15" xfId="25356" xr:uid="{00000000-0005-0000-0000-0000EB620000}"/>
    <cellStyle name="Incorrecto 4 16" xfId="25357" xr:uid="{00000000-0005-0000-0000-0000EC620000}"/>
    <cellStyle name="Incorrecto 4 17" xfId="25358" xr:uid="{00000000-0005-0000-0000-0000ED620000}"/>
    <cellStyle name="Incorrecto 4 18" xfId="25359" xr:uid="{00000000-0005-0000-0000-0000EE620000}"/>
    <cellStyle name="Incorrecto 4 19" xfId="25360" xr:uid="{00000000-0005-0000-0000-0000EF620000}"/>
    <cellStyle name="Incorrecto 4 2" xfId="25361" xr:uid="{00000000-0005-0000-0000-0000F0620000}"/>
    <cellStyle name="Incorrecto 4 2 2" xfId="25362" xr:uid="{00000000-0005-0000-0000-0000F1620000}"/>
    <cellStyle name="Incorrecto 4 3" xfId="25363" xr:uid="{00000000-0005-0000-0000-0000F2620000}"/>
    <cellStyle name="Incorrecto 4 3 2" xfId="25364" xr:uid="{00000000-0005-0000-0000-0000F3620000}"/>
    <cellStyle name="Incorrecto 4 4" xfId="25365" xr:uid="{00000000-0005-0000-0000-0000F4620000}"/>
    <cellStyle name="Incorrecto 4 4 2" xfId="25366" xr:uid="{00000000-0005-0000-0000-0000F5620000}"/>
    <cellStyle name="Incorrecto 4 5" xfId="25367" xr:uid="{00000000-0005-0000-0000-0000F6620000}"/>
    <cellStyle name="Incorrecto 4 6" xfId="25368" xr:uid="{00000000-0005-0000-0000-0000F7620000}"/>
    <cellStyle name="Incorrecto 4 7" xfId="25369" xr:uid="{00000000-0005-0000-0000-0000F8620000}"/>
    <cellStyle name="Incorrecto 4 8" xfId="25370" xr:uid="{00000000-0005-0000-0000-0000F9620000}"/>
    <cellStyle name="Incorrecto 4 9" xfId="25371" xr:uid="{00000000-0005-0000-0000-0000FA620000}"/>
    <cellStyle name="Incorrecto 40" xfId="25372" xr:uid="{00000000-0005-0000-0000-0000FB620000}"/>
    <cellStyle name="Incorrecto 40 10" xfId="25373" xr:uid="{00000000-0005-0000-0000-0000FC620000}"/>
    <cellStyle name="Incorrecto 40 11" xfId="25374" xr:uid="{00000000-0005-0000-0000-0000FD620000}"/>
    <cellStyle name="Incorrecto 40 12" xfId="25375" xr:uid="{00000000-0005-0000-0000-0000FE620000}"/>
    <cellStyle name="Incorrecto 40 13" xfId="25376" xr:uid="{00000000-0005-0000-0000-0000FF620000}"/>
    <cellStyle name="Incorrecto 40 14" xfId="25377" xr:uid="{00000000-0005-0000-0000-000000630000}"/>
    <cellStyle name="Incorrecto 40 15" xfId="25378" xr:uid="{00000000-0005-0000-0000-000001630000}"/>
    <cellStyle name="Incorrecto 40 16" xfId="25379" xr:uid="{00000000-0005-0000-0000-000002630000}"/>
    <cellStyle name="Incorrecto 40 2" xfId="25380" xr:uid="{00000000-0005-0000-0000-000003630000}"/>
    <cellStyle name="Incorrecto 40 3" xfId="25381" xr:uid="{00000000-0005-0000-0000-000004630000}"/>
    <cellStyle name="Incorrecto 40 4" xfId="25382" xr:uid="{00000000-0005-0000-0000-000005630000}"/>
    <cellStyle name="Incorrecto 40 5" xfId="25383" xr:uid="{00000000-0005-0000-0000-000006630000}"/>
    <cellStyle name="Incorrecto 40 6" xfId="25384" xr:uid="{00000000-0005-0000-0000-000007630000}"/>
    <cellStyle name="Incorrecto 40 7" xfId="25385" xr:uid="{00000000-0005-0000-0000-000008630000}"/>
    <cellStyle name="Incorrecto 40 8" xfId="25386" xr:uid="{00000000-0005-0000-0000-000009630000}"/>
    <cellStyle name="Incorrecto 40 9" xfId="25387" xr:uid="{00000000-0005-0000-0000-00000A630000}"/>
    <cellStyle name="Incorrecto 41" xfId="25388" xr:uid="{00000000-0005-0000-0000-00000B630000}"/>
    <cellStyle name="Incorrecto 41 10" xfId="25389" xr:uid="{00000000-0005-0000-0000-00000C630000}"/>
    <cellStyle name="Incorrecto 41 11" xfId="25390" xr:uid="{00000000-0005-0000-0000-00000D630000}"/>
    <cellStyle name="Incorrecto 41 12" xfId="25391" xr:uid="{00000000-0005-0000-0000-00000E630000}"/>
    <cellStyle name="Incorrecto 41 13" xfId="25392" xr:uid="{00000000-0005-0000-0000-00000F630000}"/>
    <cellStyle name="Incorrecto 41 14" xfId="25393" xr:uid="{00000000-0005-0000-0000-000010630000}"/>
    <cellStyle name="Incorrecto 41 15" xfId="25394" xr:uid="{00000000-0005-0000-0000-000011630000}"/>
    <cellStyle name="Incorrecto 41 16" xfId="25395" xr:uid="{00000000-0005-0000-0000-000012630000}"/>
    <cellStyle name="Incorrecto 41 2" xfId="25396" xr:uid="{00000000-0005-0000-0000-000013630000}"/>
    <cellStyle name="Incorrecto 41 3" xfId="25397" xr:uid="{00000000-0005-0000-0000-000014630000}"/>
    <cellStyle name="Incorrecto 41 4" xfId="25398" xr:uid="{00000000-0005-0000-0000-000015630000}"/>
    <cellStyle name="Incorrecto 41 5" xfId="25399" xr:uid="{00000000-0005-0000-0000-000016630000}"/>
    <cellStyle name="Incorrecto 41 6" xfId="25400" xr:uid="{00000000-0005-0000-0000-000017630000}"/>
    <cellStyle name="Incorrecto 41 7" xfId="25401" xr:uid="{00000000-0005-0000-0000-000018630000}"/>
    <cellStyle name="Incorrecto 41 8" xfId="25402" xr:uid="{00000000-0005-0000-0000-000019630000}"/>
    <cellStyle name="Incorrecto 41 9" xfId="25403" xr:uid="{00000000-0005-0000-0000-00001A630000}"/>
    <cellStyle name="Incorrecto 42" xfId="25404" xr:uid="{00000000-0005-0000-0000-00001B630000}"/>
    <cellStyle name="Incorrecto 43" xfId="25405" xr:uid="{00000000-0005-0000-0000-00001C630000}"/>
    <cellStyle name="Incorrecto 44" xfId="25406" xr:uid="{00000000-0005-0000-0000-00001D630000}"/>
    <cellStyle name="Incorrecto 45" xfId="25407" xr:uid="{00000000-0005-0000-0000-00001E630000}"/>
    <cellStyle name="Incorrecto 46" xfId="25408" xr:uid="{00000000-0005-0000-0000-00001F630000}"/>
    <cellStyle name="Incorrecto 47" xfId="25409" xr:uid="{00000000-0005-0000-0000-000020630000}"/>
    <cellStyle name="Incorrecto 48" xfId="25410" xr:uid="{00000000-0005-0000-0000-000021630000}"/>
    <cellStyle name="Incorrecto 49" xfId="25411" xr:uid="{00000000-0005-0000-0000-000022630000}"/>
    <cellStyle name="Incorrecto 5 10" xfId="25412" xr:uid="{00000000-0005-0000-0000-000023630000}"/>
    <cellStyle name="Incorrecto 5 11" xfId="25413" xr:uid="{00000000-0005-0000-0000-000024630000}"/>
    <cellStyle name="Incorrecto 5 12" xfId="25414" xr:uid="{00000000-0005-0000-0000-000025630000}"/>
    <cellStyle name="Incorrecto 5 13" xfId="25415" xr:uid="{00000000-0005-0000-0000-000026630000}"/>
    <cellStyle name="Incorrecto 5 14" xfId="25416" xr:uid="{00000000-0005-0000-0000-000027630000}"/>
    <cellStyle name="Incorrecto 5 15" xfId="25417" xr:uid="{00000000-0005-0000-0000-000028630000}"/>
    <cellStyle name="Incorrecto 5 16" xfId="25418" xr:uid="{00000000-0005-0000-0000-000029630000}"/>
    <cellStyle name="Incorrecto 5 17" xfId="25419" xr:uid="{00000000-0005-0000-0000-00002A630000}"/>
    <cellStyle name="Incorrecto 5 18" xfId="25420" xr:uid="{00000000-0005-0000-0000-00002B630000}"/>
    <cellStyle name="Incorrecto 5 19" xfId="25421" xr:uid="{00000000-0005-0000-0000-00002C630000}"/>
    <cellStyle name="Incorrecto 5 2" xfId="25422" xr:uid="{00000000-0005-0000-0000-00002D630000}"/>
    <cellStyle name="Incorrecto 5 2 2" xfId="25423" xr:uid="{00000000-0005-0000-0000-00002E630000}"/>
    <cellStyle name="Incorrecto 5 3" xfId="25424" xr:uid="{00000000-0005-0000-0000-00002F630000}"/>
    <cellStyle name="Incorrecto 5 3 2" xfId="25425" xr:uid="{00000000-0005-0000-0000-000030630000}"/>
    <cellStyle name="Incorrecto 5 4" xfId="25426" xr:uid="{00000000-0005-0000-0000-000031630000}"/>
    <cellStyle name="Incorrecto 5 4 2" xfId="25427" xr:uid="{00000000-0005-0000-0000-000032630000}"/>
    <cellStyle name="Incorrecto 5 5" xfId="25428" xr:uid="{00000000-0005-0000-0000-000033630000}"/>
    <cellStyle name="Incorrecto 5 6" xfId="25429" xr:uid="{00000000-0005-0000-0000-000034630000}"/>
    <cellStyle name="Incorrecto 5 7" xfId="25430" xr:uid="{00000000-0005-0000-0000-000035630000}"/>
    <cellStyle name="Incorrecto 5 8" xfId="25431" xr:uid="{00000000-0005-0000-0000-000036630000}"/>
    <cellStyle name="Incorrecto 5 9" xfId="25432" xr:uid="{00000000-0005-0000-0000-000037630000}"/>
    <cellStyle name="Incorrecto 50" xfId="25433" xr:uid="{00000000-0005-0000-0000-000038630000}"/>
    <cellStyle name="Incorrecto 51" xfId="25434" xr:uid="{00000000-0005-0000-0000-000039630000}"/>
    <cellStyle name="Incorrecto 52" xfId="25435" xr:uid="{00000000-0005-0000-0000-00003A630000}"/>
    <cellStyle name="Incorrecto 53" xfId="25436" xr:uid="{00000000-0005-0000-0000-00003B630000}"/>
    <cellStyle name="Incorrecto 54" xfId="25437" xr:uid="{00000000-0005-0000-0000-00003C630000}"/>
    <cellStyle name="Incorrecto 55" xfId="25438" xr:uid="{00000000-0005-0000-0000-00003D630000}"/>
    <cellStyle name="Incorrecto 56" xfId="25439" xr:uid="{00000000-0005-0000-0000-00003E630000}"/>
    <cellStyle name="Incorrecto 57" xfId="25440" xr:uid="{00000000-0005-0000-0000-00003F630000}"/>
    <cellStyle name="Incorrecto 58" xfId="25441" xr:uid="{00000000-0005-0000-0000-000040630000}"/>
    <cellStyle name="Incorrecto 59" xfId="25442" xr:uid="{00000000-0005-0000-0000-000041630000}"/>
    <cellStyle name="Incorrecto 6 10" xfId="25443" xr:uid="{00000000-0005-0000-0000-000042630000}"/>
    <cellStyle name="Incorrecto 6 11" xfId="25444" xr:uid="{00000000-0005-0000-0000-000043630000}"/>
    <cellStyle name="Incorrecto 6 12" xfId="25445" xr:uid="{00000000-0005-0000-0000-000044630000}"/>
    <cellStyle name="Incorrecto 6 13" xfId="25446" xr:uid="{00000000-0005-0000-0000-000045630000}"/>
    <cellStyle name="Incorrecto 6 14" xfId="25447" xr:uid="{00000000-0005-0000-0000-000046630000}"/>
    <cellStyle name="Incorrecto 6 15" xfId="25448" xr:uid="{00000000-0005-0000-0000-000047630000}"/>
    <cellStyle name="Incorrecto 6 16" xfId="25449" xr:uid="{00000000-0005-0000-0000-000048630000}"/>
    <cellStyle name="Incorrecto 6 17" xfId="25450" xr:uid="{00000000-0005-0000-0000-000049630000}"/>
    <cellStyle name="Incorrecto 6 18" xfId="25451" xr:uid="{00000000-0005-0000-0000-00004A630000}"/>
    <cellStyle name="Incorrecto 6 19" xfId="25452" xr:uid="{00000000-0005-0000-0000-00004B630000}"/>
    <cellStyle name="Incorrecto 6 2" xfId="25453" xr:uid="{00000000-0005-0000-0000-00004C630000}"/>
    <cellStyle name="Incorrecto 6 2 2" xfId="25454" xr:uid="{00000000-0005-0000-0000-00004D630000}"/>
    <cellStyle name="Incorrecto 6 3" xfId="25455" xr:uid="{00000000-0005-0000-0000-00004E630000}"/>
    <cellStyle name="Incorrecto 6 3 2" xfId="25456" xr:uid="{00000000-0005-0000-0000-00004F630000}"/>
    <cellStyle name="Incorrecto 6 4" xfId="25457" xr:uid="{00000000-0005-0000-0000-000050630000}"/>
    <cellStyle name="Incorrecto 6 4 2" xfId="25458" xr:uid="{00000000-0005-0000-0000-000051630000}"/>
    <cellStyle name="Incorrecto 6 5" xfId="25459" xr:uid="{00000000-0005-0000-0000-000052630000}"/>
    <cellStyle name="Incorrecto 6 6" xfId="25460" xr:uid="{00000000-0005-0000-0000-000053630000}"/>
    <cellStyle name="Incorrecto 6 7" xfId="25461" xr:uid="{00000000-0005-0000-0000-000054630000}"/>
    <cellStyle name="Incorrecto 6 8" xfId="25462" xr:uid="{00000000-0005-0000-0000-000055630000}"/>
    <cellStyle name="Incorrecto 6 9" xfId="25463" xr:uid="{00000000-0005-0000-0000-000056630000}"/>
    <cellStyle name="Incorrecto 60" xfId="25464" xr:uid="{00000000-0005-0000-0000-000057630000}"/>
    <cellStyle name="Incorrecto 61" xfId="25465" xr:uid="{00000000-0005-0000-0000-000058630000}"/>
    <cellStyle name="Incorrecto 62" xfId="25466" xr:uid="{00000000-0005-0000-0000-000059630000}"/>
    <cellStyle name="Incorrecto 63" xfId="25467" xr:uid="{00000000-0005-0000-0000-00005A630000}"/>
    <cellStyle name="Incorrecto 64" xfId="25468" xr:uid="{00000000-0005-0000-0000-00005B630000}"/>
    <cellStyle name="Incorrecto 7 10" xfId="25469" xr:uid="{00000000-0005-0000-0000-00005C630000}"/>
    <cellStyle name="Incorrecto 7 11" xfId="25470" xr:uid="{00000000-0005-0000-0000-00005D630000}"/>
    <cellStyle name="Incorrecto 7 12" xfId="25471" xr:uid="{00000000-0005-0000-0000-00005E630000}"/>
    <cellStyle name="Incorrecto 7 13" xfId="25472" xr:uid="{00000000-0005-0000-0000-00005F630000}"/>
    <cellStyle name="Incorrecto 7 14" xfId="25473" xr:uid="{00000000-0005-0000-0000-000060630000}"/>
    <cellStyle name="Incorrecto 7 15" xfId="25474" xr:uid="{00000000-0005-0000-0000-000061630000}"/>
    <cellStyle name="Incorrecto 7 16" xfId="25475" xr:uid="{00000000-0005-0000-0000-000062630000}"/>
    <cellStyle name="Incorrecto 7 17" xfId="25476" xr:uid="{00000000-0005-0000-0000-000063630000}"/>
    <cellStyle name="Incorrecto 7 18" xfId="25477" xr:uid="{00000000-0005-0000-0000-000064630000}"/>
    <cellStyle name="Incorrecto 7 19" xfId="25478" xr:uid="{00000000-0005-0000-0000-000065630000}"/>
    <cellStyle name="Incorrecto 7 2" xfId="25479" xr:uid="{00000000-0005-0000-0000-000066630000}"/>
    <cellStyle name="Incorrecto 7 2 2" xfId="25480" xr:uid="{00000000-0005-0000-0000-000067630000}"/>
    <cellStyle name="Incorrecto 7 3" xfId="25481" xr:uid="{00000000-0005-0000-0000-000068630000}"/>
    <cellStyle name="Incorrecto 7 3 2" xfId="25482" xr:uid="{00000000-0005-0000-0000-000069630000}"/>
    <cellStyle name="Incorrecto 7 4" xfId="25483" xr:uid="{00000000-0005-0000-0000-00006A630000}"/>
    <cellStyle name="Incorrecto 7 4 2" xfId="25484" xr:uid="{00000000-0005-0000-0000-00006B630000}"/>
    <cellStyle name="Incorrecto 7 5" xfId="25485" xr:uid="{00000000-0005-0000-0000-00006C630000}"/>
    <cellStyle name="Incorrecto 7 6" xfId="25486" xr:uid="{00000000-0005-0000-0000-00006D630000}"/>
    <cellStyle name="Incorrecto 7 7" xfId="25487" xr:uid="{00000000-0005-0000-0000-00006E630000}"/>
    <cellStyle name="Incorrecto 7 8" xfId="25488" xr:uid="{00000000-0005-0000-0000-00006F630000}"/>
    <cellStyle name="Incorrecto 7 9" xfId="25489" xr:uid="{00000000-0005-0000-0000-000070630000}"/>
    <cellStyle name="Incorrecto 8 10" xfId="25490" xr:uid="{00000000-0005-0000-0000-000071630000}"/>
    <cellStyle name="Incorrecto 8 11" xfId="25491" xr:uid="{00000000-0005-0000-0000-000072630000}"/>
    <cellStyle name="Incorrecto 8 12" xfId="25492" xr:uid="{00000000-0005-0000-0000-000073630000}"/>
    <cellStyle name="Incorrecto 8 13" xfId="25493" xr:uid="{00000000-0005-0000-0000-000074630000}"/>
    <cellStyle name="Incorrecto 8 14" xfId="25494" xr:uid="{00000000-0005-0000-0000-000075630000}"/>
    <cellStyle name="Incorrecto 8 15" xfId="25495" xr:uid="{00000000-0005-0000-0000-000076630000}"/>
    <cellStyle name="Incorrecto 8 16" xfId="25496" xr:uid="{00000000-0005-0000-0000-000077630000}"/>
    <cellStyle name="Incorrecto 8 17" xfId="25497" xr:uid="{00000000-0005-0000-0000-000078630000}"/>
    <cellStyle name="Incorrecto 8 18" xfId="25498" xr:uid="{00000000-0005-0000-0000-000079630000}"/>
    <cellStyle name="Incorrecto 8 19" xfId="25499" xr:uid="{00000000-0005-0000-0000-00007A630000}"/>
    <cellStyle name="Incorrecto 8 2" xfId="25500" xr:uid="{00000000-0005-0000-0000-00007B630000}"/>
    <cellStyle name="Incorrecto 8 2 2" xfId="25501" xr:uid="{00000000-0005-0000-0000-00007C630000}"/>
    <cellStyle name="Incorrecto 8 3" xfId="25502" xr:uid="{00000000-0005-0000-0000-00007D630000}"/>
    <cellStyle name="Incorrecto 8 3 2" xfId="25503" xr:uid="{00000000-0005-0000-0000-00007E630000}"/>
    <cellStyle name="Incorrecto 8 4" xfId="25504" xr:uid="{00000000-0005-0000-0000-00007F630000}"/>
    <cellStyle name="Incorrecto 8 4 2" xfId="25505" xr:uid="{00000000-0005-0000-0000-000080630000}"/>
    <cellStyle name="Incorrecto 8 5" xfId="25506" xr:uid="{00000000-0005-0000-0000-000081630000}"/>
    <cellStyle name="Incorrecto 8 6" xfId="25507" xr:uid="{00000000-0005-0000-0000-000082630000}"/>
    <cellStyle name="Incorrecto 8 7" xfId="25508" xr:uid="{00000000-0005-0000-0000-000083630000}"/>
    <cellStyle name="Incorrecto 8 8" xfId="25509" xr:uid="{00000000-0005-0000-0000-000084630000}"/>
    <cellStyle name="Incorrecto 8 9" xfId="25510" xr:uid="{00000000-0005-0000-0000-000085630000}"/>
    <cellStyle name="Incorrecto 9 10" xfId="25511" xr:uid="{00000000-0005-0000-0000-000086630000}"/>
    <cellStyle name="Incorrecto 9 11" xfId="25512" xr:uid="{00000000-0005-0000-0000-000087630000}"/>
    <cellStyle name="Incorrecto 9 12" xfId="25513" xr:uid="{00000000-0005-0000-0000-000088630000}"/>
    <cellStyle name="Incorrecto 9 13" xfId="25514" xr:uid="{00000000-0005-0000-0000-000089630000}"/>
    <cellStyle name="Incorrecto 9 14" xfId="25515" xr:uid="{00000000-0005-0000-0000-00008A630000}"/>
    <cellStyle name="Incorrecto 9 15" xfId="25516" xr:uid="{00000000-0005-0000-0000-00008B630000}"/>
    <cellStyle name="Incorrecto 9 16" xfId="25517" xr:uid="{00000000-0005-0000-0000-00008C630000}"/>
    <cellStyle name="Incorrecto 9 17" xfId="25518" xr:uid="{00000000-0005-0000-0000-00008D630000}"/>
    <cellStyle name="Incorrecto 9 18" xfId="25519" xr:uid="{00000000-0005-0000-0000-00008E630000}"/>
    <cellStyle name="Incorrecto 9 19" xfId="25520" xr:uid="{00000000-0005-0000-0000-00008F630000}"/>
    <cellStyle name="Incorrecto 9 2" xfId="25521" xr:uid="{00000000-0005-0000-0000-000090630000}"/>
    <cellStyle name="Incorrecto 9 2 2" xfId="25522" xr:uid="{00000000-0005-0000-0000-000091630000}"/>
    <cellStyle name="Incorrecto 9 3" xfId="25523" xr:uid="{00000000-0005-0000-0000-000092630000}"/>
    <cellStyle name="Incorrecto 9 3 2" xfId="25524" xr:uid="{00000000-0005-0000-0000-000093630000}"/>
    <cellStyle name="Incorrecto 9 4" xfId="25525" xr:uid="{00000000-0005-0000-0000-000094630000}"/>
    <cellStyle name="Incorrecto 9 4 2" xfId="25526" xr:uid="{00000000-0005-0000-0000-000095630000}"/>
    <cellStyle name="Incorrecto 9 5" xfId="25527" xr:uid="{00000000-0005-0000-0000-000096630000}"/>
    <cellStyle name="Incorrecto 9 6" xfId="25528" xr:uid="{00000000-0005-0000-0000-000097630000}"/>
    <cellStyle name="Incorrecto 9 7" xfId="25529" xr:uid="{00000000-0005-0000-0000-000098630000}"/>
    <cellStyle name="Incorrecto 9 8" xfId="25530" xr:uid="{00000000-0005-0000-0000-000099630000}"/>
    <cellStyle name="Incorrecto 9 9" xfId="25531" xr:uid="{00000000-0005-0000-0000-00009A630000}"/>
    <cellStyle name="Millares" xfId="1" builtinId="3"/>
    <cellStyle name="Millares 10" xfId="25532" xr:uid="{00000000-0005-0000-0000-00009C630000}"/>
    <cellStyle name="Millares 11" xfId="25533" xr:uid="{00000000-0005-0000-0000-00009D630000}"/>
    <cellStyle name="Millares 13" xfId="25534" xr:uid="{00000000-0005-0000-0000-00009E630000}"/>
    <cellStyle name="Millares 13 10" xfId="25535" xr:uid="{00000000-0005-0000-0000-00009F630000}"/>
    <cellStyle name="Millares 13 11" xfId="25536" xr:uid="{00000000-0005-0000-0000-0000A0630000}"/>
    <cellStyle name="Millares 13 12" xfId="25537" xr:uid="{00000000-0005-0000-0000-0000A1630000}"/>
    <cellStyle name="Millares 13 2" xfId="25538" xr:uid="{00000000-0005-0000-0000-0000A2630000}"/>
    <cellStyle name="Millares 13 3" xfId="25539" xr:uid="{00000000-0005-0000-0000-0000A3630000}"/>
    <cellStyle name="Millares 13 4" xfId="25540" xr:uid="{00000000-0005-0000-0000-0000A4630000}"/>
    <cellStyle name="Millares 13 5" xfId="25541" xr:uid="{00000000-0005-0000-0000-0000A5630000}"/>
    <cellStyle name="Millares 13 6" xfId="25542" xr:uid="{00000000-0005-0000-0000-0000A6630000}"/>
    <cellStyle name="Millares 13 7" xfId="25543" xr:uid="{00000000-0005-0000-0000-0000A7630000}"/>
    <cellStyle name="Millares 13 8" xfId="25544" xr:uid="{00000000-0005-0000-0000-0000A8630000}"/>
    <cellStyle name="Millares 13 9" xfId="25545" xr:uid="{00000000-0005-0000-0000-0000A9630000}"/>
    <cellStyle name="Millares 2" xfId="5" xr:uid="{00000000-0005-0000-0000-0000AA630000}"/>
    <cellStyle name="Millares 2 10" xfId="25546" xr:uid="{00000000-0005-0000-0000-0000AB630000}"/>
    <cellStyle name="Millares 2 11" xfId="25547" xr:uid="{00000000-0005-0000-0000-0000AC630000}"/>
    <cellStyle name="Millares 2 12" xfId="25548" xr:uid="{00000000-0005-0000-0000-0000AD630000}"/>
    <cellStyle name="Millares 2 2" xfId="12" xr:uid="{00000000-0005-0000-0000-0000AE630000}"/>
    <cellStyle name="Millares 2 3" xfId="13" xr:uid="{00000000-0005-0000-0000-0000AF630000}"/>
    <cellStyle name="Millares 2 3 2" xfId="14" xr:uid="{00000000-0005-0000-0000-0000B0630000}"/>
    <cellStyle name="Millares 2 3 3" xfId="15" xr:uid="{00000000-0005-0000-0000-0000B1630000}"/>
    <cellStyle name="Millares 2 4" xfId="25549" xr:uid="{00000000-0005-0000-0000-0000B2630000}"/>
    <cellStyle name="Millares 2 5" xfId="25550" xr:uid="{00000000-0005-0000-0000-0000B3630000}"/>
    <cellStyle name="Millares 2 6" xfId="25551" xr:uid="{00000000-0005-0000-0000-0000B4630000}"/>
    <cellStyle name="Millares 2 7" xfId="25552" xr:uid="{00000000-0005-0000-0000-0000B5630000}"/>
    <cellStyle name="Millares 2 8" xfId="25553" xr:uid="{00000000-0005-0000-0000-0000B6630000}"/>
    <cellStyle name="Millares 2 9" xfId="25554" xr:uid="{00000000-0005-0000-0000-0000B7630000}"/>
    <cellStyle name="Millares 3" xfId="16" xr:uid="{00000000-0005-0000-0000-0000B8630000}"/>
    <cellStyle name="Millares 3 10" xfId="25555" xr:uid="{00000000-0005-0000-0000-0000B9630000}"/>
    <cellStyle name="Millares 3 11" xfId="25556" xr:uid="{00000000-0005-0000-0000-0000BA630000}"/>
    <cellStyle name="Millares 3 12" xfId="25557" xr:uid="{00000000-0005-0000-0000-0000BB630000}"/>
    <cellStyle name="Millares 3 2" xfId="25558" xr:uid="{00000000-0005-0000-0000-0000BC630000}"/>
    <cellStyle name="Millares 3 3" xfId="25559" xr:uid="{00000000-0005-0000-0000-0000BD630000}"/>
    <cellStyle name="Millares 3 4" xfId="25560" xr:uid="{00000000-0005-0000-0000-0000BE630000}"/>
    <cellStyle name="Millares 3 5" xfId="25561" xr:uid="{00000000-0005-0000-0000-0000BF630000}"/>
    <cellStyle name="Millares 3 6" xfId="25562" xr:uid="{00000000-0005-0000-0000-0000C0630000}"/>
    <cellStyle name="Millares 3 7" xfId="25563" xr:uid="{00000000-0005-0000-0000-0000C1630000}"/>
    <cellStyle name="Millares 3 8" xfId="25564" xr:uid="{00000000-0005-0000-0000-0000C2630000}"/>
    <cellStyle name="Millares 3 9" xfId="25565" xr:uid="{00000000-0005-0000-0000-0000C3630000}"/>
    <cellStyle name="Millares 4" xfId="17" xr:uid="{00000000-0005-0000-0000-0000C4630000}"/>
    <cellStyle name="Millares 4 10" xfId="25566" xr:uid="{00000000-0005-0000-0000-0000C5630000}"/>
    <cellStyle name="Millares 4 11" xfId="25567" xr:uid="{00000000-0005-0000-0000-0000C6630000}"/>
    <cellStyle name="Millares 4 12" xfId="25568" xr:uid="{00000000-0005-0000-0000-0000C7630000}"/>
    <cellStyle name="Millares 4 2" xfId="18" xr:uid="{00000000-0005-0000-0000-0000C8630000}"/>
    <cellStyle name="Millares 4 2 2" xfId="19" xr:uid="{00000000-0005-0000-0000-0000C9630000}"/>
    <cellStyle name="Millares 4 2 3" xfId="20" xr:uid="{00000000-0005-0000-0000-0000CA630000}"/>
    <cellStyle name="Millares 4 3" xfId="21" xr:uid="{00000000-0005-0000-0000-0000CB630000}"/>
    <cellStyle name="Millares 4 4" xfId="22" xr:uid="{00000000-0005-0000-0000-0000CC630000}"/>
    <cellStyle name="Millares 4 5" xfId="25569" xr:uid="{00000000-0005-0000-0000-0000CD630000}"/>
    <cellStyle name="Millares 4 6" xfId="25570" xr:uid="{00000000-0005-0000-0000-0000CE630000}"/>
    <cellStyle name="Millares 4 7" xfId="25571" xr:uid="{00000000-0005-0000-0000-0000CF630000}"/>
    <cellStyle name="Millares 4 8" xfId="25572" xr:uid="{00000000-0005-0000-0000-0000D0630000}"/>
    <cellStyle name="Millares 4 9" xfId="25573" xr:uid="{00000000-0005-0000-0000-0000D1630000}"/>
    <cellStyle name="Millares 5" xfId="23" xr:uid="{00000000-0005-0000-0000-0000D2630000}"/>
    <cellStyle name="Millares 5 2" xfId="24" xr:uid="{00000000-0005-0000-0000-0000D3630000}"/>
    <cellStyle name="Millares 5 3" xfId="25" xr:uid="{00000000-0005-0000-0000-0000D4630000}"/>
    <cellStyle name="Millares 6" xfId="26" xr:uid="{00000000-0005-0000-0000-0000D5630000}"/>
    <cellStyle name="Millares 6 2" xfId="27" xr:uid="{00000000-0005-0000-0000-0000D6630000}"/>
    <cellStyle name="Millares 6 3" xfId="28" xr:uid="{00000000-0005-0000-0000-0000D7630000}"/>
    <cellStyle name="Millares 7" xfId="29" xr:uid="{00000000-0005-0000-0000-0000D8630000}"/>
    <cellStyle name="Millares 7 2" xfId="30" xr:uid="{00000000-0005-0000-0000-0000D9630000}"/>
    <cellStyle name="Millares 7 3" xfId="31" xr:uid="{00000000-0005-0000-0000-0000DA630000}"/>
    <cellStyle name="Millares 8" xfId="32" xr:uid="{00000000-0005-0000-0000-0000DB630000}"/>
    <cellStyle name="Millares 8 2" xfId="33" xr:uid="{00000000-0005-0000-0000-0000DC630000}"/>
    <cellStyle name="Millares 9" xfId="34" xr:uid="{00000000-0005-0000-0000-0000DD630000}"/>
    <cellStyle name="Millares 9 2" xfId="25574" xr:uid="{00000000-0005-0000-0000-0000DE630000}"/>
    <cellStyle name="Moneda" xfId="2" builtinId="4"/>
    <cellStyle name="Moneda 2" xfId="6" xr:uid="{00000000-0005-0000-0000-0000E0630000}"/>
    <cellStyle name="Moneda 2 2" xfId="35" xr:uid="{00000000-0005-0000-0000-0000E1630000}"/>
    <cellStyle name="Moneda 3" xfId="36" xr:uid="{00000000-0005-0000-0000-0000E2630000}"/>
    <cellStyle name="Moneda 3 2" xfId="37" xr:uid="{00000000-0005-0000-0000-0000E3630000}"/>
    <cellStyle name="Moneda 3 2 2" xfId="38" xr:uid="{00000000-0005-0000-0000-0000E4630000}"/>
    <cellStyle name="Moneda 3 3" xfId="39" xr:uid="{00000000-0005-0000-0000-0000E5630000}"/>
    <cellStyle name="Moneda 4" xfId="40" xr:uid="{00000000-0005-0000-0000-0000E6630000}"/>
    <cellStyle name="Moneda 4 2" xfId="41" xr:uid="{00000000-0005-0000-0000-0000E7630000}"/>
    <cellStyle name="Moneda 4 3" xfId="42" xr:uid="{00000000-0005-0000-0000-0000E8630000}"/>
    <cellStyle name="Moneda 5" xfId="43" xr:uid="{00000000-0005-0000-0000-0000E9630000}"/>
    <cellStyle name="Moneda 5 2" xfId="44" xr:uid="{00000000-0005-0000-0000-0000EA630000}"/>
    <cellStyle name="Moneda 5 3" xfId="45" xr:uid="{00000000-0005-0000-0000-0000EB630000}"/>
    <cellStyle name="Moneda 6" xfId="46" xr:uid="{00000000-0005-0000-0000-0000EC630000}"/>
    <cellStyle name="Moneda 6 2" xfId="47" xr:uid="{00000000-0005-0000-0000-0000ED630000}"/>
    <cellStyle name="Neutral" xfId="32519" builtinId="28" customBuiltin="1"/>
    <cellStyle name="Neutral 10 10" xfId="25575" xr:uid="{00000000-0005-0000-0000-0000EF630000}"/>
    <cellStyle name="Neutral 10 11" xfId="25576" xr:uid="{00000000-0005-0000-0000-0000F0630000}"/>
    <cellStyle name="Neutral 10 12" xfId="25577" xr:uid="{00000000-0005-0000-0000-0000F1630000}"/>
    <cellStyle name="Neutral 10 13" xfId="25578" xr:uid="{00000000-0005-0000-0000-0000F2630000}"/>
    <cellStyle name="Neutral 10 14" xfId="25579" xr:uid="{00000000-0005-0000-0000-0000F3630000}"/>
    <cellStyle name="Neutral 10 15" xfId="25580" xr:uid="{00000000-0005-0000-0000-0000F4630000}"/>
    <cellStyle name="Neutral 10 16" xfId="25581" xr:uid="{00000000-0005-0000-0000-0000F5630000}"/>
    <cellStyle name="Neutral 10 17" xfId="25582" xr:uid="{00000000-0005-0000-0000-0000F6630000}"/>
    <cellStyle name="Neutral 10 18" xfId="25583" xr:uid="{00000000-0005-0000-0000-0000F7630000}"/>
    <cellStyle name="Neutral 10 19" xfId="25584" xr:uid="{00000000-0005-0000-0000-0000F8630000}"/>
    <cellStyle name="Neutral 10 2" xfId="25585" xr:uid="{00000000-0005-0000-0000-0000F9630000}"/>
    <cellStyle name="Neutral 10 2 2" xfId="25586" xr:uid="{00000000-0005-0000-0000-0000FA630000}"/>
    <cellStyle name="Neutral 10 3" xfId="25587" xr:uid="{00000000-0005-0000-0000-0000FB630000}"/>
    <cellStyle name="Neutral 10 3 2" xfId="25588" xr:uid="{00000000-0005-0000-0000-0000FC630000}"/>
    <cellStyle name="Neutral 10 4" xfId="25589" xr:uid="{00000000-0005-0000-0000-0000FD630000}"/>
    <cellStyle name="Neutral 10 4 2" xfId="25590" xr:uid="{00000000-0005-0000-0000-0000FE630000}"/>
    <cellStyle name="Neutral 10 5" xfId="25591" xr:uid="{00000000-0005-0000-0000-0000FF630000}"/>
    <cellStyle name="Neutral 10 6" xfId="25592" xr:uid="{00000000-0005-0000-0000-000000640000}"/>
    <cellStyle name="Neutral 10 7" xfId="25593" xr:uid="{00000000-0005-0000-0000-000001640000}"/>
    <cellStyle name="Neutral 10 8" xfId="25594" xr:uid="{00000000-0005-0000-0000-000002640000}"/>
    <cellStyle name="Neutral 10 9" xfId="25595" xr:uid="{00000000-0005-0000-0000-000003640000}"/>
    <cellStyle name="Neutral 11 10" xfId="25596" xr:uid="{00000000-0005-0000-0000-000004640000}"/>
    <cellStyle name="Neutral 11 11" xfId="25597" xr:uid="{00000000-0005-0000-0000-000005640000}"/>
    <cellStyle name="Neutral 11 12" xfId="25598" xr:uid="{00000000-0005-0000-0000-000006640000}"/>
    <cellStyle name="Neutral 11 13" xfId="25599" xr:uid="{00000000-0005-0000-0000-000007640000}"/>
    <cellStyle name="Neutral 11 14" xfId="25600" xr:uid="{00000000-0005-0000-0000-000008640000}"/>
    <cellStyle name="Neutral 11 15" xfId="25601" xr:uid="{00000000-0005-0000-0000-000009640000}"/>
    <cellStyle name="Neutral 11 16" xfId="25602" xr:uid="{00000000-0005-0000-0000-00000A640000}"/>
    <cellStyle name="Neutral 11 17" xfId="25603" xr:uid="{00000000-0005-0000-0000-00000B640000}"/>
    <cellStyle name="Neutral 11 18" xfId="25604" xr:uid="{00000000-0005-0000-0000-00000C640000}"/>
    <cellStyle name="Neutral 11 19" xfId="25605" xr:uid="{00000000-0005-0000-0000-00000D640000}"/>
    <cellStyle name="Neutral 11 2" xfId="25606" xr:uid="{00000000-0005-0000-0000-00000E640000}"/>
    <cellStyle name="Neutral 11 2 2" xfId="25607" xr:uid="{00000000-0005-0000-0000-00000F640000}"/>
    <cellStyle name="Neutral 11 3" xfId="25608" xr:uid="{00000000-0005-0000-0000-000010640000}"/>
    <cellStyle name="Neutral 11 3 2" xfId="25609" xr:uid="{00000000-0005-0000-0000-000011640000}"/>
    <cellStyle name="Neutral 11 4" xfId="25610" xr:uid="{00000000-0005-0000-0000-000012640000}"/>
    <cellStyle name="Neutral 11 4 2" xfId="25611" xr:uid="{00000000-0005-0000-0000-000013640000}"/>
    <cellStyle name="Neutral 11 5" xfId="25612" xr:uid="{00000000-0005-0000-0000-000014640000}"/>
    <cellStyle name="Neutral 11 6" xfId="25613" xr:uid="{00000000-0005-0000-0000-000015640000}"/>
    <cellStyle name="Neutral 11 7" xfId="25614" xr:uid="{00000000-0005-0000-0000-000016640000}"/>
    <cellStyle name="Neutral 11 8" xfId="25615" xr:uid="{00000000-0005-0000-0000-000017640000}"/>
    <cellStyle name="Neutral 11 9" xfId="25616" xr:uid="{00000000-0005-0000-0000-000018640000}"/>
    <cellStyle name="Neutral 12 10" xfId="25617" xr:uid="{00000000-0005-0000-0000-000019640000}"/>
    <cellStyle name="Neutral 12 11" xfId="25618" xr:uid="{00000000-0005-0000-0000-00001A640000}"/>
    <cellStyle name="Neutral 12 12" xfId="25619" xr:uid="{00000000-0005-0000-0000-00001B640000}"/>
    <cellStyle name="Neutral 12 13" xfId="25620" xr:uid="{00000000-0005-0000-0000-00001C640000}"/>
    <cellStyle name="Neutral 12 14" xfId="25621" xr:uid="{00000000-0005-0000-0000-00001D640000}"/>
    <cellStyle name="Neutral 12 15" xfId="25622" xr:uid="{00000000-0005-0000-0000-00001E640000}"/>
    <cellStyle name="Neutral 12 16" xfId="25623" xr:uid="{00000000-0005-0000-0000-00001F640000}"/>
    <cellStyle name="Neutral 12 17" xfId="25624" xr:uid="{00000000-0005-0000-0000-000020640000}"/>
    <cellStyle name="Neutral 12 18" xfId="25625" xr:uid="{00000000-0005-0000-0000-000021640000}"/>
    <cellStyle name="Neutral 12 19" xfId="25626" xr:uid="{00000000-0005-0000-0000-000022640000}"/>
    <cellStyle name="Neutral 12 2" xfId="25627" xr:uid="{00000000-0005-0000-0000-000023640000}"/>
    <cellStyle name="Neutral 12 2 2" xfId="25628" xr:uid="{00000000-0005-0000-0000-000024640000}"/>
    <cellStyle name="Neutral 12 3" xfId="25629" xr:uid="{00000000-0005-0000-0000-000025640000}"/>
    <cellStyle name="Neutral 12 3 2" xfId="25630" xr:uid="{00000000-0005-0000-0000-000026640000}"/>
    <cellStyle name="Neutral 12 4" xfId="25631" xr:uid="{00000000-0005-0000-0000-000027640000}"/>
    <cellStyle name="Neutral 12 4 2" xfId="25632" xr:uid="{00000000-0005-0000-0000-000028640000}"/>
    <cellStyle name="Neutral 12 5" xfId="25633" xr:uid="{00000000-0005-0000-0000-000029640000}"/>
    <cellStyle name="Neutral 12 6" xfId="25634" xr:uid="{00000000-0005-0000-0000-00002A640000}"/>
    <cellStyle name="Neutral 12 7" xfId="25635" xr:uid="{00000000-0005-0000-0000-00002B640000}"/>
    <cellStyle name="Neutral 12 8" xfId="25636" xr:uid="{00000000-0005-0000-0000-00002C640000}"/>
    <cellStyle name="Neutral 12 9" xfId="25637" xr:uid="{00000000-0005-0000-0000-00002D640000}"/>
    <cellStyle name="Neutral 13 10" xfId="25638" xr:uid="{00000000-0005-0000-0000-00002E640000}"/>
    <cellStyle name="Neutral 13 11" xfId="25639" xr:uid="{00000000-0005-0000-0000-00002F640000}"/>
    <cellStyle name="Neutral 13 12" xfId="25640" xr:uid="{00000000-0005-0000-0000-000030640000}"/>
    <cellStyle name="Neutral 13 13" xfId="25641" xr:uid="{00000000-0005-0000-0000-000031640000}"/>
    <cellStyle name="Neutral 13 14" xfId="25642" xr:uid="{00000000-0005-0000-0000-000032640000}"/>
    <cellStyle name="Neutral 13 15" xfId="25643" xr:uid="{00000000-0005-0000-0000-000033640000}"/>
    <cellStyle name="Neutral 13 16" xfId="25644" xr:uid="{00000000-0005-0000-0000-000034640000}"/>
    <cellStyle name="Neutral 13 17" xfId="25645" xr:uid="{00000000-0005-0000-0000-000035640000}"/>
    <cellStyle name="Neutral 13 18" xfId="25646" xr:uid="{00000000-0005-0000-0000-000036640000}"/>
    <cellStyle name="Neutral 13 19" xfId="25647" xr:uid="{00000000-0005-0000-0000-000037640000}"/>
    <cellStyle name="Neutral 13 2" xfId="25648" xr:uid="{00000000-0005-0000-0000-000038640000}"/>
    <cellStyle name="Neutral 13 2 2" xfId="25649" xr:uid="{00000000-0005-0000-0000-000039640000}"/>
    <cellStyle name="Neutral 13 3" xfId="25650" xr:uid="{00000000-0005-0000-0000-00003A640000}"/>
    <cellStyle name="Neutral 13 3 2" xfId="25651" xr:uid="{00000000-0005-0000-0000-00003B640000}"/>
    <cellStyle name="Neutral 13 4" xfId="25652" xr:uid="{00000000-0005-0000-0000-00003C640000}"/>
    <cellStyle name="Neutral 13 4 2" xfId="25653" xr:uid="{00000000-0005-0000-0000-00003D640000}"/>
    <cellStyle name="Neutral 13 5" xfId="25654" xr:uid="{00000000-0005-0000-0000-00003E640000}"/>
    <cellStyle name="Neutral 13 6" xfId="25655" xr:uid="{00000000-0005-0000-0000-00003F640000}"/>
    <cellStyle name="Neutral 13 7" xfId="25656" xr:uid="{00000000-0005-0000-0000-000040640000}"/>
    <cellStyle name="Neutral 13 8" xfId="25657" xr:uid="{00000000-0005-0000-0000-000041640000}"/>
    <cellStyle name="Neutral 13 9" xfId="25658" xr:uid="{00000000-0005-0000-0000-000042640000}"/>
    <cellStyle name="Neutral 14 10" xfId="25659" xr:uid="{00000000-0005-0000-0000-000043640000}"/>
    <cellStyle name="Neutral 14 11" xfId="25660" xr:uid="{00000000-0005-0000-0000-000044640000}"/>
    <cellStyle name="Neutral 14 12" xfId="25661" xr:uid="{00000000-0005-0000-0000-000045640000}"/>
    <cellStyle name="Neutral 14 13" xfId="25662" xr:uid="{00000000-0005-0000-0000-000046640000}"/>
    <cellStyle name="Neutral 14 14" xfId="25663" xr:uid="{00000000-0005-0000-0000-000047640000}"/>
    <cellStyle name="Neutral 14 15" xfId="25664" xr:uid="{00000000-0005-0000-0000-000048640000}"/>
    <cellStyle name="Neutral 14 16" xfId="25665" xr:uid="{00000000-0005-0000-0000-000049640000}"/>
    <cellStyle name="Neutral 14 17" xfId="25666" xr:uid="{00000000-0005-0000-0000-00004A640000}"/>
    <cellStyle name="Neutral 14 18" xfId="25667" xr:uid="{00000000-0005-0000-0000-00004B640000}"/>
    <cellStyle name="Neutral 14 19" xfId="25668" xr:uid="{00000000-0005-0000-0000-00004C640000}"/>
    <cellStyle name="Neutral 14 2" xfId="25669" xr:uid="{00000000-0005-0000-0000-00004D640000}"/>
    <cellStyle name="Neutral 14 2 2" xfId="25670" xr:uid="{00000000-0005-0000-0000-00004E640000}"/>
    <cellStyle name="Neutral 14 3" xfId="25671" xr:uid="{00000000-0005-0000-0000-00004F640000}"/>
    <cellStyle name="Neutral 14 3 2" xfId="25672" xr:uid="{00000000-0005-0000-0000-000050640000}"/>
    <cellStyle name="Neutral 14 4" xfId="25673" xr:uid="{00000000-0005-0000-0000-000051640000}"/>
    <cellStyle name="Neutral 14 4 2" xfId="25674" xr:uid="{00000000-0005-0000-0000-000052640000}"/>
    <cellStyle name="Neutral 14 5" xfId="25675" xr:uid="{00000000-0005-0000-0000-000053640000}"/>
    <cellStyle name="Neutral 14 6" xfId="25676" xr:uid="{00000000-0005-0000-0000-000054640000}"/>
    <cellStyle name="Neutral 14 7" xfId="25677" xr:uid="{00000000-0005-0000-0000-000055640000}"/>
    <cellStyle name="Neutral 14 8" xfId="25678" xr:uid="{00000000-0005-0000-0000-000056640000}"/>
    <cellStyle name="Neutral 14 9" xfId="25679" xr:uid="{00000000-0005-0000-0000-000057640000}"/>
    <cellStyle name="Neutral 15 10" xfId="25680" xr:uid="{00000000-0005-0000-0000-000058640000}"/>
    <cellStyle name="Neutral 15 11" xfId="25681" xr:uid="{00000000-0005-0000-0000-000059640000}"/>
    <cellStyle name="Neutral 15 12" xfId="25682" xr:uid="{00000000-0005-0000-0000-00005A640000}"/>
    <cellStyle name="Neutral 15 13" xfId="25683" xr:uid="{00000000-0005-0000-0000-00005B640000}"/>
    <cellStyle name="Neutral 15 14" xfId="25684" xr:uid="{00000000-0005-0000-0000-00005C640000}"/>
    <cellStyle name="Neutral 15 15" xfId="25685" xr:uid="{00000000-0005-0000-0000-00005D640000}"/>
    <cellStyle name="Neutral 15 16" xfId="25686" xr:uid="{00000000-0005-0000-0000-00005E640000}"/>
    <cellStyle name="Neutral 15 17" xfId="25687" xr:uid="{00000000-0005-0000-0000-00005F640000}"/>
    <cellStyle name="Neutral 15 18" xfId="25688" xr:uid="{00000000-0005-0000-0000-000060640000}"/>
    <cellStyle name="Neutral 15 19" xfId="25689" xr:uid="{00000000-0005-0000-0000-000061640000}"/>
    <cellStyle name="Neutral 15 2" xfId="25690" xr:uid="{00000000-0005-0000-0000-000062640000}"/>
    <cellStyle name="Neutral 15 2 2" xfId="25691" xr:uid="{00000000-0005-0000-0000-000063640000}"/>
    <cellStyle name="Neutral 15 3" xfId="25692" xr:uid="{00000000-0005-0000-0000-000064640000}"/>
    <cellStyle name="Neutral 15 3 2" xfId="25693" xr:uid="{00000000-0005-0000-0000-000065640000}"/>
    <cellStyle name="Neutral 15 4" xfId="25694" xr:uid="{00000000-0005-0000-0000-000066640000}"/>
    <cellStyle name="Neutral 15 4 2" xfId="25695" xr:uid="{00000000-0005-0000-0000-000067640000}"/>
    <cellStyle name="Neutral 15 5" xfId="25696" xr:uid="{00000000-0005-0000-0000-000068640000}"/>
    <cellStyle name="Neutral 15 6" xfId="25697" xr:uid="{00000000-0005-0000-0000-000069640000}"/>
    <cellStyle name="Neutral 15 7" xfId="25698" xr:uid="{00000000-0005-0000-0000-00006A640000}"/>
    <cellStyle name="Neutral 15 8" xfId="25699" xr:uid="{00000000-0005-0000-0000-00006B640000}"/>
    <cellStyle name="Neutral 15 9" xfId="25700" xr:uid="{00000000-0005-0000-0000-00006C640000}"/>
    <cellStyle name="Neutral 16 10" xfId="25701" xr:uid="{00000000-0005-0000-0000-00006D640000}"/>
    <cellStyle name="Neutral 16 11" xfId="25702" xr:uid="{00000000-0005-0000-0000-00006E640000}"/>
    <cellStyle name="Neutral 16 12" xfId="25703" xr:uid="{00000000-0005-0000-0000-00006F640000}"/>
    <cellStyle name="Neutral 16 13" xfId="25704" xr:uid="{00000000-0005-0000-0000-000070640000}"/>
    <cellStyle name="Neutral 16 14" xfId="25705" xr:uid="{00000000-0005-0000-0000-000071640000}"/>
    <cellStyle name="Neutral 16 15" xfId="25706" xr:uid="{00000000-0005-0000-0000-000072640000}"/>
    <cellStyle name="Neutral 16 16" xfId="25707" xr:uid="{00000000-0005-0000-0000-000073640000}"/>
    <cellStyle name="Neutral 16 17" xfId="25708" xr:uid="{00000000-0005-0000-0000-000074640000}"/>
    <cellStyle name="Neutral 16 18" xfId="25709" xr:uid="{00000000-0005-0000-0000-000075640000}"/>
    <cellStyle name="Neutral 16 19" xfId="25710" xr:uid="{00000000-0005-0000-0000-000076640000}"/>
    <cellStyle name="Neutral 16 2" xfId="25711" xr:uid="{00000000-0005-0000-0000-000077640000}"/>
    <cellStyle name="Neutral 16 2 2" xfId="25712" xr:uid="{00000000-0005-0000-0000-000078640000}"/>
    <cellStyle name="Neutral 16 3" xfId="25713" xr:uid="{00000000-0005-0000-0000-000079640000}"/>
    <cellStyle name="Neutral 16 3 2" xfId="25714" xr:uid="{00000000-0005-0000-0000-00007A640000}"/>
    <cellStyle name="Neutral 16 4" xfId="25715" xr:uid="{00000000-0005-0000-0000-00007B640000}"/>
    <cellStyle name="Neutral 16 4 2" xfId="25716" xr:uid="{00000000-0005-0000-0000-00007C640000}"/>
    <cellStyle name="Neutral 16 5" xfId="25717" xr:uid="{00000000-0005-0000-0000-00007D640000}"/>
    <cellStyle name="Neutral 16 6" xfId="25718" xr:uid="{00000000-0005-0000-0000-00007E640000}"/>
    <cellStyle name="Neutral 16 7" xfId="25719" xr:uid="{00000000-0005-0000-0000-00007F640000}"/>
    <cellStyle name="Neutral 16 8" xfId="25720" xr:uid="{00000000-0005-0000-0000-000080640000}"/>
    <cellStyle name="Neutral 16 9" xfId="25721" xr:uid="{00000000-0005-0000-0000-000081640000}"/>
    <cellStyle name="Neutral 17 10" xfId="25722" xr:uid="{00000000-0005-0000-0000-000082640000}"/>
    <cellStyle name="Neutral 17 11" xfId="25723" xr:uid="{00000000-0005-0000-0000-000083640000}"/>
    <cellStyle name="Neutral 17 12" xfId="25724" xr:uid="{00000000-0005-0000-0000-000084640000}"/>
    <cellStyle name="Neutral 17 13" xfId="25725" xr:uid="{00000000-0005-0000-0000-000085640000}"/>
    <cellStyle name="Neutral 17 14" xfId="25726" xr:uid="{00000000-0005-0000-0000-000086640000}"/>
    <cellStyle name="Neutral 17 15" xfId="25727" xr:uid="{00000000-0005-0000-0000-000087640000}"/>
    <cellStyle name="Neutral 17 16" xfId="25728" xr:uid="{00000000-0005-0000-0000-000088640000}"/>
    <cellStyle name="Neutral 17 17" xfId="25729" xr:uid="{00000000-0005-0000-0000-000089640000}"/>
    <cellStyle name="Neutral 17 18" xfId="25730" xr:uid="{00000000-0005-0000-0000-00008A640000}"/>
    <cellStyle name="Neutral 17 19" xfId="25731" xr:uid="{00000000-0005-0000-0000-00008B640000}"/>
    <cellStyle name="Neutral 17 2" xfId="25732" xr:uid="{00000000-0005-0000-0000-00008C640000}"/>
    <cellStyle name="Neutral 17 2 2" xfId="25733" xr:uid="{00000000-0005-0000-0000-00008D640000}"/>
    <cellStyle name="Neutral 17 3" xfId="25734" xr:uid="{00000000-0005-0000-0000-00008E640000}"/>
    <cellStyle name="Neutral 17 3 2" xfId="25735" xr:uid="{00000000-0005-0000-0000-00008F640000}"/>
    <cellStyle name="Neutral 17 4" xfId="25736" xr:uid="{00000000-0005-0000-0000-000090640000}"/>
    <cellStyle name="Neutral 17 4 2" xfId="25737" xr:uid="{00000000-0005-0000-0000-000091640000}"/>
    <cellStyle name="Neutral 17 5" xfId="25738" xr:uid="{00000000-0005-0000-0000-000092640000}"/>
    <cellStyle name="Neutral 17 6" xfId="25739" xr:uid="{00000000-0005-0000-0000-000093640000}"/>
    <cellStyle name="Neutral 17 7" xfId="25740" xr:uid="{00000000-0005-0000-0000-000094640000}"/>
    <cellStyle name="Neutral 17 8" xfId="25741" xr:uid="{00000000-0005-0000-0000-000095640000}"/>
    <cellStyle name="Neutral 17 9" xfId="25742" xr:uid="{00000000-0005-0000-0000-000096640000}"/>
    <cellStyle name="Neutral 18 10" xfId="25743" xr:uid="{00000000-0005-0000-0000-000097640000}"/>
    <cellStyle name="Neutral 18 11" xfId="25744" xr:uid="{00000000-0005-0000-0000-000098640000}"/>
    <cellStyle name="Neutral 18 12" xfId="25745" xr:uid="{00000000-0005-0000-0000-000099640000}"/>
    <cellStyle name="Neutral 18 13" xfId="25746" xr:uid="{00000000-0005-0000-0000-00009A640000}"/>
    <cellStyle name="Neutral 18 14" xfId="25747" xr:uid="{00000000-0005-0000-0000-00009B640000}"/>
    <cellStyle name="Neutral 18 15" xfId="25748" xr:uid="{00000000-0005-0000-0000-00009C640000}"/>
    <cellStyle name="Neutral 18 16" xfId="25749" xr:uid="{00000000-0005-0000-0000-00009D640000}"/>
    <cellStyle name="Neutral 18 17" xfId="25750" xr:uid="{00000000-0005-0000-0000-00009E640000}"/>
    <cellStyle name="Neutral 18 18" xfId="25751" xr:uid="{00000000-0005-0000-0000-00009F640000}"/>
    <cellStyle name="Neutral 18 19" xfId="25752" xr:uid="{00000000-0005-0000-0000-0000A0640000}"/>
    <cellStyle name="Neutral 18 2" xfId="25753" xr:uid="{00000000-0005-0000-0000-0000A1640000}"/>
    <cellStyle name="Neutral 18 2 2" xfId="25754" xr:uid="{00000000-0005-0000-0000-0000A2640000}"/>
    <cellStyle name="Neutral 18 3" xfId="25755" xr:uid="{00000000-0005-0000-0000-0000A3640000}"/>
    <cellStyle name="Neutral 18 3 2" xfId="25756" xr:uid="{00000000-0005-0000-0000-0000A4640000}"/>
    <cellStyle name="Neutral 18 4" xfId="25757" xr:uid="{00000000-0005-0000-0000-0000A5640000}"/>
    <cellStyle name="Neutral 18 4 2" xfId="25758" xr:uid="{00000000-0005-0000-0000-0000A6640000}"/>
    <cellStyle name="Neutral 18 5" xfId="25759" xr:uid="{00000000-0005-0000-0000-0000A7640000}"/>
    <cellStyle name="Neutral 18 6" xfId="25760" xr:uid="{00000000-0005-0000-0000-0000A8640000}"/>
    <cellStyle name="Neutral 18 7" xfId="25761" xr:uid="{00000000-0005-0000-0000-0000A9640000}"/>
    <cellStyle name="Neutral 18 8" xfId="25762" xr:uid="{00000000-0005-0000-0000-0000AA640000}"/>
    <cellStyle name="Neutral 18 9" xfId="25763" xr:uid="{00000000-0005-0000-0000-0000AB640000}"/>
    <cellStyle name="Neutral 19 10" xfId="25764" xr:uid="{00000000-0005-0000-0000-0000AC640000}"/>
    <cellStyle name="Neutral 19 11" xfId="25765" xr:uid="{00000000-0005-0000-0000-0000AD640000}"/>
    <cellStyle name="Neutral 19 12" xfId="25766" xr:uid="{00000000-0005-0000-0000-0000AE640000}"/>
    <cellStyle name="Neutral 19 13" xfId="25767" xr:uid="{00000000-0005-0000-0000-0000AF640000}"/>
    <cellStyle name="Neutral 19 14" xfId="25768" xr:uid="{00000000-0005-0000-0000-0000B0640000}"/>
    <cellStyle name="Neutral 19 15" xfId="25769" xr:uid="{00000000-0005-0000-0000-0000B1640000}"/>
    <cellStyle name="Neutral 19 16" xfId="25770" xr:uid="{00000000-0005-0000-0000-0000B2640000}"/>
    <cellStyle name="Neutral 19 17" xfId="25771" xr:uid="{00000000-0005-0000-0000-0000B3640000}"/>
    <cellStyle name="Neutral 19 18" xfId="25772" xr:uid="{00000000-0005-0000-0000-0000B4640000}"/>
    <cellStyle name="Neutral 19 19" xfId="25773" xr:uid="{00000000-0005-0000-0000-0000B5640000}"/>
    <cellStyle name="Neutral 19 2" xfId="25774" xr:uid="{00000000-0005-0000-0000-0000B6640000}"/>
    <cellStyle name="Neutral 19 2 2" xfId="25775" xr:uid="{00000000-0005-0000-0000-0000B7640000}"/>
    <cellStyle name="Neutral 19 3" xfId="25776" xr:uid="{00000000-0005-0000-0000-0000B8640000}"/>
    <cellStyle name="Neutral 19 3 2" xfId="25777" xr:uid="{00000000-0005-0000-0000-0000B9640000}"/>
    <cellStyle name="Neutral 19 4" xfId="25778" xr:uid="{00000000-0005-0000-0000-0000BA640000}"/>
    <cellStyle name="Neutral 19 4 2" xfId="25779" xr:uid="{00000000-0005-0000-0000-0000BB640000}"/>
    <cellStyle name="Neutral 19 5" xfId="25780" xr:uid="{00000000-0005-0000-0000-0000BC640000}"/>
    <cellStyle name="Neutral 19 6" xfId="25781" xr:uid="{00000000-0005-0000-0000-0000BD640000}"/>
    <cellStyle name="Neutral 19 7" xfId="25782" xr:uid="{00000000-0005-0000-0000-0000BE640000}"/>
    <cellStyle name="Neutral 19 8" xfId="25783" xr:uid="{00000000-0005-0000-0000-0000BF640000}"/>
    <cellStyle name="Neutral 19 9" xfId="25784" xr:uid="{00000000-0005-0000-0000-0000C0640000}"/>
    <cellStyle name="Neutral 2 10" xfId="25785" xr:uid="{00000000-0005-0000-0000-0000C1640000}"/>
    <cellStyle name="Neutral 2 11" xfId="25786" xr:uid="{00000000-0005-0000-0000-0000C2640000}"/>
    <cellStyle name="Neutral 2 12" xfId="25787" xr:uid="{00000000-0005-0000-0000-0000C3640000}"/>
    <cellStyle name="Neutral 2 13" xfId="25788" xr:uid="{00000000-0005-0000-0000-0000C4640000}"/>
    <cellStyle name="Neutral 2 14" xfId="25789" xr:uid="{00000000-0005-0000-0000-0000C5640000}"/>
    <cellStyle name="Neutral 2 15" xfId="25790" xr:uid="{00000000-0005-0000-0000-0000C6640000}"/>
    <cellStyle name="Neutral 2 16" xfId="25791" xr:uid="{00000000-0005-0000-0000-0000C7640000}"/>
    <cellStyle name="Neutral 2 17" xfId="25792" xr:uid="{00000000-0005-0000-0000-0000C8640000}"/>
    <cellStyle name="Neutral 2 18" xfId="25793" xr:uid="{00000000-0005-0000-0000-0000C9640000}"/>
    <cellStyle name="Neutral 2 19" xfId="25794" xr:uid="{00000000-0005-0000-0000-0000CA640000}"/>
    <cellStyle name="Neutral 2 2" xfId="25795" xr:uid="{00000000-0005-0000-0000-0000CB640000}"/>
    <cellStyle name="Neutral 2 2 2" xfId="25796" xr:uid="{00000000-0005-0000-0000-0000CC640000}"/>
    <cellStyle name="Neutral 2 3" xfId="25797" xr:uid="{00000000-0005-0000-0000-0000CD640000}"/>
    <cellStyle name="Neutral 2 3 2" xfId="25798" xr:uid="{00000000-0005-0000-0000-0000CE640000}"/>
    <cellStyle name="Neutral 2 4" xfId="25799" xr:uid="{00000000-0005-0000-0000-0000CF640000}"/>
    <cellStyle name="Neutral 2 4 2" xfId="25800" xr:uid="{00000000-0005-0000-0000-0000D0640000}"/>
    <cellStyle name="Neutral 2 5" xfId="25801" xr:uid="{00000000-0005-0000-0000-0000D1640000}"/>
    <cellStyle name="Neutral 2 6" xfId="25802" xr:uid="{00000000-0005-0000-0000-0000D2640000}"/>
    <cellStyle name="Neutral 2 7" xfId="25803" xr:uid="{00000000-0005-0000-0000-0000D3640000}"/>
    <cellStyle name="Neutral 2 8" xfId="25804" xr:uid="{00000000-0005-0000-0000-0000D4640000}"/>
    <cellStyle name="Neutral 2 9" xfId="25805" xr:uid="{00000000-0005-0000-0000-0000D5640000}"/>
    <cellStyle name="Neutral 20 10" xfId="25806" xr:uid="{00000000-0005-0000-0000-0000D6640000}"/>
    <cellStyle name="Neutral 20 11" xfId="25807" xr:uid="{00000000-0005-0000-0000-0000D7640000}"/>
    <cellStyle name="Neutral 20 12" xfId="25808" xr:uid="{00000000-0005-0000-0000-0000D8640000}"/>
    <cellStyle name="Neutral 20 13" xfId="25809" xr:uid="{00000000-0005-0000-0000-0000D9640000}"/>
    <cellStyle name="Neutral 20 14" xfId="25810" xr:uid="{00000000-0005-0000-0000-0000DA640000}"/>
    <cellStyle name="Neutral 20 15" xfId="25811" xr:uid="{00000000-0005-0000-0000-0000DB640000}"/>
    <cellStyle name="Neutral 20 16" xfId="25812" xr:uid="{00000000-0005-0000-0000-0000DC640000}"/>
    <cellStyle name="Neutral 20 17" xfId="25813" xr:uid="{00000000-0005-0000-0000-0000DD640000}"/>
    <cellStyle name="Neutral 20 18" xfId="25814" xr:uid="{00000000-0005-0000-0000-0000DE640000}"/>
    <cellStyle name="Neutral 20 19" xfId="25815" xr:uid="{00000000-0005-0000-0000-0000DF640000}"/>
    <cellStyle name="Neutral 20 2" xfId="25816" xr:uid="{00000000-0005-0000-0000-0000E0640000}"/>
    <cellStyle name="Neutral 20 2 2" xfId="25817" xr:uid="{00000000-0005-0000-0000-0000E1640000}"/>
    <cellStyle name="Neutral 20 3" xfId="25818" xr:uid="{00000000-0005-0000-0000-0000E2640000}"/>
    <cellStyle name="Neutral 20 3 2" xfId="25819" xr:uid="{00000000-0005-0000-0000-0000E3640000}"/>
    <cellStyle name="Neutral 20 4" xfId="25820" xr:uid="{00000000-0005-0000-0000-0000E4640000}"/>
    <cellStyle name="Neutral 20 4 2" xfId="25821" xr:uid="{00000000-0005-0000-0000-0000E5640000}"/>
    <cellStyle name="Neutral 20 5" xfId="25822" xr:uid="{00000000-0005-0000-0000-0000E6640000}"/>
    <cellStyle name="Neutral 20 6" xfId="25823" xr:uid="{00000000-0005-0000-0000-0000E7640000}"/>
    <cellStyle name="Neutral 20 7" xfId="25824" xr:uid="{00000000-0005-0000-0000-0000E8640000}"/>
    <cellStyle name="Neutral 20 8" xfId="25825" xr:uid="{00000000-0005-0000-0000-0000E9640000}"/>
    <cellStyle name="Neutral 20 9" xfId="25826" xr:uid="{00000000-0005-0000-0000-0000EA640000}"/>
    <cellStyle name="Neutral 21 10" xfId="25827" xr:uid="{00000000-0005-0000-0000-0000EB640000}"/>
    <cellStyle name="Neutral 21 11" xfId="25828" xr:uid="{00000000-0005-0000-0000-0000EC640000}"/>
    <cellStyle name="Neutral 21 12" xfId="25829" xr:uid="{00000000-0005-0000-0000-0000ED640000}"/>
    <cellStyle name="Neutral 21 13" xfId="25830" xr:uid="{00000000-0005-0000-0000-0000EE640000}"/>
    <cellStyle name="Neutral 21 14" xfId="25831" xr:uid="{00000000-0005-0000-0000-0000EF640000}"/>
    <cellStyle name="Neutral 21 15" xfId="25832" xr:uid="{00000000-0005-0000-0000-0000F0640000}"/>
    <cellStyle name="Neutral 21 16" xfId="25833" xr:uid="{00000000-0005-0000-0000-0000F1640000}"/>
    <cellStyle name="Neutral 21 17" xfId="25834" xr:uid="{00000000-0005-0000-0000-0000F2640000}"/>
    <cellStyle name="Neutral 21 18" xfId="25835" xr:uid="{00000000-0005-0000-0000-0000F3640000}"/>
    <cellStyle name="Neutral 21 19" xfId="25836" xr:uid="{00000000-0005-0000-0000-0000F4640000}"/>
    <cellStyle name="Neutral 21 2" xfId="25837" xr:uid="{00000000-0005-0000-0000-0000F5640000}"/>
    <cellStyle name="Neutral 21 2 2" xfId="25838" xr:uid="{00000000-0005-0000-0000-0000F6640000}"/>
    <cellStyle name="Neutral 21 3" xfId="25839" xr:uid="{00000000-0005-0000-0000-0000F7640000}"/>
    <cellStyle name="Neutral 21 3 2" xfId="25840" xr:uid="{00000000-0005-0000-0000-0000F8640000}"/>
    <cellStyle name="Neutral 21 4" xfId="25841" xr:uid="{00000000-0005-0000-0000-0000F9640000}"/>
    <cellStyle name="Neutral 21 4 2" xfId="25842" xr:uid="{00000000-0005-0000-0000-0000FA640000}"/>
    <cellStyle name="Neutral 21 5" xfId="25843" xr:uid="{00000000-0005-0000-0000-0000FB640000}"/>
    <cellStyle name="Neutral 21 6" xfId="25844" xr:uid="{00000000-0005-0000-0000-0000FC640000}"/>
    <cellStyle name="Neutral 21 7" xfId="25845" xr:uid="{00000000-0005-0000-0000-0000FD640000}"/>
    <cellStyle name="Neutral 21 8" xfId="25846" xr:uid="{00000000-0005-0000-0000-0000FE640000}"/>
    <cellStyle name="Neutral 21 9" xfId="25847" xr:uid="{00000000-0005-0000-0000-0000FF640000}"/>
    <cellStyle name="Neutral 22 10" xfId="25848" xr:uid="{00000000-0005-0000-0000-000000650000}"/>
    <cellStyle name="Neutral 22 11" xfId="25849" xr:uid="{00000000-0005-0000-0000-000001650000}"/>
    <cellStyle name="Neutral 22 12" xfId="25850" xr:uid="{00000000-0005-0000-0000-000002650000}"/>
    <cellStyle name="Neutral 22 13" xfId="25851" xr:uid="{00000000-0005-0000-0000-000003650000}"/>
    <cellStyle name="Neutral 22 14" xfId="25852" xr:uid="{00000000-0005-0000-0000-000004650000}"/>
    <cellStyle name="Neutral 22 15" xfId="25853" xr:uid="{00000000-0005-0000-0000-000005650000}"/>
    <cellStyle name="Neutral 22 16" xfId="25854" xr:uid="{00000000-0005-0000-0000-000006650000}"/>
    <cellStyle name="Neutral 22 17" xfId="25855" xr:uid="{00000000-0005-0000-0000-000007650000}"/>
    <cellStyle name="Neutral 22 18" xfId="25856" xr:uid="{00000000-0005-0000-0000-000008650000}"/>
    <cellStyle name="Neutral 22 19" xfId="25857" xr:uid="{00000000-0005-0000-0000-000009650000}"/>
    <cellStyle name="Neutral 22 2" xfId="25858" xr:uid="{00000000-0005-0000-0000-00000A650000}"/>
    <cellStyle name="Neutral 22 2 2" xfId="25859" xr:uid="{00000000-0005-0000-0000-00000B650000}"/>
    <cellStyle name="Neutral 22 3" xfId="25860" xr:uid="{00000000-0005-0000-0000-00000C650000}"/>
    <cellStyle name="Neutral 22 3 2" xfId="25861" xr:uid="{00000000-0005-0000-0000-00000D650000}"/>
    <cellStyle name="Neutral 22 4" xfId="25862" xr:uid="{00000000-0005-0000-0000-00000E650000}"/>
    <cellStyle name="Neutral 22 4 2" xfId="25863" xr:uid="{00000000-0005-0000-0000-00000F650000}"/>
    <cellStyle name="Neutral 22 5" xfId="25864" xr:uid="{00000000-0005-0000-0000-000010650000}"/>
    <cellStyle name="Neutral 22 6" xfId="25865" xr:uid="{00000000-0005-0000-0000-000011650000}"/>
    <cellStyle name="Neutral 22 7" xfId="25866" xr:uid="{00000000-0005-0000-0000-000012650000}"/>
    <cellStyle name="Neutral 22 8" xfId="25867" xr:uid="{00000000-0005-0000-0000-000013650000}"/>
    <cellStyle name="Neutral 22 9" xfId="25868" xr:uid="{00000000-0005-0000-0000-000014650000}"/>
    <cellStyle name="Neutral 23 10" xfId="25869" xr:uid="{00000000-0005-0000-0000-000015650000}"/>
    <cellStyle name="Neutral 23 11" xfId="25870" xr:uid="{00000000-0005-0000-0000-000016650000}"/>
    <cellStyle name="Neutral 23 12" xfId="25871" xr:uid="{00000000-0005-0000-0000-000017650000}"/>
    <cellStyle name="Neutral 23 13" xfId="25872" xr:uid="{00000000-0005-0000-0000-000018650000}"/>
    <cellStyle name="Neutral 23 14" xfId="25873" xr:uid="{00000000-0005-0000-0000-000019650000}"/>
    <cellStyle name="Neutral 23 15" xfId="25874" xr:uid="{00000000-0005-0000-0000-00001A650000}"/>
    <cellStyle name="Neutral 23 16" xfId="25875" xr:uid="{00000000-0005-0000-0000-00001B650000}"/>
    <cellStyle name="Neutral 23 17" xfId="25876" xr:uid="{00000000-0005-0000-0000-00001C650000}"/>
    <cellStyle name="Neutral 23 18" xfId="25877" xr:uid="{00000000-0005-0000-0000-00001D650000}"/>
    <cellStyle name="Neutral 23 19" xfId="25878" xr:uid="{00000000-0005-0000-0000-00001E650000}"/>
    <cellStyle name="Neutral 23 2" xfId="25879" xr:uid="{00000000-0005-0000-0000-00001F650000}"/>
    <cellStyle name="Neutral 23 2 2" xfId="25880" xr:uid="{00000000-0005-0000-0000-000020650000}"/>
    <cellStyle name="Neutral 23 3" xfId="25881" xr:uid="{00000000-0005-0000-0000-000021650000}"/>
    <cellStyle name="Neutral 23 3 2" xfId="25882" xr:uid="{00000000-0005-0000-0000-000022650000}"/>
    <cellStyle name="Neutral 23 4" xfId="25883" xr:uid="{00000000-0005-0000-0000-000023650000}"/>
    <cellStyle name="Neutral 23 4 2" xfId="25884" xr:uid="{00000000-0005-0000-0000-000024650000}"/>
    <cellStyle name="Neutral 23 5" xfId="25885" xr:uid="{00000000-0005-0000-0000-000025650000}"/>
    <cellStyle name="Neutral 23 6" xfId="25886" xr:uid="{00000000-0005-0000-0000-000026650000}"/>
    <cellStyle name="Neutral 23 7" xfId="25887" xr:uid="{00000000-0005-0000-0000-000027650000}"/>
    <cellStyle name="Neutral 23 8" xfId="25888" xr:uid="{00000000-0005-0000-0000-000028650000}"/>
    <cellStyle name="Neutral 23 9" xfId="25889" xr:uid="{00000000-0005-0000-0000-000029650000}"/>
    <cellStyle name="Neutral 24 10" xfId="25890" xr:uid="{00000000-0005-0000-0000-00002A650000}"/>
    <cellStyle name="Neutral 24 11" xfId="25891" xr:uid="{00000000-0005-0000-0000-00002B650000}"/>
    <cellStyle name="Neutral 24 12" xfId="25892" xr:uid="{00000000-0005-0000-0000-00002C650000}"/>
    <cellStyle name="Neutral 24 13" xfId="25893" xr:uid="{00000000-0005-0000-0000-00002D650000}"/>
    <cellStyle name="Neutral 24 14" xfId="25894" xr:uid="{00000000-0005-0000-0000-00002E650000}"/>
    <cellStyle name="Neutral 24 15" xfId="25895" xr:uid="{00000000-0005-0000-0000-00002F650000}"/>
    <cellStyle name="Neutral 24 16" xfId="25896" xr:uid="{00000000-0005-0000-0000-000030650000}"/>
    <cellStyle name="Neutral 24 17" xfId="25897" xr:uid="{00000000-0005-0000-0000-000031650000}"/>
    <cellStyle name="Neutral 24 18" xfId="25898" xr:uid="{00000000-0005-0000-0000-000032650000}"/>
    <cellStyle name="Neutral 24 19" xfId="25899" xr:uid="{00000000-0005-0000-0000-000033650000}"/>
    <cellStyle name="Neutral 24 2" xfId="25900" xr:uid="{00000000-0005-0000-0000-000034650000}"/>
    <cellStyle name="Neutral 24 2 2" xfId="25901" xr:uid="{00000000-0005-0000-0000-000035650000}"/>
    <cellStyle name="Neutral 24 3" xfId="25902" xr:uid="{00000000-0005-0000-0000-000036650000}"/>
    <cellStyle name="Neutral 24 3 2" xfId="25903" xr:uid="{00000000-0005-0000-0000-000037650000}"/>
    <cellStyle name="Neutral 24 4" xfId="25904" xr:uid="{00000000-0005-0000-0000-000038650000}"/>
    <cellStyle name="Neutral 24 4 2" xfId="25905" xr:uid="{00000000-0005-0000-0000-000039650000}"/>
    <cellStyle name="Neutral 24 5" xfId="25906" xr:uid="{00000000-0005-0000-0000-00003A650000}"/>
    <cellStyle name="Neutral 24 6" xfId="25907" xr:uid="{00000000-0005-0000-0000-00003B650000}"/>
    <cellStyle name="Neutral 24 7" xfId="25908" xr:uid="{00000000-0005-0000-0000-00003C650000}"/>
    <cellStyle name="Neutral 24 8" xfId="25909" xr:uid="{00000000-0005-0000-0000-00003D650000}"/>
    <cellStyle name="Neutral 24 9" xfId="25910" xr:uid="{00000000-0005-0000-0000-00003E650000}"/>
    <cellStyle name="Neutral 25 10" xfId="25911" xr:uid="{00000000-0005-0000-0000-00003F650000}"/>
    <cellStyle name="Neutral 25 11" xfId="25912" xr:uid="{00000000-0005-0000-0000-000040650000}"/>
    <cellStyle name="Neutral 25 12" xfId="25913" xr:uid="{00000000-0005-0000-0000-000041650000}"/>
    <cellStyle name="Neutral 25 13" xfId="25914" xr:uid="{00000000-0005-0000-0000-000042650000}"/>
    <cellStyle name="Neutral 25 14" xfId="25915" xr:uid="{00000000-0005-0000-0000-000043650000}"/>
    <cellStyle name="Neutral 25 15" xfId="25916" xr:uid="{00000000-0005-0000-0000-000044650000}"/>
    <cellStyle name="Neutral 25 16" xfId="25917" xr:uid="{00000000-0005-0000-0000-000045650000}"/>
    <cellStyle name="Neutral 25 17" xfId="25918" xr:uid="{00000000-0005-0000-0000-000046650000}"/>
    <cellStyle name="Neutral 25 18" xfId="25919" xr:uid="{00000000-0005-0000-0000-000047650000}"/>
    <cellStyle name="Neutral 25 19" xfId="25920" xr:uid="{00000000-0005-0000-0000-000048650000}"/>
    <cellStyle name="Neutral 25 2" xfId="25921" xr:uid="{00000000-0005-0000-0000-000049650000}"/>
    <cellStyle name="Neutral 25 2 2" xfId="25922" xr:uid="{00000000-0005-0000-0000-00004A650000}"/>
    <cellStyle name="Neutral 25 3" xfId="25923" xr:uid="{00000000-0005-0000-0000-00004B650000}"/>
    <cellStyle name="Neutral 25 3 2" xfId="25924" xr:uid="{00000000-0005-0000-0000-00004C650000}"/>
    <cellStyle name="Neutral 25 4" xfId="25925" xr:uid="{00000000-0005-0000-0000-00004D650000}"/>
    <cellStyle name="Neutral 25 4 2" xfId="25926" xr:uid="{00000000-0005-0000-0000-00004E650000}"/>
    <cellStyle name="Neutral 25 5" xfId="25927" xr:uid="{00000000-0005-0000-0000-00004F650000}"/>
    <cellStyle name="Neutral 25 6" xfId="25928" xr:uid="{00000000-0005-0000-0000-000050650000}"/>
    <cellStyle name="Neutral 25 7" xfId="25929" xr:uid="{00000000-0005-0000-0000-000051650000}"/>
    <cellStyle name="Neutral 25 8" xfId="25930" xr:uid="{00000000-0005-0000-0000-000052650000}"/>
    <cellStyle name="Neutral 25 9" xfId="25931" xr:uid="{00000000-0005-0000-0000-000053650000}"/>
    <cellStyle name="Neutral 26 10" xfId="25932" xr:uid="{00000000-0005-0000-0000-000054650000}"/>
    <cellStyle name="Neutral 26 11" xfId="25933" xr:uid="{00000000-0005-0000-0000-000055650000}"/>
    <cellStyle name="Neutral 26 12" xfId="25934" xr:uid="{00000000-0005-0000-0000-000056650000}"/>
    <cellStyle name="Neutral 26 13" xfId="25935" xr:uid="{00000000-0005-0000-0000-000057650000}"/>
    <cellStyle name="Neutral 26 14" xfId="25936" xr:uid="{00000000-0005-0000-0000-000058650000}"/>
    <cellStyle name="Neutral 26 15" xfId="25937" xr:uid="{00000000-0005-0000-0000-000059650000}"/>
    <cellStyle name="Neutral 26 16" xfId="25938" xr:uid="{00000000-0005-0000-0000-00005A650000}"/>
    <cellStyle name="Neutral 26 17" xfId="25939" xr:uid="{00000000-0005-0000-0000-00005B650000}"/>
    <cellStyle name="Neutral 26 18" xfId="25940" xr:uid="{00000000-0005-0000-0000-00005C650000}"/>
    <cellStyle name="Neutral 26 19" xfId="25941" xr:uid="{00000000-0005-0000-0000-00005D650000}"/>
    <cellStyle name="Neutral 26 2" xfId="25942" xr:uid="{00000000-0005-0000-0000-00005E650000}"/>
    <cellStyle name="Neutral 26 2 2" xfId="25943" xr:uid="{00000000-0005-0000-0000-00005F650000}"/>
    <cellStyle name="Neutral 26 3" xfId="25944" xr:uid="{00000000-0005-0000-0000-000060650000}"/>
    <cellStyle name="Neutral 26 3 2" xfId="25945" xr:uid="{00000000-0005-0000-0000-000061650000}"/>
    <cellStyle name="Neutral 26 4" xfId="25946" xr:uid="{00000000-0005-0000-0000-000062650000}"/>
    <cellStyle name="Neutral 26 4 2" xfId="25947" xr:uid="{00000000-0005-0000-0000-000063650000}"/>
    <cellStyle name="Neutral 26 5" xfId="25948" xr:uid="{00000000-0005-0000-0000-000064650000}"/>
    <cellStyle name="Neutral 26 6" xfId="25949" xr:uid="{00000000-0005-0000-0000-000065650000}"/>
    <cellStyle name="Neutral 26 7" xfId="25950" xr:uid="{00000000-0005-0000-0000-000066650000}"/>
    <cellStyle name="Neutral 26 8" xfId="25951" xr:uid="{00000000-0005-0000-0000-000067650000}"/>
    <cellStyle name="Neutral 26 9" xfId="25952" xr:uid="{00000000-0005-0000-0000-000068650000}"/>
    <cellStyle name="Neutral 27 10" xfId="25953" xr:uid="{00000000-0005-0000-0000-000069650000}"/>
    <cellStyle name="Neutral 27 11" xfId="25954" xr:uid="{00000000-0005-0000-0000-00006A650000}"/>
    <cellStyle name="Neutral 27 12" xfId="25955" xr:uid="{00000000-0005-0000-0000-00006B650000}"/>
    <cellStyle name="Neutral 27 13" xfId="25956" xr:uid="{00000000-0005-0000-0000-00006C650000}"/>
    <cellStyle name="Neutral 27 14" xfId="25957" xr:uid="{00000000-0005-0000-0000-00006D650000}"/>
    <cellStyle name="Neutral 27 15" xfId="25958" xr:uid="{00000000-0005-0000-0000-00006E650000}"/>
    <cellStyle name="Neutral 27 16" xfId="25959" xr:uid="{00000000-0005-0000-0000-00006F650000}"/>
    <cellStyle name="Neutral 27 17" xfId="25960" xr:uid="{00000000-0005-0000-0000-000070650000}"/>
    <cellStyle name="Neutral 27 18" xfId="25961" xr:uid="{00000000-0005-0000-0000-000071650000}"/>
    <cellStyle name="Neutral 27 19" xfId="25962" xr:uid="{00000000-0005-0000-0000-000072650000}"/>
    <cellStyle name="Neutral 27 2" xfId="25963" xr:uid="{00000000-0005-0000-0000-000073650000}"/>
    <cellStyle name="Neutral 27 2 2" xfId="25964" xr:uid="{00000000-0005-0000-0000-000074650000}"/>
    <cellStyle name="Neutral 27 3" xfId="25965" xr:uid="{00000000-0005-0000-0000-000075650000}"/>
    <cellStyle name="Neutral 27 3 2" xfId="25966" xr:uid="{00000000-0005-0000-0000-000076650000}"/>
    <cellStyle name="Neutral 27 4" xfId="25967" xr:uid="{00000000-0005-0000-0000-000077650000}"/>
    <cellStyle name="Neutral 27 4 2" xfId="25968" xr:uid="{00000000-0005-0000-0000-000078650000}"/>
    <cellStyle name="Neutral 27 5" xfId="25969" xr:uid="{00000000-0005-0000-0000-000079650000}"/>
    <cellStyle name="Neutral 27 6" xfId="25970" xr:uid="{00000000-0005-0000-0000-00007A650000}"/>
    <cellStyle name="Neutral 27 7" xfId="25971" xr:uid="{00000000-0005-0000-0000-00007B650000}"/>
    <cellStyle name="Neutral 27 8" xfId="25972" xr:uid="{00000000-0005-0000-0000-00007C650000}"/>
    <cellStyle name="Neutral 27 9" xfId="25973" xr:uid="{00000000-0005-0000-0000-00007D650000}"/>
    <cellStyle name="Neutral 28 10" xfId="25974" xr:uid="{00000000-0005-0000-0000-00007E650000}"/>
    <cellStyle name="Neutral 28 11" xfId="25975" xr:uid="{00000000-0005-0000-0000-00007F650000}"/>
    <cellStyle name="Neutral 28 12" xfId="25976" xr:uid="{00000000-0005-0000-0000-000080650000}"/>
    <cellStyle name="Neutral 28 13" xfId="25977" xr:uid="{00000000-0005-0000-0000-000081650000}"/>
    <cellStyle name="Neutral 28 14" xfId="25978" xr:uid="{00000000-0005-0000-0000-000082650000}"/>
    <cellStyle name="Neutral 28 15" xfId="25979" xr:uid="{00000000-0005-0000-0000-000083650000}"/>
    <cellStyle name="Neutral 28 16" xfId="25980" xr:uid="{00000000-0005-0000-0000-000084650000}"/>
    <cellStyle name="Neutral 28 17" xfId="25981" xr:uid="{00000000-0005-0000-0000-000085650000}"/>
    <cellStyle name="Neutral 28 18" xfId="25982" xr:uid="{00000000-0005-0000-0000-000086650000}"/>
    <cellStyle name="Neutral 28 19" xfId="25983" xr:uid="{00000000-0005-0000-0000-000087650000}"/>
    <cellStyle name="Neutral 28 2" xfId="25984" xr:uid="{00000000-0005-0000-0000-000088650000}"/>
    <cellStyle name="Neutral 28 2 2" xfId="25985" xr:uid="{00000000-0005-0000-0000-000089650000}"/>
    <cellStyle name="Neutral 28 3" xfId="25986" xr:uid="{00000000-0005-0000-0000-00008A650000}"/>
    <cellStyle name="Neutral 28 3 2" xfId="25987" xr:uid="{00000000-0005-0000-0000-00008B650000}"/>
    <cellStyle name="Neutral 28 4" xfId="25988" xr:uid="{00000000-0005-0000-0000-00008C650000}"/>
    <cellStyle name="Neutral 28 4 2" xfId="25989" xr:uid="{00000000-0005-0000-0000-00008D650000}"/>
    <cellStyle name="Neutral 28 5" xfId="25990" xr:uid="{00000000-0005-0000-0000-00008E650000}"/>
    <cellStyle name="Neutral 28 6" xfId="25991" xr:uid="{00000000-0005-0000-0000-00008F650000}"/>
    <cellStyle name="Neutral 28 7" xfId="25992" xr:uid="{00000000-0005-0000-0000-000090650000}"/>
    <cellStyle name="Neutral 28 8" xfId="25993" xr:uid="{00000000-0005-0000-0000-000091650000}"/>
    <cellStyle name="Neutral 28 9" xfId="25994" xr:uid="{00000000-0005-0000-0000-000092650000}"/>
    <cellStyle name="Neutral 29 10" xfId="25995" xr:uid="{00000000-0005-0000-0000-000093650000}"/>
    <cellStyle name="Neutral 29 11" xfId="25996" xr:uid="{00000000-0005-0000-0000-000094650000}"/>
    <cellStyle name="Neutral 29 12" xfId="25997" xr:uid="{00000000-0005-0000-0000-000095650000}"/>
    <cellStyle name="Neutral 29 13" xfId="25998" xr:uid="{00000000-0005-0000-0000-000096650000}"/>
    <cellStyle name="Neutral 29 14" xfId="25999" xr:uid="{00000000-0005-0000-0000-000097650000}"/>
    <cellStyle name="Neutral 29 15" xfId="26000" xr:uid="{00000000-0005-0000-0000-000098650000}"/>
    <cellStyle name="Neutral 29 16" xfId="26001" xr:uid="{00000000-0005-0000-0000-000099650000}"/>
    <cellStyle name="Neutral 29 17" xfId="26002" xr:uid="{00000000-0005-0000-0000-00009A650000}"/>
    <cellStyle name="Neutral 29 18" xfId="26003" xr:uid="{00000000-0005-0000-0000-00009B650000}"/>
    <cellStyle name="Neutral 29 19" xfId="26004" xr:uid="{00000000-0005-0000-0000-00009C650000}"/>
    <cellStyle name="Neutral 29 2" xfId="26005" xr:uid="{00000000-0005-0000-0000-00009D650000}"/>
    <cellStyle name="Neutral 29 2 2" xfId="26006" xr:uid="{00000000-0005-0000-0000-00009E650000}"/>
    <cellStyle name="Neutral 29 3" xfId="26007" xr:uid="{00000000-0005-0000-0000-00009F650000}"/>
    <cellStyle name="Neutral 29 3 2" xfId="26008" xr:uid="{00000000-0005-0000-0000-0000A0650000}"/>
    <cellStyle name="Neutral 29 4" xfId="26009" xr:uid="{00000000-0005-0000-0000-0000A1650000}"/>
    <cellStyle name="Neutral 29 4 2" xfId="26010" xr:uid="{00000000-0005-0000-0000-0000A2650000}"/>
    <cellStyle name="Neutral 29 5" xfId="26011" xr:uid="{00000000-0005-0000-0000-0000A3650000}"/>
    <cellStyle name="Neutral 29 6" xfId="26012" xr:uid="{00000000-0005-0000-0000-0000A4650000}"/>
    <cellStyle name="Neutral 29 7" xfId="26013" xr:uid="{00000000-0005-0000-0000-0000A5650000}"/>
    <cellStyle name="Neutral 29 8" xfId="26014" xr:uid="{00000000-0005-0000-0000-0000A6650000}"/>
    <cellStyle name="Neutral 29 9" xfId="26015" xr:uid="{00000000-0005-0000-0000-0000A7650000}"/>
    <cellStyle name="Neutral 3 10" xfId="26016" xr:uid="{00000000-0005-0000-0000-0000A8650000}"/>
    <cellStyle name="Neutral 3 11" xfId="26017" xr:uid="{00000000-0005-0000-0000-0000A9650000}"/>
    <cellStyle name="Neutral 3 12" xfId="26018" xr:uid="{00000000-0005-0000-0000-0000AA650000}"/>
    <cellStyle name="Neutral 3 13" xfId="26019" xr:uid="{00000000-0005-0000-0000-0000AB650000}"/>
    <cellStyle name="Neutral 3 14" xfId="26020" xr:uid="{00000000-0005-0000-0000-0000AC650000}"/>
    <cellStyle name="Neutral 3 15" xfId="26021" xr:uid="{00000000-0005-0000-0000-0000AD650000}"/>
    <cellStyle name="Neutral 3 16" xfId="26022" xr:uid="{00000000-0005-0000-0000-0000AE650000}"/>
    <cellStyle name="Neutral 3 17" xfId="26023" xr:uid="{00000000-0005-0000-0000-0000AF650000}"/>
    <cellStyle name="Neutral 3 18" xfId="26024" xr:uid="{00000000-0005-0000-0000-0000B0650000}"/>
    <cellStyle name="Neutral 3 19" xfId="26025" xr:uid="{00000000-0005-0000-0000-0000B1650000}"/>
    <cellStyle name="Neutral 3 2" xfId="26026" xr:uid="{00000000-0005-0000-0000-0000B2650000}"/>
    <cellStyle name="Neutral 3 2 2" xfId="26027" xr:uid="{00000000-0005-0000-0000-0000B3650000}"/>
    <cellStyle name="Neutral 3 3" xfId="26028" xr:uid="{00000000-0005-0000-0000-0000B4650000}"/>
    <cellStyle name="Neutral 3 3 2" xfId="26029" xr:uid="{00000000-0005-0000-0000-0000B5650000}"/>
    <cellStyle name="Neutral 3 4" xfId="26030" xr:uid="{00000000-0005-0000-0000-0000B6650000}"/>
    <cellStyle name="Neutral 3 4 2" xfId="26031" xr:uid="{00000000-0005-0000-0000-0000B7650000}"/>
    <cellStyle name="Neutral 3 5" xfId="26032" xr:uid="{00000000-0005-0000-0000-0000B8650000}"/>
    <cellStyle name="Neutral 3 6" xfId="26033" xr:uid="{00000000-0005-0000-0000-0000B9650000}"/>
    <cellStyle name="Neutral 3 7" xfId="26034" xr:uid="{00000000-0005-0000-0000-0000BA650000}"/>
    <cellStyle name="Neutral 3 8" xfId="26035" xr:uid="{00000000-0005-0000-0000-0000BB650000}"/>
    <cellStyle name="Neutral 3 9" xfId="26036" xr:uid="{00000000-0005-0000-0000-0000BC650000}"/>
    <cellStyle name="Neutral 30 10" xfId="26037" xr:uid="{00000000-0005-0000-0000-0000BD650000}"/>
    <cellStyle name="Neutral 30 11" xfId="26038" xr:uid="{00000000-0005-0000-0000-0000BE650000}"/>
    <cellStyle name="Neutral 30 12" xfId="26039" xr:uid="{00000000-0005-0000-0000-0000BF650000}"/>
    <cellStyle name="Neutral 30 13" xfId="26040" xr:uid="{00000000-0005-0000-0000-0000C0650000}"/>
    <cellStyle name="Neutral 30 14" xfId="26041" xr:uid="{00000000-0005-0000-0000-0000C1650000}"/>
    <cellStyle name="Neutral 30 15" xfId="26042" xr:uid="{00000000-0005-0000-0000-0000C2650000}"/>
    <cellStyle name="Neutral 30 16" xfId="26043" xr:uid="{00000000-0005-0000-0000-0000C3650000}"/>
    <cellStyle name="Neutral 30 17" xfId="26044" xr:uid="{00000000-0005-0000-0000-0000C4650000}"/>
    <cellStyle name="Neutral 30 18" xfId="26045" xr:uid="{00000000-0005-0000-0000-0000C5650000}"/>
    <cellStyle name="Neutral 30 19" xfId="26046" xr:uid="{00000000-0005-0000-0000-0000C6650000}"/>
    <cellStyle name="Neutral 30 2" xfId="26047" xr:uid="{00000000-0005-0000-0000-0000C7650000}"/>
    <cellStyle name="Neutral 30 2 2" xfId="26048" xr:uid="{00000000-0005-0000-0000-0000C8650000}"/>
    <cellStyle name="Neutral 30 3" xfId="26049" xr:uid="{00000000-0005-0000-0000-0000C9650000}"/>
    <cellStyle name="Neutral 30 3 2" xfId="26050" xr:uid="{00000000-0005-0000-0000-0000CA650000}"/>
    <cellStyle name="Neutral 30 4" xfId="26051" xr:uid="{00000000-0005-0000-0000-0000CB650000}"/>
    <cellStyle name="Neutral 30 4 2" xfId="26052" xr:uid="{00000000-0005-0000-0000-0000CC650000}"/>
    <cellStyle name="Neutral 30 5" xfId="26053" xr:uid="{00000000-0005-0000-0000-0000CD650000}"/>
    <cellStyle name="Neutral 30 6" xfId="26054" xr:uid="{00000000-0005-0000-0000-0000CE650000}"/>
    <cellStyle name="Neutral 30 7" xfId="26055" xr:uid="{00000000-0005-0000-0000-0000CF650000}"/>
    <cellStyle name="Neutral 30 8" xfId="26056" xr:uid="{00000000-0005-0000-0000-0000D0650000}"/>
    <cellStyle name="Neutral 30 9" xfId="26057" xr:uid="{00000000-0005-0000-0000-0000D1650000}"/>
    <cellStyle name="Neutral 31 10" xfId="26058" xr:uid="{00000000-0005-0000-0000-0000D2650000}"/>
    <cellStyle name="Neutral 31 11" xfId="26059" xr:uid="{00000000-0005-0000-0000-0000D3650000}"/>
    <cellStyle name="Neutral 31 12" xfId="26060" xr:uid="{00000000-0005-0000-0000-0000D4650000}"/>
    <cellStyle name="Neutral 31 13" xfId="26061" xr:uid="{00000000-0005-0000-0000-0000D5650000}"/>
    <cellStyle name="Neutral 31 14" xfId="26062" xr:uid="{00000000-0005-0000-0000-0000D6650000}"/>
    <cellStyle name="Neutral 31 15" xfId="26063" xr:uid="{00000000-0005-0000-0000-0000D7650000}"/>
    <cellStyle name="Neutral 31 16" xfId="26064" xr:uid="{00000000-0005-0000-0000-0000D8650000}"/>
    <cellStyle name="Neutral 31 17" xfId="26065" xr:uid="{00000000-0005-0000-0000-0000D9650000}"/>
    <cellStyle name="Neutral 31 18" xfId="26066" xr:uid="{00000000-0005-0000-0000-0000DA650000}"/>
    <cellStyle name="Neutral 31 19" xfId="26067" xr:uid="{00000000-0005-0000-0000-0000DB650000}"/>
    <cellStyle name="Neutral 31 2" xfId="26068" xr:uid="{00000000-0005-0000-0000-0000DC650000}"/>
    <cellStyle name="Neutral 31 2 2" xfId="26069" xr:uid="{00000000-0005-0000-0000-0000DD650000}"/>
    <cellStyle name="Neutral 31 3" xfId="26070" xr:uid="{00000000-0005-0000-0000-0000DE650000}"/>
    <cellStyle name="Neutral 31 3 2" xfId="26071" xr:uid="{00000000-0005-0000-0000-0000DF650000}"/>
    <cellStyle name="Neutral 31 4" xfId="26072" xr:uid="{00000000-0005-0000-0000-0000E0650000}"/>
    <cellStyle name="Neutral 31 4 2" xfId="26073" xr:uid="{00000000-0005-0000-0000-0000E1650000}"/>
    <cellStyle name="Neutral 31 5" xfId="26074" xr:uid="{00000000-0005-0000-0000-0000E2650000}"/>
    <cellStyle name="Neutral 31 6" xfId="26075" xr:uid="{00000000-0005-0000-0000-0000E3650000}"/>
    <cellStyle name="Neutral 31 7" xfId="26076" xr:uid="{00000000-0005-0000-0000-0000E4650000}"/>
    <cellStyle name="Neutral 31 8" xfId="26077" xr:uid="{00000000-0005-0000-0000-0000E5650000}"/>
    <cellStyle name="Neutral 31 9" xfId="26078" xr:uid="{00000000-0005-0000-0000-0000E6650000}"/>
    <cellStyle name="Neutral 32 10" xfId="26079" xr:uid="{00000000-0005-0000-0000-0000E7650000}"/>
    <cellStyle name="Neutral 32 11" xfId="26080" xr:uid="{00000000-0005-0000-0000-0000E8650000}"/>
    <cellStyle name="Neutral 32 12" xfId="26081" xr:uid="{00000000-0005-0000-0000-0000E9650000}"/>
    <cellStyle name="Neutral 32 13" xfId="26082" xr:uid="{00000000-0005-0000-0000-0000EA650000}"/>
    <cellStyle name="Neutral 32 14" xfId="26083" xr:uid="{00000000-0005-0000-0000-0000EB650000}"/>
    <cellStyle name="Neutral 32 15" xfId="26084" xr:uid="{00000000-0005-0000-0000-0000EC650000}"/>
    <cellStyle name="Neutral 32 16" xfId="26085" xr:uid="{00000000-0005-0000-0000-0000ED650000}"/>
    <cellStyle name="Neutral 32 17" xfId="26086" xr:uid="{00000000-0005-0000-0000-0000EE650000}"/>
    <cellStyle name="Neutral 32 18" xfId="26087" xr:uid="{00000000-0005-0000-0000-0000EF650000}"/>
    <cellStyle name="Neutral 32 19" xfId="26088" xr:uid="{00000000-0005-0000-0000-0000F0650000}"/>
    <cellStyle name="Neutral 32 2" xfId="26089" xr:uid="{00000000-0005-0000-0000-0000F1650000}"/>
    <cellStyle name="Neutral 32 2 2" xfId="26090" xr:uid="{00000000-0005-0000-0000-0000F2650000}"/>
    <cellStyle name="Neutral 32 3" xfId="26091" xr:uid="{00000000-0005-0000-0000-0000F3650000}"/>
    <cellStyle name="Neutral 32 3 2" xfId="26092" xr:uid="{00000000-0005-0000-0000-0000F4650000}"/>
    <cellStyle name="Neutral 32 4" xfId="26093" xr:uid="{00000000-0005-0000-0000-0000F5650000}"/>
    <cellStyle name="Neutral 32 4 2" xfId="26094" xr:uid="{00000000-0005-0000-0000-0000F6650000}"/>
    <cellStyle name="Neutral 32 5" xfId="26095" xr:uid="{00000000-0005-0000-0000-0000F7650000}"/>
    <cellStyle name="Neutral 32 6" xfId="26096" xr:uid="{00000000-0005-0000-0000-0000F8650000}"/>
    <cellStyle name="Neutral 32 7" xfId="26097" xr:uid="{00000000-0005-0000-0000-0000F9650000}"/>
    <cellStyle name="Neutral 32 8" xfId="26098" xr:uid="{00000000-0005-0000-0000-0000FA650000}"/>
    <cellStyle name="Neutral 32 9" xfId="26099" xr:uid="{00000000-0005-0000-0000-0000FB650000}"/>
    <cellStyle name="Neutral 33 10" xfId="26100" xr:uid="{00000000-0005-0000-0000-0000FC650000}"/>
    <cellStyle name="Neutral 33 11" xfId="26101" xr:uid="{00000000-0005-0000-0000-0000FD650000}"/>
    <cellStyle name="Neutral 33 12" xfId="26102" xr:uid="{00000000-0005-0000-0000-0000FE650000}"/>
    <cellStyle name="Neutral 33 13" xfId="26103" xr:uid="{00000000-0005-0000-0000-0000FF650000}"/>
    <cellStyle name="Neutral 33 14" xfId="26104" xr:uid="{00000000-0005-0000-0000-000000660000}"/>
    <cellStyle name="Neutral 33 15" xfId="26105" xr:uid="{00000000-0005-0000-0000-000001660000}"/>
    <cellStyle name="Neutral 33 16" xfId="26106" xr:uid="{00000000-0005-0000-0000-000002660000}"/>
    <cellStyle name="Neutral 33 17" xfId="26107" xr:uid="{00000000-0005-0000-0000-000003660000}"/>
    <cellStyle name="Neutral 33 18" xfId="26108" xr:uid="{00000000-0005-0000-0000-000004660000}"/>
    <cellStyle name="Neutral 33 19" xfId="26109" xr:uid="{00000000-0005-0000-0000-000005660000}"/>
    <cellStyle name="Neutral 33 2" xfId="26110" xr:uid="{00000000-0005-0000-0000-000006660000}"/>
    <cellStyle name="Neutral 33 2 2" xfId="26111" xr:uid="{00000000-0005-0000-0000-000007660000}"/>
    <cellStyle name="Neutral 33 3" xfId="26112" xr:uid="{00000000-0005-0000-0000-000008660000}"/>
    <cellStyle name="Neutral 33 3 2" xfId="26113" xr:uid="{00000000-0005-0000-0000-000009660000}"/>
    <cellStyle name="Neutral 33 4" xfId="26114" xr:uid="{00000000-0005-0000-0000-00000A660000}"/>
    <cellStyle name="Neutral 33 4 2" xfId="26115" xr:uid="{00000000-0005-0000-0000-00000B660000}"/>
    <cellStyle name="Neutral 33 5" xfId="26116" xr:uid="{00000000-0005-0000-0000-00000C660000}"/>
    <cellStyle name="Neutral 33 6" xfId="26117" xr:uid="{00000000-0005-0000-0000-00000D660000}"/>
    <cellStyle name="Neutral 33 7" xfId="26118" xr:uid="{00000000-0005-0000-0000-00000E660000}"/>
    <cellStyle name="Neutral 33 8" xfId="26119" xr:uid="{00000000-0005-0000-0000-00000F660000}"/>
    <cellStyle name="Neutral 33 9" xfId="26120" xr:uid="{00000000-0005-0000-0000-000010660000}"/>
    <cellStyle name="Neutral 34 10" xfId="26121" xr:uid="{00000000-0005-0000-0000-000011660000}"/>
    <cellStyle name="Neutral 34 11" xfId="26122" xr:uid="{00000000-0005-0000-0000-000012660000}"/>
    <cellStyle name="Neutral 34 12" xfId="26123" xr:uid="{00000000-0005-0000-0000-000013660000}"/>
    <cellStyle name="Neutral 34 13" xfId="26124" xr:uid="{00000000-0005-0000-0000-000014660000}"/>
    <cellStyle name="Neutral 34 14" xfId="26125" xr:uid="{00000000-0005-0000-0000-000015660000}"/>
    <cellStyle name="Neutral 34 15" xfId="26126" xr:uid="{00000000-0005-0000-0000-000016660000}"/>
    <cellStyle name="Neutral 34 16" xfId="26127" xr:uid="{00000000-0005-0000-0000-000017660000}"/>
    <cellStyle name="Neutral 34 17" xfId="26128" xr:uid="{00000000-0005-0000-0000-000018660000}"/>
    <cellStyle name="Neutral 34 18" xfId="26129" xr:uid="{00000000-0005-0000-0000-000019660000}"/>
    <cellStyle name="Neutral 34 19" xfId="26130" xr:uid="{00000000-0005-0000-0000-00001A660000}"/>
    <cellStyle name="Neutral 34 2" xfId="26131" xr:uid="{00000000-0005-0000-0000-00001B660000}"/>
    <cellStyle name="Neutral 34 2 2" xfId="26132" xr:uid="{00000000-0005-0000-0000-00001C660000}"/>
    <cellStyle name="Neutral 34 3" xfId="26133" xr:uid="{00000000-0005-0000-0000-00001D660000}"/>
    <cellStyle name="Neutral 34 3 2" xfId="26134" xr:uid="{00000000-0005-0000-0000-00001E660000}"/>
    <cellStyle name="Neutral 34 4" xfId="26135" xr:uid="{00000000-0005-0000-0000-00001F660000}"/>
    <cellStyle name="Neutral 34 4 2" xfId="26136" xr:uid="{00000000-0005-0000-0000-000020660000}"/>
    <cellStyle name="Neutral 34 5" xfId="26137" xr:uid="{00000000-0005-0000-0000-000021660000}"/>
    <cellStyle name="Neutral 34 6" xfId="26138" xr:uid="{00000000-0005-0000-0000-000022660000}"/>
    <cellStyle name="Neutral 34 7" xfId="26139" xr:uid="{00000000-0005-0000-0000-000023660000}"/>
    <cellStyle name="Neutral 34 8" xfId="26140" xr:uid="{00000000-0005-0000-0000-000024660000}"/>
    <cellStyle name="Neutral 34 9" xfId="26141" xr:uid="{00000000-0005-0000-0000-000025660000}"/>
    <cellStyle name="Neutral 35 10" xfId="26142" xr:uid="{00000000-0005-0000-0000-000026660000}"/>
    <cellStyle name="Neutral 35 11" xfId="26143" xr:uid="{00000000-0005-0000-0000-000027660000}"/>
    <cellStyle name="Neutral 35 12" xfId="26144" xr:uid="{00000000-0005-0000-0000-000028660000}"/>
    <cellStyle name="Neutral 35 13" xfId="26145" xr:uid="{00000000-0005-0000-0000-000029660000}"/>
    <cellStyle name="Neutral 35 14" xfId="26146" xr:uid="{00000000-0005-0000-0000-00002A660000}"/>
    <cellStyle name="Neutral 35 15" xfId="26147" xr:uid="{00000000-0005-0000-0000-00002B660000}"/>
    <cellStyle name="Neutral 35 16" xfId="26148" xr:uid="{00000000-0005-0000-0000-00002C660000}"/>
    <cellStyle name="Neutral 35 17" xfId="26149" xr:uid="{00000000-0005-0000-0000-00002D660000}"/>
    <cellStyle name="Neutral 35 18" xfId="26150" xr:uid="{00000000-0005-0000-0000-00002E660000}"/>
    <cellStyle name="Neutral 35 19" xfId="26151" xr:uid="{00000000-0005-0000-0000-00002F660000}"/>
    <cellStyle name="Neutral 35 2" xfId="26152" xr:uid="{00000000-0005-0000-0000-000030660000}"/>
    <cellStyle name="Neutral 35 2 2" xfId="26153" xr:uid="{00000000-0005-0000-0000-000031660000}"/>
    <cellStyle name="Neutral 35 3" xfId="26154" xr:uid="{00000000-0005-0000-0000-000032660000}"/>
    <cellStyle name="Neutral 35 3 2" xfId="26155" xr:uid="{00000000-0005-0000-0000-000033660000}"/>
    <cellStyle name="Neutral 35 4" xfId="26156" xr:uid="{00000000-0005-0000-0000-000034660000}"/>
    <cellStyle name="Neutral 35 4 2" xfId="26157" xr:uid="{00000000-0005-0000-0000-000035660000}"/>
    <cellStyle name="Neutral 35 5" xfId="26158" xr:uid="{00000000-0005-0000-0000-000036660000}"/>
    <cellStyle name="Neutral 35 6" xfId="26159" xr:uid="{00000000-0005-0000-0000-000037660000}"/>
    <cellStyle name="Neutral 35 7" xfId="26160" xr:uid="{00000000-0005-0000-0000-000038660000}"/>
    <cellStyle name="Neutral 35 8" xfId="26161" xr:uid="{00000000-0005-0000-0000-000039660000}"/>
    <cellStyle name="Neutral 35 9" xfId="26162" xr:uid="{00000000-0005-0000-0000-00003A660000}"/>
    <cellStyle name="Neutral 36 10" xfId="26163" xr:uid="{00000000-0005-0000-0000-00003B660000}"/>
    <cellStyle name="Neutral 36 11" xfId="26164" xr:uid="{00000000-0005-0000-0000-00003C660000}"/>
    <cellStyle name="Neutral 36 12" xfId="26165" xr:uid="{00000000-0005-0000-0000-00003D660000}"/>
    <cellStyle name="Neutral 36 13" xfId="26166" xr:uid="{00000000-0005-0000-0000-00003E660000}"/>
    <cellStyle name="Neutral 36 14" xfId="26167" xr:uid="{00000000-0005-0000-0000-00003F660000}"/>
    <cellStyle name="Neutral 36 15" xfId="26168" xr:uid="{00000000-0005-0000-0000-000040660000}"/>
    <cellStyle name="Neutral 36 16" xfId="26169" xr:uid="{00000000-0005-0000-0000-000041660000}"/>
    <cellStyle name="Neutral 36 17" xfId="26170" xr:uid="{00000000-0005-0000-0000-000042660000}"/>
    <cellStyle name="Neutral 36 18" xfId="26171" xr:uid="{00000000-0005-0000-0000-000043660000}"/>
    <cellStyle name="Neutral 36 19" xfId="26172" xr:uid="{00000000-0005-0000-0000-000044660000}"/>
    <cellStyle name="Neutral 36 2" xfId="26173" xr:uid="{00000000-0005-0000-0000-000045660000}"/>
    <cellStyle name="Neutral 36 2 2" xfId="26174" xr:uid="{00000000-0005-0000-0000-000046660000}"/>
    <cellStyle name="Neutral 36 3" xfId="26175" xr:uid="{00000000-0005-0000-0000-000047660000}"/>
    <cellStyle name="Neutral 36 3 2" xfId="26176" xr:uid="{00000000-0005-0000-0000-000048660000}"/>
    <cellStyle name="Neutral 36 4" xfId="26177" xr:uid="{00000000-0005-0000-0000-000049660000}"/>
    <cellStyle name="Neutral 36 4 2" xfId="26178" xr:uid="{00000000-0005-0000-0000-00004A660000}"/>
    <cellStyle name="Neutral 36 5" xfId="26179" xr:uid="{00000000-0005-0000-0000-00004B660000}"/>
    <cellStyle name="Neutral 36 6" xfId="26180" xr:uid="{00000000-0005-0000-0000-00004C660000}"/>
    <cellStyle name="Neutral 36 7" xfId="26181" xr:uid="{00000000-0005-0000-0000-00004D660000}"/>
    <cellStyle name="Neutral 36 8" xfId="26182" xr:uid="{00000000-0005-0000-0000-00004E660000}"/>
    <cellStyle name="Neutral 36 9" xfId="26183" xr:uid="{00000000-0005-0000-0000-00004F660000}"/>
    <cellStyle name="Neutral 37 10" xfId="26184" xr:uid="{00000000-0005-0000-0000-000050660000}"/>
    <cellStyle name="Neutral 37 11" xfId="26185" xr:uid="{00000000-0005-0000-0000-000051660000}"/>
    <cellStyle name="Neutral 37 12" xfId="26186" xr:uid="{00000000-0005-0000-0000-000052660000}"/>
    <cellStyle name="Neutral 37 13" xfId="26187" xr:uid="{00000000-0005-0000-0000-000053660000}"/>
    <cellStyle name="Neutral 37 14" xfId="26188" xr:uid="{00000000-0005-0000-0000-000054660000}"/>
    <cellStyle name="Neutral 37 15" xfId="26189" xr:uid="{00000000-0005-0000-0000-000055660000}"/>
    <cellStyle name="Neutral 37 16" xfId="26190" xr:uid="{00000000-0005-0000-0000-000056660000}"/>
    <cellStyle name="Neutral 37 17" xfId="26191" xr:uid="{00000000-0005-0000-0000-000057660000}"/>
    <cellStyle name="Neutral 37 18" xfId="26192" xr:uid="{00000000-0005-0000-0000-000058660000}"/>
    <cellStyle name="Neutral 37 19" xfId="26193" xr:uid="{00000000-0005-0000-0000-000059660000}"/>
    <cellStyle name="Neutral 37 2" xfId="26194" xr:uid="{00000000-0005-0000-0000-00005A660000}"/>
    <cellStyle name="Neutral 37 2 2" xfId="26195" xr:uid="{00000000-0005-0000-0000-00005B660000}"/>
    <cellStyle name="Neutral 37 3" xfId="26196" xr:uid="{00000000-0005-0000-0000-00005C660000}"/>
    <cellStyle name="Neutral 37 3 2" xfId="26197" xr:uid="{00000000-0005-0000-0000-00005D660000}"/>
    <cellStyle name="Neutral 37 4" xfId="26198" xr:uid="{00000000-0005-0000-0000-00005E660000}"/>
    <cellStyle name="Neutral 37 4 2" xfId="26199" xr:uid="{00000000-0005-0000-0000-00005F660000}"/>
    <cellStyle name="Neutral 37 5" xfId="26200" xr:uid="{00000000-0005-0000-0000-000060660000}"/>
    <cellStyle name="Neutral 37 6" xfId="26201" xr:uid="{00000000-0005-0000-0000-000061660000}"/>
    <cellStyle name="Neutral 37 7" xfId="26202" xr:uid="{00000000-0005-0000-0000-000062660000}"/>
    <cellStyle name="Neutral 37 8" xfId="26203" xr:uid="{00000000-0005-0000-0000-000063660000}"/>
    <cellStyle name="Neutral 37 9" xfId="26204" xr:uid="{00000000-0005-0000-0000-000064660000}"/>
    <cellStyle name="Neutral 38 10" xfId="26205" xr:uid="{00000000-0005-0000-0000-000065660000}"/>
    <cellStyle name="Neutral 38 11" xfId="26206" xr:uid="{00000000-0005-0000-0000-000066660000}"/>
    <cellStyle name="Neutral 38 12" xfId="26207" xr:uid="{00000000-0005-0000-0000-000067660000}"/>
    <cellStyle name="Neutral 38 13" xfId="26208" xr:uid="{00000000-0005-0000-0000-000068660000}"/>
    <cellStyle name="Neutral 38 14" xfId="26209" xr:uid="{00000000-0005-0000-0000-000069660000}"/>
    <cellStyle name="Neutral 38 15" xfId="26210" xr:uid="{00000000-0005-0000-0000-00006A660000}"/>
    <cellStyle name="Neutral 38 16" xfId="26211" xr:uid="{00000000-0005-0000-0000-00006B660000}"/>
    <cellStyle name="Neutral 38 17" xfId="26212" xr:uid="{00000000-0005-0000-0000-00006C660000}"/>
    <cellStyle name="Neutral 38 18" xfId="26213" xr:uid="{00000000-0005-0000-0000-00006D660000}"/>
    <cellStyle name="Neutral 38 19" xfId="26214" xr:uid="{00000000-0005-0000-0000-00006E660000}"/>
    <cellStyle name="Neutral 38 2" xfId="26215" xr:uid="{00000000-0005-0000-0000-00006F660000}"/>
    <cellStyle name="Neutral 38 2 2" xfId="26216" xr:uid="{00000000-0005-0000-0000-000070660000}"/>
    <cellStyle name="Neutral 38 3" xfId="26217" xr:uid="{00000000-0005-0000-0000-000071660000}"/>
    <cellStyle name="Neutral 38 3 2" xfId="26218" xr:uid="{00000000-0005-0000-0000-000072660000}"/>
    <cellStyle name="Neutral 38 4" xfId="26219" xr:uid="{00000000-0005-0000-0000-000073660000}"/>
    <cellStyle name="Neutral 38 4 2" xfId="26220" xr:uid="{00000000-0005-0000-0000-000074660000}"/>
    <cellStyle name="Neutral 38 5" xfId="26221" xr:uid="{00000000-0005-0000-0000-000075660000}"/>
    <cellStyle name="Neutral 38 6" xfId="26222" xr:uid="{00000000-0005-0000-0000-000076660000}"/>
    <cellStyle name="Neutral 38 7" xfId="26223" xr:uid="{00000000-0005-0000-0000-000077660000}"/>
    <cellStyle name="Neutral 38 8" xfId="26224" xr:uid="{00000000-0005-0000-0000-000078660000}"/>
    <cellStyle name="Neutral 38 9" xfId="26225" xr:uid="{00000000-0005-0000-0000-000079660000}"/>
    <cellStyle name="Neutral 39" xfId="26226" xr:uid="{00000000-0005-0000-0000-00007A660000}"/>
    <cellStyle name="Neutral 39 10" xfId="26227" xr:uid="{00000000-0005-0000-0000-00007B660000}"/>
    <cellStyle name="Neutral 39 11" xfId="26228" xr:uid="{00000000-0005-0000-0000-00007C660000}"/>
    <cellStyle name="Neutral 39 12" xfId="26229" xr:uid="{00000000-0005-0000-0000-00007D660000}"/>
    <cellStyle name="Neutral 39 13" xfId="26230" xr:uid="{00000000-0005-0000-0000-00007E660000}"/>
    <cellStyle name="Neutral 39 14" xfId="26231" xr:uid="{00000000-0005-0000-0000-00007F660000}"/>
    <cellStyle name="Neutral 39 15" xfId="26232" xr:uid="{00000000-0005-0000-0000-000080660000}"/>
    <cellStyle name="Neutral 39 16" xfId="26233" xr:uid="{00000000-0005-0000-0000-000081660000}"/>
    <cellStyle name="Neutral 39 2" xfId="26234" xr:uid="{00000000-0005-0000-0000-000082660000}"/>
    <cellStyle name="Neutral 39 3" xfId="26235" xr:uid="{00000000-0005-0000-0000-000083660000}"/>
    <cellStyle name="Neutral 39 4" xfId="26236" xr:uid="{00000000-0005-0000-0000-000084660000}"/>
    <cellStyle name="Neutral 39 5" xfId="26237" xr:uid="{00000000-0005-0000-0000-000085660000}"/>
    <cellStyle name="Neutral 39 6" xfId="26238" xr:uid="{00000000-0005-0000-0000-000086660000}"/>
    <cellStyle name="Neutral 39 7" xfId="26239" xr:uid="{00000000-0005-0000-0000-000087660000}"/>
    <cellStyle name="Neutral 39 8" xfId="26240" xr:uid="{00000000-0005-0000-0000-000088660000}"/>
    <cellStyle name="Neutral 39 9" xfId="26241" xr:uid="{00000000-0005-0000-0000-000089660000}"/>
    <cellStyle name="Neutral 4 10" xfId="26242" xr:uid="{00000000-0005-0000-0000-00008A660000}"/>
    <cellStyle name="Neutral 4 11" xfId="26243" xr:uid="{00000000-0005-0000-0000-00008B660000}"/>
    <cellStyle name="Neutral 4 12" xfId="26244" xr:uid="{00000000-0005-0000-0000-00008C660000}"/>
    <cellStyle name="Neutral 4 13" xfId="26245" xr:uid="{00000000-0005-0000-0000-00008D660000}"/>
    <cellStyle name="Neutral 4 14" xfId="26246" xr:uid="{00000000-0005-0000-0000-00008E660000}"/>
    <cellStyle name="Neutral 4 15" xfId="26247" xr:uid="{00000000-0005-0000-0000-00008F660000}"/>
    <cellStyle name="Neutral 4 16" xfId="26248" xr:uid="{00000000-0005-0000-0000-000090660000}"/>
    <cellStyle name="Neutral 4 17" xfId="26249" xr:uid="{00000000-0005-0000-0000-000091660000}"/>
    <cellStyle name="Neutral 4 18" xfId="26250" xr:uid="{00000000-0005-0000-0000-000092660000}"/>
    <cellStyle name="Neutral 4 19" xfId="26251" xr:uid="{00000000-0005-0000-0000-000093660000}"/>
    <cellStyle name="Neutral 4 2" xfId="26252" xr:uid="{00000000-0005-0000-0000-000094660000}"/>
    <cellStyle name="Neutral 4 2 2" xfId="26253" xr:uid="{00000000-0005-0000-0000-000095660000}"/>
    <cellStyle name="Neutral 4 3" xfId="26254" xr:uid="{00000000-0005-0000-0000-000096660000}"/>
    <cellStyle name="Neutral 4 3 2" xfId="26255" xr:uid="{00000000-0005-0000-0000-000097660000}"/>
    <cellStyle name="Neutral 4 4" xfId="26256" xr:uid="{00000000-0005-0000-0000-000098660000}"/>
    <cellStyle name="Neutral 4 4 2" xfId="26257" xr:uid="{00000000-0005-0000-0000-000099660000}"/>
    <cellStyle name="Neutral 4 5" xfId="26258" xr:uid="{00000000-0005-0000-0000-00009A660000}"/>
    <cellStyle name="Neutral 4 6" xfId="26259" xr:uid="{00000000-0005-0000-0000-00009B660000}"/>
    <cellStyle name="Neutral 4 7" xfId="26260" xr:uid="{00000000-0005-0000-0000-00009C660000}"/>
    <cellStyle name="Neutral 4 8" xfId="26261" xr:uid="{00000000-0005-0000-0000-00009D660000}"/>
    <cellStyle name="Neutral 4 9" xfId="26262" xr:uid="{00000000-0005-0000-0000-00009E660000}"/>
    <cellStyle name="Neutral 40" xfId="26263" xr:uid="{00000000-0005-0000-0000-00009F660000}"/>
    <cellStyle name="Neutral 40 10" xfId="26264" xr:uid="{00000000-0005-0000-0000-0000A0660000}"/>
    <cellStyle name="Neutral 40 11" xfId="26265" xr:uid="{00000000-0005-0000-0000-0000A1660000}"/>
    <cellStyle name="Neutral 40 12" xfId="26266" xr:uid="{00000000-0005-0000-0000-0000A2660000}"/>
    <cellStyle name="Neutral 40 13" xfId="26267" xr:uid="{00000000-0005-0000-0000-0000A3660000}"/>
    <cellStyle name="Neutral 40 14" xfId="26268" xr:uid="{00000000-0005-0000-0000-0000A4660000}"/>
    <cellStyle name="Neutral 40 15" xfId="26269" xr:uid="{00000000-0005-0000-0000-0000A5660000}"/>
    <cellStyle name="Neutral 40 16" xfId="26270" xr:uid="{00000000-0005-0000-0000-0000A6660000}"/>
    <cellStyle name="Neutral 40 2" xfId="26271" xr:uid="{00000000-0005-0000-0000-0000A7660000}"/>
    <cellStyle name="Neutral 40 3" xfId="26272" xr:uid="{00000000-0005-0000-0000-0000A8660000}"/>
    <cellStyle name="Neutral 40 4" xfId="26273" xr:uid="{00000000-0005-0000-0000-0000A9660000}"/>
    <cellStyle name="Neutral 40 5" xfId="26274" xr:uid="{00000000-0005-0000-0000-0000AA660000}"/>
    <cellStyle name="Neutral 40 6" xfId="26275" xr:uid="{00000000-0005-0000-0000-0000AB660000}"/>
    <cellStyle name="Neutral 40 7" xfId="26276" xr:uid="{00000000-0005-0000-0000-0000AC660000}"/>
    <cellStyle name="Neutral 40 8" xfId="26277" xr:uid="{00000000-0005-0000-0000-0000AD660000}"/>
    <cellStyle name="Neutral 40 9" xfId="26278" xr:uid="{00000000-0005-0000-0000-0000AE660000}"/>
    <cellStyle name="Neutral 41" xfId="26279" xr:uid="{00000000-0005-0000-0000-0000AF660000}"/>
    <cellStyle name="Neutral 41 10" xfId="26280" xr:uid="{00000000-0005-0000-0000-0000B0660000}"/>
    <cellStyle name="Neutral 41 11" xfId="26281" xr:uid="{00000000-0005-0000-0000-0000B1660000}"/>
    <cellStyle name="Neutral 41 12" xfId="26282" xr:uid="{00000000-0005-0000-0000-0000B2660000}"/>
    <cellStyle name="Neutral 41 13" xfId="26283" xr:uid="{00000000-0005-0000-0000-0000B3660000}"/>
    <cellStyle name="Neutral 41 14" xfId="26284" xr:uid="{00000000-0005-0000-0000-0000B4660000}"/>
    <cellStyle name="Neutral 41 15" xfId="26285" xr:uid="{00000000-0005-0000-0000-0000B5660000}"/>
    <cellStyle name="Neutral 41 16" xfId="26286" xr:uid="{00000000-0005-0000-0000-0000B6660000}"/>
    <cellStyle name="Neutral 41 2" xfId="26287" xr:uid="{00000000-0005-0000-0000-0000B7660000}"/>
    <cellStyle name="Neutral 41 3" xfId="26288" xr:uid="{00000000-0005-0000-0000-0000B8660000}"/>
    <cellStyle name="Neutral 41 4" xfId="26289" xr:uid="{00000000-0005-0000-0000-0000B9660000}"/>
    <cellStyle name="Neutral 41 5" xfId="26290" xr:uid="{00000000-0005-0000-0000-0000BA660000}"/>
    <cellStyle name="Neutral 41 6" xfId="26291" xr:uid="{00000000-0005-0000-0000-0000BB660000}"/>
    <cellStyle name="Neutral 41 7" xfId="26292" xr:uid="{00000000-0005-0000-0000-0000BC660000}"/>
    <cellStyle name="Neutral 41 8" xfId="26293" xr:uid="{00000000-0005-0000-0000-0000BD660000}"/>
    <cellStyle name="Neutral 41 9" xfId="26294" xr:uid="{00000000-0005-0000-0000-0000BE660000}"/>
    <cellStyle name="Neutral 42" xfId="26295" xr:uid="{00000000-0005-0000-0000-0000BF660000}"/>
    <cellStyle name="Neutral 43" xfId="26296" xr:uid="{00000000-0005-0000-0000-0000C0660000}"/>
    <cellStyle name="Neutral 44" xfId="26297" xr:uid="{00000000-0005-0000-0000-0000C1660000}"/>
    <cellStyle name="Neutral 45" xfId="26298" xr:uid="{00000000-0005-0000-0000-0000C2660000}"/>
    <cellStyle name="Neutral 46" xfId="26299" xr:uid="{00000000-0005-0000-0000-0000C3660000}"/>
    <cellStyle name="Neutral 47" xfId="26300" xr:uid="{00000000-0005-0000-0000-0000C4660000}"/>
    <cellStyle name="Neutral 48" xfId="26301" xr:uid="{00000000-0005-0000-0000-0000C5660000}"/>
    <cellStyle name="Neutral 49" xfId="26302" xr:uid="{00000000-0005-0000-0000-0000C6660000}"/>
    <cellStyle name="Neutral 5 10" xfId="26303" xr:uid="{00000000-0005-0000-0000-0000C7660000}"/>
    <cellStyle name="Neutral 5 11" xfId="26304" xr:uid="{00000000-0005-0000-0000-0000C8660000}"/>
    <cellStyle name="Neutral 5 12" xfId="26305" xr:uid="{00000000-0005-0000-0000-0000C9660000}"/>
    <cellStyle name="Neutral 5 13" xfId="26306" xr:uid="{00000000-0005-0000-0000-0000CA660000}"/>
    <cellStyle name="Neutral 5 14" xfId="26307" xr:uid="{00000000-0005-0000-0000-0000CB660000}"/>
    <cellStyle name="Neutral 5 15" xfId="26308" xr:uid="{00000000-0005-0000-0000-0000CC660000}"/>
    <cellStyle name="Neutral 5 16" xfId="26309" xr:uid="{00000000-0005-0000-0000-0000CD660000}"/>
    <cellStyle name="Neutral 5 17" xfId="26310" xr:uid="{00000000-0005-0000-0000-0000CE660000}"/>
    <cellStyle name="Neutral 5 18" xfId="26311" xr:uid="{00000000-0005-0000-0000-0000CF660000}"/>
    <cellStyle name="Neutral 5 19" xfId="26312" xr:uid="{00000000-0005-0000-0000-0000D0660000}"/>
    <cellStyle name="Neutral 5 2" xfId="26313" xr:uid="{00000000-0005-0000-0000-0000D1660000}"/>
    <cellStyle name="Neutral 5 2 2" xfId="26314" xr:uid="{00000000-0005-0000-0000-0000D2660000}"/>
    <cellStyle name="Neutral 5 3" xfId="26315" xr:uid="{00000000-0005-0000-0000-0000D3660000}"/>
    <cellStyle name="Neutral 5 3 2" xfId="26316" xr:uid="{00000000-0005-0000-0000-0000D4660000}"/>
    <cellStyle name="Neutral 5 4" xfId="26317" xr:uid="{00000000-0005-0000-0000-0000D5660000}"/>
    <cellStyle name="Neutral 5 4 2" xfId="26318" xr:uid="{00000000-0005-0000-0000-0000D6660000}"/>
    <cellStyle name="Neutral 5 5" xfId="26319" xr:uid="{00000000-0005-0000-0000-0000D7660000}"/>
    <cellStyle name="Neutral 5 6" xfId="26320" xr:uid="{00000000-0005-0000-0000-0000D8660000}"/>
    <cellStyle name="Neutral 5 7" xfId="26321" xr:uid="{00000000-0005-0000-0000-0000D9660000}"/>
    <cellStyle name="Neutral 5 8" xfId="26322" xr:uid="{00000000-0005-0000-0000-0000DA660000}"/>
    <cellStyle name="Neutral 5 9" xfId="26323" xr:uid="{00000000-0005-0000-0000-0000DB660000}"/>
    <cellStyle name="Neutral 50" xfId="26324" xr:uid="{00000000-0005-0000-0000-0000DC660000}"/>
    <cellStyle name="Neutral 51" xfId="26325" xr:uid="{00000000-0005-0000-0000-0000DD660000}"/>
    <cellStyle name="Neutral 52" xfId="26326" xr:uid="{00000000-0005-0000-0000-0000DE660000}"/>
    <cellStyle name="Neutral 53" xfId="26327" xr:uid="{00000000-0005-0000-0000-0000DF660000}"/>
    <cellStyle name="Neutral 54" xfId="26328" xr:uid="{00000000-0005-0000-0000-0000E0660000}"/>
    <cellStyle name="Neutral 55" xfId="26329" xr:uid="{00000000-0005-0000-0000-0000E1660000}"/>
    <cellStyle name="Neutral 56" xfId="26330" xr:uid="{00000000-0005-0000-0000-0000E2660000}"/>
    <cellStyle name="Neutral 57" xfId="26331" xr:uid="{00000000-0005-0000-0000-0000E3660000}"/>
    <cellStyle name="Neutral 58" xfId="26332" xr:uid="{00000000-0005-0000-0000-0000E4660000}"/>
    <cellStyle name="Neutral 59" xfId="26333" xr:uid="{00000000-0005-0000-0000-0000E5660000}"/>
    <cellStyle name="Neutral 6 10" xfId="26334" xr:uid="{00000000-0005-0000-0000-0000E6660000}"/>
    <cellStyle name="Neutral 6 11" xfId="26335" xr:uid="{00000000-0005-0000-0000-0000E7660000}"/>
    <cellStyle name="Neutral 6 12" xfId="26336" xr:uid="{00000000-0005-0000-0000-0000E8660000}"/>
    <cellStyle name="Neutral 6 13" xfId="26337" xr:uid="{00000000-0005-0000-0000-0000E9660000}"/>
    <cellStyle name="Neutral 6 14" xfId="26338" xr:uid="{00000000-0005-0000-0000-0000EA660000}"/>
    <cellStyle name="Neutral 6 15" xfId="26339" xr:uid="{00000000-0005-0000-0000-0000EB660000}"/>
    <cellStyle name="Neutral 6 16" xfId="26340" xr:uid="{00000000-0005-0000-0000-0000EC660000}"/>
    <cellStyle name="Neutral 6 17" xfId="26341" xr:uid="{00000000-0005-0000-0000-0000ED660000}"/>
    <cellStyle name="Neutral 6 18" xfId="26342" xr:uid="{00000000-0005-0000-0000-0000EE660000}"/>
    <cellStyle name="Neutral 6 19" xfId="26343" xr:uid="{00000000-0005-0000-0000-0000EF660000}"/>
    <cellStyle name="Neutral 6 2" xfId="26344" xr:uid="{00000000-0005-0000-0000-0000F0660000}"/>
    <cellStyle name="Neutral 6 2 2" xfId="26345" xr:uid="{00000000-0005-0000-0000-0000F1660000}"/>
    <cellStyle name="Neutral 6 3" xfId="26346" xr:uid="{00000000-0005-0000-0000-0000F2660000}"/>
    <cellStyle name="Neutral 6 3 2" xfId="26347" xr:uid="{00000000-0005-0000-0000-0000F3660000}"/>
    <cellStyle name="Neutral 6 4" xfId="26348" xr:uid="{00000000-0005-0000-0000-0000F4660000}"/>
    <cellStyle name="Neutral 6 4 2" xfId="26349" xr:uid="{00000000-0005-0000-0000-0000F5660000}"/>
    <cellStyle name="Neutral 6 5" xfId="26350" xr:uid="{00000000-0005-0000-0000-0000F6660000}"/>
    <cellStyle name="Neutral 6 6" xfId="26351" xr:uid="{00000000-0005-0000-0000-0000F7660000}"/>
    <cellStyle name="Neutral 6 7" xfId="26352" xr:uid="{00000000-0005-0000-0000-0000F8660000}"/>
    <cellStyle name="Neutral 6 8" xfId="26353" xr:uid="{00000000-0005-0000-0000-0000F9660000}"/>
    <cellStyle name="Neutral 6 9" xfId="26354" xr:uid="{00000000-0005-0000-0000-0000FA660000}"/>
    <cellStyle name="Neutral 60" xfId="26355" xr:uid="{00000000-0005-0000-0000-0000FB660000}"/>
    <cellStyle name="Neutral 61" xfId="26356" xr:uid="{00000000-0005-0000-0000-0000FC660000}"/>
    <cellStyle name="Neutral 62" xfId="26357" xr:uid="{00000000-0005-0000-0000-0000FD660000}"/>
    <cellStyle name="Neutral 63" xfId="26358" xr:uid="{00000000-0005-0000-0000-0000FE660000}"/>
    <cellStyle name="Neutral 64" xfId="26359" xr:uid="{00000000-0005-0000-0000-0000FF660000}"/>
    <cellStyle name="Neutral 7 10" xfId="26360" xr:uid="{00000000-0005-0000-0000-000000670000}"/>
    <cellStyle name="Neutral 7 11" xfId="26361" xr:uid="{00000000-0005-0000-0000-000001670000}"/>
    <cellStyle name="Neutral 7 12" xfId="26362" xr:uid="{00000000-0005-0000-0000-000002670000}"/>
    <cellStyle name="Neutral 7 13" xfId="26363" xr:uid="{00000000-0005-0000-0000-000003670000}"/>
    <cellStyle name="Neutral 7 14" xfId="26364" xr:uid="{00000000-0005-0000-0000-000004670000}"/>
    <cellStyle name="Neutral 7 15" xfId="26365" xr:uid="{00000000-0005-0000-0000-000005670000}"/>
    <cellStyle name="Neutral 7 16" xfId="26366" xr:uid="{00000000-0005-0000-0000-000006670000}"/>
    <cellStyle name="Neutral 7 17" xfId="26367" xr:uid="{00000000-0005-0000-0000-000007670000}"/>
    <cellStyle name="Neutral 7 18" xfId="26368" xr:uid="{00000000-0005-0000-0000-000008670000}"/>
    <cellStyle name="Neutral 7 19" xfId="26369" xr:uid="{00000000-0005-0000-0000-000009670000}"/>
    <cellStyle name="Neutral 7 2" xfId="26370" xr:uid="{00000000-0005-0000-0000-00000A670000}"/>
    <cellStyle name="Neutral 7 2 2" xfId="26371" xr:uid="{00000000-0005-0000-0000-00000B670000}"/>
    <cellStyle name="Neutral 7 3" xfId="26372" xr:uid="{00000000-0005-0000-0000-00000C670000}"/>
    <cellStyle name="Neutral 7 3 2" xfId="26373" xr:uid="{00000000-0005-0000-0000-00000D670000}"/>
    <cellStyle name="Neutral 7 4" xfId="26374" xr:uid="{00000000-0005-0000-0000-00000E670000}"/>
    <cellStyle name="Neutral 7 4 2" xfId="26375" xr:uid="{00000000-0005-0000-0000-00000F670000}"/>
    <cellStyle name="Neutral 7 5" xfId="26376" xr:uid="{00000000-0005-0000-0000-000010670000}"/>
    <cellStyle name="Neutral 7 6" xfId="26377" xr:uid="{00000000-0005-0000-0000-000011670000}"/>
    <cellStyle name="Neutral 7 7" xfId="26378" xr:uid="{00000000-0005-0000-0000-000012670000}"/>
    <cellStyle name="Neutral 7 8" xfId="26379" xr:uid="{00000000-0005-0000-0000-000013670000}"/>
    <cellStyle name="Neutral 7 9" xfId="26380" xr:uid="{00000000-0005-0000-0000-000014670000}"/>
    <cellStyle name="Neutral 8 10" xfId="26381" xr:uid="{00000000-0005-0000-0000-000015670000}"/>
    <cellStyle name="Neutral 8 11" xfId="26382" xr:uid="{00000000-0005-0000-0000-000016670000}"/>
    <cellStyle name="Neutral 8 12" xfId="26383" xr:uid="{00000000-0005-0000-0000-000017670000}"/>
    <cellStyle name="Neutral 8 13" xfId="26384" xr:uid="{00000000-0005-0000-0000-000018670000}"/>
    <cellStyle name="Neutral 8 14" xfId="26385" xr:uid="{00000000-0005-0000-0000-000019670000}"/>
    <cellStyle name="Neutral 8 15" xfId="26386" xr:uid="{00000000-0005-0000-0000-00001A670000}"/>
    <cellStyle name="Neutral 8 16" xfId="26387" xr:uid="{00000000-0005-0000-0000-00001B670000}"/>
    <cellStyle name="Neutral 8 17" xfId="26388" xr:uid="{00000000-0005-0000-0000-00001C670000}"/>
    <cellStyle name="Neutral 8 18" xfId="26389" xr:uid="{00000000-0005-0000-0000-00001D670000}"/>
    <cellStyle name="Neutral 8 19" xfId="26390" xr:uid="{00000000-0005-0000-0000-00001E670000}"/>
    <cellStyle name="Neutral 8 2" xfId="26391" xr:uid="{00000000-0005-0000-0000-00001F670000}"/>
    <cellStyle name="Neutral 8 2 2" xfId="26392" xr:uid="{00000000-0005-0000-0000-000020670000}"/>
    <cellStyle name="Neutral 8 3" xfId="26393" xr:uid="{00000000-0005-0000-0000-000021670000}"/>
    <cellStyle name="Neutral 8 3 2" xfId="26394" xr:uid="{00000000-0005-0000-0000-000022670000}"/>
    <cellStyle name="Neutral 8 4" xfId="26395" xr:uid="{00000000-0005-0000-0000-000023670000}"/>
    <cellStyle name="Neutral 8 4 2" xfId="26396" xr:uid="{00000000-0005-0000-0000-000024670000}"/>
    <cellStyle name="Neutral 8 5" xfId="26397" xr:uid="{00000000-0005-0000-0000-000025670000}"/>
    <cellStyle name="Neutral 8 6" xfId="26398" xr:uid="{00000000-0005-0000-0000-000026670000}"/>
    <cellStyle name="Neutral 8 7" xfId="26399" xr:uid="{00000000-0005-0000-0000-000027670000}"/>
    <cellStyle name="Neutral 8 8" xfId="26400" xr:uid="{00000000-0005-0000-0000-000028670000}"/>
    <cellStyle name="Neutral 8 9" xfId="26401" xr:uid="{00000000-0005-0000-0000-000029670000}"/>
    <cellStyle name="Neutral 9 10" xfId="26402" xr:uid="{00000000-0005-0000-0000-00002A670000}"/>
    <cellStyle name="Neutral 9 11" xfId="26403" xr:uid="{00000000-0005-0000-0000-00002B670000}"/>
    <cellStyle name="Neutral 9 12" xfId="26404" xr:uid="{00000000-0005-0000-0000-00002C670000}"/>
    <cellStyle name="Neutral 9 13" xfId="26405" xr:uid="{00000000-0005-0000-0000-00002D670000}"/>
    <cellStyle name="Neutral 9 14" xfId="26406" xr:uid="{00000000-0005-0000-0000-00002E670000}"/>
    <cellStyle name="Neutral 9 15" xfId="26407" xr:uid="{00000000-0005-0000-0000-00002F670000}"/>
    <cellStyle name="Neutral 9 16" xfId="26408" xr:uid="{00000000-0005-0000-0000-000030670000}"/>
    <cellStyle name="Neutral 9 17" xfId="26409" xr:uid="{00000000-0005-0000-0000-000031670000}"/>
    <cellStyle name="Neutral 9 18" xfId="26410" xr:uid="{00000000-0005-0000-0000-000032670000}"/>
    <cellStyle name="Neutral 9 19" xfId="26411" xr:uid="{00000000-0005-0000-0000-000033670000}"/>
    <cellStyle name="Neutral 9 2" xfId="26412" xr:uid="{00000000-0005-0000-0000-000034670000}"/>
    <cellStyle name="Neutral 9 2 2" xfId="26413" xr:uid="{00000000-0005-0000-0000-000035670000}"/>
    <cellStyle name="Neutral 9 3" xfId="26414" xr:uid="{00000000-0005-0000-0000-000036670000}"/>
    <cellStyle name="Neutral 9 3 2" xfId="26415" xr:uid="{00000000-0005-0000-0000-000037670000}"/>
    <cellStyle name="Neutral 9 4" xfId="26416" xr:uid="{00000000-0005-0000-0000-000038670000}"/>
    <cellStyle name="Neutral 9 4 2" xfId="26417" xr:uid="{00000000-0005-0000-0000-000039670000}"/>
    <cellStyle name="Neutral 9 5" xfId="26418" xr:uid="{00000000-0005-0000-0000-00003A670000}"/>
    <cellStyle name="Neutral 9 6" xfId="26419" xr:uid="{00000000-0005-0000-0000-00003B670000}"/>
    <cellStyle name="Neutral 9 7" xfId="26420" xr:uid="{00000000-0005-0000-0000-00003C670000}"/>
    <cellStyle name="Neutral 9 8" xfId="26421" xr:uid="{00000000-0005-0000-0000-00003D670000}"/>
    <cellStyle name="Neutral 9 9" xfId="26422" xr:uid="{00000000-0005-0000-0000-00003E670000}"/>
    <cellStyle name="Normal" xfId="0" builtinId="0"/>
    <cellStyle name="Normal 14" xfId="26423" xr:uid="{00000000-0005-0000-0000-000040670000}"/>
    <cellStyle name="Normal 14 10" xfId="26424" xr:uid="{00000000-0005-0000-0000-000041670000}"/>
    <cellStyle name="Normal 14 11" xfId="26425" xr:uid="{00000000-0005-0000-0000-000042670000}"/>
    <cellStyle name="Normal 14 12" xfId="26426" xr:uid="{00000000-0005-0000-0000-000043670000}"/>
    <cellStyle name="Normal 14 2" xfId="26427" xr:uid="{00000000-0005-0000-0000-000044670000}"/>
    <cellStyle name="Normal 14 3" xfId="26428" xr:uid="{00000000-0005-0000-0000-000045670000}"/>
    <cellStyle name="Normal 14 4" xfId="26429" xr:uid="{00000000-0005-0000-0000-000046670000}"/>
    <cellStyle name="Normal 14 5" xfId="26430" xr:uid="{00000000-0005-0000-0000-000047670000}"/>
    <cellStyle name="Normal 14 6" xfId="26431" xr:uid="{00000000-0005-0000-0000-000048670000}"/>
    <cellStyle name="Normal 14 7" xfId="26432" xr:uid="{00000000-0005-0000-0000-000049670000}"/>
    <cellStyle name="Normal 14 8" xfId="26433" xr:uid="{00000000-0005-0000-0000-00004A670000}"/>
    <cellStyle name="Normal 14 9" xfId="26434" xr:uid="{00000000-0005-0000-0000-00004B670000}"/>
    <cellStyle name="Normal 2" xfId="48" xr:uid="{00000000-0005-0000-0000-00004C670000}"/>
    <cellStyle name="Normal 2 2" xfId="49" xr:uid="{00000000-0005-0000-0000-00004D670000}"/>
    <cellStyle name="Normal 2 3" xfId="50" xr:uid="{00000000-0005-0000-0000-00004E670000}"/>
    <cellStyle name="Normal 2 4" xfId="51" xr:uid="{00000000-0005-0000-0000-00004F670000}"/>
    <cellStyle name="Normal 2 5" xfId="52" xr:uid="{00000000-0005-0000-0000-000050670000}"/>
    <cellStyle name="Normal 21" xfId="26435" xr:uid="{00000000-0005-0000-0000-000051670000}"/>
    <cellStyle name="Normal 21 10" xfId="26436" xr:uid="{00000000-0005-0000-0000-000052670000}"/>
    <cellStyle name="Normal 21 11" xfId="26437" xr:uid="{00000000-0005-0000-0000-000053670000}"/>
    <cellStyle name="Normal 21 12" xfId="26438" xr:uid="{00000000-0005-0000-0000-000054670000}"/>
    <cellStyle name="Normal 21 2" xfId="26439" xr:uid="{00000000-0005-0000-0000-000055670000}"/>
    <cellStyle name="Normal 21 3" xfId="26440" xr:uid="{00000000-0005-0000-0000-000056670000}"/>
    <cellStyle name="Normal 21 4" xfId="26441" xr:uid="{00000000-0005-0000-0000-000057670000}"/>
    <cellStyle name="Normal 21 5" xfId="26442" xr:uid="{00000000-0005-0000-0000-000058670000}"/>
    <cellStyle name="Normal 21 6" xfId="26443" xr:uid="{00000000-0005-0000-0000-000059670000}"/>
    <cellStyle name="Normal 21 7" xfId="26444" xr:uid="{00000000-0005-0000-0000-00005A670000}"/>
    <cellStyle name="Normal 21 8" xfId="26445" xr:uid="{00000000-0005-0000-0000-00005B670000}"/>
    <cellStyle name="Normal 21 9" xfId="26446" xr:uid="{00000000-0005-0000-0000-00005C670000}"/>
    <cellStyle name="Normal 3" xfId="53" xr:uid="{00000000-0005-0000-0000-00005D670000}"/>
    <cellStyle name="Normal 3 10" xfId="26447" xr:uid="{00000000-0005-0000-0000-00005E670000}"/>
    <cellStyle name="Normal 3 11" xfId="26448" xr:uid="{00000000-0005-0000-0000-00005F670000}"/>
    <cellStyle name="Normal 3 12" xfId="26449" xr:uid="{00000000-0005-0000-0000-000060670000}"/>
    <cellStyle name="Normal 3 2" xfId="54" xr:uid="{00000000-0005-0000-0000-000061670000}"/>
    <cellStyle name="Normal 3 3" xfId="55" xr:uid="{00000000-0005-0000-0000-000062670000}"/>
    <cellStyle name="Normal 3 4" xfId="26450" xr:uid="{00000000-0005-0000-0000-000063670000}"/>
    <cellStyle name="Normal 3 5" xfId="26451" xr:uid="{00000000-0005-0000-0000-000064670000}"/>
    <cellStyle name="Normal 3 6" xfId="26452" xr:uid="{00000000-0005-0000-0000-000065670000}"/>
    <cellStyle name="Normal 3 7" xfId="26453" xr:uid="{00000000-0005-0000-0000-000066670000}"/>
    <cellStyle name="Normal 3 8" xfId="26454" xr:uid="{00000000-0005-0000-0000-000067670000}"/>
    <cellStyle name="Normal 3 9" xfId="26455" xr:uid="{00000000-0005-0000-0000-000068670000}"/>
    <cellStyle name="Normal 4" xfId="56" xr:uid="{00000000-0005-0000-0000-000069670000}"/>
    <cellStyle name="Normal 4 2" xfId="57" xr:uid="{00000000-0005-0000-0000-00006A670000}"/>
    <cellStyle name="Normal 4 3" xfId="26456" xr:uid="{00000000-0005-0000-0000-00006B670000}"/>
    <cellStyle name="Normal 5" xfId="58" xr:uid="{00000000-0005-0000-0000-00006C670000}"/>
    <cellStyle name="Normal 6" xfId="59" xr:uid="{00000000-0005-0000-0000-00006D670000}"/>
    <cellStyle name="Normal 7" xfId="60" xr:uid="{00000000-0005-0000-0000-00006E670000}"/>
    <cellStyle name="Normal 7 2" xfId="61" xr:uid="{00000000-0005-0000-0000-00006F670000}"/>
    <cellStyle name="Normal 8" xfId="26457" xr:uid="{00000000-0005-0000-0000-000070670000}"/>
    <cellStyle name="Normal 9" xfId="26458" xr:uid="{00000000-0005-0000-0000-000071670000}"/>
    <cellStyle name="Notas" xfId="32526" builtinId="10" customBuiltin="1"/>
    <cellStyle name="Notas 10" xfId="26459" xr:uid="{00000000-0005-0000-0000-000073670000}"/>
    <cellStyle name="Notas 10 2" xfId="26460" xr:uid="{00000000-0005-0000-0000-000074670000}"/>
    <cellStyle name="Notas 11" xfId="26461" xr:uid="{00000000-0005-0000-0000-000075670000}"/>
    <cellStyle name="Notas 11 2" xfId="26462" xr:uid="{00000000-0005-0000-0000-000076670000}"/>
    <cellStyle name="Notas 12" xfId="26463" xr:uid="{00000000-0005-0000-0000-000077670000}"/>
    <cellStyle name="Notas 12 2" xfId="26464" xr:uid="{00000000-0005-0000-0000-000078670000}"/>
    <cellStyle name="Notas 13" xfId="26465" xr:uid="{00000000-0005-0000-0000-000079670000}"/>
    <cellStyle name="Notas 13 2" xfId="26466" xr:uid="{00000000-0005-0000-0000-00007A670000}"/>
    <cellStyle name="Notas 14" xfId="26467" xr:uid="{00000000-0005-0000-0000-00007B670000}"/>
    <cellStyle name="Notas 14 2" xfId="26468" xr:uid="{00000000-0005-0000-0000-00007C670000}"/>
    <cellStyle name="Notas 15" xfId="26469" xr:uid="{00000000-0005-0000-0000-00007D670000}"/>
    <cellStyle name="Notas 15 2" xfId="26470" xr:uid="{00000000-0005-0000-0000-00007E670000}"/>
    <cellStyle name="Notas 16" xfId="26471" xr:uid="{00000000-0005-0000-0000-00007F670000}"/>
    <cellStyle name="Notas 16 2" xfId="26472" xr:uid="{00000000-0005-0000-0000-000080670000}"/>
    <cellStyle name="Notas 17" xfId="26473" xr:uid="{00000000-0005-0000-0000-000081670000}"/>
    <cellStyle name="Notas 17 2" xfId="26474" xr:uid="{00000000-0005-0000-0000-000082670000}"/>
    <cellStyle name="Notas 18" xfId="26475" xr:uid="{00000000-0005-0000-0000-000083670000}"/>
    <cellStyle name="Notas 18 2" xfId="26476" xr:uid="{00000000-0005-0000-0000-000084670000}"/>
    <cellStyle name="Notas 19" xfId="26477" xr:uid="{00000000-0005-0000-0000-000085670000}"/>
    <cellStyle name="Notas 19 2" xfId="26478" xr:uid="{00000000-0005-0000-0000-000086670000}"/>
    <cellStyle name="Notas 2" xfId="26479" xr:uid="{00000000-0005-0000-0000-000087670000}"/>
    <cellStyle name="Notas 2 2" xfId="26480" xr:uid="{00000000-0005-0000-0000-000088670000}"/>
    <cellStyle name="Notas 2 3" xfId="26481" xr:uid="{00000000-0005-0000-0000-000089670000}"/>
    <cellStyle name="Notas 20" xfId="26482" xr:uid="{00000000-0005-0000-0000-00008A670000}"/>
    <cellStyle name="Notas 20 2" xfId="26483" xr:uid="{00000000-0005-0000-0000-00008B670000}"/>
    <cellStyle name="Notas 21" xfId="26484" xr:uid="{00000000-0005-0000-0000-00008C670000}"/>
    <cellStyle name="Notas 21 2" xfId="26485" xr:uid="{00000000-0005-0000-0000-00008D670000}"/>
    <cellStyle name="Notas 22" xfId="26486" xr:uid="{00000000-0005-0000-0000-00008E670000}"/>
    <cellStyle name="Notas 22 2" xfId="26487" xr:uid="{00000000-0005-0000-0000-00008F670000}"/>
    <cellStyle name="Notas 23" xfId="26488" xr:uid="{00000000-0005-0000-0000-000090670000}"/>
    <cellStyle name="Notas 23 2" xfId="26489" xr:uid="{00000000-0005-0000-0000-000091670000}"/>
    <cellStyle name="Notas 24" xfId="26490" xr:uid="{00000000-0005-0000-0000-000092670000}"/>
    <cellStyle name="Notas 24 2" xfId="26491" xr:uid="{00000000-0005-0000-0000-000093670000}"/>
    <cellStyle name="Notas 25" xfId="26492" xr:uid="{00000000-0005-0000-0000-000094670000}"/>
    <cellStyle name="Notas 25 2" xfId="26493" xr:uid="{00000000-0005-0000-0000-000095670000}"/>
    <cellStyle name="Notas 26" xfId="26494" xr:uid="{00000000-0005-0000-0000-000096670000}"/>
    <cellStyle name="Notas 3" xfId="26495" xr:uid="{00000000-0005-0000-0000-000097670000}"/>
    <cellStyle name="Notas 3 2" xfId="26496" xr:uid="{00000000-0005-0000-0000-000098670000}"/>
    <cellStyle name="Notas 3 3" xfId="26497" xr:uid="{00000000-0005-0000-0000-000099670000}"/>
    <cellStyle name="Notas 4" xfId="26498" xr:uid="{00000000-0005-0000-0000-00009A670000}"/>
    <cellStyle name="Notas 4 2" xfId="26499" xr:uid="{00000000-0005-0000-0000-00009B670000}"/>
    <cellStyle name="Notas 4 3" xfId="26500" xr:uid="{00000000-0005-0000-0000-00009C670000}"/>
    <cellStyle name="Notas 5" xfId="26501" xr:uid="{00000000-0005-0000-0000-00009D670000}"/>
    <cellStyle name="Notas 5 2" xfId="26502" xr:uid="{00000000-0005-0000-0000-00009E670000}"/>
    <cellStyle name="Notas 5 3" xfId="26503" xr:uid="{00000000-0005-0000-0000-00009F670000}"/>
    <cellStyle name="Notas 5 4" xfId="26504" xr:uid="{00000000-0005-0000-0000-0000A0670000}"/>
    <cellStyle name="Notas 5 4 2" xfId="26505" xr:uid="{00000000-0005-0000-0000-0000A1670000}"/>
    <cellStyle name="Notas 6" xfId="26506" xr:uid="{00000000-0005-0000-0000-0000A2670000}"/>
    <cellStyle name="Notas 6 2" xfId="26507" xr:uid="{00000000-0005-0000-0000-0000A3670000}"/>
    <cellStyle name="Notas 6 3" xfId="26508" xr:uid="{00000000-0005-0000-0000-0000A4670000}"/>
    <cellStyle name="Notas 6 4" xfId="26509" xr:uid="{00000000-0005-0000-0000-0000A5670000}"/>
    <cellStyle name="Notas 6 4 2" xfId="26510" xr:uid="{00000000-0005-0000-0000-0000A6670000}"/>
    <cellStyle name="Notas 7" xfId="26511" xr:uid="{00000000-0005-0000-0000-0000A7670000}"/>
    <cellStyle name="Notas 7 2" xfId="26512" xr:uid="{00000000-0005-0000-0000-0000A8670000}"/>
    <cellStyle name="Notas 7 3" xfId="26513" xr:uid="{00000000-0005-0000-0000-0000A9670000}"/>
    <cellStyle name="Notas 7 4" xfId="26514" xr:uid="{00000000-0005-0000-0000-0000AA670000}"/>
    <cellStyle name="Notas 7 4 2" xfId="26515" xr:uid="{00000000-0005-0000-0000-0000AB670000}"/>
    <cellStyle name="Notas 8" xfId="26516" xr:uid="{00000000-0005-0000-0000-0000AC670000}"/>
    <cellStyle name="Notas 8 2" xfId="26517" xr:uid="{00000000-0005-0000-0000-0000AD670000}"/>
    <cellStyle name="Notas 8 3" xfId="26518" xr:uid="{00000000-0005-0000-0000-0000AE670000}"/>
    <cellStyle name="Notas 8 4" xfId="26519" xr:uid="{00000000-0005-0000-0000-0000AF670000}"/>
    <cellStyle name="Notas 8 4 2" xfId="26520" xr:uid="{00000000-0005-0000-0000-0000B0670000}"/>
    <cellStyle name="Notas 9" xfId="26521" xr:uid="{00000000-0005-0000-0000-0000B1670000}"/>
    <cellStyle name="Notas 9 2" xfId="26522" xr:uid="{00000000-0005-0000-0000-0000B2670000}"/>
    <cellStyle name="Note 2" xfId="26523" xr:uid="{00000000-0005-0000-0000-0000B3670000}"/>
    <cellStyle name="Percent 2" xfId="26524" xr:uid="{00000000-0005-0000-0000-0000B4670000}"/>
    <cellStyle name="Porcentaje" xfId="3" builtinId="5"/>
    <cellStyle name="Porcentaje 2" xfId="62" xr:uid="{00000000-0005-0000-0000-0000B6670000}"/>
    <cellStyle name="Porcentaje 2 2" xfId="63" xr:uid="{00000000-0005-0000-0000-0000B7670000}"/>
    <cellStyle name="Porcentaje 3" xfId="64" xr:uid="{00000000-0005-0000-0000-0000B8670000}"/>
    <cellStyle name="Porcentaje 4" xfId="65" xr:uid="{00000000-0005-0000-0000-0000B9670000}"/>
    <cellStyle name="Porcentaje 4 2" xfId="26525" xr:uid="{00000000-0005-0000-0000-0000BA670000}"/>
    <cellStyle name="Porcentaje 5" xfId="26526" xr:uid="{00000000-0005-0000-0000-0000BB670000}"/>
    <cellStyle name="Porcentaje 5 2" xfId="26527" xr:uid="{00000000-0005-0000-0000-0000BC670000}"/>
    <cellStyle name="Porcentaje 6" xfId="26528" xr:uid="{00000000-0005-0000-0000-0000BD670000}"/>
    <cellStyle name="Porcentaje 7" xfId="26529" xr:uid="{00000000-0005-0000-0000-0000BE670000}"/>
    <cellStyle name="Porcentual 11" xfId="26530" xr:uid="{00000000-0005-0000-0000-0000BF670000}"/>
    <cellStyle name="Porcentual 11 10" xfId="26531" xr:uid="{00000000-0005-0000-0000-0000C0670000}"/>
    <cellStyle name="Porcentual 11 11" xfId="26532" xr:uid="{00000000-0005-0000-0000-0000C1670000}"/>
    <cellStyle name="Porcentual 11 12" xfId="26533" xr:uid="{00000000-0005-0000-0000-0000C2670000}"/>
    <cellStyle name="Porcentual 11 2" xfId="26534" xr:uid="{00000000-0005-0000-0000-0000C3670000}"/>
    <cellStyle name="Porcentual 11 3" xfId="26535" xr:uid="{00000000-0005-0000-0000-0000C4670000}"/>
    <cellStyle name="Porcentual 11 4" xfId="26536" xr:uid="{00000000-0005-0000-0000-0000C5670000}"/>
    <cellStyle name="Porcentual 11 5" xfId="26537" xr:uid="{00000000-0005-0000-0000-0000C6670000}"/>
    <cellStyle name="Porcentual 11 6" xfId="26538" xr:uid="{00000000-0005-0000-0000-0000C7670000}"/>
    <cellStyle name="Porcentual 11 7" xfId="26539" xr:uid="{00000000-0005-0000-0000-0000C8670000}"/>
    <cellStyle name="Porcentual 11 8" xfId="26540" xr:uid="{00000000-0005-0000-0000-0000C9670000}"/>
    <cellStyle name="Porcentual 11 9" xfId="26541" xr:uid="{00000000-0005-0000-0000-0000CA670000}"/>
    <cellStyle name="Porcentual 17" xfId="26542" xr:uid="{00000000-0005-0000-0000-0000CB670000}"/>
    <cellStyle name="Porcentual 17 10" xfId="26543" xr:uid="{00000000-0005-0000-0000-0000CC670000}"/>
    <cellStyle name="Porcentual 17 11" xfId="26544" xr:uid="{00000000-0005-0000-0000-0000CD670000}"/>
    <cellStyle name="Porcentual 17 12" xfId="26545" xr:uid="{00000000-0005-0000-0000-0000CE670000}"/>
    <cellStyle name="Porcentual 17 2" xfId="26546" xr:uid="{00000000-0005-0000-0000-0000CF670000}"/>
    <cellStyle name="Porcentual 17 3" xfId="26547" xr:uid="{00000000-0005-0000-0000-0000D0670000}"/>
    <cellStyle name="Porcentual 17 4" xfId="26548" xr:uid="{00000000-0005-0000-0000-0000D1670000}"/>
    <cellStyle name="Porcentual 17 5" xfId="26549" xr:uid="{00000000-0005-0000-0000-0000D2670000}"/>
    <cellStyle name="Porcentual 17 6" xfId="26550" xr:uid="{00000000-0005-0000-0000-0000D3670000}"/>
    <cellStyle name="Porcentual 17 7" xfId="26551" xr:uid="{00000000-0005-0000-0000-0000D4670000}"/>
    <cellStyle name="Porcentual 17 8" xfId="26552" xr:uid="{00000000-0005-0000-0000-0000D5670000}"/>
    <cellStyle name="Porcentual 17 9" xfId="26553" xr:uid="{00000000-0005-0000-0000-0000D6670000}"/>
    <cellStyle name="Porcentual 2" xfId="66" xr:uid="{00000000-0005-0000-0000-0000D7670000}"/>
    <cellStyle name="Porcentual 2 2" xfId="67" xr:uid="{00000000-0005-0000-0000-0000D8670000}"/>
    <cellStyle name="Porcentual 2 3" xfId="68" xr:uid="{00000000-0005-0000-0000-0000D9670000}"/>
    <cellStyle name="Porcentual 2 4" xfId="26554" xr:uid="{00000000-0005-0000-0000-0000DA670000}"/>
    <cellStyle name="Porcentual 3" xfId="69" xr:uid="{00000000-0005-0000-0000-0000DB670000}"/>
    <cellStyle name="Porcentual 3 2" xfId="26555" xr:uid="{00000000-0005-0000-0000-0000DC670000}"/>
    <cellStyle name="Porcentual 3 2 2" xfId="26556" xr:uid="{00000000-0005-0000-0000-0000DD670000}"/>
    <cellStyle name="Porcentual 3 2 3" xfId="26557" xr:uid="{00000000-0005-0000-0000-0000DE670000}"/>
    <cellStyle name="Porcentual 3 3" xfId="26558" xr:uid="{00000000-0005-0000-0000-0000DF670000}"/>
    <cellStyle name="Porcentual 3 4" xfId="26559" xr:uid="{00000000-0005-0000-0000-0000E0670000}"/>
    <cellStyle name="Porcentual 4" xfId="26560" xr:uid="{00000000-0005-0000-0000-0000E1670000}"/>
    <cellStyle name="Porcentual 4 2" xfId="26561" xr:uid="{00000000-0005-0000-0000-0000E2670000}"/>
    <cellStyle name="Porcentual 5" xfId="26562" xr:uid="{00000000-0005-0000-0000-0000E3670000}"/>
    <cellStyle name="Porcentual 5 2" xfId="26563" xr:uid="{00000000-0005-0000-0000-0000E4670000}"/>
    <cellStyle name="Porcentual 5 3" xfId="26564" xr:uid="{00000000-0005-0000-0000-0000E5670000}"/>
    <cellStyle name="Porcentual 8" xfId="26565" xr:uid="{00000000-0005-0000-0000-0000E6670000}"/>
    <cellStyle name="Salida" xfId="32521" builtinId="21" customBuiltin="1"/>
    <cellStyle name="Salida 10 10" xfId="26566" xr:uid="{00000000-0005-0000-0000-0000E8670000}"/>
    <cellStyle name="Salida 10 11" xfId="26567" xr:uid="{00000000-0005-0000-0000-0000E9670000}"/>
    <cellStyle name="Salida 10 12" xfId="26568" xr:uid="{00000000-0005-0000-0000-0000EA670000}"/>
    <cellStyle name="Salida 10 13" xfId="26569" xr:uid="{00000000-0005-0000-0000-0000EB670000}"/>
    <cellStyle name="Salida 10 14" xfId="26570" xr:uid="{00000000-0005-0000-0000-0000EC670000}"/>
    <cellStyle name="Salida 10 15" xfId="26571" xr:uid="{00000000-0005-0000-0000-0000ED670000}"/>
    <cellStyle name="Salida 10 16" xfId="26572" xr:uid="{00000000-0005-0000-0000-0000EE670000}"/>
    <cellStyle name="Salida 10 17" xfId="26573" xr:uid="{00000000-0005-0000-0000-0000EF670000}"/>
    <cellStyle name="Salida 10 18" xfId="26574" xr:uid="{00000000-0005-0000-0000-0000F0670000}"/>
    <cellStyle name="Salida 10 19" xfId="26575" xr:uid="{00000000-0005-0000-0000-0000F1670000}"/>
    <cellStyle name="Salida 10 2" xfId="26576" xr:uid="{00000000-0005-0000-0000-0000F2670000}"/>
    <cellStyle name="Salida 10 2 2" xfId="26577" xr:uid="{00000000-0005-0000-0000-0000F3670000}"/>
    <cellStyle name="Salida 10 3" xfId="26578" xr:uid="{00000000-0005-0000-0000-0000F4670000}"/>
    <cellStyle name="Salida 10 3 2" xfId="26579" xr:uid="{00000000-0005-0000-0000-0000F5670000}"/>
    <cellStyle name="Salida 10 4" xfId="26580" xr:uid="{00000000-0005-0000-0000-0000F6670000}"/>
    <cellStyle name="Salida 10 4 2" xfId="26581" xr:uid="{00000000-0005-0000-0000-0000F7670000}"/>
    <cellStyle name="Salida 10 5" xfId="26582" xr:uid="{00000000-0005-0000-0000-0000F8670000}"/>
    <cellStyle name="Salida 10 6" xfId="26583" xr:uid="{00000000-0005-0000-0000-0000F9670000}"/>
    <cellStyle name="Salida 10 7" xfId="26584" xr:uid="{00000000-0005-0000-0000-0000FA670000}"/>
    <cellStyle name="Salida 10 8" xfId="26585" xr:uid="{00000000-0005-0000-0000-0000FB670000}"/>
    <cellStyle name="Salida 10 9" xfId="26586" xr:uid="{00000000-0005-0000-0000-0000FC670000}"/>
    <cellStyle name="Salida 11 10" xfId="26587" xr:uid="{00000000-0005-0000-0000-0000FD670000}"/>
    <cellStyle name="Salida 11 11" xfId="26588" xr:uid="{00000000-0005-0000-0000-0000FE670000}"/>
    <cellStyle name="Salida 11 12" xfId="26589" xr:uid="{00000000-0005-0000-0000-0000FF670000}"/>
    <cellStyle name="Salida 11 13" xfId="26590" xr:uid="{00000000-0005-0000-0000-000000680000}"/>
    <cellStyle name="Salida 11 14" xfId="26591" xr:uid="{00000000-0005-0000-0000-000001680000}"/>
    <cellStyle name="Salida 11 15" xfId="26592" xr:uid="{00000000-0005-0000-0000-000002680000}"/>
    <cellStyle name="Salida 11 16" xfId="26593" xr:uid="{00000000-0005-0000-0000-000003680000}"/>
    <cellStyle name="Salida 11 17" xfId="26594" xr:uid="{00000000-0005-0000-0000-000004680000}"/>
    <cellStyle name="Salida 11 18" xfId="26595" xr:uid="{00000000-0005-0000-0000-000005680000}"/>
    <cellStyle name="Salida 11 19" xfId="26596" xr:uid="{00000000-0005-0000-0000-000006680000}"/>
    <cellStyle name="Salida 11 2" xfId="26597" xr:uid="{00000000-0005-0000-0000-000007680000}"/>
    <cellStyle name="Salida 11 2 2" xfId="26598" xr:uid="{00000000-0005-0000-0000-000008680000}"/>
    <cellStyle name="Salida 11 3" xfId="26599" xr:uid="{00000000-0005-0000-0000-000009680000}"/>
    <cellStyle name="Salida 11 3 2" xfId="26600" xr:uid="{00000000-0005-0000-0000-00000A680000}"/>
    <cellStyle name="Salida 11 4" xfId="26601" xr:uid="{00000000-0005-0000-0000-00000B680000}"/>
    <cellStyle name="Salida 11 4 2" xfId="26602" xr:uid="{00000000-0005-0000-0000-00000C680000}"/>
    <cellStyle name="Salida 11 5" xfId="26603" xr:uid="{00000000-0005-0000-0000-00000D680000}"/>
    <cellStyle name="Salida 11 6" xfId="26604" xr:uid="{00000000-0005-0000-0000-00000E680000}"/>
    <cellStyle name="Salida 11 7" xfId="26605" xr:uid="{00000000-0005-0000-0000-00000F680000}"/>
    <cellStyle name="Salida 11 8" xfId="26606" xr:uid="{00000000-0005-0000-0000-000010680000}"/>
    <cellStyle name="Salida 11 9" xfId="26607" xr:uid="{00000000-0005-0000-0000-000011680000}"/>
    <cellStyle name="Salida 12 10" xfId="26608" xr:uid="{00000000-0005-0000-0000-000012680000}"/>
    <cellStyle name="Salida 12 11" xfId="26609" xr:uid="{00000000-0005-0000-0000-000013680000}"/>
    <cellStyle name="Salida 12 12" xfId="26610" xr:uid="{00000000-0005-0000-0000-000014680000}"/>
    <cellStyle name="Salida 12 13" xfId="26611" xr:uid="{00000000-0005-0000-0000-000015680000}"/>
    <cellStyle name="Salida 12 14" xfId="26612" xr:uid="{00000000-0005-0000-0000-000016680000}"/>
    <cellStyle name="Salida 12 15" xfId="26613" xr:uid="{00000000-0005-0000-0000-000017680000}"/>
    <cellStyle name="Salida 12 16" xfId="26614" xr:uid="{00000000-0005-0000-0000-000018680000}"/>
    <cellStyle name="Salida 12 17" xfId="26615" xr:uid="{00000000-0005-0000-0000-000019680000}"/>
    <cellStyle name="Salida 12 18" xfId="26616" xr:uid="{00000000-0005-0000-0000-00001A680000}"/>
    <cellStyle name="Salida 12 19" xfId="26617" xr:uid="{00000000-0005-0000-0000-00001B680000}"/>
    <cellStyle name="Salida 12 2" xfId="26618" xr:uid="{00000000-0005-0000-0000-00001C680000}"/>
    <cellStyle name="Salida 12 2 2" xfId="26619" xr:uid="{00000000-0005-0000-0000-00001D680000}"/>
    <cellStyle name="Salida 12 3" xfId="26620" xr:uid="{00000000-0005-0000-0000-00001E680000}"/>
    <cellStyle name="Salida 12 3 2" xfId="26621" xr:uid="{00000000-0005-0000-0000-00001F680000}"/>
    <cellStyle name="Salida 12 4" xfId="26622" xr:uid="{00000000-0005-0000-0000-000020680000}"/>
    <cellStyle name="Salida 12 4 2" xfId="26623" xr:uid="{00000000-0005-0000-0000-000021680000}"/>
    <cellStyle name="Salida 12 5" xfId="26624" xr:uid="{00000000-0005-0000-0000-000022680000}"/>
    <cellStyle name="Salida 12 6" xfId="26625" xr:uid="{00000000-0005-0000-0000-000023680000}"/>
    <cellStyle name="Salida 12 7" xfId="26626" xr:uid="{00000000-0005-0000-0000-000024680000}"/>
    <cellStyle name="Salida 12 8" xfId="26627" xr:uid="{00000000-0005-0000-0000-000025680000}"/>
    <cellStyle name="Salida 12 9" xfId="26628" xr:uid="{00000000-0005-0000-0000-000026680000}"/>
    <cellStyle name="Salida 13 10" xfId="26629" xr:uid="{00000000-0005-0000-0000-000027680000}"/>
    <cellStyle name="Salida 13 11" xfId="26630" xr:uid="{00000000-0005-0000-0000-000028680000}"/>
    <cellStyle name="Salida 13 12" xfId="26631" xr:uid="{00000000-0005-0000-0000-000029680000}"/>
    <cellStyle name="Salida 13 13" xfId="26632" xr:uid="{00000000-0005-0000-0000-00002A680000}"/>
    <cellStyle name="Salida 13 14" xfId="26633" xr:uid="{00000000-0005-0000-0000-00002B680000}"/>
    <cellStyle name="Salida 13 15" xfId="26634" xr:uid="{00000000-0005-0000-0000-00002C680000}"/>
    <cellStyle name="Salida 13 16" xfId="26635" xr:uid="{00000000-0005-0000-0000-00002D680000}"/>
    <cellStyle name="Salida 13 17" xfId="26636" xr:uid="{00000000-0005-0000-0000-00002E680000}"/>
    <cellStyle name="Salida 13 18" xfId="26637" xr:uid="{00000000-0005-0000-0000-00002F680000}"/>
    <cellStyle name="Salida 13 19" xfId="26638" xr:uid="{00000000-0005-0000-0000-000030680000}"/>
    <cellStyle name="Salida 13 2" xfId="26639" xr:uid="{00000000-0005-0000-0000-000031680000}"/>
    <cellStyle name="Salida 13 2 2" xfId="26640" xr:uid="{00000000-0005-0000-0000-000032680000}"/>
    <cellStyle name="Salida 13 3" xfId="26641" xr:uid="{00000000-0005-0000-0000-000033680000}"/>
    <cellStyle name="Salida 13 3 2" xfId="26642" xr:uid="{00000000-0005-0000-0000-000034680000}"/>
    <cellStyle name="Salida 13 4" xfId="26643" xr:uid="{00000000-0005-0000-0000-000035680000}"/>
    <cellStyle name="Salida 13 4 2" xfId="26644" xr:uid="{00000000-0005-0000-0000-000036680000}"/>
    <cellStyle name="Salida 13 5" xfId="26645" xr:uid="{00000000-0005-0000-0000-000037680000}"/>
    <cellStyle name="Salida 13 6" xfId="26646" xr:uid="{00000000-0005-0000-0000-000038680000}"/>
    <cellStyle name="Salida 13 7" xfId="26647" xr:uid="{00000000-0005-0000-0000-000039680000}"/>
    <cellStyle name="Salida 13 8" xfId="26648" xr:uid="{00000000-0005-0000-0000-00003A680000}"/>
    <cellStyle name="Salida 13 9" xfId="26649" xr:uid="{00000000-0005-0000-0000-00003B680000}"/>
    <cellStyle name="Salida 14 10" xfId="26650" xr:uid="{00000000-0005-0000-0000-00003C680000}"/>
    <cellStyle name="Salida 14 11" xfId="26651" xr:uid="{00000000-0005-0000-0000-00003D680000}"/>
    <cellStyle name="Salida 14 12" xfId="26652" xr:uid="{00000000-0005-0000-0000-00003E680000}"/>
    <cellStyle name="Salida 14 13" xfId="26653" xr:uid="{00000000-0005-0000-0000-00003F680000}"/>
    <cellStyle name="Salida 14 14" xfId="26654" xr:uid="{00000000-0005-0000-0000-000040680000}"/>
    <cellStyle name="Salida 14 15" xfId="26655" xr:uid="{00000000-0005-0000-0000-000041680000}"/>
    <cellStyle name="Salida 14 16" xfId="26656" xr:uid="{00000000-0005-0000-0000-000042680000}"/>
    <cellStyle name="Salida 14 17" xfId="26657" xr:uid="{00000000-0005-0000-0000-000043680000}"/>
    <cellStyle name="Salida 14 18" xfId="26658" xr:uid="{00000000-0005-0000-0000-000044680000}"/>
    <cellStyle name="Salida 14 19" xfId="26659" xr:uid="{00000000-0005-0000-0000-000045680000}"/>
    <cellStyle name="Salida 14 2" xfId="26660" xr:uid="{00000000-0005-0000-0000-000046680000}"/>
    <cellStyle name="Salida 14 2 2" xfId="26661" xr:uid="{00000000-0005-0000-0000-000047680000}"/>
    <cellStyle name="Salida 14 3" xfId="26662" xr:uid="{00000000-0005-0000-0000-000048680000}"/>
    <cellStyle name="Salida 14 3 2" xfId="26663" xr:uid="{00000000-0005-0000-0000-000049680000}"/>
    <cellStyle name="Salida 14 4" xfId="26664" xr:uid="{00000000-0005-0000-0000-00004A680000}"/>
    <cellStyle name="Salida 14 4 2" xfId="26665" xr:uid="{00000000-0005-0000-0000-00004B680000}"/>
    <cellStyle name="Salida 14 5" xfId="26666" xr:uid="{00000000-0005-0000-0000-00004C680000}"/>
    <cellStyle name="Salida 14 6" xfId="26667" xr:uid="{00000000-0005-0000-0000-00004D680000}"/>
    <cellStyle name="Salida 14 7" xfId="26668" xr:uid="{00000000-0005-0000-0000-00004E680000}"/>
    <cellStyle name="Salida 14 8" xfId="26669" xr:uid="{00000000-0005-0000-0000-00004F680000}"/>
    <cellStyle name="Salida 14 9" xfId="26670" xr:uid="{00000000-0005-0000-0000-000050680000}"/>
    <cellStyle name="Salida 15 10" xfId="26671" xr:uid="{00000000-0005-0000-0000-000051680000}"/>
    <cellStyle name="Salida 15 11" xfId="26672" xr:uid="{00000000-0005-0000-0000-000052680000}"/>
    <cellStyle name="Salida 15 12" xfId="26673" xr:uid="{00000000-0005-0000-0000-000053680000}"/>
    <cellStyle name="Salida 15 13" xfId="26674" xr:uid="{00000000-0005-0000-0000-000054680000}"/>
    <cellStyle name="Salida 15 14" xfId="26675" xr:uid="{00000000-0005-0000-0000-000055680000}"/>
    <cellStyle name="Salida 15 15" xfId="26676" xr:uid="{00000000-0005-0000-0000-000056680000}"/>
    <cellStyle name="Salida 15 16" xfId="26677" xr:uid="{00000000-0005-0000-0000-000057680000}"/>
    <cellStyle name="Salida 15 17" xfId="26678" xr:uid="{00000000-0005-0000-0000-000058680000}"/>
    <cellStyle name="Salida 15 18" xfId="26679" xr:uid="{00000000-0005-0000-0000-000059680000}"/>
    <cellStyle name="Salida 15 19" xfId="26680" xr:uid="{00000000-0005-0000-0000-00005A680000}"/>
    <cellStyle name="Salida 15 2" xfId="26681" xr:uid="{00000000-0005-0000-0000-00005B680000}"/>
    <cellStyle name="Salida 15 2 2" xfId="26682" xr:uid="{00000000-0005-0000-0000-00005C680000}"/>
    <cellStyle name="Salida 15 3" xfId="26683" xr:uid="{00000000-0005-0000-0000-00005D680000}"/>
    <cellStyle name="Salida 15 3 2" xfId="26684" xr:uid="{00000000-0005-0000-0000-00005E680000}"/>
    <cellStyle name="Salida 15 4" xfId="26685" xr:uid="{00000000-0005-0000-0000-00005F680000}"/>
    <cellStyle name="Salida 15 4 2" xfId="26686" xr:uid="{00000000-0005-0000-0000-000060680000}"/>
    <cellStyle name="Salida 15 5" xfId="26687" xr:uid="{00000000-0005-0000-0000-000061680000}"/>
    <cellStyle name="Salida 15 6" xfId="26688" xr:uid="{00000000-0005-0000-0000-000062680000}"/>
    <cellStyle name="Salida 15 7" xfId="26689" xr:uid="{00000000-0005-0000-0000-000063680000}"/>
    <cellStyle name="Salida 15 8" xfId="26690" xr:uid="{00000000-0005-0000-0000-000064680000}"/>
    <cellStyle name="Salida 15 9" xfId="26691" xr:uid="{00000000-0005-0000-0000-000065680000}"/>
    <cellStyle name="Salida 16 10" xfId="26692" xr:uid="{00000000-0005-0000-0000-000066680000}"/>
    <cellStyle name="Salida 16 11" xfId="26693" xr:uid="{00000000-0005-0000-0000-000067680000}"/>
    <cellStyle name="Salida 16 12" xfId="26694" xr:uid="{00000000-0005-0000-0000-000068680000}"/>
    <cellStyle name="Salida 16 13" xfId="26695" xr:uid="{00000000-0005-0000-0000-000069680000}"/>
    <cellStyle name="Salida 16 14" xfId="26696" xr:uid="{00000000-0005-0000-0000-00006A680000}"/>
    <cellStyle name="Salida 16 15" xfId="26697" xr:uid="{00000000-0005-0000-0000-00006B680000}"/>
    <cellStyle name="Salida 16 16" xfId="26698" xr:uid="{00000000-0005-0000-0000-00006C680000}"/>
    <cellStyle name="Salida 16 17" xfId="26699" xr:uid="{00000000-0005-0000-0000-00006D680000}"/>
    <cellStyle name="Salida 16 18" xfId="26700" xr:uid="{00000000-0005-0000-0000-00006E680000}"/>
    <cellStyle name="Salida 16 19" xfId="26701" xr:uid="{00000000-0005-0000-0000-00006F680000}"/>
    <cellStyle name="Salida 16 2" xfId="26702" xr:uid="{00000000-0005-0000-0000-000070680000}"/>
    <cellStyle name="Salida 16 2 2" xfId="26703" xr:uid="{00000000-0005-0000-0000-000071680000}"/>
    <cellStyle name="Salida 16 3" xfId="26704" xr:uid="{00000000-0005-0000-0000-000072680000}"/>
    <cellStyle name="Salida 16 3 2" xfId="26705" xr:uid="{00000000-0005-0000-0000-000073680000}"/>
    <cellStyle name="Salida 16 4" xfId="26706" xr:uid="{00000000-0005-0000-0000-000074680000}"/>
    <cellStyle name="Salida 16 4 2" xfId="26707" xr:uid="{00000000-0005-0000-0000-000075680000}"/>
    <cellStyle name="Salida 16 5" xfId="26708" xr:uid="{00000000-0005-0000-0000-000076680000}"/>
    <cellStyle name="Salida 16 6" xfId="26709" xr:uid="{00000000-0005-0000-0000-000077680000}"/>
    <cellStyle name="Salida 16 7" xfId="26710" xr:uid="{00000000-0005-0000-0000-000078680000}"/>
    <cellStyle name="Salida 16 8" xfId="26711" xr:uid="{00000000-0005-0000-0000-000079680000}"/>
    <cellStyle name="Salida 16 9" xfId="26712" xr:uid="{00000000-0005-0000-0000-00007A680000}"/>
    <cellStyle name="Salida 17 10" xfId="26713" xr:uid="{00000000-0005-0000-0000-00007B680000}"/>
    <cellStyle name="Salida 17 11" xfId="26714" xr:uid="{00000000-0005-0000-0000-00007C680000}"/>
    <cellStyle name="Salida 17 12" xfId="26715" xr:uid="{00000000-0005-0000-0000-00007D680000}"/>
    <cellStyle name="Salida 17 13" xfId="26716" xr:uid="{00000000-0005-0000-0000-00007E680000}"/>
    <cellStyle name="Salida 17 14" xfId="26717" xr:uid="{00000000-0005-0000-0000-00007F680000}"/>
    <cellStyle name="Salida 17 15" xfId="26718" xr:uid="{00000000-0005-0000-0000-000080680000}"/>
    <cellStyle name="Salida 17 16" xfId="26719" xr:uid="{00000000-0005-0000-0000-000081680000}"/>
    <cellStyle name="Salida 17 17" xfId="26720" xr:uid="{00000000-0005-0000-0000-000082680000}"/>
    <cellStyle name="Salida 17 18" xfId="26721" xr:uid="{00000000-0005-0000-0000-000083680000}"/>
    <cellStyle name="Salida 17 19" xfId="26722" xr:uid="{00000000-0005-0000-0000-000084680000}"/>
    <cellStyle name="Salida 17 2" xfId="26723" xr:uid="{00000000-0005-0000-0000-000085680000}"/>
    <cellStyle name="Salida 17 2 2" xfId="26724" xr:uid="{00000000-0005-0000-0000-000086680000}"/>
    <cellStyle name="Salida 17 3" xfId="26725" xr:uid="{00000000-0005-0000-0000-000087680000}"/>
    <cellStyle name="Salida 17 3 2" xfId="26726" xr:uid="{00000000-0005-0000-0000-000088680000}"/>
    <cellStyle name="Salida 17 4" xfId="26727" xr:uid="{00000000-0005-0000-0000-000089680000}"/>
    <cellStyle name="Salida 17 4 2" xfId="26728" xr:uid="{00000000-0005-0000-0000-00008A680000}"/>
    <cellStyle name="Salida 17 5" xfId="26729" xr:uid="{00000000-0005-0000-0000-00008B680000}"/>
    <cellStyle name="Salida 17 6" xfId="26730" xr:uid="{00000000-0005-0000-0000-00008C680000}"/>
    <cellStyle name="Salida 17 7" xfId="26731" xr:uid="{00000000-0005-0000-0000-00008D680000}"/>
    <cellStyle name="Salida 17 8" xfId="26732" xr:uid="{00000000-0005-0000-0000-00008E680000}"/>
    <cellStyle name="Salida 17 9" xfId="26733" xr:uid="{00000000-0005-0000-0000-00008F680000}"/>
    <cellStyle name="Salida 18 10" xfId="26734" xr:uid="{00000000-0005-0000-0000-000090680000}"/>
    <cellStyle name="Salida 18 11" xfId="26735" xr:uid="{00000000-0005-0000-0000-000091680000}"/>
    <cellStyle name="Salida 18 12" xfId="26736" xr:uid="{00000000-0005-0000-0000-000092680000}"/>
    <cellStyle name="Salida 18 13" xfId="26737" xr:uid="{00000000-0005-0000-0000-000093680000}"/>
    <cellStyle name="Salida 18 14" xfId="26738" xr:uid="{00000000-0005-0000-0000-000094680000}"/>
    <cellStyle name="Salida 18 15" xfId="26739" xr:uid="{00000000-0005-0000-0000-000095680000}"/>
    <cellStyle name="Salida 18 16" xfId="26740" xr:uid="{00000000-0005-0000-0000-000096680000}"/>
    <cellStyle name="Salida 18 17" xfId="26741" xr:uid="{00000000-0005-0000-0000-000097680000}"/>
    <cellStyle name="Salida 18 18" xfId="26742" xr:uid="{00000000-0005-0000-0000-000098680000}"/>
    <cellStyle name="Salida 18 19" xfId="26743" xr:uid="{00000000-0005-0000-0000-000099680000}"/>
    <cellStyle name="Salida 18 2" xfId="26744" xr:uid="{00000000-0005-0000-0000-00009A680000}"/>
    <cellStyle name="Salida 18 2 2" xfId="26745" xr:uid="{00000000-0005-0000-0000-00009B680000}"/>
    <cellStyle name="Salida 18 3" xfId="26746" xr:uid="{00000000-0005-0000-0000-00009C680000}"/>
    <cellStyle name="Salida 18 3 2" xfId="26747" xr:uid="{00000000-0005-0000-0000-00009D680000}"/>
    <cellStyle name="Salida 18 4" xfId="26748" xr:uid="{00000000-0005-0000-0000-00009E680000}"/>
    <cellStyle name="Salida 18 4 2" xfId="26749" xr:uid="{00000000-0005-0000-0000-00009F680000}"/>
    <cellStyle name="Salida 18 5" xfId="26750" xr:uid="{00000000-0005-0000-0000-0000A0680000}"/>
    <cellStyle name="Salida 18 6" xfId="26751" xr:uid="{00000000-0005-0000-0000-0000A1680000}"/>
    <cellStyle name="Salida 18 7" xfId="26752" xr:uid="{00000000-0005-0000-0000-0000A2680000}"/>
    <cellStyle name="Salida 18 8" xfId="26753" xr:uid="{00000000-0005-0000-0000-0000A3680000}"/>
    <cellStyle name="Salida 18 9" xfId="26754" xr:uid="{00000000-0005-0000-0000-0000A4680000}"/>
    <cellStyle name="Salida 19 10" xfId="26755" xr:uid="{00000000-0005-0000-0000-0000A5680000}"/>
    <cellStyle name="Salida 19 11" xfId="26756" xr:uid="{00000000-0005-0000-0000-0000A6680000}"/>
    <cellStyle name="Salida 19 12" xfId="26757" xr:uid="{00000000-0005-0000-0000-0000A7680000}"/>
    <cellStyle name="Salida 19 13" xfId="26758" xr:uid="{00000000-0005-0000-0000-0000A8680000}"/>
    <cellStyle name="Salida 19 14" xfId="26759" xr:uid="{00000000-0005-0000-0000-0000A9680000}"/>
    <cellStyle name="Salida 19 15" xfId="26760" xr:uid="{00000000-0005-0000-0000-0000AA680000}"/>
    <cellStyle name="Salida 19 16" xfId="26761" xr:uid="{00000000-0005-0000-0000-0000AB680000}"/>
    <cellStyle name="Salida 19 17" xfId="26762" xr:uid="{00000000-0005-0000-0000-0000AC680000}"/>
    <cellStyle name="Salida 19 18" xfId="26763" xr:uid="{00000000-0005-0000-0000-0000AD680000}"/>
    <cellStyle name="Salida 19 19" xfId="26764" xr:uid="{00000000-0005-0000-0000-0000AE680000}"/>
    <cellStyle name="Salida 19 2" xfId="26765" xr:uid="{00000000-0005-0000-0000-0000AF680000}"/>
    <cellStyle name="Salida 19 2 2" xfId="26766" xr:uid="{00000000-0005-0000-0000-0000B0680000}"/>
    <cellStyle name="Salida 19 3" xfId="26767" xr:uid="{00000000-0005-0000-0000-0000B1680000}"/>
    <cellStyle name="Salida 19 3 2" xfId="26768" xr:uid="{00000000-0005-0000-0000-0000B2680000}"/>
    <cellStyle name="Salida 19 4" xfId="26769" xr:uid="{00000000-0005-0000-0000-0000B3680000}"/>
    <cellStyle name="Salida 19 4 2" xfId="26770" xr:uid="{00000000-0005-0000-0000-0000B4680000}"/>
    <cellStyle name="Salida 19 5" xfId="26771" xr:uid="{00000000-0005-0000-0000-0000B5680000}"/>
    <cellStyle name="Salida 19 6" xfId="26772" xr:uid="{00000000-0005-0000-0000-0000B6680000}"/>
    <cellStyle name="Salida 19 7" xfId="26773" xr:uid="{00000000-0005-0000-0000-0000B7680000}"/>
    <cellStyle name="Salida 19 8" xfId="26774" xr:uid="{00000000-0005-0000-0000-0000B8680000}"/>
    <cellStyle name="Salida 19 9" xfId="26775" xr:uid="{00000000-0005-0000-0000-0000B9680000}"/>
    <cellStyle name="Salida 2 10" xfId="26776" xr:uid="{00000000-0005-0000-0000-0000BA680000}"/>
    <cellStyle name="Salida 2 11" xfId="26777" xr:uid="{00000000-0005-0000-0000-0000BB680000}"/>
    <cellStyle name="Salida 2 12" xfId="26778" xr:uid="{00000000-0005-0000-0000-0000BC680000}"/>
    <cellStyle name="Salida 2 13" xfId="26779" xr:uid="{00000000-0005-0000-0000-0000BD680000}"/>
    <cellStyle name="Salida 2 14" xfId="26780" xr:uid="{00000000-0005-0000-0000-0000BE680000}"/>
    <cellStyle name="Salida 2 15" xfId="26781" xr:uid="{00000000-0005-0000-0000-0000BF680000}"/>
    <cellStyle name="Salida 2 16" xfId="26782" xr:uid="{00000000-0005-0000-0000-0000C0680000}"/>
    <cellStyle name="Salida 2 17" xfId="26783" xr:uid="{00000000-0005-0000-0000-0000C1680000}"/>
    <cellStyle name="Salida 2 18" xfId="26784" xr:uid="{00000000-0005-0000-0000-0000C2680000}"/>
    <cellStyle name="Salida 2 19" xfId="26785" xr:uid="{00000000-0005-0000-0000-0000C3680000}"/>
    <cellStyle name="Salida 2 2" xfId="26786" xr:uid="{00000000-0005-0000-0000-0000C4680000}"/>
    <cellStyle name="Salida 2 2 2" xfId="26787" xr:uid="{00000000-0005-0000-0000-0000C5680000}"/>
    <cellStyle name="Salida 2 3" xfId="26788" xr:uid="{00000000-0005-0000-0000-0000C6680000}"/>
    <cellStyle name="Salida 2 3 2" xfId="26789" xr:uid="{00000000-0005-0000-0000-0000C7680000}"/>
    <cellStyle name="Salida 2 4" xfId="26790" xr:uid="{00000000-0005-0000-0000-0000C8680000}"/>
    <cellStyle name="Salida 2 4 2" xfId="26791" xr:uid="{00000000-0005-0000-0000-0000C9680000}"/>
    <cellStyle name="Salida 2 5" xfId="26792" xr:uid="{00000000-0005-0000-0000-0000CA680000}"/>
    <cellStyle name="Salida 2 6" xfId="26793" xr:uid="{00000000-0005-0000-0000-0000CB680000}"/>
    <cellStyle name="Salida 2 7" xfId="26794" xr:uid="{00000000-0005-0000-0000-0000CC680000}"/>
    <cellStyle name="Salida 2 8" xfId="26795" xr:uid="{00000000-0005-0000-0000-0000CD680000}"/>
    <cellStyle name="Salida 2 9" xfId="26796" xr:uid="{00000000-0005-0000-0000-0000CE680000}"/>
    <cellStyle name="Salida 20 10" xfId="26797" xr:uid="{00000000-0005-0000-0000-0000CF680000}"/>
    <cellStyle name="Salida 20 11" xfId="26798" xr:uid="{00000000-0005-0000-0000-0000D0680000}"/>
    <cellStyle name="Salida 20 12" xfId="26799" xr:uid="{00000000-0005-0000-0000-0000D1680000}"/>
    <cellStyle name="Salida 20 13" xfId="26800" xr:uid="{00000000-0005-0000-0000-0000D2680000}"/>
    <cellStyle name="Salida 20 14" xfId="26801" xr:uid="{00000000-0005-0000-0000-0000D3680000}"/>
    <cellStyle name="Salida 20 15" xfId="26802" xr:uid="{00000000-0005-0000-0000-0000D4680000}"/>
    <cellStyle name="Salida 20 16" xfId="26803" xr:uid="{00000000-0005-0000-0000-0000D5680000}"/>
    <cellStyle name="Salida 20 17" xfId="26804" xr:uid="{00000000-0005-0000-0000-0000D6680000}"/>
    <cellStyle name="Salida 20 18" xfId="26805" xr:uid="{00000000-0005-0000-0000-0000D7680000}"/>
    <cellStyle name="Salida 20 19" xfId="26806" xr:uid="{00000000-0005-0000-0000-0000D8680000}"/>
    <cellStyle name="Salida 20 2" xfId="26807" xr:uid="{00000000-0005-0000-0000-0000D9680000}"/>
    <cellStyle name="Salida 20 2 2" xfId="26808" xr:uid="{00000000-0005-0000-0000-0000DA680000}"/>
    <cellStyle name="Salida 20 3" xfId="26809" xr:uid="{00000000-0005-0000-0000-0000DB680000}"/>
    <cellStyle name="Salida 20 3 2" xfId="26810" xr:uid="{00000000-0005-0000-0000-0000DC680000}"/>
    <cellStyle name="Salida 20 4" xfId="26811" xr:uid="{00000000-0005-0000-0000-0000DD680000}"/>
    <cellStyle name="Salida 20 4 2" xfId="26812" xr:uid="{00000000-0005-0000-0000-0000DE680000}"/>
    <cellStyle name="Salida 20 5" xfId="26813" xr:uid="{00000000-0005-0000-0000-0000DF680000}"/>
    <cellStyle name="Salida 20 6" xfId="26814" xr:uid="{00000000-0005-0000-0000-0000E0680000}"/>
    <cellStyle name="Salida 20 7" xfId="26815" xr:uid="{00000000-0005-0000-0000-0000E1680000}"/>
    <cellStyle name="Salida 20 8" xfId="26816" xr:uid="{00000000-0005-0000-0000-0000E2680000}"/>
    <cellStyle name="Salida 20 9" xfId="26817" xr:uid="{00000000-0005-0000-0000-0000E3680000}"/>
    <cellStyle name="Salida 21 10" xfId="26818" xr:uid="{00000000-0005-0000-0000-0000E4680000}"/>
    <cellStyle name="Salida 21 11" xfId="26819" xr:uid="{00000000-0005-0000-0000-0000E5680000}"/>
    <cellStyle name="Salida 21 12" xfId="26820" xr:uid="{00000000-0005-0000-0000-0000E6680000}"/>
    <cellStyle name="Salida 21 13" xfId="26821" xr:uid="{00000000-0005-0000-0000-0000E7680000}"/>
    <cellStyle name="Salida 21 14" xfId="26822" xr:uid="{00000000-0005-0000-0000-0000E8680000}"/>
    <cellStyle name="Salida 21 15" xfId="26823" xr:uid="{00000000-0005-0000-0000-0000E9680000}"/>
    <cellStyle name="Salida 21 16" xfId="26824" xr:uid="{00000000-0005-0000-0000-0000EA680000}"/>
    <cellStyle name="Salida 21 17" xfId="26825" xr:uid="{00000000-0005-0000-0000-0000EB680000}"/>
    <cellStyle name="Salida 21 18" xfId="26826" xr:uid="{00000000-0005-0000-0000-0000EC680000}"/>
    <cellStyle name="Salida 21 19" xfId="26827" xr:uid="{00000000-0005-0000-0000-0000ED680000}"/>
    <cellStyle name="Salida 21 2" xfId="26828" xr:uid="{00000000-0005-0000-0000-0000EE680000}"/>
    <cellStyle name="Salida 21 2 2" xfId="26829" xr:uid="{00000000-0005-0000-0000-0000EF680000}"/>
    <cellStyle name="Salida 21 3" xfId="26830" xr:uid="{00000000-0005-0000-0000-0000F0680000}"/>
    <cellStyle name="Salida 21 3 2" xfId="26831" xr:uid="{00000000-0005-0000-0000-0000F1680000}"/>
    <cellStyle name="Salida 21 4" xfId="26832" xr:uid="{00000000-0005-0000-0000-0000F2680000}"/>
    <cellStyle name="Salida 21 4 2" xfId="26833" xr:uid="{00000000-0005-0000-0000-0000F3680000}"/>
    <cellStyle name="Salida 21 5" xfId="26834" xr:uid="{00000000-0005-0000-0000-0000F4680000}"/>
    <cellStyle name="Salida 21 6" xfId="26835" xr:uid="{00000000-0005-0000-0000-0000F5680000}"/>
    <cellStyle name="Salida 21 7" xfId="26836" xr:uid="{00000000-0005-0000-0000-0000F6680000}"/>
    <cellStyle name="Salida 21 8" xfId="26837" xr:uid="{00000000-0005-0000-0000-0000F7680000}"/>
    <cellStyle name="Salida 21 9" xfId="26838" xr:uid="{00000000-0005-0000-0000-0000F8680000}"/>
    <cellStyle name="Salida 22 10" xfId="26839" xr:uid="{00000000-0005-0000-0000-0000F9680000}"/>
    <cellStyle name="Salida 22 11" xfId="26840" xr:uid="{00000000-0005-0000-0000-0000FA680000}"/>
    <cellStyle name="Salida 22 12" xfId="26841" xr:uid="{00000000-0005-0000-0000-0000FB680000}"/>
    <cellStyle name="Salida 22 13" xfId="26842" xr:uid="{00000000-0005-0000-0000-0000FC680000}"/>
    <cellStyle name="Salida 22 14" xfId="26843" xr:uid="{00000000-0005-0000-0000-0000FD680000}"/>
    <cellStyle name="Salida 22 15" xfId="26844" xr:uid="{00000000-0005-0000-0000-0000FE680000}"/>
    <cellStyle name="Salida 22 16" xfId="26845" xr:uid="{00000000-0005-0000-0000-0000FF680000}"/>
    <cellStyle name="Salida 22 17" xfId="26846" xr:uid="{00000000-0005-0000-0000-000000690000}"/>
    <cellStyle name="Salida 22 18" xfId="26847" xr:uid="{00000000-0005-0000-0000-000001690000}"/>
    <cellStyle name="Salida 22 19" xfId="26848" xr:uid="{00000000-0005-0000-0000-000002690000}"/>
    <cellStyle name="Salida 22 2" xfId="26849" xr:uid="{00000000-0005-0000-0000-000003690000}"/>
    <cellStyle name="Salida 22 2 2" xfId="26850" xr:uid="{00000000-0005-0000-0000-000004690000}"/>
    <cellStyle name="Salida 22 3" xfId="26851" xr:uid="{00000000-0005-0000-0000-000005690000}"/>
    <cellStyle name="Salida 22 3 2" xfId="26852" xr:uid="{00000000-0005-0000-0000-000006690000}"/>
    <cellStyle name="Salida 22 4" xfId="26853" xr:uid="{00000000-0005-0000-0000-000007690000}"/>
    <cellStyle name="Salida 22 4 2" xfId="26854" xr:uid="{00000000-0005-0000-0000-000008690000}"/>
    <cellStyle name="Salida 22 5" xfId="26855" xr:uid="{00000000-0005-0000-0000-000009690000}"/>
    <cellStyle name="Salida 22 6" xfId="26856" xr:uid="{00000000-0005-0000-0000-00000A690000}"/>
    <cellStyle name="Salida 22 7" xfId="26857" xr:uid="{00000000-0005-0000-0000-00000B690000}"/>
    <cellStyle name="Salida 22 8" xfId="26858" xr:uid="{00000000-0005-0000-0000-00000C690000}"/>
    <cellStyle name="Salida 22 9" xfId="26859" xr:uid="{00000000-0005-0000-0000-00000D690000}"/>
    <cellStyle name="Salida 23 10" xfId="26860" xr:uid="{00000000-0005-0000-0000-00000E690000}"/>
    <cellStyle name="Salida 23 11" xfId="26861" xr:uid="{00000000-0005-0000-0000-00000F690000}"/>
    <cellStyle name="Salida 23 12" xfId="26862" xr:uid="{00000000-0005-0000-0000-000010690000}"/>
    <cellStyle name="Salida 23 13" xfId="26863" xr:uid="{00000000-0005-0000-0000-000011690000}"/>
    <cellStyle name="Salida 23 14" xfId="26864" xr:uid="{00000000-0005-0000-0000-000012690000}"/>
    <cellStyle name="Salida 23 15" xfId="26865" xr:uid="{00000000-0005-0000-0000-000013690000}"/>
    <cellStyle name="Salida 23 16" xfId="26866" xr:uid="{00000000-0005-0000-0000-000014690000}"/>
    <cellStyle name="Salida 23 17" xfId="26867" xr:uid="{00000000-0005-0000-0000-000015690000}"/>
    <cellStyle name="Salida 23 18" xfId="26868" xr:uid="{00000000-0005-0000-0000-000016690000}"/>
    <cellStyle name="Salida 23 19" xfId="26869" xr:uid="{00000000-0005-0000-0000-000017690000}"/>
    <cellStyle name="Salida 23 2" xfId="26870" xr:uid="{00000000-0005-0000-0000-000018690000}"/>
    <cellStyle name="Salida 23 2 2" xfId="26871" xr:uid="{00000000-0005-0000-0000-000019690000}"/>
    <cellStyle name="Salida 23 3" xfId="26872" xr:uid="{00000000-0005-0000-0000-00001A690000}"/>
    <cellStyle name="Salida 23 3 2" xfId="26873" xr:uid="{00000000-0005-0000-0000-00001B690000}"/>
    <cellStyle name="Salida 23 4" xfId="26874" xr:uid="{00000000-0005-0000-0000-00001C690000}"/>
    <cellStyle name="Salida 23 4 2" xfId="26875" xr:uid="{00000000-0005-0000-0000-00001D690000}"/>
    <cellStyle name="Salida 23 5" xfId="26876" xr:uid="{00000000-0005-0000-0000-00001E690000}"/>
    <cellStyle name="Salida 23 6" xfId="26877" xr:uid="{00000000-0005-0000-0000-00001F690000}"/>
    <cellStyle name="Salida 23 7" xfId="26878" xr:uid="{00000000-0005-0000-0000-000020690000}"/>
    <cellStyle name="Salida 23 8" xfId="26879" xr:uid="{00000000-0005-0000-0000-000021690000}"/>
    <cellStyle name="Salida 23 9" xfId="26880" xr:uid="{00000000-0005-0000-0000-000022690000}"/>
    <cellStyle name="Salida 24 10" xfId="26881" xr:uid="{00000000-0005-0000-0000-000023690000}"/>
    <cellStyle name="Salida 24 11" xfId="26882" xr:uid="{00000000-0005-0000-0000-000024690000}"/>
    <cellStyle name="Salida 24 12" xfId="26883" xr:uid="{00000000-0005-0000-0000-000025690000}"/>
    <cellStyle name="Salida 24 13" xfId="26884" xr:uid="{00000000-0005-0000-0000-000026690000}"/>
    <cellStyle name="Salida 24 14" xfId="26885" xr:uid="{00000000-0005-0000-0000-000027690000}"/>
    <cellStyle name="Salida 24 15" xfId="26886" xr:uid="{00000000-0005-0000-0000-000028690000}"/>
    <cellStyle name="Salida 24 16" xfId="26887" xr:uid="{00000000-0005-0000-0000-000029690000}"/>
    <cellStyle name="Salida 24 17" xfId="26888" xr:uid="{00000000-0005-0000-0000-00002A690000}"/>
    <cellStyle name="Salida 24 18" xfId="26889" xr:uid="{00000000-0005-0000-0000-00002B690000}"/>
    <cellStyle name="Salida 24 19" xfId="26890" xr:uid="{00000000-0005-0000-0000-00002C690000}"/>
    <cellStyle name="Salida 24 2" xfId="26891" xr:uid="{00000000-0005-0000-0000-00002D690000}"/>
    <cellStyle name="Salida 24 2 2" xfId="26892" xr:uid="{00000000-0005-0000-0000-00002E690000}"/>
    <cellStyle name="Salida 24 3" xfId="26893" xr:uid="{00000000-0005-0000-0000-00002F690000}"/>
    <cellStyle name="Salida 24 3 2" xfId="26894" xr:uid="{00000000-0005-0000-0000-000030690000}"/>
    <cellStyle name="Salida 24 4" xfId="26895" xr:uid="{00000000-0005-0000-0000-000031690000}"/>
    <cellStyle name="Salida 24 4 2" xfId="26896" xr:uid="{00000000-0005-0000-0000-000032690000}"/>
    <cellStyle name="Salida 24 5" xfId="26897" xr:uid="{00000000-0005-0000-0000-000033690000}"/>
    <cellStyle name="Salida 24 6" xfId="26898" xr:uid="{00000000-0005-0000-0000-000034690000}"/>
    <cellStyle name="Salida 24 7" xfId="26899" xr:uid="{00000000-0005-0000-0000-000035690000}"/>
    <cellStyle name="Salida 24 8" xfId="26900" xr:uid="{00000000-0005-0000-0000-000036690000}"/>
    <cellStyle name="Salida 24 9" xfId="26901" xr:uid="{00000000-0005-0000-0000-000037690000}"/>
    <cellStyle name="Salida 25 10" xfId="26902" xr:uid="{00000000-0005-0000-0000-000038690000}"/>
    <cellStyle name="Salida 25 11" xfId="26903" xr:uid="{00000000-0005-0000-0000-000039690000}"/>
    <cellStyle name="Salida 25 12" xfId="26904" xr:uid="{00000000-0005-0000-0000-00003A690000}"/>
    <cellStyle name="Salida 25 13" xfId="26905" xr:uid="{00000000-0005-0000-0000-00003B690000}"/>
    <cellStyle name="Salida 25 14" xfId="26906" xr:uid="{00000000-0005-0000-0000-00003C690000}"/>
    <cellStyle name="Salida 25 15" xfId="26907" xr:uid="{00000000-0005-0000-0000-00003D690000}"/>
    <cellStyle name="Salida 25 16" xfId="26908" xr:uid="{00000000-0005-0000-0000-00003E690000}"/>
    <cellStyle name="Salida 25 17" xfId="26909" xr:uid="{00000000-0005-0000-0000-00003F690000}"/>
    <cellStyle name="Salida 25 18" xfId="26910" xr:uid="{00000000-0005-0000-0000-000040690000}"/>
    <cellStyle name="Salida 25 19" xfId="26911" xr:uid="{00000000-0005-0000-0000-000041690000}"/>
    <cellStyle name="Salida 25 2" xfId="26912" xr:uid="{00000000-0005-0000-0000-000042690000}"/>
    <cellStyle name="Salida 25 2 2" xfId="26913" xr:uid="{00000000-0005-0000-0000-000043690000}"/>
    <cellStyle name="Salida 25 3" xfId="26914" xr:uid="{00000000-0005-0000-0000-000044690000}"/>
    <cellStyle name="Salida 25 3 2" xfId="26915" xr:uid="{00000000-0005-0000-0000-000045690000}"/>
    <cellStyle name="Salida 25 4" xfId="26916" xr:uid="{00000000-0005-0000-0000-000046690000}"/>
    <cellStyle name="Salida 25 4 2" xfId="26917" xr:uid="{00000000-0005-0000-0000-000047690000}"/>
    <cellStyle name="Salida 25 5" xfId="26918" xr:uid="{00000000-0005-0000-0000-000048690000}"/>
    <cellStyle name="Salida 25 6" xfId="26919" xr:uid="{00000000-0005-0000-0000-000049690000}"/>
    <cellStyle name="Salida 25 7" xfId="26920" xr:uid="{00000000-0005-0000-0000-00004A690000}"/>
    <cellStyle name="Salida 25 8" xfId="26921" xr:uid="{00000000-0005-0000-0000-00004B690000}"/>
    <cellStyle name="Salida 25 9" xfId="26922" xr:uid="{00000000-0005-0000-0000-00004C690000}"/>
    <cellStyle name="Salida 26 10" xfId="26923" xr:uid="{00000000-0005-0000-0000-00004D690000}"/>
    <cellStyle name="Salida 26 11" xfId="26924" xr:uid="{00000000-0005-0000-0000-00004E690000}"/>
    <cellStyle name="Salida 26 12" xfId="26925" xr:uid="{00000000-0005-0000-0000-00004F690000}"/>
    <cellStyle name="Salida 26 13" xfId="26926" xr:uid="{00000000-0005-0000-0000-000050690000}"/>
    <cellStyle name="Salida 26 14" xfId="26927" xr:uid="{00000000-0005-0000-0000-000051690000}"/>
    <cellStyle name="Salida 26 15" xfId="26928" xr:uid="{00000000-0005-0000-0000-000052690000}"/>
    <cellStyle name="Salida 26 16" xfId="26929" xr:uid="{00000000-0005-0000-0000-000053690000}"/>
    <cellStyle name="Salida 26 17" xfId="26930" xr:uid="{00000000-0005-0000-0000-000054690000}"/>
    <cellStyle name="Salida 26 18" xfId="26931" xr:uid="{00000000-0005-0000-0000-000055690000}"/>
    <cellStyle name="Salida 26 19" xfId="26932" xr:uid="{00000000-0005-0000-0000-000056690000}"/>
    <cellStyle name="Salida 26 2" xfId="26933" xr:uid="{00000000-0005-0000-0000-000057690000}"/>
    <cellStyle name="Salida 26 2 2" xfId="26934" xr:uid="{00000000-0005-0000-0000-000058690000}"/>
    <cellStyle name="Salida 26 3" xfId="26935" xr:uid="{00000000-0005-0000-0000-000059690000}"/>
    <cellStyle name="Salida 26 3 2" xfId="26936" xr:uid="{00000000-0005-0000-0000-00005A690000}"/>
    <cellStyle name="Salida 26 4" xfId="26937" xr:uid="{00000000-0005-0000-0000-00005B690000}"/>
    <cellStyle name="Salida 26 4 2" xfId="26938" xr:uid="{00000000-0005-0000-0000-00005C690000}"/>
    <cellStyle name="Salida 26 5" xfId="26939" xr:uid="{00000000-0005-0000-0000-00005D690000}"/>
    <cellStyle name="Salida 26 6" xfId="26940" xr:uid="{00000000-0005-0000-0000-00005E690000}"/>
    <cellStyle name="Salida 26 7" xfId="26941" xr:uid="{00000000-0005-0000-0000-00005F690000}"/>
    <cellStyle name="Salida 26 8" xfId="26942" xr:uid="{00000000-0005-0000-0000-000060690000}"/>
    <cellStyle name="Salida 26 9" xfId="26943" xr:uid="{00000000-0005-0000-0000-000061690000}"/>
    <cellStyle name="Salida 27 10" xfId="26944" xr:uid="{00000000-0005-0000-0000-000062690000}"/>
    <cellStyle name="Salida 27 11" xfId="26945" xr:uid="{00000000-0005-0000-0000-000063690000}"/>
    <cellStyle name="Salida 27 12" xfId="26946" xr:uid="{00000000-0005-0000-0000-000064690000}"/>
    <cellStyle name="Salida 27 13" xfId="26947" xr:uid="{00000000-0005-0000-0000-000065690000}"/>
    <cellStyle name="Salida 27 14" xfId="26948" xr:uid="{00000000-0005-0000-0000-000066690000}"/>
    <cellStyle name="Salida 27 15" xfId="26949" xr:uid="{00000000-0005-0000-0000-000067690000}"/>
    <cellStyle name="Salida 27 16" xfId="26950" xr:uid="{00000000-0005-0000-0000-000068690000}"/>
    <cellStyle name="Salida 27 17" xfId="26951" xr:uid="{00000000-0005-0000-0000-000069690000}"/>
    <cellStyle name="Salida 27 18" xfId="26952" xr:uid="{00000000-0005-0000-0000-00006A690000}"/>
    <cellStyle name="Salida 27 19" xfId="26953" xr:uid="{00000000-0005-0000-0000-00006B690000}"/>
    <cellStyle name="Salida 27 2" xfId="26954" xr:uid="{00000000-0005-0000-0000-00006C690000}"/>
    <cellStyle name="Salida 27 2 2" xfId="26955" xr:uid="{00000000-0005-0000-0000-00006D690000}"/>
    <cellStyle name="Salida 27 3" xfId="26956" xr:uid="{00000000-0005-0000-0000-00006E690000}"/>
    <cellStyle name="Salida 27 3 2" xfId="26957" xr:uid="{00000000-0005-0000-0000-00006F690000}"/>
    <cellStyle name="Salida 27 4" xfId="26958" xr:uid="{00000000-0005-0000-0000-000070690000}"/>
    <cellStyle name="Salida 27 4 2" xfId="26959" xr:uid="{00000000-0005-0000-0000-000071690000}"/>
    <cellStyle name="Salida 27 5" xfId="26960" xr:uid="{00000000-0005-0000-0000-000072690000}"/>
    <cellStyle name="Salida 27 6" xfId="26961" xr:uid="{00000000-0005-0000-0000-000073690000}"/>
    <cellStyle name="Salida 27 7" xfId="26962" xr:uid="{00000000-0005-0000-0000-000074690000}"/>
    <cellStyle name="Salida 27 8" xfId="26963" xr:uid="{00000000-0005-0000-0000-000075690000}"/>
    <cellStyle name="Salida 27 9" xfId="26964" xr:uid="{00000000-0005-0000-0000-000076690000}"/>
    <cellStyle name="Salida 28 10" xfId="26965" xr:uid="{00000000-0005-0000-0000-000077690000}"/>
    <cellStyle name="Salida 28 11" xfId="26966" xr:uid="{00000000-0005-0000-0000-000078690000}"/>
    <cellStyle name="Salida 28 12" xfId="26967" xr:uid="{00000000-0005-0000-0000-000079690000}"/>
    <cellStyle name="Salida 28 13" xfId="26968" xr:uid="{00000000-0005-0000-0000-00007A690000}"/>
    <cellStyle name="Salida 28 14" xfId="26969" xr:uid="{00000000-0005-0000-0000-00007B690000}"/>
    <cellStyle name="Salida 28 15" xfId="26970" xr:uid="{00000000-0005-0000-0000-00007C690000}"/>
    <cellStyle name="Salida 28 16" xfId="26971" xr:uid="{00000000-0005-0000-0000-00007D690000}"/>
    <cellStyle name="Salida 28 17" xfId="26972" xr:uid="{00000000-0005-0000-0000-00007E690000}"/>
    <cellStyle name="Salida 28 18" xfId="26973" xr:uid="{00000000-0005-0000-0000-00007F690000}"/>
    <cellStyle name="Salida 28 19" xfId="26974" xr:uid="{00000000-0005-0000-0000-000080690000}"/>
    <cellStyle name="Salida 28 2" xfId="26975" xr:uid="{00000000-0005-0000-0000-000081690000}"/>
    <cellStyle name="Salida 28 2 2" xfId="26976" xr:uid="{00000000-0005-0000-0000-000082690000}"/>
    <cellStyle name="Salida 28 3" xfId="26977" xr:uid="{00000000-0005-0000-0000-000083690000}"/>
    <cellStyle name="Salida 28 3 2" xfId="26978" xr:uid="{00000000-0005-0000-0000-000084690000}"/>
    <cellStyle name="Salida 28 4" xfId="26979" xr:uid="{00000000-0005-0000-0000-000085690000}"/>
    <cellStyle name="Salida 28 4 2" xfId="26980" xr:uid="{00000000-0005-0000-0000-000086690000}"/>
    <cellStyle name="Salida 28 5" xfId="26981" xr:uid="{00000000-0005-0000-0000-000087690000}"/>
    <cellStyle name="Salida 28 6" xfId="26982" xr:uid="{00000000-0005-0000-0000-000088690000}"/>
    <cellStyle name="Salida 28 7" xfId="26983" xr:uid="{00000000-0005-0000-0000-000089690000}"/>
    <cellStyle name="Salida 28 8" xfId="26984" xr:uid="{00000000-0005-0000-0000-00008A690000}"/>
    <cellStyle name="Salida 28 9" xfId="26985" xr:uid="{00000000-0005-0000-0000-00008B690000}"/>
    <cellStyle name="Salida 29 10" xfId="26986" xr:uid="{00000000-0005-0000-0000-00008C690000}"/>
    <cellStyle name="Salida 29 11" xfId="26987" xr:uid="{00000000-0005-0000-0000-00008D690000}"/>
    <cellStyle name="Salida 29 12" xfId="26988" xr:uid="{00000000-0005-0000-0000-00008E690000}"/>
    <cellStyle name="Salida 29 13" xfId="26989" xr:uid="{00000000-0005-0000-0000-00008F690000}"/>
    <cellStyle name="Salida 29 14" xfId="26990" xr:uid="{00000000-0005-0000-0000-000090690000}"/>
    <cellStyle name="Salida 29 15" xfId="26991" xr:uid="{00000000-0005-0000-0000-000091690000}"/>
    <cellStyle name="Salida 29 16" xfId="26992" xr:uid="{00000000-0005-0000-0000-000092690000}"/>
    <cellStyle name="Salida 29 17" xfId="26993" xr:uid="{00000000-0005-0000-0000-000093690000}"/>
    <cellStyle name="Salida 29 18" xfId="26994" xr:uid="{00000000-0005-0000-0000-000094690000}"/>
    <cellStyle name="Salida 29 19" xfId="26995" xr:uid="{00000000-0005-0000-0000-000095690000}"/>
    <cellStyle name="Salida 29 2" xfId="26996" xr:uid="{00000000-0005-0000-0000-000096690000}"/>
    <cellStyle name="Salida 29 2 2" xfId="26997" xr:uid="{00000000-0005-0000-0000-000097690000}"/>
    <cellStyle name="Salida 29 3" xfId="26998" xr:uid="{00000000-0005-0000-0000-000098690000}"/>
    <cellStyle name="Salida 29 3 2" xfId="26999" xr:uid="{00000000-0005-0000-0000-000099690000}"/>
    <cellStyle name="Salida 29 4" xfId="27000" xr:uid="{00000000-0005-0000-0000-00009A690000}"/>
    <cellStyle name="Salida 29 4 2" xfId="27001" xr:uid="{00000000-0005-0000-0000-00009B690000}"/>
    <cellStyle name="Salida 29 5" xfId="27002" xr:uid="{00000000-0005-0000-0000-00009C690000}"/>
    <cellStyle name="Salida 29 6" xfId="27003" xr:uid="{00000000-0005-0000-0000-00009D690000}"/>
    <cellStyle name="Salida 29 7" xfId="27004" xr:uid="{00000000-0005-0000-0000-00009E690000}"/>
    <cellStyle name="Salida 29 8" xfId="27005" xr:uid="{00000000-0005-0000-0000-00009F690000}"/>
    <cellStyle name="Salida 29 9" xfId="27006" xr:uid="{00000000-0005-0000-0000-0000A0690000}"/>
    <cellStyle name="Salida 3 10" xfId="27007" xr:uid="{00000000-0005-0000-0000-0000A1690000}"/>
    <cellStyle name="Salida 3 11" xfId="27008" xr:uid="{00000000-0005-0000-0000-0000A2690000}"/>
    <cellStyle name="Salida 3 12" xfId="27009" xr:uid="{00000000-0005-0000-0000-0000A3690000}"/>
    <cellStyle name="Salida 3 13" xfId="27010" xr:uid="{00000000-0005-0000-0000-0000A4690000}"/>
    <cellStyle name="Salida 3 14" xfId="27011" xr:uid="{00000000-0005-0000-0000-0000A5690000}"/>
    <cellStyle name="Salida 3 15" xfId="27012" xr:uid="{00000000-0005-0000-0000-0000A6690000}"/>
    <cellStyle name="Salida 3 16" xfId="27013" xr:uid="{00000000-0005-0000-0000-0000A7690000}"/>
    <cellStyle name="Salida 3 17" xfId="27014" xr:uid="{00000000-0005-0000-0000-0000A8690000}"/>
    <cellStyle name="Salida 3 18" xfId="27015" xr:uid="{00000000-0005-0000-0000-0000A9690000}"/>
    <cellStyle name="Salida 3 19" xfId="27016" xr:uid="{00000000-0005-0000-0000-0000AA690000}"/>
    <cellStyle name="Salida 3 2" xfId="27017" xr:uid="{00000000-0005-0000-0000-0000AB690000}"/>
    <cellStyle name="Salida 3 2 2" xfId="27018" xr:uid="{00000000-0005-0000-0000-0000AC690000}"/>
    <cellStyle name="Salida 3 3" xfId="27019" xr:uid="{00000000-0005-0000-0000-0000AD690000}"/>
    <cellStyle name="Salida 3 3 2" xfId="27020" xr:uid="{00000000-0005-0000-0000-0000AE690000}"/>
    <cellStyle name="Salida 3 4" xfId="27021" xr:uid="{00000000-0005-0000-0000-0000AF690000}"/>
    <cellStyle name="Salida 3 4 2" xfId="27022" xr:uid="{00000000-0005-0000-0000-0000B0690000}"/>
    <cellStyle name="Salida 3 5" xfId="27023" xr:uid="{00000000-0005-0000-0000-0000B1690000}"/>
    <cellStyle name="Salida 3 6" xfId="27024" xr:uid="{00000000-0005-0000-0000-0000B2690000}"/>
    <cellStyle name="Salida 3 7" xfId="27025" xr:uid="{00000000-0005-0000-0000-0000B3690000}"/>
    <cellStyle name="Salida 3 8" xfId="27026" xr:uid="{00000000-0005-0000-0000-0000B4690000}"/>
    <cellStyle name="Salida 3 9" xfId="27027" xr:uid="{00000000-0005-0000-0000-0000B5690000}"/>
    <cellStyle name="Salida 30 10" xfId="27028" xr:uid="{00000000-0005-0000-0000-0000B6690000}"/>
    <cellStyle name="Salida 30 11" xfId="27029" xr:uid="{00000000-0005-0000-0000-0000B7690000}"/>
    <cellStyle name="Salida 30 12" xfId="27030" xr:uid="{00000000-0005-0000-0000-0000B8690000}"/>
    <cellStyle name="Salida 30 13" xfId="27031" xr:uid="{00000000-0005-0000-0000-0000B9690000}"/>
    <cellStyle name="Salida 30 14" xfId="27032" xr:uid="{00000000-0005-0000-0000-0000BA690000}"/>
    <cellStyle name="Salida 30 15" xfId="27033" xr:uid="{00000000-0005-0000-0000-0000BB690000}"/>
    <cellStyle name="Salida 30 16" xfId="27034" xr:uid="{00000000-0005-0000-0000-0000BC690000}"/>
    <cellStyle name="Salida 30 17" xfId="27035" xr:uid="{00000000-0005-0000-0000-0000BD690000}"/>
    <cellStyle name="Salida 30 18" xfId="27036" xr:uid="{00000000-0005-0000-0000-0000BE690000}"/>
    <cellStyle name="Salida 30 19" xfId="27037" xr:uid="{00000000-0005-0000-0000-0000BF690000}"/>
    <cellStyle name="Salida 30 2" xfId="27038" xr:uid="{00000000-0005-0000-0000-0000C0690000}"/>
    <cellStyle name="Salida 30 2 2" xfId="27039" xr:uid="{00000000-0005-0000-0000-0000C1690000}"/>
    <cellStyle name="Salida 30 3" xfId="27040" xr:uid="{00000000-0005-0000-0000-0000C2690000}"/>
    <cellStyle name="Salida 30 3 2" xfId="27041" xr:uid="{00000000-0005-0000-0000-0000C3690000}"/>
    <cellStyle name="Salida 30 4" xfId="27042" xr:uid="{00000000-0005-0000-0000-0000C4690000}"/>
    <cellStyle name="Salida 30 4 2" xfId="27043" xr:uid="{00000000-0005-0000-0000-0000C5690000}"/>
    <cellStyle name="Salida 30 5" xfId="27044" xr:uid="{00000000-0005-0000-0000-0000C6690000}"/>
    <cellStyle name="Salida 30 6" xfId="27045" xr:uid="{00000000-0005-0000-0000-0000C7690000}"/>
    <cellStyle name="Salida 30 7" xfId="27046" xr:uid="{00000000-0005-0000-0000-0000C8690000}"/>
    <cellStyle name="Salida 30 8" xfId="27047" xr:uid="{00000000-0005-0000-0000-0000C9690000}"/>
    <cellStyle name="Salida 30 9" xfId="27048" xr:uid="{00000000-0005-0000-0000-0000CA690000}"/>
    <cellStyle name="Salida 31 10" xfId="27049" xr:uid="{00000000-0005-0000-0000-0000CB690000}"/>
    <cellStyle name="Salida 31 11" xfId="27050" xr:uid="{00000000-0005-0000-0000-0000CC690000}"/>
    <cellStyle name="Salida 31 12" xfId="27051" xr:uid="{00000000-0005-0000-0000-0000CD690000}"/>
    <cellStyle name="Salida 31 13" xfId="27052" xr:uid="{00000000-0005-0000-0000-0000CE690000}"/>
    <cellStyle name="Salida 31 14" xfId="27053" xr:uid="{00000000-0005-0000-0000-0000CF690000}"/>
    <cellStyle name="Salida 31 15" xfId="27054" xr:uid="{00000000-0005-0000-0000-0000D0690000}"/>
    <cellStyle name="Salida 31 16" xfId="27055" xr:uid="{00000000-0005-0000-0000-0000D1690000}"/>
    <cellStyle name="Salida 31 17" xfId="27056" xr:uid="{00000000-0005-0000-0000-0000D2690000}"/>
    <cellStyle name="Salida 31 18" xfId="27057" xr:uid="{00000000-0005-0000-0000-0000D3690000}"/>
    <cellStyle name="Salida 31 19" xfId="27058" xr:uid="{00000000-0005-0000-0000-0000D4690000}"/>
    <cellStyle name="Salida 31 2" xfId="27059" xr:uid="{00000000-0005-0000-0000-0000D5690000}"/>
    <cellStyle name="Salida 31 2 2" xfId="27060" xr:uid="{00000000-0005-0000-0000-0000D6690000}"/>
    <cellStyle name="Salida 31 3" xfId="27061" xr:uid="{00000000-0005-0000-0000-0000D7690000}"/>
    <cellStyle name="Salida 31 3 2" xfId="27062" xr:uid="{00000000-0005-0000-0000-0000D8690000}"/>
    <cellStyle name="Salida 31 4" xfId="27063" xr:uid="{00000000-0005-0000-0000-0000D9690000}"/>
    <cellStyle name="Salida 31 4 2" xfId="27064" xr:uid="{00000000-0005-0000-0000-0000DA690000}"/>
    <cellStyle name="Salida 31 5" xfId="27065" xr:uid="{00000000-0005-0000-0000-0000DB690000}"/>
    <cellStyle name="Salida 31 6" xfId="27066" xr:uid="{00000000-0005-0000-0000-0000DC690000}"/>
    <cellStyle name="Salida 31 7" xfId="27067" xr:uid="{00000000-0005-0000-0000-0000DD690000}"/>
    <cellStyle name="Salida 31 8" xfId="27068" xr:uid="{00000000-0005-0000-0000-0000DE690000}"/>
    <cellStyle name="Salida 31 9" xfId="27069" xr:uid="{00000000-0005-0000-0000-0000DF690000}"/>
    <cellStyle name="Salida 32 10" xfId="27070" xr:uid="{00000000-0005-0000-0000-0000E0690000}"/>
    <cellStyle name="Salida 32 11" xfId="27071" xr:uid="{00000000-0005-0000-0000-0000E1690000}"/>
    <cellStyle name="Salida 32 12" xfId="27072" xr:uid="{00000000-0005-0000-0000-0000E2690000}"/>
    <cellStyle name="Salida 32 13" xfId="27073" xr:uid="{00000000-0005-0000-0000-0000E3690000}"/>
    <cellStyle name="Salida 32 14" xfId="27074" xr:uid="{00000000-0005-0000-0000-0000E4690000}"/>
    <cellStyle name="Salida 32 15" xfId="27075" xr:uid="{00000000-0005-0000-0000-0000E5690000}"/>
    <cellStyle name="Salida 32 16" xfId="27076" xr:uid="{00000000-0005-0000-0000-0000E6690000}"/>
    <cellStyle name="Salida 32 17" xfId="27077" xr:uid="{00000000-0005-0000-0000-0000E7690000}"/>
    <cellStyle name="Salida 32 18" xfId="27078" xr:uid="{00000000-0005-0000-0000-0000E8690000}"/>
    <cellStyle name="Salida 32 19" xfId="27079" xr:uid="{00000000-0005-0000-0000-0000E9690000}"/>
    <cellStyle name="Salida 32 2" xfId="27080" xr:uid="{00000000-0005-0000-0000-0000EA690000}"/>
    <cellStyle name="Salida 32 2 2" xfId="27081" xr:uid="{00000000-0005-0000-0000-0000EB690000}"/>
    <cellStyle name="Salida 32 3" xfId="27082" xr:uid="{00000000-0005-0000-0000-0000EC690000}"/>
    <cellStyle name="Salida 32 3 2" xfId="27083" xr:uid="{00000000-0005-0000-0000-0000ED690000}"/>
    <cellStyle name="Salida 32 4" xfId="27084" xr:uid="{00000000-0005-0000-0000-0000EE690000}"/>
    <cellStyle name="Salida 32 4 2" xfId="27085" xr:uid="{00000000-0005-0000-0000-0000EF690000}"/>
    <cellStyle name="Salida 32 5" xfId="27086" xr:uid="{00000000-0005-0000-0000-0000F0690000}"/>
    <cellStyle name="Salida 32 6" xfId="27087" xr:uid="{00000000-0005-0000-0000-0000F1690000}"/>
    <cellStyle name="Salida 32 7" xfId="27088" xr:uid="{00000000-0005-0000-0000-0000F2690000}"/>
    <cellStyle name="Salida 32 8" xfId="27089" xr:uid="{00000000-0005-0000-0000-0000F3690000}"/>
    <cellStyle name="Salida 32 9" xfId="27090" xr:uid="{00000000-0005-0000-0000-0000F4690000}"/>
    <cellStyle name="Salida 33 10" xfId="27091" xr:uid="{00000000-0005-0000-0000-0000F5690000}"/>
    <cellStyle name="Salida 33 11" xfId="27092" xr:uid="{00000000-0005-0000-0000-0000F6690000}"/>
    <cellStyle name="Salida 33 12" xfId="27093" xr:uid="{00000000-0005-0000-0000-0000F7690000}"/>
    <cellStyle name="Salida 33 13" xfId="27094" xr:uid="{00000000-0005-0000-0000-0000F8690000}"/>
    <cellStyle name="Salida 33 14" xfId="27095" xr:uid="{00000000-0005-0000-0000-0000F9690000}"/>
    <cellStyle name="Salida 33 15" xfId="27096" xr:uid="{00000000-0005-0000-0000-0000FA690000}"/>
    <cellStyle name="Salida 33 16" xfId="27097" xr:uid="{00000000-0005-0000-0000-0000FB690000}"/>
    <cellStyle name="Salida 33 17" xfId="27098" xr:uid="{00000000-0005-0000-0000-0000FC690000}"/>
    <cellStyle name="Salida 33 18" xfId="27099" xr:uid="{00000000-0005-0000-0000-0000FD690000}"/>
    <cellStyle name="Salida 33 19" xfId="27100" xr:uid="{00000000-0005-0000-0000-0000FE690000}"/>
    <cellStyle name="Salida 33 2" xfId="27101" xr:uid="{00000000-0005-0000-0000-0000FF690000}"/>
    <cellStyle name="Salida 33 2 2" xfId="27102" xr:uid="{00000000-0005-0000-0000-0000006A0000}"/>
    <cellStyle name="Salida 33 3" xfId="27103" xr:uid="{00000000-0005-0000-0000-0000016A0000}"/>
    <cellStyle name="Salida 33 3 2" xfId="27104" xr:uid="{00000000-0005-0000-0000-0000026A0000}"/>
    <cellStyle name="Salida 33 4" xfId="27105" xr:uid="{00000000-0005-0000-0000-0000036A0000}"/>
    <cellStyle name="Salida 33 4 2" xfId="27106" xr:uid="{00000000-0005-0000-0000-0000046A0000}"/>
    <cellStyle name="Salida 33 5" xfId="27107" xr:uid="{00000000-0005-0000-0000-0000056A0000}"/>
    <cellStyle name="Salida 33 6" xfId="27108" xr:uid="{00000000-0005-0000-0000-0000066A0000}"/>
    <cellStyle name="Salida 33 7" xfId="27109" xr:uid="{00000000-0005-0000-0000-0000076A0000}"/>
    <cellStyle name="Salida 33 8" xfId="27110" xr:uid="{00000000-0005-0000-0000-0000086A0000}"/>
    <cellStyle name="Salida 33 9" xfId="27111" xr:uid="{00000000-0005-0000-0000-0000096A0000}"/>
    <cellStyle name="Salida 34 10" xfId="27112" xr:uid="{00000000-0005-0000-0000-00000A6A0000}"/>
    <cellStyle name="Salida 34 11" xfId="27113" xr:uid="{00000000-0005-0000-0000-00000B6A0000}"/>
    <cellStyle name="Salida 34 12" xfId="27114" xr:uid="{00000000-0005-0000-0000-00000C6A0000}"/>
    <cellStyle name="Salida 34 13" xfId="27115" xr:uid="{00000000-0005-0000-0000-00000D6A0000}"/>
    <cellStyle name="Salida 34 14" xfId="27116" xr:uid="{00000000-0005-0000-0000-00000E6A0000}"/>
    <cellStyle name="Salida 34 15" xfId="27117" xr:uid="{00000000-0005-0000-0000-00000F6A0000}"/>
    <cellStyle name="Salida 34 16" xfId="27118" xr:uid="{00000000-0005-0000-0000-0000106A0000}"/>
    <cellStyle name="Salida 34 17" xfId="27119" xr:uid="{00000000-0005-0000-0000-0000116A0000}"/>
    <cellStyle name="Salida 34 18" xfId="27120" xr:uid="{00000000-0005-0000-0000-0000126A0000}"/>
    <cellStyle name="Salida 34 19" xfId="27121" xr:uid="{00000000-0005-0000-0000-0000136A0000}"/>
    <cellStyle name="Salida 34 2" xfId="27122" xr:uid="{00000000-0005-0000-0000-0000146A0000}"/>
    <cellStyle name="Salida 34 2 2" xfId="27123" xr:uid="{00000000-0005-0000-0000-0000156A0000}"/>
    <cellStyle name="Salida 34 3" xfId="27124" xr:uid="{00000000-0005-0000-0000-0000166A0000}"/>
    <cellStyle name="Salida 34 3 2" xfId="27125" xr:uid="{00000000-0005-0000-0000-0000176A0000}"/>
    <cellStyle name="Salida 34 4" xfId="27126" xr:uid="{00000000-0005-0000-0000-0000186A0000}"/>
    <cellStyle name="Salida 34 4 2" xfId="27127" xr:uid="{00000000-0005-0000-0000-0000196A0000}"/>
    <cellStyle name="Salida 34 5" xfId="27128" xr:uid="{00000000-0005-0000-0000-00001A6A0000}"/>
    <cellStyle name="Salida 34 6" xfId="27129" xr:uid="{00000000-0005-0000-0000-00001B6A0000}"/>
    <cellStyle name="Salida 34 7" xfId="27130" xr:uid="{00000000-0005-0000-0000-00001C6A0000}"/>
    <cellStyle name="Salida 34 8" xfId="27131" xr:uid="{00000000-0005-0000-0000-00001D6A0000}"/>
    <cellStyle name="Salida 34 9" xfId="27132" xr:uid="{00000000-0005-0000-0000-00001E6A0000}"/>
    <cellStyle name="Salida 35 10" xfId="27133" xr:uid="{00000000-0005-0000-0000-00001F6A0000}"/>
    <cellStyle name="Salida 35 11" xfId="27134" xr:uid="{00000000-0005-0000-0000-0000206A0000}"/>
    <cellStyle name="Salida 35 12" xfId="27135" xr:uid="{00000000-0005-0000-0000-0000216A0000}"/>
    <cellStyle name="Salida 35 13" xfId="27136" xr:uid="{00000000-0005-0000-0000-0000226A0000}"/>
    <cellStyle name="Salida 35 14" xfId="27137" xr:uid="{00000000-0005-0000-0000-0000236A0000}"/>
    <cellStyle name="Salida 35 15" xfId="27138" xr:uid="{00000000-0005-0000-0000-0000246A0000}"/>
    <cellStyle name="Salida 35 16" xfId="27139" xr:uid="{00000000-0005-0000-0000-0000256A0000}"/>
    <cellStyle name="Salida 35 17" xfId="27140" xr:uid="{00000000-0005-0000-0000-0000266A0000}"/>
    <cellStyle name="Salida 35 18" xfId="27141" xr:uid="{00000000-0005-0000-0000-0000276A0000}"/>
    <cellStyle name="Salida 35 19" xfId="27142" xr:uid="{00000000-0005-0000-0000-0000286A0000}"/>
    <cellStyle name="Salida 35 2" xfId="27143" xr:uid="{00000000-0005-0000-0000-0000296A0000}"/>
    <cellStyle name="Salida 35 2 2" xfId="27144" xr:uid="{00000000-0005-0000-0000-00002A6A0000}"/>
    <cellStyle name="Salida 35 3" xfId="27145" xr:uid="{00000000-0005-0000-0000-00002B6A0000}"/>
    <cellStyle name="Salida 35 3 2" xfId="27146" xr:uid="{00000000-0005-0000-0000-00002C6A0000}"/>
    <cellStyle name="Salida 35 4" xfId="27147" xr:uid="{00000000-0005-0000-0000-00002D6A0000}"/>
    <cellStyle name="Salida 35 4 2" xfId="27148" xr:uid="{00000000-0005-0000-0000-00002E6A0000}"/>
    <cellStyle name="Salida 35 5" xfId="27149" xr:uid="{00000000-0005-0000-0000-00002F6A0000}"/>
    <cellStyle name="Salida 35 6" xfId="27150" xr:uid="{00000000-0005-0000-0000-0000306A0000}"/>
    <cellStyle name="Salida 35 7" xfId="27151" xr:uid="{00000000-0005-0000-0000-0000316A0000}"/>
    <cellStyle name="Salida 35 8" xfId="27152" xr:uid="{00000000-0005-0000-0000-0000326A0000}"/>
    <cellStyle name="Salida 35 9" xfId="27153" xr:uid="{00000000-0005-0000-0000-0000336A0000}"/>
    <cellStyle name="Salida 36 10" xfId="27154" xr:uid="{00000000-0005-0000-0000-0000346A0000}"/>
    <cellStyle name="Salida 36 11" xfId="27155" xr:uid="{00000000-0005-0000-0000-0000356A0000}"/>
    <cellStyle name="Salida 36 12" xfId="27156" xr:uid="{00000000-0005-0000-0000-0000366A0000}"/>
    <cellStyle name="Salida 36 13" xfId="27157" xr:uid="{00000000-0005-0000-0000-0000376A0000}"/>
    <cellStyle name="Salida 36 14" xfId="27158" xr:uid="{00000000-0005-0000-0000-0000386A0000}"/>
    <cellStyle name="Salida 36 15" xfId="27159" xr:uid="{00000000-0005-0000-0000-0000396A0000}"/>
    <cellStyle name="Salida 36 16" xfId="27160" xr:uid="{00000000-0005-0000-0000-00003A6A0000}"/>
    <cellStyle name="Salida 36 17" xfId="27161" xr:uid="{00000000-0005-0000-0000-00003B6A0000}"/>
    <cellStyle name="Salida 36 18" xfId="27162" xr:uid="{00000000-0005-0000-0000-00003C6A0000}"/>
    <cellStyle name="Salida 36 19" xfId="27163" xr:uid="{00000000-0005-0000-0000-00003D6A0000}"/>
    <cellStyle name="Salida 36 2" xfId="27164" xr:uid="{00000000-0005-0000-0000-00003E6A0000}"/>
    <cellStyle name="Salida 36 2 2" xfId="27165" xr:uid="{00000000-0005-0000-0000-00003F6A0000}"/>
    <cellStyle name="Salida 36 3" xfId="27166" xr:uid="{00000000-0005-0000-0000-0000406A0000}"/>
    <cellStyle name="Salida 36 3 2" xfId="27167" xr:uid="{00000000-0005-0000-0000-0000416A0000}"/>
    <cellStyle name="Salida 36 4" xfId="27168" xr:uid="{00000000-0005-0000-0000-0000426A0000}"/>
    <cellStyle name="Salida 36 4 2" xfId="27169" xr:uid="{00000000-0005-0000-0000-0000436A0000}"/>
    <cellStyle name="Salida 36 5" xfId="27170" xr:uid="{00000000-0005-0000-0000-0000446A0000}"/>
    <cellStyle name="Salida 36 6" xfId="27171" xr:uid="{00000000-0005-0000-0000-0000456A0000}"/>
    <cellStyle name="Salida 36 7" xfId="27172" xr:uid="{00000000-0005-0000-0000-0000466A0000}"/>
    <cellStyle name="Salida 36 8" xfId="27173" xr:uid="{00000000-0005-0000-0000-0000476A0000}"/>
    <cellStyle name="Salida 36 9" xfId="27174" xr:uid="{00000000-0005-0000-0000-0000486A0000}"/>
    <cellStyle name="Salida 37 10" xfId="27175" xr:uid="{00000000-0005-0000-0000-0000496A0000}"/>
    <cellStyle name="Salida 37 11" xfId="27176" xr:uid="{00000000-0005-0000-0000-00004A6A0000}"/>
    <cellStyle name="Salida 37 12" xfId="27177" xr:uid="{00000000-0005-0000-0000-00004B6A0000}"/>
    <cellStyle name="Salida 37 13" xfId="27178" xr:uid="{00000000-0005-0000-0000-00004C6A0000}"/>
    <cellStyle name="Salida 37 14" xfId="27179" xr:uid="{00000000-0005-0000-0000-00004D6A0000}"/>
    <cellStyle name="Salida 37 15" xfId="27180" xr:uid="{00000000-0005-0000-0000-00004E6A0000}"/>
    <cellStyle name="Salida 37 16" xfId="27181" xr:uid="{00000000-0005-0000-0000-00004F6A0000}"/>
    <cellStyle name="Salida 37 17" xfId="27182" xr:uid="{00000000-0005-0000-0000-0000506A0000}"/>
    <cellStyle name="Salida 37 18" xfId="27183" xr:uid="{00000000-0005-0000-0000-0000516A0000}"/>
    <cellStyle name="Salida 37 19" xfId="27184" xr:uid="{00000000-0005-0000-0000-0000526A0000}"/>
    <cellStyle name="Salida 37 2" xfId="27185" xr:uid="{00000000-0005-0000-0000-0000536A0000}"/>
    <cellStyle name="Salida 37 2 2" xfId="27186" xr:uid="{00000000-0005-0000-0000-0000546A0000}"/>
    <cellStyle name="Salida 37 3" xfId="27187" xr:uid="{00000000-0005-0000-0000-0000556A0000}"/>
    <cellStyle name="Salida 37 3 2" xfId="27188" xr:uid="{00000000-0005-0000-0000-0000566A0000}"/>
    <cellStyle name="Salida 37 4" xfId="27189" xr:uid="{00000000-0005-0000-0000-0000576A0000}"/>
    <cellStyle name="Salida 37 4 2" xfId="27190" xr:uid="{00000000-0005-0000-0000-0000586A0000}"/>
    <cellStyle name="Salida 37 5" xfId="27191" xr:uid="{00000000-0005-0000-0000-0000596A0000}"/>
    <cellStyle name="Salida 37 6" xfId="27192" xr:uid="{00000000-0005-0000-0000-00005A6A0000}"/>
    <cellStyle name="Salida 37 7" xfId="27193" xr:uid="{00000000-0005-0000-0000-00005B6A0000}"/>
    <cellStyle name="Salida 37 8" xfId="27194" xr:uid="{00000000-0005-0000-0000-00005C6A0000}"/>
    <cellStyle name="Salida 37 9" xfId="27195" xr:uid="{00000000-0005-0000-0000-00005D6A0000}"/>
    <cellStyle name="Salida 38 10" xfId="27196" xr:uid="{00000000-0005-0000-0000-00005E6A0000}"/>
    <cellStyle name="Salida 38 11" xfId="27197" xr:uid="{00000000-0005-0000-0000-00005F6A0000}"/>
    <cellStyle name="Salida 38 12" xfId="27198" xr:uid="{00000000-0005-0000-0000-0000606A0000}"/>
    <cellStyle name="Salida 38 13" xfId="27199" xr:uid="{00000000-0005-0000-0000-0000616A0000}"/>
    <cellStyle name="Salida 38 14" xfId="27200" xr:uid="{00000000-0005-0000-0000-0000626A0000}"/>
    <cellStyle name="Salida 38 15" xfId="27201" xr:uid="{00000000-0005-0000-0000-0000636A0000}"/>
    <cellStyle name="Salida 38 16" xfId="27202" xr:uid="{00000000-0005-0000-0000-0000646A0000}"/>
    <cellStyle name="Salida 38 17" xfId="27203" xr:uid="{00000000-0005-0000-0000-0000656A0000}"/>
    <cellStyle name="Salida 38 18" xfId="27204" xr:uid="{00000000-0005-0000-0000-0000666A0000}"/>
    <cellStyle name="Salida 38 19" xfId="27205" xr:uid="{00000000-0005-0000-0000-0000676A0000}"/>
    <cellStyle name="Salida 38 2" xfId="27206" xr:uid="{00000000-0005-0000-0000-0000686A0000}"/>
    <cellStyle name="Salida 38 2 2" xfId="27207" xr:uid="{00000000-0005-0000-0000-0000696A0000}"/>
    <cellStyle name="Salida 38 3" xfId="27208" xr:uid="{00000000-0005-0000-0000-00006A6A0000}"/>
    <cellStyle name="Salida 38 3 2" xfId="27209" xr:uid="{00000000-0005-0000-0000-00006B6A0000}"/>
    <cellStyle name="Salida 38 4" xfId="27210" xr:uid="{00000000-0005-0000-0000-00006C6A0000}"/>
    <cellStyle name="Salida 38 4 2" xfId="27211" xr:uid="{00000000-0005-0000-0000-00006D6A0000}"/>
    <cellStyle name="Salida 38 5" xfId="27212" xr:uid="{00000000-0005-0000-0000-00006E6A0000}"/>
    <cellStyle name="Salida 38 6" xfId="27213" xr:uid="{00000000-0005-0000-0000-00006F6A0000}"/>
    <cellStyle name="Salida 38 7" xfId="27214" xr:uid="{00000000-0005-0000-0000-0000706A0000}"/>
    <cellStyle name="Salida 38 8" xfId="27215" xr:uid="{00000000-0005-0000-0000-0000716A0000}"/>
    <cellStyle name="Salida 38 9" xfId="27216" xr:uid="{00000000-0005-0000-0000-0000726A0000}"/>
    <cellStyle name="Salida 39" xfId="27217" xr:uid="{00000000-0005-0000-0000-0000736A0000}"/>
    <cellStyle name="Salida 39 10" xfId="27218" xr:uid="{00000000-0005-0000-0000-0000746A0000}"/>
    <cellStyle name="Salida 39 11" xfId="27219" xr:uid="{00000000-0005-0000-0000-0000756A0000}"/>
    <cellStyle name="Salida 39 12" xfId="27220" xr:uid="{00000000-0005-0000-0000-0000766A0000}"/>
    <cellStyle name="Salida 39 13" xfId="27221" xr:uid="{00000000-0005-0000-0000-0000776A0000}"/>
    <cellStyle name="Salida 39 14" xfId="27222" xr:uid="{00000000-0005-0000-0000-0000786A0000}"/>
    <cellStyle name="Salida 39 15" xfId="27223" xr:uid="{00000000-0005-0000-0000-0000796A0000}"/>
    <cellStyle name="Salida 39 16" xfId="27224" xr:uid="{00000000-0005-0000-0000-00007A6A0000}"/>
    <cellStyle name="Salida 39 2" xfId="27225" xr:uid="{00000000-0005-0000-0000-00007B6A0000}"/>
    <cellStyle name="Salida 39 3" xfId="27226" xr:uid="{00000000-0005-0000-0000-00007C6A0000}"/>
    <cellStyle name="Salida 39 4" xfId="27227" xr:uid="{00000000-0005-0000-0000-00007D6A0000}"/>
    <cellStyle name="Salida 39 5" xfId="27228" xr:uid="{00000000-0005-0000-0000-00007E6A0000}"/>
    <cellStyle name="Salida 39 6" xfId="27229" xr:uid="{00000000-0005-0000-0000-00007F6A0000}"/>
    <cellStyle name="Salida 39 7" xfId="27230" xr:uid="{00000000-0005-0000-0000-0000806A0000}"/>
    <cellStyle name="Salida 39 8" xfId="27231" xr:uid="{00000000-0005-0000-0000-0000816A0000}"/>
    <cellStyle name="Salida 39 9" xfId="27232" xr:uid="{00000000-0005-0000-0000-0000826A0000}"/>
    <cellStyle name="Salida 4 10" xfId="27233" xr:uid="{00000000-0005-0000-0000-0000836A0000}"/>
    <cellStyle name="Salida 4 11" xfId="27234" xr:uid="{00000000-0005-0000-0000-0000846A0000}"/>
    <cellStyle name="Salida 4 12" xfId="27235" xr:uid="{00000000-0005-0000-0000-0000856A0000}"/>
    <cellStyle name="Salida 4 13" xfId="27236" xr:uid="{00000000-0005-0000-0000-0000866A0000}"/>
    <cellStyle name="Salida 4 14" xfId="27237" xr:uid="{00000000-0005-0000-0000-0000876A0000}"/>
    <cellStyle name="Salida 4 15" xfId="27238" xr:uid="{00000000-0005-0000-0000-0000886A0000}"/>
    <cellStyle name="Salida 4 16" xfId="27239" xr:uid="{00000000-0005-0000-0000-0000896A0000}"/>
    <cellStyle name="Salida 4 17" xfId="27240" xr:uid="{00000000-0005-0000-0000-00008A6A0000}"/>
    <cellStyle name="Salida 4 18" xfId="27241" xr:uid="{00000000-0005-0000-0000-00008B6A0000}"/>
    <cellStyle name="Salida 4 19" xfId="27242" xr:uid="{00000000-0005-0000-0000-00008C6A0000}"/>
    <cellStyle name="Salida 4 2" xfId="27243" xr:uid="{00000000-0005-0000-0000-00008D6A0000}"/>
    <cellStyle name="Salida 4 2 2" xfId="27244" xr:uid="{00000000-0005-0000-0000-00008E6A0000}"/>
    <cellStyle name="Salida 4 3" xfId="27245" xr:uid="{00000000-0005-0000-0000-00008F6A0000}"/>
    <cellStyle name="Salida 4 3 2" xfId="27246" xr:uid="{00000000-0005-0000-0000-0000906A0000}"/>
    <cellStyle name="Salida 4 4" xfId="27247" xr:uid="{00000000-0005-0000-0000-0000916A0000}"/>
    <cellStyle name="Salida 4 4 2" xfId="27248" xr:uid="{00000000-0005-0000-0000-0000926A0000}"/>
    <cellStyle name="Salida 4 5" xfId="27249" xr:uid="{00000000-0005-0000-0000-0000936A0000}"/>
    <cellStyle name="Salida 4 6" xfId="27250" xr:uid="{00000000-0005-0000-0000-0000946A0000}"/>
    <cellStyle name="Salida 4 7" xfId="27251" xr:uid="{00000000-0005-0000-0000-0000956A0000}"/>
    <cellStyle name="Salida 4 8" xfId="27252" xr:uid="{00000000-0005-0000-0000-0000966A0000}"/>
    <cellStyle name="Salida 4 9" xfId="27253" xr:uid="{00000000-0005-0000-0000-0000976A0000}"/>
    <cellStyle name="Salida 40" xfId="27254" xr:uid="{00000000-0005-0000-0000-0000986A0000}"/>
    <cellStyle name="Salida 40 10" xfId="27255" xr:uid="{00000000-0005-0000-0000-0000996A0000}"/>
    <cellStyle name="Salida 40 11" xfId="27256" xr:uid="{00000000-0005-0000-0000-00009A6A0000}"/>
    <cellStyle name="Salida 40 12" xfId="27257" xr:uid="{00000000-0005-0000-0000-00009B6A0000}"/>
    <cellStyle name="Salida 40 13" xfId="27258" xr:uid="{00000000-0005-0000-0000-00009C6A0000}"/>
    <cellStyle name="Salida 40 14" xfId="27259" xr:uid="{00000000-0005-0000-0000-00009D6A0000}"/>
    <cellStyle name="Salida 40 15" xfId="27260" xr:uid="{00000000-0005-0000-0000-00009E6A0000}"/>
    <cellStyle name="Salida 40 16" xfId="27261" xr:uid="{00000000-0005-0000-0000-00009F6A0000}"/>
    <cellStyle name="Salida 40 2" xfId="27262" xr:uid="{00000000-0005-0000-0000-0000A06A0000}"/>
    <cellStyle name="Salida 40 3" xfId="27263" xr:uid="{00000000-0005-0000-0000-0000A16A0000}"/>
    <cellStyle name="Salida 40 4" xfId="27264" xr:uid="{00000000-0005-0000-0000-0000A26A0000}"/>
    <cellStyle name="Salida 40 5" xfId="27265" xr:uid="{00000000-0005-0000-0000-0000A36A0000}"/>
    <cellStyle name="Salida 40 6" xfId="27266" xr:uid="{00000000-0005-0000-0000-0000A46A0000}"/>
    <cellStyle name="Salida 40 7" xfId="27267" xr:uid="{00000000-0005-0000-0000-0000A56A0000}"/>
    <cellStyle name="Salida 40 8" xfId="27268" xr:uid="{00000000-0005-0000-0000-0000A66A0000}"/>
    <cellStyle name="Salida 40 9" xfId="27269" xr:uid="{00000000-0005-0000-0000-0000A76A0000}"/>
    <cellStyle name="Salida 41" xfId="27270" xr:uid="{00000000-0005-0000-0000-0000A86A0000}"/>
    <cellStyle name="Salida 41 10" xfId="27271" xr:uid="{00000000-0005-0000-0000-0000A96A0000}"/>
    <cellStyle name="Salida 41 11" xfId="27272" xr:uid="{00000000-0005-0000-0000-0000AA6A0000}"/>
    <cellStyle name="Salida 41 12" xfId="27273" xr:uid="{00000000-0005-0000-0000-0000AB6A0000}"/>
    <cellStyle name="Salida 41 13" xfId="27274" xr:uid="{00000000-0005-0000-0000-0000AC6A0000}"/>
    <cellStyle name="Salida 41 14" xfId="27275" xr:uid="{00000000-0005-0000-0000-0000AD6A0000}"/>
    <cellStyle name="Salida 41 15" xfId="27276" xr:uid="{00000000-0005-0000-0000-0000AE6A0000}"/>
    <cellStyle name="Salida 41 16" xfId="27277" xr:uid="{00000000-0005-0000-0000-0000AF6A0000}"/>
    <cellStyle name="Salida 41 2" xfId="27278" xr:uid="{00000000-0005-0000-0000-0000B06A0000}"/>
    <cellStyle name="Salida 41 3" xfId="27279" xr:uid="{00000000-0005-0000-0000-0000B16A0000}"/>
    <cellStyle name="Salida 41 4" xfId="27280" xr:uid="{00000000-0005-0000-0000-0000B26A0000}"/>
    <cellStyle name="Salida 41 5" xfId="27281" xr:uid="{00000000-0005-0000-0000-0000B36A0000}"/>
    <cellStyle name="Salida 41 6" xfId="27282" xr:uid="{00000000-0005-0000-0000-0000B46A0000}"/>
    <cellStyle name="Salida 41 7" xfId="27283" xr:uid="{00000000-0005-0000-0000-0000B56A0000}"/>
    <cellStyle name="Salida 41 8" xfId="27284" xr:uid="{00000000-0005-0000-0000-0000B66A0000}"/>
    <cellStyle name="Salida 41 9" xfId="27285" xr:uid="{00000000-0005-0000-0000-0000B76A0000}"/>
    <cellStyle name="Salida 42" xfId="27286" xr:uid="{00000000-0005-0000-0000-0000B86A0000}"/>
    <cellStyle name="Salida 43" xfId="27287" xr:uid="{00000000-0005-0000-0000-0000B96A0000}"/>
    <cellStyle name="Salida 44" xfId="27288" xr:uid="{00000000-0005-0000-0000-0000BA6A0000}"/>
    <cellStyle name="Salida 45" xfId="27289" xr:uid="{00000000-0005-0000-0000-0000BB6A0000}"/>
    <cellStyle name="Salida 46" xfId="27290" xr:uid="{00000000-0005-0000-0000-0000BC6A0000}"/>
    <cellStyle name="Salida 47" xfId="27291" xr:uid="{00000000-0005-0000-0000-0000BD6A0000}"/>
    <cellStyle name="Salida 48" xfId="27292" xr:uid="{00000000-0005-0000-0000-0000BE6A0000}"/>
    <cellStyle name="Salida 49" xfId="27293" xr:uid="{00000000-0005-0000-0000-0000BF6A0000}"/>
    <cellStyle name="Salida 5 10" xfId="27294" xr:uid="{00000000-0005-0000-0000-0000C06A0000}"/>
    <cellStyle name="Salida 5 11" xfId="27295" xr:uid="{00000000-0005-0000-0000-0000C16A0000}"/>
    <cellStyle name="Salida 5 12" xfId="27296" xr:uid="{00000000-0005-0000-0000-0000C26A0000}"/>
    <cellStyle name="Salida 5 13" xfId="27297" xr:uid="{00000000-0005-0000-0000-0000C36A0000}"/>
    <cellStyle name="Salida 5 14" xfId="27298" xr:uid="{00000000-0005-0000-0000-0000C46A0000}"/>
    <cellStyle name="Salida 5 15" xfId="27299" xr:uid="{00000000-0005-0000-0000-0000C56A0000}"/>
    <cellStyle name="Salida 5 16" xfId="27300" xr:uid="{00000000-0005-0000-0000-0000C66A0000}"/>
    <cellStyle name="Salida 5 17" xfId="27301" xr:uid="{00000000-0005-0000-0000-0000C76A0000}"/>
    <cellStyle name="Salida 5 18" xfId="27302" xr:uid="{00000000-0005-0000-0000-0000C86A0000}"/>
    <cellStyle name="Salida 5 19" xfId="27303" xr:uid="{00000000-0005-0000-0000-0000C96A0000}"/>
    <cellStyle name="Salida 5 2" xfId="27304" xr:uid="{00000000-0005-0000-0000-0000CA6A0000}"/>
    <cellStyle name="Salida 5 2 2" xfId="27305" xr:uid="{00000000-0005-0000-0000-0000CB6A0000}"/>
    <cellStyle name="Salida 5 3" xfId="27306" xr:uid="{00000000-0005-0000-0000-0000CC6A0000}"/>
    <cellStyle name="Salida 5 3 2" xfId="27307" xr:uid="{00000000-0005-0000-0000-0000CD6A0000}"/>
    <cellStyle name="Salida 5 4" xfId="27308" xr:uid="{00000000-0005-0000-0000-0000CE6A0000}"/>
    <cellStyle name="Salida 5 4 2" xfId="27309" xr:uid="{00000000-0005-0000-0000-0000CF6A0000}"/>
    <cellStyle name="Salida 5 5" xfId="27310" xr:uid="{00000000-0005-0000-0000-0000D06A0000}"/>
    <cellStyle name="Salida 5 6" xfId="27311" xr:uid="{00000000-0005-0000-0000-0000D16A0000}"/>
    <cellStyle name="Salida 5 7" xfId="27312" xr:uid="{00000000-0005-0000-0000-0000D26A0000}"/>
    <cellStyle name="Salida 5 8" xfId="27313" xr:uid="{00000000-0005-0000-0000-0000D36A0000}"/>
    <cellStyle name="Salida 5 9" xfId="27314" xr:uid="{00000000-0005-0000-0000-0000D46A0000}"/>
    <cellStyle name="Salida 50" xfId="27315" xr:uid="{00000000-0005-0000-0000-0000D56A0000}"/>
    <cellStyle name="Salida 51" xfId="27316" xr:uid="{00000000-0005-0000-0000-0000D66A0000}"/>
    <cellStyle name="Salida 52" xfId="27317" xr:uid="{00000000-0005-0000-0000-0000D76A0000}"/>
    <cellStyle name="Salida 53" xfId="27318" xr:uid="{00000000-0005-0000-0000-0000D86A0000}"/>
    <cellStyle name="Salida 54" xfId="27319" xr:uid="{00000000-0005-0000-0000-0000D96A0000}"/>
    <cellStyle name="Salida 55" xfId="27320" xr:uid="{00000000-0005-0000-0000-0000DA6A0000}"/>
    <cellStyle name="Salida 56" xfId="27321" xr:uid="{00000000-0005-0000-0000-0000DB6A0000}"/>
    <cellStyle name="Salida 57" xfId="27322" xr:uid="{00000000-0005-0000-0000-0000DC6A0000}"/>
    <cellStyle name="Salida 58" xfId="27323" xr:uid="{00000000-0005-0000-0000-0000DD6A0000}"/>
    <cellStyle name="Salida 59" xfId="27324" xr:uid="{00000000-0005-0000-0000-0000DE6A0000}"/>
    <cellStyle name="Salida 6 10" xfId="27325" xr:uid="{00000000-0005-0000-0000-0000DF6A0000}"/>
    <cellStyle name="Salida 6 11" xfId="27326" xr:uid="{00000000-0005-0000-0000-0000E06A0000}"/>
    <cellStyle name="Salida 6 12" xfId="27327" xr:uid="{00000000-0005-0000-0000-0000E16A0000}"/>
    <cellStyle name="Salida 6 13" xfId="27328" xr:uid="{00000000-0005-0000-0000-0000E26A0000}"/>
    <cellStyle name="Salida 6 14" xfId="27329" xr:uid="{00000000-0005-0000-0000-0000E36A0000}"/>
    <cellStyle name="Salida 6 15" xfId="27330" xr:uid="{00000000-0005-0000-0000-0000E46A0000}"/>
    <cellStyle name="Salida 6 16" xfId="27331" xr:uid="{00000000-0005-0000-0000-0000E56A0000}"/>
    <cellStyle name="Salida 6 17" xfId="27332" xr:uid="{00000000-0005-0000-0000-0000E66A0000}"/>
    <cellStyle name="Salida 6 18" xfId="27333" xr:uid="{00000000-0005-0000-0000-0000E76A0000}"/>
    <cellStyle name="Salida 6 19" xfId="27334" xr:uid="{00000000-0005-0000-0000-0000E86A0000}"/>
    <cellStyle name="Salida 6 2" xfId="27335" xr:uid="{00000000-0005-0000-0000-0000E96A0000}"/>
    <cellStyle name="Salida 6 2 2" xfId="27336" xr:uid="{00000000-0005-0000-0000-0000EA6A0000}"/>
    <cellStyle name="Salida 6 3" xfId="27337" xr:uid="{00000000-0005-0000-0000-0000EB6A0000}"/>
    <cellStyle name="Salida 6 3 2" xfId="27338" xr:uid="{00000000-0005-0000-0000-0000EC6A0000}"/>
    <cellStyle name="Salida 6 4" xfId="27339" xr:uid="{00000000-0005-0000-0000-0000ED6A0000}"/>
    <cellStyle name="Salida 6 4 2" xfId="27340" xr:uid="{00000000-0005-0000-0000-0000EE6A0000}"/>
    <cellStyle name="Salida 6 5" xfId="27341" xr:uid="{00000000-0005-0000-0000-0000EF6A0000}"/>
    <cellStyle name="Salida 6 6" xfId="27342" xr:uid="{00000000-0005-0000-0000-0000F06A0000}"/>
    <cellStyle name="Salida 6 7" xfId="27343" xr:uid="{00000000-0005-0000-0000-0000F16A0000}"/>
    <cellStyle name="Salida 6 8" xfId="27344" xr:uid="{00000000-0005-0000-0000-0000F26A0000}"/>
    <cellStyle name="Salida 6 9" xfId="27345" xr:uid="{00000000-0005-0000-0000-0000F36A0000}"/>
    <cellStyle name="Salida 60" xfId="27346" xr:uid="{00000000-0005-0000-0000-0000F46A0000}"/>
    <cellStyle name="Salida 61" xfId="27347" xr:uid="{00000000-0005-0000-0000-0000F56A0000}"/>
    <cellStyle name="Salida 62" xfId="27348" xr:uid="{00000000-0005-0000-0000-0000F66A0000}"/>
    <cellStyle name="Salida 63" xfId="27349" xr:uid="{00000000-0005-0000-0000-0000F76A0000}"/>
    <cellStyle name="Salida 64" xfId="27350" xr:uid="{00000000-0005-0000-0000-0000F86A0000}"/>
    <cellStyle name="Salida 7 10" xfId="27351" xr:uid="{00000000-0005-0000-0000-0000F96A0000}"/>
    <cellStyle name="Salida 7 11" xfId="27352" xr:uid="{00000000-0005-0000-0000-0000FA6A0000}"/>
    <cellStyle name="Salida 7 12" xfId="27353" xr:uid="{00000000-0005-0000-0000-0000FB6A0000}"/>
    <cellStyle name="Salida 7 13" xfId="27354" xr:uid="{00000000-0005-0000-0000-0000FC6A0000}"/>
    <cellStyle name="Salida 7 14" xfId="27355" xr:uid="{00000000-0005-0000-0000-0000FD6A0000}"/>
    <cellStyle name="Salida 7 15" xfId="27356" xr:uid="{00000000-0005-0000-0000-0000FE6A0000}"/>
    <cellStyle name="Salida 7 16" xfId="27357" xr:uid="{00000000-0005-0000-0000-0000FF6A0000}"/>
    <cellStyle name="Salida 7 17" xfId="27358" xr:uid="{00000000-0005-0000-0000-0000006B0000}"/>
    <cellStyle name="Salida 7 18" xfId="27359" xr:uid="{00000000-0005-0000-0000-0000016B0000}"/>
    <cellStyle name="Salida 7 19" xfId="27360" xr:uid="{00000000-0005-0000-0000-0000026B0000}"/>
    <cellStyle name="Salida 7 2" xfId="27361" xr:uid="{00000000-0005-0000-0000-0000036B0000}"/>
    <cellStyle name="Salida 7 2 2" xfId="27362" xr:uid="{00000000-0005-0000-0000-0000046B0000}"/>
    <cellStyle name="Salida 7 3" xfId="27363" xr:uid="{00000000-0005-0000-0000-0000056B0000}"/>
    <cellStyle name="Salida 7 3 2" xfId="27364" xr:uid="{00000000-0005-0000-0000-0000066B0000}"/>
    <cellStyle name="Salida 7 4" xfId="27365" xr:uid="{00000000-0005-0000-0000-0000076B0000}"/>
    <cellStyle name="Salida 7 4 2" xfId="27366" xr:uid="{00000000-0005-0000-0000-0000086B0000}"/>
    <cellStyle name="Salida 7 5" xfId="27367" xr:uid="{00000000-0005-0000-0000-0000096B0000}"/>
    <cellStyle name="Salida 7 6" xfId="27368" xr:uid="{00000000-0005-0000-0000-00000A6B0000}"/>
    <cellStyle name="Salida 7 7" xfId="27369" xr:uid="{00000000-0005-0000-0000-00000B6B0000}"/>
    <cellStyle name="Salida 7 8" xfId="27370" xr:uid="{00000000-0005-0000-0000-00000C6B0000}"/>
    <cellStyle name="Salida 7 9" xfId="27371" xr:uid="{00000000-0005-0000-0000-00000D6B0000}"/>
    <cellStyle name="Salida 8 10" xfId="27372" xr:uid="{00000000-0005-0000-0000-00000E6B0000}"/>
    <cellStyle name="Salida 8 11" xfId="27373" xr:uid="{00000000-0005-0000-0000-00000F6B0000}"/>
    <cellStyle name="Salida 8 12" xfId="27374" xr:uid="{00000000-0005-0000-0000-0000106B0000}"/>
    <cellStyle name="Salida 8 13" xfId="27375" xr:uid="{00000000-0005-0000-0000-0000116B0000}"/>
    <cellStyle name="Salida 8 14" xfId="27376" xr:uid="{00000000-0005-0000-0000-0000126B0000}"/>
    <cellStyle name="Salida 8 15" xfId="27377" xr:uid="{00000000-0005-0000-0000-0000136B0000}"/>
    <cellStyle name="Salida 8 16" xfId="27378" xr:uid="{00000000-0005-0000-0000-0000146B0000}"/>
    <cellStyle name="Salida 8 17" xfId="27379" xr:uid="{00000000-0005-0000-0000-0000156B0000}"/>
    <cellStyle name="Salida 8 18" xfId="27380" xr:uid="{00000000-0005-0000-0000-0000166B0000}"/>
    <cellStyle name="Salida 8 19" xfId="27381" xr:uid="{00000000-0005-0000-0000-0000176B0000}"/>
    <cellStyle name="Salida 8 2" xfId="27382" xr:uid="{00000000-0005-0000-0000-0000186B0000}"/>
    <cellStyle name="Salida 8 2 2" xfId="27383" xr:uid="{00000000-0005-0000-0000-0000196B0000}"/>
    <cellStyle name="Salida 8 3" xfId="27384" xr:uid="{00000000-0005-0000-0000-00001A6B0000}"/>
    <cellStyle name="Salida 8 3 2" xfId="27385" xr:uid="{00000000-0005-0000-0000-00001B6B0000}"/>
    <cellStyle name="Salida 8 4" xfId="27386" xr:uid="{00000000-0005-0000-0000-00001C6B0000}"/>
    <cellStyle name="Salida 8 4 2" xfId="27387" xr:uid="{00000000-0005-0000-0000-00001D6B0000}"/>
    <cellStyle name="Salida 8 5" xfId="27388" xr:uid="{00000000-0005-0000-0000-00001E6B0000}"/>
    <cellStyle name="Salida 8 6" xfId="27389" xr:uid="{00000000-0005-0000-0000-00001F6B0000}"/>
    <cellStyle name="Salida 8 7" xfId="27390" xr:uid="{00000000-0005-0000-0000-0000206B0000}"/>
    <cellStyle name="Salida 8 8" xfId="27391" xr:uid="{00000000-0005-0000-0000-0000216B0000}"/>
    <cellStyle name="Salida 8 9" xfId="27392" xr:uid="{00000000-0005-0000-0000-0000226B0000}"/>
    <cellStyle name="Salida 9 10" xfId="27393" xr:uid="{00000000-0005-0000-0000-0000236B0000}"/>
    <cellStyle name="Salida 9 11" xfId="27394" xr:uid="{00000000-0005-0000-0000-0000246B0000}"/>
    <cellStyle name="Salida 9 12" xfId="27395" xr:uid="{00000000-0005-0000-0000-0000256B0000}"/>
    <cellStyle name="Salida 9 13" xfId="27396" xr:uid="{00000000-0005-0000-0000-0000266B0000}"/>
    <cellStyle name="Salida 9 14" xfId="27397" xr:uid="{00000000-0005-0000-0000-0000276B0000}"/>
    <cellStyle name="Salida 9 15" xfId="27398" xr:uid="{00000000-0005-0000-0000-0000286B0000}"/>
    <cellStyle name="Salida 9 16" xfId="27399" xr:uid="{00000000-0005-0000-0000-0000296B0000}"/>
    <cellStyle name="Salida 9 17" xfId="27400" xr:uid="{00000000-0005-0000-0000-00002A6B0000}"/>
    <cellStyle name="Salida 9 18" xfId="27401" xr:uid="{00000000-0005-0000-0000-00002B6B0000}"/>
    <cellStyle name="Salida 9 19" xfId="27402" xr:uid="{00000000-0005-0000-0000-00002C6B0000}"/>
    <cellStyle name="Salida 9 2" xfId="27403" xr:uid="{00000000-0005-0000-0000-00002D6B0000}"/>
    <cellStyle name="Salida 9 2 2" xfId="27404" xr:uid="{00000000-0005-0000-0000-00002E6B0000}"/>
    <cellStyle name="Salida 9 3" xfId="27405" xr:uid="{00000000-0005-0000-0000-00002F6B0000}"/>
    <cellStyle name="Salida 9 3 2" xfId="27406" xr:uid="{00000000-0005-0000-0000-0000306B0000}"/>
    <cellStyle name="Salida 9 4" xfId="27407" xr:uid="{00000000-0005-0000-0000-0000316B0000}"/>
    <cellStyle name="Salida 9 4 2" xfId="27408" xr:uid="{00000000-0005-0000-0000-0000326B0000}"/>
    <cellStyle name="Salida 9 5" xfId="27409" xr:uid="{00000000-0005-0000-0000-0000336B0000}"/>
    <cellStyle name="Salida 9 6" xfId="27410" xr:uid="{00000000-0005-0000-0000-0000346B0000}"/>
    <cellStyle name="Salida 9 7" xfId="27411" xr:uid="{00000000-0005-0000-0000-0000356B0000}"/>
    <cellStyle name="Salida 9 8" xfId="27412" xr:uid="{00000000-0005-0000-0000-0000366B0000}"/>
    <cellStyle name="Salida 9 9" xfId="27413" xr:uid="{00000000-0005-0000-0000-0000376B0000}"/>
    <cellStyle name="Texto de advertencia" xfId="32525" builtinId="11" customBuiltin="1"/>
    <cellStyle name="Texto de advertencia 10 10" xfId="27414" xr:uid="{00000000-0005-0000-0000-0000396B0000}"/>
    <cellStyle name="Texto de advertencia 10 11" xfId="27415" xr:uid="{00000000-0005-0000-0000-00003A6B0000}"/>
    <cellStyle name="Texto de advertencia 10 12" xfId="27416" xr:uid="{00000000-0005-0000-0000-00003B6B0000}"/>
    <cellStyle name="Texto de advertencia 10 13" xfId="27417" xr:uid="{00000000-0005-0000-0000-00003C6B0000}"/>
    <cellStyle name="Texto de advertencia 10 14" xfId="27418" xr:uid="{00000000-0005-0000-0000-00003D6B0000}"/>
    <cellStyle name="Texto de advertencia 10 15" xfId="27419" xr:uid="{00000000-0005-0000-0000-00003E6B0000}"/>
    <cellStyle name="Texto de advertencia 10 16" xfId="27420" xr:uid="{00000000-0005-0000-0000-00003F6B0000}"/>
    <cellStyle name="Texto de advertencia 10 17" xfId="27421" xr:uid="{00000000-0005-0000-0000-0000406B0000}"/>
    <cellStyle name="Texto de advertencia 10 18" xfId="27422" xr:uid="{00000000-0005-0000-0000-0000416B0000}"/>
    <cellStyle name="Texto de advertencia 10 19" xfId="27423" xr:uid="{00000000-0005-0000-0000-0000426B0000}"/>
    <cellStyle name="Texto de advertencia 10 2" xfId="27424" xr:uid="{00000000-0005-0000-0000-0000436B0000}"/>
    <cellStyle name="Texto de advertencia 10 2 2" xfId="27425" xr:uid="{00000000-0005-0000-0000-0000446B0000}"/>
    <cellStyle name="Texto de advertencia 10 3" xfId="27426" xr:uid="{00000000-0005-0000-0000-0000456B0000}"/>
    <cellStyle name="Texto de advertencia 10 3 2" xfId="27427" xr:uid="{00000000-0005-0000-0000-0000466B0000}"/>
    <cellStyle name="Texto de advertencia 10 4" xfId="27428" xr:uid="{00000000-0005-0000-0000-0000476B0000}"/>
    <cellStyle name="Texto de advertencia 10 4 2" xfId="27429" xr:uid="{00000000-0005-0000-0000-0000486B0000}"/>
    <cellStyle name="Texto de advertencia 10 5" xfId="27430" xr:uid="{00000000-0005-0000-0000-0000496B0000}"/>
    <cellStyle name="Texto de advertencia 10 6" xfId="27431" xr:uid="{00000000-0005-0000-0000-00004A6B0000}"/>
    <cellStyle name="Texto de advertencia 10 7" xfId="27432" xr:uid="{00000000-0005-0000-0000-00004B6B0000}"/>
    <cellStyle name="Texto de advertencia 10 8" xfId="27433" xr:uid="{00000000-0005-0000-0000-00004C6B0000}"/>
    <cellStyle name="Texto de advertencia 10 9" xfId="27434" xr:uid="{00000000-0005-0000-0000-00004D6B0000}"/>
    <cellStyle name="Texto de advertencia 11 10" xfId="27435" xr:uid="{00000000-0005-0000-0000-00004E6B0000}"/>
    <cellStyle name="Texto de advertencia 11 11" xfId="27436" xr:uid="{00000000-0005-0000-0000-00004F6B0000}"/>
    <cellStyle name="Texto de advertencia 11 12" xfId="27437" xr:uid="{00000000-0005-0000-0000-0000506B0000}"/>
    <cellStyle name="Texto de advertencia 11 13" xfId="27438" xr:uid="{00000000-0005-0000-0000-0000516B0000}"/>
    <cellStyle name="Texto de advertencia 11 14" xfId="27439" xr:uid="{00000000-0005-0000-0000-0000526B0000}"/>
    <cellStyle name="Texto de advertencia 11 15" xfId="27440" xr:uid="{00000000-0005-0000-0000-0000536B0000}"/>
    <cellStyle name="Texto de advertencia 11 16" xfId="27441" xr:uid="{00000000-0005-0000-0000-0000546B0000}"/>
    <cellStyle name="Texto de advertencia 11 17" xfId="27442" xr:uid="{00000000-0005-0000-0000-0000556B0000}"/>
    <cellStyle name="Texto de advertencia 11 18" xfId="27443" xr:uid="{00000000-0005-0000-0000-0000566B0000}"/>
    <cellStyle name="Texto de advertencia 11 19" xfId="27444" xr:uid="{00000000-0005-0000-0000-0000576B0000}"/>
    <cellStyle name="Texto de advertencia 11 2" xfId="27445" xr:uid="{00000000-0005-0000-0000-0000586B0000}"/>
    <cellStyle name="Texto de advertencia 11 2 2" xfId="27446" xr:uid="{00000000-0005-0000-0000-0000596B0000}"/>
    <cellStyle name="Texto de advertencia 11 3" xfId="27447" xr:uid="{00000000-0005-0000-0000-00005A6B0000}"/>
    <cellStyle name="Texto de advertencia 11 3 2" xfId="27448" xr:uid="{00000000-0005-0000-0000-00005B6B0000}"/>
    <cellStyle name="Texto de advertencia 11 4" xfId="27449" xr:uid="{00000000-0005-0000-0000-00005C6B0000}"/>
    <cellStyle name="Texto de advertencia 11 4 2" xfId="27450" xr:uid="{00000000-0005-0000-0000-00005D6B0000}"/>
    <cellStyle name="Texto de advertencia 11 5" xfId="27451" xr:uid="{00000000-0005-0000-0000-00005E6B0000}"/>
    <cellStyle name="Texto de advertencia 11 6" xfId="27452" xr:uid="{00000000-0005-0000-0000-00005F6B0000}"/>
    <cellStyle name="Texto de advertencia 11 7" xfId="27453" xr:uid="{00000000-0005-0000-0000-0000606B0000}"/>
    <cellStyle name="Texto de advertencia 11 8" xfId="27454" xr:uid="{00000000-0005-0000-0000-0000616B0000}"/>
    <cellStyle name="Texto de advertencia 11 9" xfId="27455" xr:uid="{00000000-0005-0000-0000-0000626B0000}"/>
    <cellStyle name="Texto de advertencia 12 10" xfId="27456" xr:uid="{00000000-0005-0000-0000-0000636B0000}"/>
    <cellStyle name="Texto de advertencia 12 11" xfId="27457" xr:uid="{00000000-0005-0000-0000-0000646B0000}"/>
    <cellStyle name="Texto de advertencia 12 12" xfId="27458" xr:uid="{00000000-0005-0000-0000-0000656B0000}"/>
    <cellStyle name="Texto de advertencia 12 13" xfId="27459" xr:uid="{00000000-0005-0000-0000-0000666B0000}"/>
    <cellStyle name="Texto de advertencia 12 14" xfId="27460" xr:uid="{00000000-0005-0000-0000-0000676B0000}"/>
    <cellStyle name="Texto de advertencia 12 15" xfId="27461" xr:uid="{00000000-0005-0000-0000-0000686B0000}"/>
    <cellStyle name="Texto de advertencia 12 16" xfId="27462" xr:uid="{00000000-0005-0000-0000-0000696B0000}"/>
    <cellStyle name="Texto de advertencia 12 17" xfId="27463" xr:uid="{00000000-0005-0000-0000-00006A6B0000}"/>
    <cellStyle name="Texto de advertencia 12 18" xfId="27464" xr:uid="{00000000-0005-0000-0000-00006B6B0000}"/>
    <cellStyle name="Texto de advertencia 12 19" xfId="27465" xr:uid="{00000000-0005-0000-0000-00006C6B0000}"/>
    <cellStyle name="Texto de advertencia 12 2" xfId="27466" xr:uid="{00000000-0005-0000-0000-00006D6B0000}"/>
    <cellStyle name="Texto de advertencia 12 2 2" xfId="27467" xr:uid="{00000000-0005-0000-0000-00006E6B0000}"/>
    <cellStyle name="Texto de advertencia 12 3" xfId="27468" xr:uid="{00000000-0005-0000-0000-00006F6B0000}"/>
    <cellStyle name="Texto de advertencia 12 3 2" xfId="27469" xr:uid="{00000000-0005-0000-0000-0000706B0000}"/>
    <cellStyle name="Texto de advertencia 12 4" xfId="27470" xr:uid="{00000000-0005-0000-0000-0000716B0000}"/>
    <cellStyle name="Texto de advertencia 12 4 2" xfId="27471" xr:uid="{00000000-0005-0000-0000-0000726B0000}"/>
    <cellStyle name="Texto de advertencia 12 5" xfId="27472" xr:uid="{00000000-0005-0000-0000-0000736B0000}"/>
    <cellStyle name="Texto de advertencia 12 6" xfId="27473" xr:uid="{00000000-0005-0000-0000-0000746B0000}"/>
    <cellStyle name="Texto de advertencia 12 7" xfId="27474" xr:uid="{00000000-0005-0000-0000-0000756B0000}"/>
    <cellStyle name="Texto de advertencia 12 8" xfId="27475" xr:uid="{00000000-0005-0000-0000-0000766B0000}"/>
    <cellStyle name="Texto de advertencia 12 9" xfId="27476" xr:uid="{00000000-0005-0000-0000-0000776B0000}"/>
    <cellStyle name="Texto de advertencia 13 10" xfId="27477" xr:uid="{00000000-0005-0000-0000-0000786B0000}"/>
    <cellStyle name="Texto de advertencia 13 11" xfId="27478" xr:uid="{00000000-0005-0000-0000-0000796B0000}"/>
    <cellStyle name="Texto de advertencia 13 12" xfId="27479" xr:uid="{00000000-0005-0000-0000-00007A6B0000}"/>
    <cellStyle name="Texto de advertencia 13 13" xfId="27480" xr:uid="{00000000-0005-0000-0000-00007B6B0000}"/>
    <cellStyle name="Texto de advertencia 13 14" xfId="27481" xr:uid="{00000000-0005-0000-0000-00007C6B0000}"/>
    <cellStyle name="Texto de advertencia 13 15" xfId="27482" xr:uid="{00000000-0005-0000-0000-00007D6B0000}"/>
    <cellStyle name="Texto de advertencia 13 16" xfId="27483" xr:uid="{00000000-0005-0000-0000-00007E6B0000}"/>
    <cellStyle name="Texto de advertencia 13 17" xfId="27484" xr:uid="{00000000-0005-0000-0000-00007F6B0000}"/>
    <cellStyle name="Texto de advertencia 13 18" xfId="27485" xr:uid="{00000000-0005-0000-0000-0000806B0000}"/>
    <cellStyle name="Texto de advertencia 13 19" xfId="27486" xr:uid="{00000000-0005-0000-0000-0000816B0000}"/>
    <cellStyle name="Texto de advertencia 13 2" xfId="27487" xr:uid="{00000000-0005-0000-0000-0000826B0000}"/>
    <cellStyle name="Texto de advertencia 13 2 2" xfId="27488" xr:uid="{00000000-0005-0000-0000-0000836B0000}"/>
    <cellStyle name="Texto de advertencia 13 3" xfId="27489" xr:uid="{00000000-0005-0000-0000-0000846B0000}"/>
    <cellStyle name="Texto de advertencia 13 3 2" xfId="27490" xr:uid="{00000000-0005-0000-0000-0000856B0000}"/>
    <cellStyle name="Texto de advertencia 13 4" xfId="27491" xr:uid="{00000000-0005-0000-0000-0000866B0000}"/>
    <cellStyle name="Texto de advertencia 13 4 2" xfId="27492" xr:uid="{00000000-0005-0000-0000-0000876B0000}"/>
    <cellStyle name="Texto de advertencia 13 5" xfId="27493" xr:uid="{00000000-0005-0000-0000-0000886B0000}"/>
    <cellStyle name="Texto de advertencia 13 6" xfId="27494" xr:uid="{00000000-0005-0000-0000-0000896B0000}"/>
    <cellStyle name="Texto de advertencia 13 7" xfId="27495" xr:uid="{00000000-0005-0000-0000-00008A6B0000}"/>
    <cellStyle name="Texto de advertencia 13 8" xfId="27496" xr:uid="{00000000-0005-0000-0000-00008B6B0000}"/>
    <cellStyle name="Texto de advertencia 13 9" xfId="27497" xr:uid="{00000000-0005-0000-0000-00008C6B0000}"/>
    <cellStyle name="Texto de advertencia 14 10" xfId="27498" xr:uid="{00000000-0005-0000-0000-00008D6B0000}"/>
    <cellStyle name="Texto de advertencia 14 11" xfId="27499" xr:uid="{00000000-0005-0000-0000-00008E6B0000}"/>
    <cellStyle name="Texto de advertencia 14 12" xfId="27500" xr:uid="{00000000-0005-0000-0000-00008F6B0000}"/>
    <cellStyle name="Texto de advertencia 14 13" xfId="27501" xr:uid="{00000000-0005-0000-0000-0000906B0000}"/>
    <cellStyle name="Texto de advertencia 14 14" xfId="27502" xr:uid="{00000000-0005-0000-0000-0000916B0000}"/>
    <cellStyle name="Texto de advertencia 14 15" xfId="27503" xr:uid="{00000000-0005-0000-0000-0000926B0000}"/>
    <cellStyle name="Texto de advertencia 14 16" xfId="27504" xr:uid="{00000000-0005-0000-0000-0000936B0000}"/>
    <cellStyle name="Texto de advertencia 14 17" xfId="27505" xr:uid="{00000000-0005-0000-0000-0000946B0000}"/>
    <cellStyle name="Texto de advertencia 14 18" xfId="27506" xr:uid="{00000000-0005-0000-0000-0000956B0000}"/>
    <cellStyle name="Texto de advertencia 14 19" xfId="27507" xr:uid="{00000000-0005-0000-0000-0000966B0000}"/>
    <cellStyle name="Texto de advertencia 14 2" xfId="27508" xr:uid="{00000000-0005-0000-0000-0000976B0000}"/>
    <cellStyle name="Texto de advertencia 14 2 2" xfId="27509" xr:uid="{00000000-0005-0000-0000-0000986B0000}"/>
    <cellStyle name="Texto de advertencia 14 3" xfId="27510" xr:uid="{00000000-0005-0000-0000-0000996B0000}"/>
    <cellStyle name="Texto de advertencia 14 3 2" xfId="27511" xr:uid="{00000000-0005-0000-0000-00009A6B0000}"/>
    <cellStyle name="Texto de advertencia 14 4" xfId="27512" xr:uid="{00000000-0005-0000-0000-00009B6B0000}"/>
    <cellStyle name="Texto de advertencia 14 4 2" xfId="27513" xr:uid="{00000000-0005-0000-0000-00009C6B0000}"/>
    <cellStyle name="Texto de advertencia 14 5" xfId="27514" xr:uid="{00000000-0005-0000-0000-00009D6B0000}"/>
    <cellStyle name="Texto de advertencia 14 6" xfId="27515" xr:uid="{00000000-0005-0000-0000-00009E6B0000}"/>
    <cellStyle name="Texto de advertencia 14 7" xfId="27516" xr:uid="{00000000-0005-0000-0000-00009F6B0000}"/>
    <cellStyle name="Texto de advertencia 14 8" xfId="27517" xr:uid="{00000000-0005-0000-0000-0000A06B0000}"/>
    <cellStyle name="Texto de advertencia 14 9" xfId="27518" xr:uid="{00000000-0005-0000-0000-0000A16B0000}"/>
    <cellStyle name="Texto de advertencia 15 10" xfId="27519" xr:uid="{00000000-0005-0000-0000-0000A26B0000}"/>
    <cellStyle name="Texto de advertencia 15 11" xfId="27520" xr:uid="{00000000-0005-0000-0000-0000A36B0000}"/>
    <cellStyle name="Texto de advertencia 15 12" xfId="27521" xr:uid="{00000000-0005-0000-0000-0000A46B0000}"/>
    <cellStyle name="Texto de advertencia 15 13" xfId="27522" xr:uid="{00000000-0005-0000-0000-0000A56B0000}"/>
    <cellStyle name="Texto de advertencia 15 14" xfId="27523" xr:uid="{00000000-0005-0000-0000-0000A66B0000}"/>
    <cellStyle name="Texto de advertencia 15 15" xfId="27524" xr:uid="{00000000-0005-0000-0000-0000A76B0000}"/>
    <cellStyle name="Texto de advertencia 15 16" xfId="27525" xr:uid="{00000000-0005-0000-0000-0000A86B0000}"/>
    <cellStyle name="Texto de advertencia 15 17" xfId="27526" xr:uid="{00000000-0005-0000-0000-0000A96B0000}"/>
    <cellStyle name="Texto de advertencia 15 18" xfId="27527" xr:uid="{00000000-0005-0000-0000-0000AA6B0000}"/>
    <cellStyle name="Texto de advertencia 15 19" xfId="27528" xr:uid="{00000000-0005-0000-0000-0000AB6B0000}"/>
    <cellStyle name="Texto de advertencia 15 2" xfId="27529" xr:uid="{00000000-0005-0000-0000-0000AC6B0000}"/>
    <cellStyle name="Texto de advertencia 15 2 2" xfId="27530" xr:uid="{00000000-0005-0000-0000-0000AD6B0000}"/>
    <cellStyle name="Texto de advertencia 15 3" xfId="27531" xr:uid="{00000000-0005-0000-0000-0000AE6B0000}"/>
    <cellStyle name="Texto de advertencia 15 3 2" xfId="27532" xr:uid="{00000000-0005-0000-0000-0000AF6B0000}"/>
    <cellStyle name="Texto de advertencia 15 4" xfId="27533" xr:uid="{00000000-0005-0000-0000-0000B06B0000}"/>
    <cellStyle name="Texto de advertencia 15 4 2" xfId="27534" xr:uid="{00000000-0005-0000-0000-0000B16B0000}"/>
    <cellStyle name="Texto de advertencia 15 5" xfId="27535" xr:uid="{00000000-0005-0000-0000-0000B26B0000}"/>
    <cellStyle name="Texto de advertencia 15 6" xfId="27536" xr:uid="{00000000-0005-0000-0000-0000B36B0000}"/>
    <cellStyle name="Texto de advertencia 15 7" xfId="27537" xr:uid="{00000000-0005-0000-0000-0000B46B0000}"/>
    <cellStyle name="Texto de advertencia 15 8" xfId="27538" xr:uid="{00000000-0005-0000-0000-0000B56B0000}"/>
    <cellStyle name="Texto de advertencia 15 9" xfId="27539" xr:uid="{00000000-0005-0000-0000-0000B66B0000}"/>
    <cellStyle name="Texto de advertencia 16 10" xfId="27540" xr:uid="{00000000-0005-0000-0000-0000B76B0000}"/>
    <cellStyle name="Texto de advertencia 16 11" xfId="27541" xr:uid="{00000000-0005-0000-0000-0000B86B0000}"/>
    <cellStyle name="Texto de advertencia 16 12" xfId="27542" xr:uid="{00000000-0005-0000-0000-0000B96B0000}"/>
    <cellStyle name="Texto de advertencia 16 13" xfId="27543" xr:uid="{00000000-0005-0000-0000-0000BA6B0000}"/>
    <cellStyle name="Texto de advertencia 16 14" xfId="27544" xr:uid="{00000000-0005-0000-0000-0000BB6B0000}"/>
    <cellStyle name="Texto de advertencia 16 15" xfId="27545" xr:uid="{00000000-0005-0000-0000-0000BC6B0000}"/>
    <cellStyle name="Texto de advertencia 16 16" xfId="27546" xr:uid="{00000000-0005-0000-0000-0000BD6B0000}"/>
    <cellStyle name="Texto de advertencia 16 17" xfId="27547" xr:uid="{00000000-0005-0000-0000-0000BE6B0000}"/>
    <cellStyle name="Texto de advertencia 16 18" xfId="27548" xr:uid="{00000000-0005-0000-0000-0000BF6B0000}"/>
    <cellStyle name="Texto de advertencia 16 19" xfId="27549" xr:uid="{00000000-0005-0000-0000-0000C06B0000}"/>
    <cellStyle name="Texto de advertencia 16 2" xfId="27550" xr:uid="{00000000-0005-0000-0000-0000C16B0000}"/>
    <cellStyle name="Texto de advertencia 16 2 2" xfId="27551" xr:uid="{00000000-0005-0000-0000-0000C26B0000}"/>
    <cellStyle name="Texto de advertencia 16 3" xfId="27552" xr:uid="{00000000-0005-0000-0000-0000C36B0000}"/>
    <cellStyle name="Texto de advertencia 16 3 2" xfId="27553" xr:uid="{00000000-0005-0000-0000-0000C46B0000}"/>
    <cellStyle name="Texto de advertencia 16 4" xfId="27554" xr:uid="{00000000-0005-0000-0000-0000C56B0000}"/>
    <cellStyle name="Texto de advertencia 16 4 2" xfId="27555" xr:uid="{00000000-0005-0000-0000-0000C66B0000}"/>
    <cellStyle name="Texto de advertencia 16 5" xfId="27556" xr:uid="{00000000-0005-0000-0000-0000C76B0000}"/>
    <cellStyle name="Texto de advertencia 16 6" xfId="27557" xr:uid="{00000000-0005-0000-0000-0000C86B0000}"/>
    <cellStyle name="Texto de advertencia 16 7" xfId="27558" xr:uid="{00000000-0005-0000-0000-0000C96B0000}"/>
    <cellStyle name="Texto de advertencia 16 8" xfId="27559" xr:uid="{00000000-0005-0000-0000-0000CA6B0000}"/>
    <cellStyle name="Texto de advertencia 16 9" xfId="27560" xr:uid="{00000000-0005-0000-0000-0000CB6B0000}"/>
    <cellStyle name="Texto de advertencia 17 10" xfId="27561" xr:uid="{00000000-0005-0000-0000-0000CC6B0000}"/>
    <cellStyle name="Texto de advertencia 17 11" xfId="27562" xr:uid="{00000000-0005-0000-0000-0000CD6B0000}"/>
    <cellStyle name="Texto de advertencia 17 12" xfId="27563" xr:uid="{00000000-0005-0000-0000-0000CE6B0000}"/>
    <cellStyle name="Texto de advertencia 17 13" xfId="27564" xr:uid="{00000000-0005-0000-0000-0000CF6B0000}"/>
    <cellStyle name="Texto de advertencia 17 14" xfId="27565" xr:uid="{00000000-0005-0000-0000-0000D06B0000}"/>
    <cellStyle name="Texto de advertencia 17 15" xfId="27566" xr:uid="{00000000-0005-0000-0000-0000D16B0000}"/>
    <cellStyle name="Texto de advertencia 17 16" xfId="27567" xr:uid="{00000000-0005-0000-0000-0000D26B0000}"/>
    <cellStyle name="Texto de advertencia 17 17" xfId="27568" xr:uid="{00000000-0005-0000-0000-0000D36B0000}"/>
    <cellStyle name="Texto de advertencia 17 18" xfId="27569" xr:uid="{00000000-0005-0000-0000-0000D46B0000}"/>
    <cellStyle name="Texto de advertencia 17 19" xfId="27570" xr:uid="{00000000-0005-0000-0000-0000D56B0000}"/>
    <cellStyle name="Texto de advertencia 17 2" xfId="27571" xr:uid="{00000000-0005-0000-0000-0000D66B0000}"/>
    <cellStyle name="Texto de advertencia 17 2 2" xfId="27572" xr:uid="{00000000-0005-0000-0000-0000D76B0000}"/>
    <cellStyle name="Texto de advertencia 17 3" xfId="27573" xr:uid="{00000000-0005-0000-0000-0000D86B0000}"/>
    <cellStyle name="Texto de advertencia 17 3 2" xfId="27574" xr:uid="{00000000-0005-0000-0000-0000D96B0000}"/>
    <cellStyle name="Texto de advertencia 17 4" xfId="27575" xr:uid="{00000000-0005-0000-0000-0000DA6B0000}"/>
    <cellStyle name="Texto de advertencia 17 4 2" xfId="27576" xr:uid="{00000000-0005-0000-0000-0000DB6B0000}"/>
    <cellStyle name="Texto de advertencia 17 5" xfId="27577" xr:uid="{00000000-0005-0000-0000-0000DC6B0000}"/>
    <cellStyle name="Texto de advertencia 17 6" xfId="27578" xr:uid="{00000000-0005-0000-0000-0000DD6B0000}"/>
    <cellStyle name="Texto de advertencia 17 7" xfId="27579" xr:uid="{00000000-0005-0000-0000-0000DE6B0000}"/>
    <cellStyle name="Texto de advertencia 17 8" xfId="27580" xr:uid="{00000000-0005-0000-0000-0000DF6B0000}"/>
    <cellStyle name="Texto de advertencia 17 9" xfId="27581" xr:uid="{00000000-0005-0000-0000-0000E06B0000}"/>
    <cellStyle name="Texto de advertencia 18 10" xfId="27582" xr:uid="{00000000-0005-0000-0000-0000E16B0000}"/>
    <cellStyle name="Texto de advertencia 18 11" xfId="27583" xr:uid="{00000000-0005-0000-0000-0000E26B0000}"/>
    <cellStyle name="Texto de advertencia 18 12" xfId="27584" xr:uid="{00000000-0005-0000-0000-0000E36B0000}"/>
    <cellStyle name="Texto de advertencia 18 13" xfId="27585" xr:uid="{00000000-0005-0000-0000-0000E46B0000}"/>
    <cellStyle name="Texto de advertencia 18 14" xfId="27586" xr:uid="{00000000-0005-0000-0000-0000E56B0000}"/>
    <cellStyle name="Texto de advertencia 18 15" xfId="27587" xr:uid="{00000000-0005-0000-0000-0000E66B0000}"/>
    <cellStyle name="Texto de advertencia 18 16" xfId="27588" xr:uid="{00000000-0005-0000-0000-0000E76B0000}"/>
    <cellStyle name="Texto de advertencia 18 17" xfId="27589" xr:uid="{00000000-0005-0000-0000-0000E86B0000}"/>
    <cellStyle name="Texto de advertencia 18 18" xfId="27590" xr:uid="{00000000-0005-0000-0000-0000E96B0000}"/>
    <cellStyle name="Texto de advertencia 18 19" xfId="27591" xr:uid="{00000000-0005-0000-0000-0000EA6B0000}"/>
    <cellStyle name="Texto de advertencia 18 2" xfId="27592" xr:uid="{00000000-0005-0000-0000-0000EB6B0000}"/>
    <cellStyle name="Texto de advertencia 18 2 2" xfId="27593" xr:uid="{00000000-0005-0000-0000-0000EC6B0000}"/>
    <cellStyle name="Texto de advertencia 18 3" xfId="27594" xr:uid="{00000000-0005-0000-0000-0000ED6B0000}"/>
    <cellStyle name="Texto de advertencia 18 3 2" xfId="27595" xr:uid="{00000000-0005-0000-0000-0000EE6B0000}"/>
    <cellStyle name="Texto de advertencia 18 4" xfId="27596" xr:uid="{00000000-0005-0000-0000-0000EF6B0000}"/>
    <cellStyle name="Texto de advertencia 18 4 2" xfId="27597" xr:uid="{00000000-0005-0000-0000-0000F06B0000}"/>
    <cellStyle name="Texto de advertencia 18 5" xfId="27598" xr:uid="{00000000-0005-0000-0000-0000F16B0000}"/>
    <cellStyle name="Texto de advertencia 18 6" xfId="27599" xr:uid="{00000000-0005-0000-0000-0000F26B0000}"/>
    <cellStyle name="Texto de advertencia 18 7" xfId="27600" xr:uid="{00000000-0005-0000-0000-0000F36B0000}"/>
    <cellStyle name="Texto de advertencia 18 8" xfId="27601" xr:uid="{00000000-0005-0000-0000-0000F46B0000}"/>
    <cellStyle name="Texto de advertencia 18 9" xfId="27602" xr:uid="{00000000-0005-0000-0000-0000F56B0000}"/>
    <cellStyle name="Texto de advertencia 19 10" xfId="27603" xr:uid="{00000000-0005-0000-0000-0000F66B0000}"/>
    <cellStyle name="Texto de advertencia 19 11" xfId="27604" xr:uid="{00000000-0005-0000-0000-0000F76B0000}"/>
    <cellStyle name="Texto de advertencia 19 12" xfId="27605" xr:uid="{00000000-0005-0000-0000-0000F86B0000}"/>
    <cellStyle name="Texto de advertencia 19 13" xfId="27606" xr:uid="{00000000-0005-0000-0000-0000F96B0000}"/>
    <cellStyle name="Texto de advertencia 19 14" xfId="27607" xr:uid="{00000000-0005-0000-0000-0000FA6B0000}"/>
    <cellStyle name="Texto de advertencia 19 15" xfId="27608" xr:uid="{00000000-0005-0000-0000-0000FB6B0000}"/>
    <cellStyle name="Texto de advertencia 19 16" xfId="27609" xr:uid="{00000000-0005-0000-0000-0000FC6B0000}"/>
    <cellStyle name="Texto de advertencia 19 17" xfId="27610" xr:uid="{00000000-0005-0000-0000-0000FD6B0000}"/>
    <cellStyle name="Texto de advertencia 19 18" xfId="27611" xr:uid="{00000000-0005-0000-0000-0000FE6B0000}"/>
    <cellStyle name="Texto de advertencia 19 19" xfId="27612" xr:uid="{00000000-0005-0000-0000-0000FF6B0000}"/>
    <cellStyle name="Texto de advertencia 19 2" xfId="27613" xr:uid="{00000000-0005-0000-0000-0000006C0000}"/>
    <cellStyle name="Texto de advertencia 19 2 2" xfId="27614" xr:uid="{00000000-0005-0000-0000-0000016C0000}"/>
    <cellStyle name="Texto de advertencia 19 3" xfId="27615" xr:uid="{00000000-0005-0000-0000-0000026C0000}"/>
    <cellStyle name="Texto de advertencia 19 3 2" xfId="27616" xr:uid="{00000000-0005-0000-0000-0000036C0000}"/>
    <cellStyle name="Texto de advertencia 19 4" xfId="27617" xr:uid="{00000000-0005-0000-0000-0000046C0000}"/>
    <cellStyle name="Texto de advertencia 19 4 2" xfId="27618" xr:uid="{00000000-0005-0000-0000-0000056C0000}"/>
    <cellStyle name="Texto de advertencia 19 5" xfId="27619" xr:uid="{00000000-0005-0000-0000-0000066C0000}"/>
    <cellStyle name="Texto de advertencia 19 6" xfId="27620" xr:uid="{00000000-0005-0000-0000-0000076C0000}"/>
    <cellStyle name="Texto de advertencia 19 7" xfId="27621" xr:uid="{00000000-0005-0000-0000-0000086C0000}"/>
    <cellStyle name="Texto de advertencia 19 8" xfId="27622" xr:uid="{00000000-0005-0000-0000-0000096C0000}"/>
    <cellStyle name="Texto de advertencia 19 9" xfId="27623" xr:uid="{00000000-0005-0000-0000-00000A6C0000}"/>
    <cellStyle name="Texto de advertencia 2 10" xfId="27624" xr:uid="{00000000-0005-0000-0000-00000B6C0000}"/>
    <cellStyle name="Texto de advertencia 2 11" xfId="27625" xr:uid="{00000000-0005-0000-0000-00000C6C0000}"/>
    <cellStyle name="Texto de advertencia 2 12" xfId="27626" xr:uid="{00000000-0005-0000-0000-00000D6C0000}"/>
    <cellStyle name="Texto de advertencia 2 13" xfId="27627" xr:uid="{00000000-0005-0000-0000-00000E6C0000}"/>
    <cellStyle name="Texto de advertencia 2 14" xfId="27628" xr:uid="{00000000-0005-0000-0000-00000F6C0000}"/>
    <cellStyle name="Texto de advertencia 2 15" xfId="27629" xr:uid="{00000000-0005-0000-0000-0000106C0000}"/>
    <cellStyle name="Texto de advertencia 2 16" xfId="27630" xr:uid="{00000000-0005-0000-0000-0000116C0000}"/>
    <cellStyle name="Texto de advertencia 2 17" xfId="27631" xr:uid="{00000000-0005-0000-0000-0000126C0000}"/>
    <cellStyle name="Texto de advertencia 2 18" xfId="27632" xr:uid="{00000000-0005-0000-0000-0000136C0000}"/>
    <cellStyle name="Texto de advertencia 2 19" xfId="27633" xr:uid="{00000000-0005-0000-0000-0000146C0000}"/>
    <cellStyle name="Texto de advertencia 2 2" xfId="27634" xr:uid="{00000000-0005-0000-0000-0000156C0000}"/>
    <cellStyle name="Texto de advertencia 2 2 2" xfId="27635" xr:uid="{00000000-0005-0000-0000-0000166C0000}"/>
    <cellStyle name="Texto de advertencia 2 3" xfId="27636" xr:uid="{00000000-0005-0000-0000-0000176C0000}"/>
    <cellStyle name="Texto de advertencia 2 3 2" xfId="27637" xr:uid="{00000000-0005-0000-0000-0000186C0000}"/>
    <cellStyle name="Texto de advertencia 2 4" xfId="27638" xr:uid="{00000000-0005-0000-0000-0000196C0000}"/>
    <cellStyle name="Texto de advertencia 2 4 2" xfId="27639" xr:uid="{00000000-0005-0000-0000-00001A6C0000}"/>
    <cellStyle name="Texto de advertencia 2 5" xfId="27640" xr:uid="{00000000-0005-0000-0000-00001B6C0000}"/>
    <cellStyle name="Texto de advertencia 2 6" xfId="27641" xr:uid="{00000000-0005-0000-0000-00001C6C0000}"/>
    <cellStyle name="Texto de advertencia 2 7" xfId="27642" xr:uid="{00000000-0005-0000-0000-00001D6C0000}"/>
    <cellStyle name="Texto de advertencia 2 8" xfId="27643" xr:uid="{00000000-0005-0000-0000-00001E6C0000}"/>
    <cellStyle name="Texto de advertencia 2 9" xfId="27644" xr:uid="{00000000-0005-0000-0000-00001F6C0000}"/>
    <cellStyle name="Texto de advertencia 20 10" xfId="27645" xr:uid="{00000000-0005-0000-0000-0000206C0000}"/>
    <cellStyle name="Texto de advertencia 20 11" xfId="27646" xr:uid="{00000000-0005-0000-0000-0000216C0000}"/>
    <cellStyle name="Texto de advertencia 20 12" xfId="27647" xr:uid="{00000000-0005-0000-0000-0000226C0000}"/>
    <cellStyle name="Texto de advertencia 20 13" xfId="27648" xr:uid="{00000000-0005-0000-0000-0000236C0000}"/>
    <cellStyle name="Texto de advertencia 20 14" xfId="27649" xr:uid="{00000000-0005-0000-0000-0000246C0000}"/>
    <cellStyle name="Texto de advertencia 20 15" xfId="27650" xr:uid="{00000000-0005-0000-0000-0000256C0000}"/>
    <cellStyle name="Texto de advertencia 20 16" xfId="27651" xr:uid="{00000000-0005-0000-0000-0000266C0000}"/>
    <cellStyle name="Texto de advertencia 20 17" xfId="27652" xr:uid="{00000000-0005-0000-0000-0000276C0000}"/>
    <cellStyle name="Texto de advertencia 20 18" xfId="27653" xr:uid="{00000000-0005-0000-0000-0000286C0000}"/>
    <cellStyle name="Texto de advertencia 20 19" xfId="27654" xr:uid="{00000000-0005-0000-0000-0000296C0000}"/>
    <cellStyle name="Texto de advertencia 20 2" xfId="27655" xr:uid="{00000000-0005-0000-0000-00002A6C0000}"/>
    <cellStyle name="Texto de advertencia 20 2 2" xfId="27656" xr:uid="{00000000-0005-0000-0000-00002B6C0000}"/>
    <cellStyle name="Texto de advertencia 20 3" xfId="27657" xr:uid="{00000000-0005-0000-0000-00002C6C0000}"/>
    <cellStyle name="Texto de advertencia 20 3 2" xfId="27658" xr:uid="{00000000-0005-0000-0000-00002D6C0000}"/>
    <cellStyle name="Texto de advertencia 20 4" xfId="27659" xr:uid="{00000000-0005-0000-0000-00002E6C0000}"/>
    <cellStyle name="Texto de advertencia 20 4 2" xfId="27660" xr:uid="{00000000-0005-0000-0000-00002F6C0000}"/>
    <cellStyle name="Texto de advertencia 20 5" xfId="27661" xr:uid="{00000000-0005-0000-0000-0000306C0000}"/>
    <cellStyle name="Texto de advertencia 20 6" xfId="27662" xr:uid="{00000000-0005-0000-0000-0000316C0000}"/>
    <cellStyle name="Texto de advertencia 20 7" xfId="27663" xr:uid="{00000000-0005-0000-0000-0000326C0000}"/>
    <cellStyle name="Texto de advertencia 20 8" xfId="27664" xr:uid="{00000000-0005-0000-0000-0000336C0000}"/>
    <cellStyle name="Texto de advertencia 20 9" xfId="27665" xr:uid="{00000000-0005-0000-0000-0000346C0000}"/>
    <cellStyle name="Texto de advertencia 21 10" xfId="27666" xr:uid="{00000000-0005-0000-0000-0000356C0000}"/>
    <cellStyle name="Texto de advertencia 21 11" xfId="27667" xr:uid="{00000000-0005-0000-0000-0000366C0000}"/>
    <cellStyle name="Texto de advertencia 21 12" xfId="27668" xr:uid="{00000000-0005-0000-0000-0000376C0000}"/>
    <cellStyle name="Texto de advertencia 21 13" xfId="27669" xr:uid="{00000000-0005-0000-0000-0000386C0000}"/>
    <cellStyle name="Texto de advertencia 21 14" xfId="27670" xr:uid="{00000000-0005-0000-0000-0000396C0000}"/>
    <cellStyle name="Texto de advertencia 21 15" xfId="27671" xr:uid="{00000000-0005-0000-0000-00003A6C0000}"/>
    <cellStyle name="Texto de advertencia 21 16" xfId="27672" xr:uid="{00000000-0005-0000-0000-00003B6C0000}"/>
    <cellStyle name="Texto de advertencia 21 17" xfId="27673" xr:uid="{00000000-0005-0000-0000-00003C6C0000}"/>
    <cellStyle name="Texto de advertencia 21 18" xfId="27674" xr:uid="{00000000-0005-0000-0000-00003D6C0000}"/>
    <cellStyle name="Texto de advertencia 21 19" xfId="27675" xr:uid="{00000000-0005-0000-0000-00003E6C0000}"/>
    <cellStyle name="Texto de advertencia 21 2" xfId="27676" xr:uid="{00000000-0005-0000-0000-00003F6C0000}"/>
    <cellStyle name="Texto de advertencia 21 2 2" xfId="27677" xr:uid="{00000000-0005-0000-0000-0000406C0000}"/>
    <cellStyle name="Texto de advertencia 21 3" xfId="27678" xr:uid="{00000000-0005-0000-0000-0000416C0000}"/>
    <cellStyle name="Texto de advertencia 21 3 2" xfId="27679" xr:uid="{00000000-0005-0000-0000-0000426C0000}"/>
    <cellStyle name="Texto de advertencia 21 4" xfId="27680" xr:uid="{00000000-0005-0000-0000-0000436C0000}"/>
    <cellStyle name="Texto de advertencia 21 4 2" xfId="27681" xr:uid="{00000000-0005-0000-0000-0000446C0000}"/>
    <cellStyle name="Texto de advertencia 21 5" xfId="27682" xr:uid="{00000000-0005-0000-0000-0000456C0000}"/>
    <cellStyle name="Texto de advertencia 21 6" xfId="27683" xr:uid="{00000000-0005-0000-0000-0000466C0000}"/>
    <cellStyle name="Texto de advertencia 21 7" xfId="27684" xr:uid="{00000000-0005-0000-0000-0000476C0000}"/>
    <cellStyle name="Texto de advertencia 21 8" xfId="27685" xr:uid="{00000000-0005-0000-0000-0000486C0000}"/>
    <cellStyle name="Texto de advertencia 21 9" xfId="27686" xr:uid="{00000000-0005-0000-0000-0000496C0000}"/>
    <cellStyle name="Texto de advertencia 22 10" xfId="27687" xr:uid="{00000000-0005-0000-0000-00004A6C0000}"/>
    <cellStyle name="Texto de advertencia 22 11" xfId="27688" xr:uid="{00000000-0005-0000-0000-00004B6C0000}"/>
    <cellStyle name="Texto de advertencia 22 12" xfId="27689" xr:uid="{00000000-0005-0000-0000-00004C6C0000}"/>
    <cellStyle name="Texto de advertencia 22 13" xfId="27690" xr:uid="{00000000-0005-0000-0000-00004D6C0000}"/>
    <cellStyle name="Texto de advertencia 22 14" xfId="27691" xr:uid="{00000000-0005-0000-0000-00004E6C0000}"/>
    <cellStyle name="Texto de advertencia 22 15" xfId="27692" xr:uid="{00000000-0005-0000-0000-00004F6C0000}"/>
    <cellStyle name="Texto de advertencia 22 16" xfId="27693" xr:uid="{00000000-0005-0000-0000-0000506C0000}"/>
    <cellStyle name="Texto de advertencia 22 17" xfId="27694" xr:uid="{00000000-0005-0000-0000-0000516C0000}"/>
    <cellStyle name="Texto de advertencia 22 18" xfId="27695" xr:uid="{00000000-0005-0000-0000-0000526C0000}"/>
    <cellStyle name="Texto de advertencia 22 19" xfId="27696" xr:uid="{00000000-0005-0000-0000-0000536C0000}"/>
    <cellStyle name="Texto de advertencia 22 2" xfId="27697" xr:uid="{00000000-0005-0000-0000-0000546C0000}"/>
    <cellStyle name="Texto de advertencia 22 2 2" xfId="27698" xr:uid="{00000000-0005-0000-0000-0000556C0000}"/>
    <cellStyle name="Texto de advertencia 22 3" xfId="27699" xr:uid="{00000000-0005-0000-0000-0000566C0000}"/>
    <cellStyle name="Texto de advertencia 22 3 2" xfId="27700" xr:uid="{00000000-0005-0000-0000-0000576C0000}"/>
    <cellStyle name="Texto de advertencia 22 4" xfId="27701" xr:uid="{00000000-0005-0000-0000-0000586C0000}"/>
    <cellStyle name="Texto de advertencia 22 4 2" xfId="27702" xr:uid="{00000000-0005-0000-0000-0000596C0000}"/>
    <cellStyle name="Texto de advertencia 22 5" xfId="27703" xr:uid="{00000000-0005-0000-0000-00005A6C0000}"/>
    <cellStyle name="Texto de advertencia 22 6" xfId="27704" xr:uid="{00000000-0005-0000-0000-00005B6C0000}"/>
    <cellStyle name="Texto de advertencia 22 7" xfId="27705" xr:uid="{00000000-0005-0000-0000-00005C6C0000}"/>
    <cellStyle name="Texto de advertencia 22 8" xfId="27706" xr:uid="{00000000-0005-0000-0000-00005D6C0000}"/>
    <cellStyle name="Texto de advertencia 22 9" xfId="27707" xr:uid="{00000000-0005-0000-0000-00005E6C0000}"/>
    <cellStyle name="Texto de advertencia 23 10" xfId="27708" xr:uid="{00000000-0005-0000-0000-00005F6C0000}"/>
    <cellStyle name="Texto de advertencia 23 11" xfId="27709" xr:uid="{00000000-0005-0000-0000-0000606C0000}"/>
    <cellStyle name="Texto de advertencia 23 12" xfId="27710" xr:uid="{00000000-0005-0000-0000-0000616C0000}"/>
    <cellStyle name="Texto de advertencia 23 13" xfId="27711" xr:uid="{00000000-0005-0000-0000-0000626C0000}"/>
    <cellStyle name="Texto de advertencia 23 14" xfId="27712" xr:uid="{00000000-0005-0000-0000-0000636C0000}"/>
    <cellStyle name="Texto de advertencia 23 15" xfId="27713" xr:uid="{00000000-0005-0000-0000-0000646C0000}"/>
    <cellStyle name="Texto de advertencia 23 16" xfId="27714" xr:uid="{00000000-0005-0000-0000-0000656C0000}"/>
    <cellStyle name="Texto de advertencia 23 17" xfId="27715" xr:uid="{00000000-0005-0000-0000-0000666C0000}"/>
    <cellStyle name="Texto de advertencia 23 18" xfId="27716" xr:uid="{00000000-0005-0000-0000-0000676C0000}"/>
    <cellStyle name="Texto de advertencia 23 19" xfId="27717" xr:uid="{00000000-0005-0000-0000-0000686C0000}"/>
    <cellStyle name="Texto de advertencia 23 2" xfId="27718" xr:uid="{00000000-0005-0000-0000-0000696C0000}"/>
    <cellStyle name="Texto de advertencia 23 2 2" xfId="27719" xr:uid="{00000000-0005-0000-0000-00006A6C0000}"/>
    <cellStyle name="Texto de advertencia 23 3" xfId="27720" xr:uid="{00000000-0005-0000-0000-00006B6C0000}"/>
    <cellStyle name="Texto de advertencia 23 3 2" xfId="27721" xr:uid="{00000000-0005-0000-0000-00006C6C0000}"/>
    <cellStyle name="Texto de advertencia 23 4" xfId="27722" xr:uid="{00000000-0005-0000-0000-00006D6C0000}"/>
    <cellStyle name="Texto de advertencia 23 4 2" xfId="27723" xr:uid="{00000000-0005-0000-0000-00006E6C0000}"/>
    <cellStyle name="Texto de advertencia 23 5" xfId="27724" xr:uid="{00000000-0005-0000-0000-00006F6C0000}"/>
    <cellStyle name="Texto de advertencia 23 6" xfId="27725" xr:uid="{00000000-0005-0000-0000-0000706C0000}"/>
    <cellStyle name="Texto de advertencia 23 7" xfId="27726" xr:uid="{00000000-0005-0000-0000-0000716C0000}"/>
    <cellStyle name="Texto de advertencia 23 8" xfId="27727" xr:uid="{00000000-0005-0000-0000-0000726C0000}"/>
    <cellStyle name="Texto de advertencia 23 9" xfId="27728" xr:uid="{00000000-0005-0000-0000-0000736C0000}"/>
    <cellStyle name="Texto de advertencia 24 10" xfId="27729" xr:uid="{00000000-0005-0000-0000-0000746C0000}"/>
    <cellStyle name="Texto de advertencia 24 11" xfId="27730" xr:uid="{00000000-0005-0000-0000-0000756C0000}"/>
    <cellStyle name="Texto de advertencia 24 12" xfId="27731" xr:uid="{00000000-0005-0000-0000-0000766C0000}"/>
    <cellStyle name="Texto de advertencia 24 13" xfId="27732" xr:uid="{00000000-0005-0000-0000-0000776C0000}"/>
    <cellStyle name="Texto de advertencia 24 14" xfId="27733" xr:uid="{00000000-0005-0000-0000-0000786C0000}"/>
    <cellStyle name="Texto de advertencia 24 15" xfId="27734" xr:uid="{00000000-0005-0000-0000-0000796C0000}"/>
    <cellStyle name="Texto de advertencia 24 16" xfId="27735" xr:uid="{00000000-0005-0000-0000-00007A6C0000}"/>
    <cellStyle name="Texto de advertencia 24 17" xfId="27736" xr:uid="{00000000-0005-0000-0000-00007B6C0000}"/>
    <cellStyle name="Texto de advertencia 24 18" xfId="27737" xr:uid="{00000000-0005-0000-0000-00007C6C0000}"/>
    <cellStyle name="Texto de advertencia 24 19" xfId="27738" xr:uid="{00000000-0005-0000-0000-00007D6C0000}"/>
    <cellStyle name="Texto de advertencia 24 2" xfId="27739" xr:uid="{00000000-0005-0000-0000-00007E6C0000}"/>
    <cellStyle name="Texto de advertencia 24 2 2" xfId="27740" xr:uid="{00000000-0005-0000-0000-00007F6C0000}"/>
    <cellStyle name="Texto de advertencia 24 3" xfId="27741" xr:uid="{00000000-0005-0000-0000-0000806C0000}"/>
    <cellStyle name="Texto de advertencia 24 3 2" xfId="27742" xr:uid="{00000000-0005-0000-0000-0000816C0000}"/>
    <cellStyle name="Texto de advertencia 24 4" xfId="27743" xr:uid="{00000000-0005-0000-0000-0000826C0000}"/>
    <cellStyle name="Texto de advertencia 24 4 2" xfId="27744" xr:uid="{00000000-0005-0000-0000-0000836C0000}"/>
    <cellStyle name="Texto de advertencia 24 5" xfId="27745" xr:uid="{00000000-0005-0000-0000-0000846C0000}"/>
    <cellStyle name="Texto de advertencia 24 6" xfId="27746" xr:uid="{00000000-0005-0000-0000-0000856C0000}"/>
    <cellStyle name="Texto de advertencia 24 7" xfId="27747" xr:uid="{00000000-0005-0000-0000-0000866C0000}"/>
    <cellStyle name="Texto de advertencia 24 8" xfId="27748" xr:uid="{00000000-0005-0000-0000-0000876C0000}"/>
    <cellStyle name="Texto de advertencia 24 9" xfId="27749" xr:uid="{00000000-0005-0000-0000-0000886C0000}"/>
    <cellStyle name="Texto de advertencia 25 10" xfId="27750" xr:uid="{00000000-0005-0000-0000-0000896C0000}"/>
    <cellStyle name="Texto de advertencia 25 11" xfId="27751" xr:uid="{00000000-0005-0000-0000-00008A6C0000}"/>
    <cellStyle name="Texto de advertencia 25 12" xfId="27752" xr:uid="{00000000-0005-0000-0000-00008B6C0000}"/>
    <cellStyle name="Texto de advertencia 25 13" xfId="27753" xr:uid="{00000000-0005-0000-0000-00008C6C0000}"/>
    <cellStyle name="Texto de advertencia 25 14" xfId="27754" xr:uid="{00000000-0005-0000-0000-00008D6C0000}"/>
    <cellStyle name="Texto de advertencia 25 15" xfId="27755" xr:uid="{00000000-0005-0000-0000-00008E6C0000}"/>
    <cellStyle name="Texto de advertencia 25 16" xfId="27756" xr:uid="{00000000-0005-0000-0000-00008F6C0000}"/>
    <cellStyle name="Texto de advertencia 25 17" xfId="27757" xr:uid="{00000000-0005-0000-0000-0000906C0000}"/>
    <cellStyle name="Texto de advertencia 25 18" xfId="27758" xr:uid="{00000000-0005-0000-0000-0000916C0000}"/>
    <cellStyle name="Texto de advertencia 25 19" xfId="27759" xr:uid="{00000000-0005-0000-0000-0000926C0000}"/>
    <cellStyle name="Texto de advertencia 25 2" xfId="27760" xr:uid="{00000000-0005-0000-0000-0000936C0000}"/>
    <cellStyle name="Texto de advertencia 25 2 2" xfId="27761" xr:uid="{00000000-0005-0000-0000-0000946C0000}"/>
    <cellStyle name="Texto de advertencia 25 3" xfId="27762" xr:uid="{00000000-0005-0000-0000-0000956C0000}"/>
    <cellStyle name="Texto de advertencia 25 3 2" xfId="27763" xr:uid="{00000000-0005-0000-0000-0000966C0000}"/>
    <cellStyle name="Texto de advertencia 25 4" xfId="27764" xr:uid="{00000000-0005-0000-0000-0000976C0000}"/>
    <cellStyle name="Texto de advertencia 25 4 2" xfId="27765" xr:uid="{00000000-0005-0000-0000-0000986C0000}"/>
    <cellStyle name="Texto de advertencia 25 5" xfId="27766" xr:uid="{00000000-0005-0000-0000-0000996C0000}"/>
    <cellStyle name="Texto de advertencia 25 6" xfId="27767" xr:uid="{00000000-0005-0000-0000-00009A6C0000}"/>
    <cellStyle name="Texto de advertencia 25 7" xfId="27768" xr:uid="{00000000-0005-0000-0000-00009B6C0000}"/>
    <cellStyle name="Texto de advertencia 25 8" xfId="27769" xr:uid="{00000000-0005-0000-0000-00009C6C0000}"/>
    <cellStyle name="Texto de advertencia 25 9" xfId="27770" xr:uid="{00000000-0005-0000-0000-00009D6C0000}"/>
    <cellStyle name="Texto de advertencia 26 10" xfId="27771" xr:uid="{00000000-0005-0000-0000-00009E6C0000}"/>
    <cellStyle name="Texto de advertencia 26 11" xfId="27772" xr:uid="{00000000-0005-0000-0000-00009F6C0000}"/>
    <cellStyle name="Texto de advertencia 26 12" xfId="27773" xr:uid="{00000000-0005-0000-0000-0000A06C0000}"/>
    <cellStyle name="Texto de advertencia 26 13" xfId="27774" xr:uid="{00000000-0005-0000-0000-0000A16C0000}"/>
    <cellStyle name="Texto de advertencia 26 14" xfId="27775" xr:uid="{00000000-0005-0000-0000-0000A26C0000}"/>
    <cellStyle name="Texto de advertencia 26 15" xfId="27776" xr:uid="{00000000-0005-0000-0000-0000A36C0000}"/>
    <cellStyle name="Texto de advertencia 26 16" xfId="27777" xr:uid="{00000000-0005-0000-0000-0000A46C0000}"/>
    <cellStyle name="Texto de advertencia 26 17" xfId="27778" xr:uid="{00000000-0005-0000-0000-0000A56C0000}"/>
    <cellStyle name="Texto de advertencia 26 18" xfId="27779" xr:uid="{00000000-0005-0000-0000-0000A66C0000}"/>
    <cellStyle name="Texto de advertencia 26 19" xfId="27780" xr:uid="{00000000-0005-0000-0000-0000A76C0000}"/>
    <cellStyle name="Texto de advertencia 26 2" xfId="27781" xr:uid="{00000000-0005-0000-0000-0000A86C0000}"/>
    <cellStyle name="Texto de advertencia 26 2 2" xfId="27782" xr:uid="{00000000-0005-0000-0000-0000A96C0000}"/>
    <cellStyle name="Texto de advertencia 26 3" xfId="27783" xr:uid="{00000000-0005-0000-0000-0000AA6C0000}"/>
    <cellStyle name="Texto de advertencia 26 3 2" xfId="27784" xr:uid="{00000000-0005-0000-0000-0000AB6C0000}"/>
    <cellStyle name="Texto de advertencia 26 4" xfId="27785" xr:uid="{00000000-0005-0000-0000-0000AC6C0000}"/>
    <cellStyle name="Texto de advertencia 26 4 2" xfId="27786" xr:uid="{00000000-0005-0000-0000-0000AD6C0000}"/>
    <cellStyle name="Texto de advertencia 26 5" xfId="27787" xr:uid="{00000000-0005-0000-0000-0000AE6C0000}"/>
    <cellStyle name="Texto de advertencia 26 6" xfId="27788" xr:uid="{00000000-0005-0000-0000-0000AF6C0000}"/>
    <cellStyle name="Texto de advertencia 26 7" xfId="27789" xr:uid="{00000000-0005-0000-0000-0000B06C0000}"/>
    <cellStyle name="Texto de advertencia 26 8" xfId="27790" xr:uid="{00000000-0005-0000-0000-0000B16C0000}"/>
    <cellStyle name="Texto de advertencia 26 9" xfId="27791" xr:uid="{00000000-0005-0000-0000-0000B26C0000}"/>
    <cellStyle name="Texto de advertencia 27 10" xfId="27792" xr:uid="{00000000-0005-0000-0000-0000B36C0000}"/>
    <cellStyle name="Texto de advertencia 27 11" xfId="27793" xr:uid="{00000000-0005-0000-0000-0000B46C0000}"/>
    <cellStyle name="Texto de advertencia 27 12" xfId="27794" xr:uid="{00000000-0005-0000-0000-0000B56C0000}"/>
    <cellStyle name="Texto de advertencia 27 13" xfId="27795" xr:uid="{00000000-0005-0000-0000-0000B66C0000}"/>
    <cellStyle name="Texto de advertencia 27 14" xfId="27796" xr:uid="{00000000-0005-0000-0000-0000B76C0000}"/>
    <cellStyle name="Texto de advertencia 27 15" xfId="27797" xr:uid="{00000000-0005-0000-0000-0000B86C0000}"/>
    <cellStyle name="Texto de advertencia 27 16" xfId="27798" xr:uid="{00000000-0005-0000-0000-0000B96C0000}"/>
    <cellStyle name="Texto de advertencia 27 17" xfId="27799" xr:uid="{00000000-0005-0000-0000-0000BA6C0000}"/>
    <cellStyle name="Texto de advertencia 27 18" xfId="27800" xr:uid="{00000000-0005-0000-0000-0000BB6C0000}"/>
    <cellStyle name="Texto de advertencia 27 19" xfId="27801" xr:uid="{00000000-0005-0000-0000-0000BC6C0000}"/>
    <cellStyle name="Texto de advertencia 27 2" xfId="27802" xr:uid="{00000000-0005-0000-0000-0000BD6C0000}"/>
    <cellStyle name="Texto de advertencia 27 2 2" xfId="27803" xr:uid="{00000000-0005-0000-0000-0000BE6C0000}"/>
    <cellStyle name="Texto de advertencia 27 3" xfId="27804" xr:uid="{00000000-0005-0000-0000-0000BF6C0000}"/>
    <cellStyle name="Texto de advertencia 27 3 2" xfId="27805" xr:uid="{00000000-0005-0000-0000-0000C06C0000}"/>
    <cellStyle name="Texto de advertencia 27 4" xfId="27806" xr:uid="{00000000-0005-0000-0000-0000C16C0000}"/>
    <cellStyle name="Texto de advertencia 27 4 2" xfId="27807" xr:uid="{00000000-0005-0000-0000-0000C26C0000}"/>
    <cellStyle name="Texto de advertencia 27 5" xfId="27808" xr:uid="{00000000-0005-0000-0000-0000C36C0000}"/>
    <cellStyle name="Texto de advertencia 27 6" xfId="27809" xr:uid="{00000000-0005-0000-0000-0000C46C0000}"/>
    <cellStyle name="Texto de advertencia 27 7" xfId="27810" xr:uid="{00000000-0005-0000-0000-0000C56C0000}"/>
    <cellStyle name="Texto de advertencia 27 8" xfId="27811" xr:uid="{00000000-0005-0000-0000-0000C66C0000}"/>
    <cellStyle name="Texto de advertencia 27 9" xfId="27812" xr:uid="{00000000-0005-0000-0000-0000C76C0000}"/>
    <cellStyle name="Texto de advertencia 28 10" xfId="27813" xr:uid="{00000000-0005-0000-0000-0000C86C0000}"/>
    <cellStyle name="Texto de advertencia 28 11" xfId="27814" xr:uid="{00000000-0005-0000-0000-0000C96C0000}"/>
    <cellStyle name="Texto de advertencia 28 12" xfId="27815" xr:uid="{00000000-0005-0000-0000-0000CA6C0000}"/>
    <cellStyle name="Texto de advertencia 28 13" xfId="27816" xr:uid="{00000000-0005-0000-0000-0000CB6C0000}"/>
    <cellStyle name="Texto de advertencia 28 14" xfId="27817" xr:uid="{00000000-0005-0000-0000-0000CC6C0000}"/>
    <cellStyle name="Texto de advertencia 28 15" xfId="27818" xr:uid="{00000000-0005-0000-0000-0000CD6C0000}"/>
    <cellStyle name="Texto de advertencia 28 16" xfId="27819" xr:uid="{00000000-0005-0000-0000-0000CE6C0000}"/>
    <cellStyle name="Texto de advertencia 28 17" xfId="27820" xr:uid="{00000000-0005-0000-0000-0000CF6C0000}"/>
    <cellStyle name="Texto de advertencia 28 18" xfId="27821" xr:uid="{00000000-0005-0000-0000-0000D06C0000}"/>
    <cellStyle name="Texto de advertencia 28 19" xfId="27822" xr:uid="{00000000-0005-0000-0000-0000D16C0000}"/>
    <cellStyle name="Texto de advertencia 28 2" xfId="27823" xr:uid="{00000000-0005-0000-0000-0000D26C0000}"/>
    <cellStyle name="Texto de advertencia 28 2 2" xfId="27824" xr:uid="{00000000-0005-0000-0000-0000D36C0000}"/>
    <cellStyle name="Texto de advertencia 28 3" xfId="27825" xr:uid="{00000000-0005-0000-0000-0000D46C0000}"/>
    <cellStyle name="Texto de advertencia 28 3 2" xfId="27826" xr:uid="{00000000-0005-0000-0000-0000D56C0000}"/>
    <cellStyle name="Texto de advertencia 28 4" xfId="27827" xr:uid="{00000000-0005-0000-0000-0000D66C0000}"/>
    <cellStyle name="Texto de advertencia 28 4 2" xfId="27828" xr:uid="{00000000-0005-0000-0000-0000D76C0000}"/>
    <cellStyle name="Texto de advertencia 28 5" xfId="27829" xr:uid="{00000000-0005-0000-0000-0000D86C0000}"/>
    <cellStyle name="Texto de advertencia 28 6" xfId="27830" xr:uid="{00000000-0005-0000-0000-0000D96C0000}"/>
    <cellStyle name="Texto de advertencia 28 7" xfId="27831" xr:uid="{00000000-0005-0000-0000-0000DA6C0000}"/>
    <cellStyle name="Texto de advertencia 28 8" xfId="27832" xr:uid="{00000000-0005-0000-0000-0000DB6C0000}"/>
    <cellStyle name="Texto de advertencia 28 9" xfId="27833" xr:uid="{00000000-0005-0000-0000-0000DC6C0000}"/>
    <cellStyle name="Texto de advertencia 29 10" xfId="27834" xr:uid="{00000000-0005-0000-0000-0000DD6C0000}"/>
    <cellStyle name="Texto de advertencia 29 11" xfId="27835" xr:uid="{00000000-0005-0000-0000-0000DE6C0000}"/>
    <cellStyle name="Texto de advertencia 29 12" xfId="27836" xr:uid="{00000000-0005-0000-0000-0000DF6C0000}"/>
    <cellStyle name="Texto de advertencia 29 13" xfId="27837" xr:uid="{00000000-0005-0000-0000-0000E06C0000}"/>
    <cellStyle name="Texto de advertencia 29 14" xfId="27838" xr:uid="{00000000-0005-0000-0000-0000E16C0000}"/>
    <cellStyle name="Texto de advertencia 29 15" xfId="27839" xr:uid="{00000000-0005-0000-0000-0000E26C0000}"/>
    <cellStyle name="Texto de advertencia 29 16" xfId="27840" xr:uid="{00000000-0005-0000-0000-0000E36C0000}"/>
    <cellStyle name="Texto de advertencia 29 17" xfId="27841" xr:uid="{00000000-0005-0000-0000-0000E46C0000}"/>
    <cellStyle name="Texto de advertencia 29 18" xfId="27842" xr:uid="{00000000-0005-0000-0000-0000E56C0000}"/>
    <cellStyle name="Texto de advertencia 29 19" xfId="27843" xr:uid="{00000000-0005-0000-0000-0000E66C0000}"/>
    <cellStyle name="Texto de advertencia 29 2" xfId="27844" xr:uid="{00000000-0005-0000-0000-0000E76C0000}"/>
    <cellStyle name="Texto de advertencia 29 2 2" xfId="27845" xr:uid="{00000000-0005-0000-0000-0000E86C0000}"/>
    <cellStyle name="Texto de advertencia 29 3" xfId="27846" xr:uid="{00000000-0005-0000-0000-0000E96C0000}"/>
    <cellStyle name="Texto de advertencia 29 3 2" xfId="27847" xr:uid="{00000000-0005-0000-0000-0000EA6C0000}"/>
    <cellStyle name="Texto de advertencia 29 4" xfId="27848" xr:uid="{00000000-0005-0000-0000-0000EB6C0000}"/>
    <cellStyle name="Texto de advertencia 29 4 2" xfId="27849" xr:uid="{00000000-0005-0000-0000-0000EC6C0000}"/>
    <cellStyle name="Texto de advertencia 29 5" xfId="27850" xr:uid="{00000000-0005-0000-0000-0000ED6C0000}"/>
    <cellStyle name="Texto de advertencia 29 6" xfId="27851" xr:uid="{00000000-0005-0000-0000-0000EE6C0000}"/>
    <cellStyle name="Texto de advertencia 29 7" xfId="27852" xr:uid="{00000000-0005-0000-0000-0000EF6C0000}"/>
    <cellStyle name="Texto de advertencia 29 8" xfId="27853" xr:uid="{00000000-0005-0000-0000-0000F06C0000}"/>
    <cellStyle name="Texto de advertencia 29 9" xfId="27854" xr:uid="{00000000-0005-0000-0000-0000F16C0000}"/>
    <cellStyle name="Texto de advertencia 3 10" xfId="27855" xr:uid="{00000000-0005-0000-0000-0000F26C0000}"/>
    <cellStyle name="Texto de advertencia 3 11" xfId="27856" xr:uid="{00000000-0005-0000-0000-0000F36C0000}"/>
    <cellStyle name="Texto de advertencia 3 12" xfId="27857" xr:uid="{00000000-0005-0000-0000-0000F46C0000}"/>
    <cellStyle name="Texto de advertencia 3 13" xfId="27858" xr:uid="{00000000-0005-0000-0000-0000F56C0000}"/>
    <cellStyle name="Texto de advertencia 3 14" xfId="27859" xr:uid="{00000000-0005-0000-0000-0000F66C0000}"/>
    <cellStyle name="Texto de advertencia 3 15" xfId="27860" xr:uid="{00000000-0005-0000-0000-0000F76C0000}"/>
    <cellStyle name="Texto de advertencia 3 16" xfId="27861" xr:uid="{00000000-0005-0000-0000-0000F86C0000}"/>
    <cellStyle name="Texto de advertencia 3 17" xfId="27862" xr:uid="{00000000-0005-0000-0000-0000F96C0000}"/>
    <cellStyle name="Texto de advertencia 3 18" xfId="27863" xr:uid="{00000000-0005-0000-0000-0000FA6C0000}"/>
    <cellStyle name="Texto de advertencia 3 19" xfId="27864" xr:uid="{00000000-0005-0000-0000-0000FB6C0000}"/>
    <cellStyle name="Texto de advertencia 3 2" xfId="27865" xr:uid="{00000000-0005-0000-0000-0000FC6C0000}"/>
    <cellStyle name="Texto de advertencia 3 2 2" xfId="27866" xr:uid="{00000000-0005-0000-0000-0000FD6C0000}"/>
    <cellStyle name="Texto de advertencia 3 3" xfId="27867" xr:uid="{00000000-0005-0000-0000-0000FE6C0000}"/>
    <cellStyle name="Texto de advertencia 3 3 2" xfId="27868" xr:uid="{00000000-0005-0000-0000-0000FF6C0000}"/>
    <cellStyle name="Texto de advertencia 3 4" xfId="27869" xr:uid="{00000000-0005-0000-0000-0000006D0000}"/>
    <cellStyle name="Texto de advertencia 3 4 2" xfId="27870" xr:uid="{00000000-0005-0000-0000-0000016D0000}"/>
    <cellStyle name="Texto de advertencia 3 5" xfId="27871" xr:uid="{00000000-0005-0000-0000-0000026D0000}"/>
    <cellStyle name="Texto de advertencia 3 6" xfId="27872" xr:uid="{00000000-0005-0000-0000-0000036D0000}"/>
    <cellStyle name="Texto de advertencia 3 7" xfId="27873" xr:uid="{00000000-0005-0000-0000-0000046D0000}"/>
    <cellStyle name="Texto de advertencia 3 8" xfId="27874" xr:uid="{00000000-0005-0000-0000-0000056D0000}"/>
    <cellStyle name="Texto de advertencia 3 9" xfId="27875" xr:uid="{00000000-0005-0000-0000-0000066D0000}"/>
    <cellStyle name="Texto de advertencia 30 10" xfId="27876" xr:uid="{00000000-0005-0000-0000-0000076D0000}"/>
    <cellStyle name="Texto de advertencia 30 11" xfId="27877" xr:uid="{00000000-0005-0000-0000-0000086D0000}"/>
    <cellStyle name="Texto de advertencia 30 12" xfId="27878" xr:uid="{00000000-0005-0000-0000-0000096D0000}"/>
    <cellStyle name="Texto de advertencia 30 13" xfId="27879" xr:uid="{00000000-0005-0000-0000-00000A6D0000}"/>
    <cellStyle name="Texto de advertencia 30 14" xfId="27880" xr:uid="{00000000-0005-0000-0000-00000B6D0000}"/>
    <cellStyle name="Texto de advertencia 30 15" xfId="27881" xr:uid="{00000000-0005-0000-0000-00000C6D0000}"/>
    <cellStyle name="Texto de advertencia 30 16" xfId="27882" xr:uid="{00000000-0005-0000-0000-00000D6D0000}"/>
    <cellStyle name="Texto de advertencia 30 17" xfId="27883" xr:uid="{00000000-0005-0000-0000-00000E6D0000}"/>
    <cellStyle name="Texto de advertencia 30 18" xfId="27884" xr:uid="{00000000-0005-0000-0000-00000F6D0000}"/>
    <cellStyle name="Texto de advertencia 30 19" xfId="27885" xr:uid="{00000000-0005-0000-0000-0000106D0000}"/>
    <cellStyle name="Texto de advertencia 30 2" xfId="27886" xr:uid="{00000000-0005-0000-0000-0000116D0000}"/>
    <cellStyle name="Texto de advertencia 30 2 2" xfId="27887" xr:uid="{00000000-0005-0000-0000-0000126D0000}"/>
    <cellStyle name="Texto de advertencia 30 3" xfId="27888" xr:uid="{00000000-0005-0000-0000-0000136D0000}"/>
    <cellStyle name="Texto de advertencia 30 3 2" xfId="27889" xr:uid="{00000000-0005-0000-0000-0000146D0000}"/>
    <cellStyle name="Texto de advertencia 30 4" xfId="27890" xr:uid="{00000000-0005-0000-0000-0000156D0000}"/>
    <cellStyle name="Texto de advertencia 30 4 2" xfId="27891" xr:uid="{00000000-0005-0000-0000-0000166D0000}"/>
    <cellStyle name="Texto de advertencia 30 5" xfId="27892" xr:uid="{00000000-0005-0000-0000-0000176D0000}"/>
    <cellStyle name="Texto de advertencia 30 6" xfId="27893" xr:uid="{00000000-0005-0000-0000-0000186D0000}"/>
    <cellStyle name="Texto de advertencia 30 7" xfId="27894" xr:uid="{00000000-0005-0000-0000-0000196D0000}"/>
    <cellStyle name="Texto de advertencia 30 8" xfId="27895" xr:uid="{00000000-0005-0000-0000-00001A6D0000}"/>
    <cellStyle name="Texto de advertencia 30 9" xfId="27896" xr:uid="{00000000-0005-0000-0000-00001B6D0000}"/>
    <cellStyle name="Texto de advertencia 31 10" xfId="27897" xr:uid="{00000000-0005-0000-0000-00001C6D0000}"/>
    <cellStyle name="Texto de advertencia 31 11" xfId="27898" xr:uid="{00000000-0005-0000-0000-00001D6D0000}"/>
    <cellStyle name="Texto de advertencia 31 12" xfId="27899" xr:uid="{00000000-0005-0000-0000-00001E6D0000}"/>
    <cellStyle name="Texto de advertencia 31 13" xfId="27900" xr:uid="{00000000-0005-0000-0000-00001F6D0000}"/>
    <cellStyle name="Texto de advertencia 31 14" xfId="27901" xr:uid="{00000000-0005-0000-0000-0000206D0000}"/>
    <cellStyle name="Texto de advertencia 31 15" xfId="27902" xr:uid="{00000000-0005-0000-0000-0000216D0000}"/>
    <cellStyle name="Texto de advertencia 31 16" xfId="27903" xr:uid="{00000000-0005-0000-0000-0000226D0000}"/>
    <cellStyle name="Texto de advertencia 31 17" xfId="27904" xr:uid="{00000000-0005-0000-0000-0000236D0000}"/>
    <cellStyle name="Texto de advertencia 31 18" xfId="27905" xr:uid="{00000000-0005-0000-0000-0000246D0000}"/>
    <cellStyle name="Texto de advertencia 31 19" xfId="27906" xr:uid="{00000000-0005-0000-0000-0000256D0000}"/>
    <cellStyle name="Texto de advertencia 31 2" xfId="27907" xr:uid="{00000000-0005-0000-0000-0000266D0000}"/>
    <cellStyle name="Texto de advertencia 31 2 2" xfId="27908" xr:uid="{00000000-0005-0000-0000-0000276D0000}"/>
    <cellStyle name="Texto de advertencia 31 3" xfId="27909" xr:uid="{00000000-0005-0000-0000-0000286D0000}"/>
    <cellStyle name="Texto de advertencia 31 3 2" xfId="27910" xr:uid="{00000000-0005-0000-0000-0000296D0000}"/>
    <cellStyle name="Texto de advertencia 31 4" xfId="27911" xr:uid="{00000000-0005-0000-0000-00002A6D0000}"/>
    <cellStyle name="Texto de advertencia 31 4 2" xfId="27912" xr:uid="{00000000-0005-0000-0000-00002B6D0000}"/>
    <cellStyle name="Texto de advertencia 31 5" xfId="27913" xr:uid="{00000000-0005-0000-0000-00002C6D0000}"/>
    <cellStyle name="Texto de advertencia 31 6" xfId="27914" xr:uid="{00000000-0005-0000-0000-00002D6D0000}"/>
    <cellStyle name="Texto de advertencia 31 7" xfId="27915" xr:uid="{00000000-0005-0000-0000-00002E6D0000}"/>
    <cellStyle name="Texto de advertencia 31 8" xfId="27916" xr:uid="{00000000-0005-0000-0000-00002F6D0000}"/>
    <cellStyle name="Texto de advertencia 31 9" xfId="27917" xr:uid="{00000000-0005-0000-0000-0000306D0000}"/>
    <cellStyle name="Texto de advertencia 32 10" xfId="27918" xr:uid="{00000000-0005-0000-0000-0000316D0000}"/>
    <cellStyle name="Texto de advertencia 32 11" xfId="27919" xr:uid="{00000000-0005-0000-0000-0000326D0000}"/>
    <cellStyle name="Texto de advertencia 32 12" xfId="27920" xr:uid="{00000000-0005-0000-0000-0000336D0000}"/>
    <cellStyle name="Texto de advertencia 32 13" xfId="27921" xr:uid="{00000000-0005-0000-0000-0000346D0000}"/>
    <cellStyle name="Texto de advertencia 32 14" xfId="27922" xr:uid="{00000000-0005-0000-0000-0000356D0000}"/>
    <cellStyle name="Texto de advertencia 32 15" xfId="27923" xr:uid="{00000000-0005-0000-0000-0000366D0000}"/>
    <cellStyle name="Texto de advertencia 32 16" xfId="27924" xr:uid="{00000000-0005-0000-0000-0000376D0000}"/>
    <cellStyle name="Texto de advertencia 32 17" xfId="27925" xr:uid="{00000000-0005-0000-0000-0000386D0000}"/>
    <cellStyle name="Texto de advertencia 32 18" xfId="27926" xr:uid="{00000000-0005-0000-0000-0000396D0000}"/>
    <cellStyle name="Texto de advertencia 32 19" xfId="27927" xr:uid="{00000000-0005-0000-0000-00003A6D0000}"/>
    <cellStyle name="Texto de advertencia 32 2" xfId="27928" xr:uid="{00000000-0005-0000-0000-00003B6D0000}"/>
    <cellStyle name="Texto de advertencia 32 2 2" xfId="27929" xr:uid="{00000000-0005-0000-0000-00003C6D0000}"/>
    <cellStyle name="Texto de advertencia 32 3" xfId="27930" xr:uid="{00000000-0005-0000-0000-00003D6D0000}"/>
    <cellStyle name="Texto de advertencia 32 3 2" xfId="27931" xr:uid="{00000000-0005-0000-0000-00003E6D0000}"/>
    <cellStyle name="Texto de advertencia 32 4" xfId="27932" xr:uid="{00000000-0005-0000-0000-00003F6D0000}"/>
    <cellStyle name="Texto de advertencia 32 4 2" xfId="27933" xr:uid="{00000000-0005-0000-0000-0000406D0000}"/>
    <cellStyle name="Texto de advertencia 32 5" xfId="27934" xr:uid="{00000000-0005-0000-0000-0000416D0000}"/>
    <cellStyle name="Texto de advertencia 32 6" xfId="27935" xr:uid="{00000000-0005-0000-0000-0000426D0000}"/>
    <cellStyle name="Texto de advertencia 32 7" xfId="27936" xr:uid="{00000000-0005-0000-0000-0000436D0000}"/>
    <cellStyle name="Texto de advertencia 32 8" xfId="27937" xr:uid="{00000000-0005-0000-0000-0000446D0000}"/>
    <cellStyle name="Texto de advertencia 32 9" xfId="27938" xr:uid="{00000000-0005-0000-0000-0000456D0000}"/>
    <cellStyle name="Texto de advertencia 33 10" xfId="27939" xr:uid="{00000000-0005-0000-0000-0000466D0000}"/>
    <cellStyle name="Texto de advertencia 33 11" xfId="27940" xr:uid="{00000000-0005-0000-0000-0000476D0000}"/>
    <cellStyle name="Texto de advertencia 33 12" xfId="27941" xr:uid="{00000000-0005-0000-0000-0000486D0000}"/>
    <cellStyle name="Texto de advertencia 33 13" xfId="27942" xr:uid="{00000000-0005-0000-0000-0000496D0000}"/>
    <cellStyle name="Texto de advertencia 33 14" xfId="27943" xr:uid="{00000000-0005-0000-0000-00004A6D0000}"/>
    <cellStyle name="Texto de advertencia 33 15" xfId="27944" xr:uid="{00000000-0005-0000-0000-00004B6D0000}"/>
    <cellStyle name="Texto de advertencia 33 16" xfId="27945" xr:uid="{00000000-0005-0000-0000-00004C6D0000}"/>
    <cellStyle name="Texto de advertencia 33 17" xfId="27946" xr:uid="{00000000-0005-0000-0000-00004D6D0000}"/>
    <cellStyle name="Texto de advertencia 33 18" xfId="27947" xr:uid="{00000000-0005-0000-0000-00004E6D0000}"/>
    <cellStyle name="Texto de advertencia 33 19" xfId="27948" xr:uid="{00000000-0005-0000-0000-00004F6D0000}"/>
    <cellStyle name="Texto de advertencia 33 2" xfId="27949" xr:uid="{00000000-0005-0000-0000-0000506D0000}"/>
    <cellStyle name="Texto de advertencia 33 2 2" xfId="27950" xr:uid="{00000000-0005-0000-0000-0000516D0000}"/>
    <cellStyle name="Texto de advertencia 33 3" xfId="27951" xr:uid="{00000000-0005-0000-0000-0000526D0000}"/>
    <cellStyle name="Texto de advertencia 33 3 2" xfId="27952" xr:uid="{00000000-0005-0000-0000-0000536D0000}"/>
    <cellStyle name="Texto de advertencia 33 4" xfId="27953" xr:uid="{00000000-0005-0000-0000-0000546D0000}"/>
    <cellStyle name="Texto de advertencia 33 4 2" xfId="27954" xr:uid="{00000000-0005-0000-0000-0000556D0000}"/>
    <cellStyle name="Texto de advertencia 33 5" xfId="27955" xr:uid="{00000000-0005-0000-0000-0000566D0000}"/>
    <cellStyle name="Texto de advertencia 33 6" xfId="27956" xr:uid="{00000000-0005-0000-0000-0000576D0000}"/>
    <cellStyle name="Texto de advertencia 33 7" xfId="27957" xr:uid="{00000000-0005-0000-0000-0000586D0000}"/>
    <cellStyle name="Texto de advertencia 33 8" xfId="27958" xr:uid="{00000000-0005-0000-0000-0000596D0000}"/>
    <cellStyle name="Texto de advertencia 33 9" xfId="27959" xr:uid="{00000000-0005-0000-0000-00005A6D0000}"/>
    <cellStyle name="Texto de advertencia 34 10" xfId="27960" xr:uid="{00000000-0005-0000-0000-00005B6D0000}"/>
    <cellStyle name="Texto de advertencia 34 11" xfId="27961" xr:uid="{00000000-0005-0000-0000-00005C6D0000}"/>
    <cellStyle name="Texto de advertencia 34 12" xfId="27962" xr:uid="{00000000-0005-0000-0000-00005D6D0000}"/>
    <cellStyle name="Texto de advertencia 34 13" xfId="27963" xr:uid="{00000000-0005-0000-0000-00005E6D0000}"/>
    <cellStyle name="Texto de advertencia 34 14" xfId="27964" xr:uid="{00000000-0005-0000-0000-00005F6D0000}"/>
    <cellStyle name="Texto de advertencia 34 15" xfId="27965" xr:uid="{00000000-0005-0000-0000-0000606D0000}"/>
    <cellStyle name="Texto de advertencia 34 16" xfId="27966" xr:uid="{00000000-0005-0000-0000-0000616D0000}"/>
    <cellStyle name="Texto de advertencia 34 17" xfId="27967" xr:uid="{00000000-0005-0000-0000-0000626D0000}"/>
    <cellStyle name="Texto de advertencia 34 18" xfId="27968" xr:uid="{00000000-0005-0000-0000-0000636D0000}"/>
    <cellStyle name="Texto de advertencia 34 19" xfId="27969" xr:uid="{00000000-0005-0000-0000-0000646D0000}"/>
    <cellStyle name="Texto de advertencia 34 2" xfId="27970" xr:uid="{00000000-0005-0000-0000-0000656D0000}"/>
    <cellStyle name="Texto de advertencia 34 2 2" xfId="27971" xr:uid="{00000000-0005-0000-0000-0000666D0000}"/>
    <cellStyle name="Texto de advertencia 34 3" xfId="27972" xr:uid="{00000000-0005-0000-0000-0000676D0000}"/>
    <cellStyle name="Texto de advertencia 34 3 2" xfId="27973" xr:uid="{00000000-0005-0000-0000-0000686D0000}"/>
    <cellStyle name="Texto de advertencia 34 4" xfId="27974" xr:uid="{00000000-0005-0000-0000-0000696D0000}"/>
    <cellStyle name="Texto de advertencia 34 4 2" xfId="27975" xr:uid="{00000000-0005-0000-0000-00006A6D0000}"/>
    <cellStyle name="Texto de advertencia 34 5" xfId="27976" xr:uid="{00000000-0005-0000-0000-00006B6D0000}"/>
    <cellStyle name="Texto de advertencia 34 6" xfId="27977" xr:uid="{00000000-0005-0000-0000-00006C6D0000}"/>
    <cellStyle name="Texto de advertencia 34 7" xfId="27978" xr:uid="{00000000-0005-0000-0000-00006D6D0000}"/>
    <cellStyle name="Texto de advertencia 34 8" xfId="27979" xr:uid="{00000000-0005-0000-0000-00006E6D0000}"/>
    <cellStyle name="Texto de advertencia 34 9" xfId="27980" xr:uid="{00000000-0005-0000-0000-00006F6D0000}"/>
    <cellStyle name="Texto de advertencia 35 10" xfId="27981" xr:uid="{00000000-0005-0000-0000-0000706D0000}"/>
    <cellStyle name="Texto de advertencia 35 11" xfId="27982" xr:uid="{00000000-0005-0000-0000-0000716D0000}"/>
    <cellStyle name="Texto de advertencia 35 12" xfId="27983" xr:uid="{00000000-0005-0000-0000-0000726D0000}"/>
    <cellStyle name="Texto de advertencia 35 13" xfId="27984" xr:uid="{00000000-0005-0000-0000-0000736D0000}"/>
    <cellStyle name="Texto de advertencia 35 14" xfId="27985" xr:uid="{00000000-0005-0000-0000-0000746D0000}"/>
    <cellStyle name="Texto de advertencia 35 15" xfId="27986" xr:uid="{00000000-0005-0000-0000-0000756D0000}"/>
    <cellStyle name="Texto de advertencia 35 16" xfId="27987" xr:uid="{00000000-0005-0000-0000-0000766D0000}"/>
    <cellStyle name="Texto de advertencia 35 17" xfId="27988" xr:uid="{00000000-0005-0000-0000-0000776D0000}"/>
    <cellStyle name="Texto de advertencia 35 18" xfId="27989" xr:uid="{00000000-0005-0000-0000-0000786D0000}"/>
    <cellStyle name="Texto de advertencia 35 19" xfId="27990" xr:uid="{00000000-0005-0000-0000-0000796D0000}"/>
    <cellStyle name="Texto de advertencia 35 2" xfId="27991" xr:uid="{00000000-0005-0000-0000-00007A6D0000}"/>
    <cellStyle name="Texto de advertencia 35 2 2" xfId="27992" xr:uid="{00000000-0005-0000-0000-00007B6D0000}"/>
    <cellStyle name="Texto de advertencia 35 3" xfId="27993" xr:uid="{00000000-0005-0000-0000-00007C6D0000}"/>
    <cellStyle name="Texto de advertencia 35 3 2" xfId="27994" xr:uid="{00000000-0005-0000-0000-00007D6D0000}"/>
    <cellStyle name="Texto de advertencia 35 4" xfId="27995" xr:uid="{00000000-0005-0000-0000-00007E6D0000}"/>
    <cellStyle name="Texto de advertencia 35 4 2" xfId="27996" xr:uid="{00000000-0005-0000-0000-00007F6D0000}"/>
    <cellStyle name="Texto de advertencia 35 5" xfId="27997" xr:uid="{00000000-0005-0000-0000-0000806D0000}"/>
    <cellStyle name="Texto de advertencia 35 6" xfId="27998" xr:uid="{00000000-0005-0000-0000-0000816D0000}"/>
    <cellStyle name="Texto de advertencia 35 7" xfId="27999" xr:uid="{00000000-0005-0000-0000-0000826D0000}"/>
    <cellStyle name="Texto de advertencia 35 8" xfId="28000" xr:uid="{00000000-0005-0000-0000-0000836D0000}"/>
    <cellStyle name="Texto de advertencia 35 9" xfId="28001" xr:uid="{00000000-0005-0000-0000-0000846D0000}"/>
    <cellStyle name="Texto de advertencia 36 10" xfId="28002" xr:uid="{00000000-0005-0000-0000-0000856D0000}"/>
    <cellStyle name="Texto de advertencia 36 11" xfId="28003" xr:uid="{00000000-0005-0000-0000-0000866D0000}"/>
    <cellStyle name="Texto de advertencia 36 12" xfId="28004" xr:uid="{00000000-0005-0000-0000-0000876D0000}"/>
    <cellStyle name="Texto de advertencia 36 13" xfId="28005" xr:uid="{00000000-0005-0000-0000-0000886D0000}"/>
    <cellStyle name="Texto de advertencia 36 14" xfId="28006" xr:uid="{00000000-0005-0000-0000-0000896D0000}"/>
    <cellStyle name="Texto de advertencia 36 15" xfId="28007" xr:uid="{00000000-0005-0000-0000-00008A6D0000}"/>
    <cellStyle name="Texto de advertencia 36 16" xfId="28008" xr:uid="{00000000-0005-0000-0000-00008B6D0000}"/>
    <cellStyle name="Texto de advertencia 36 17" xfId="28009" xr:uid="{00000000-0005-0000-0000-00008C6D0000}"/>
    <cellStyle name="Texto de advertencia 36 18" xfId="28010" xr:uid="{00000000-0005-0000-0000-00008D6D0000}"/>
    <cellStyle name="Texto de advertencia 36 19" xfId="28011" xr:uid="{00000000-0005-0000-0000-00008E6D0000}"/>
    <cellStyle name="Texto de advertencia 36 2" xfId="28012" xr:uid="{00000000-0005-0000-0000-00008F6D0000}"/>
    <cellStyle name="Texto de advertencia 36 2 2" xfId="28013" xr:uid="{00000000-0005-0000-0000-0000906D0000}"/>
    <cellStyle name="Texto de advertencia 36 3" xfId="28014" xr:uid="{00000000-0005-0000-0000-0000916D0000}"/>
    <cellStyle name="Texto de advertencia 36 3 2" xfId="28015" xr:uid="{00000000-0005-0000-0000-0000926D0000}"/>
    <cellStyle name="Texto de advertencia 36 4" xfId="28016" xr:uid="{00000000-0005-0000-0000-0000936D0000}"/>
    <cellStyle name="Texto de advertencia 36 4 2" xfId="28017" xr:uid="{00000000-0005-0000-0000-0000946D0000}"/>
    <cellStyle name="Texto de advertencia 36 5" xfId="28018" xr:uid="{00000000-0005-0000-0000-0000956D0000}"/>
    <cellStyle name="Texto de advertencia 36 6" xfId="28019" xr:uid="{00000000-0005-0000-0000-0000966D0000}"/>
    <cellStyle name="Texto de advertencia 36 7" xfId="28020" xr:uid="{00000000-0005-0000-0000-0000976D0000}"/>
    <cellStyle name="Texto de advertencia 36 8" xfId="28021" xr:uid="{00000000-0005-0000-0000-0000986D0000}"/>
    <cellStyle name="Texto de advertencia 36 9" xfId="28022" xr:uid="{00000000-0005-0000-0000-0000996D0000}"/>
    <cellStyle name="Texto de advertencia 37 10" xfId="28023" xr:uid="{00000000-0005-0000-0000-00009A6D0000}"/>
    <cellStyle name="Texto de advertencia 37 11" xfId="28024" xr:uid="{00000000-0005-0000-0000-00009B6D0000}"/>
    <cellStyle name="Texto de advertencia 37 12" xfId="28025" xr:uid="{00000000-0005-0000-0000-00009C6D0000}"/>
    <cellStyle name="Texto de advertencia 37 13" xfId="28026" xr:uid="{00000000-0005-0000-0000-00009D6D0000}"/>
    <cellStyle name="Texto de advertencia 37 14" xfId="28027" xr:uid="{00000000-0005-0000-0000-00009E6D0000}"/>
    <cellStyle name="Texto de advertencia 37 15" xfId="28028" xr:uid="{00000000-0005-0000-0000-00009F6D0000}"/>
    <cellStyle name="Texto de advertencia 37 16" xfId="28029" xr:uid="{00000000-0005-0000-0000-0000A06D0000}"/>
    <cellStyle name="Texto de advertencia 37 17" xfId="28030" xr:uid="{00000000-0005-0000-0000-0000A16D0000}"/>
    <cellStyle name="Texto de advertencia 37 18" xfId="28031" xr:uid="{00000000-0005-0000-0000-0000A26D0000}"/>
    <cellStyle name="Texto de advertencia 37 19" xfId="28032" xr:uid="{00000000-0005-0000-0000-0000A36D0000}"/>
    <cellStyle name="Texto de advertencia 37 2" xfId="28033" xr:uid="{00000000-0005-0000-0000-0000A46D0000}"/>
    <cellStyle name="Texto de advertencia 37 2 2" xfId="28034" xr:uid="{00000000-0005-0000-0000-0000A56D0000}"/>
    <cellStyle name="Texto de advertencia 37 3" xfId="28035" xr:uid="{00000000-0005-0000-0000-0000A66D0000}"/>
    <cellStyle name="Texto de advertencia 37 3 2" xfId="28036" xr:uid="{00000000-0005-0000-0000-0000A76D0000}"/>
    <cellStyle name="Texto de advertencia 37 4" xfId="28037" xr:uid="{00000000-0005-0000-0000-0000A86D0000}"/>
    <cellStyle name="Texto de advertencia 37 4 2" xfId="28038" xr:uid="{00000000-0005-0000-0000-0000A96D0000}"/>
    <cellStyle name="Texto de advertencia 37 5" xfId="28039" xr:uid="{00000000-0005-0000-0000-0000AA6D0000}"/>
    <cellStyle name="Texto de advertencia 37 6" xfId="28040" xr:uid="{00000000-0005-0000-0000-0000AB6D0000}"/>
    <cellStyle name="Texto de advertencia 37 7" xfId="28041" xr:uid="{00000000-0005-0000-0000-0000AC6D0000}"/>
    <cellStyle name="Texto de advertencia 37 8" xfId="28042" xr:uid="{00000000-0005-0000-0000-0000AD6D0000}"/>
    <cellStyle name="Texto de advertencia 37 9" xfId="28043" xr:uid="{00000000-0005-0000-0000-0000AE6D0000}"/>
    <cellStyle name="Texto de advertencia 38 10" xfId="28044" xr:uid="{00000000-0005-0000-0000-0000AF6D0000}"/>
    <cellStyle name="Texto de advertencia 38 11" xfId="28045" xr:uid="{00000000-0005-0000-0000-0000B06D0000}"/>
    <cellStyle name="Texto de advertencia 38 12" xfId="28046" xr:uid="{00000000-0005-0000-0000-0000B16D0000}"/>
    <cellStyle name="Texto de advertencia 38 13" xfId="28047" xr:uid="{00000000-0005-0000-0000-0000B26D0000}"/>
    <cellStyle name="Texto de advertencia 38 14" xfId="28048" xr:uid="{00000000-0005-0000-0000-0000B36D0000}"/>
    <cellStyle name="Texto de advertencia 38 15" xfId="28049" xr:uid="{00000000-0005-0000-0000-0000B46D0000}"/>
    <cellStyle name="Texto de advertencia 38 16" xfId="28050" xr:uid="{00000000-0005-0000-0000-0000B56D0000}"/>
    <cellStyle name="Texto de advertencia 38 17" xfId="28051" xr:uid="{00000000-0005-0000-0000-0000B66D0000}"/>
    <cellStyle name="Texto de advertencia 38 18" xfId="28052" xr:uid="{00000000-0005-0000-0000-0000B76D0000}"/>
    <cellStyle name="Texto de advertencia 38 19" xfId="28053" xr:uid="{00000000-0005-0000-0000-0000B86D0000}"/>
    <cellStyle name="Texto de advertencia 38 2" xfId="28054" xr:uid="{00000000-0005-0000-0000-0000B96D0000}"/>
    <cellStyle name="Texto de advertencia 38 2 2" xfId="28055" xr:uid="{00000000-0005-0000-0000-0000BA6D0000}"/>
    <cellStyle name="Texto de advertencia 38 3" xfId="28056" xr:uid="{00000000-0005-0000-0000-0000BB6D0000}"/>
    <cellStyle name="Texto de advertencia 38 3 2" xfId="28057" xr:uid="{00000000-0005-0000-0000-0000BC6D0000}"/>
    <cellStyle name="Texto de advertencia 38 4" xfId="28058" xr:uid="{00000000-0005-0000-0000-0000BD6D0000}"/>
    <cellStyle name="Texto de advertencia 38 4 2" xfId="28059" xr:uid="{00000000-0005-0000-0000-0000BE6D0000}"/>
    <cellStyle name="Texto de advertencia 38 5" xfId="28060" xr:uid="{00000000-0005-0000-0000-0000BF6D0000}"/>
    <cellStyle name="Texto de advertencia 38 6" xfId="28061" xr:uid="{00000000-0005-0000-0000-0000C06D0000}"/>
    <cellStyle name="Texto de advertencia 38 7" xfId="28062" xr:uid="{00000000-0005-0000-0000-0000C16D0000}"/>
    <cellStyle name="Texto de advertencia 38 8" xfId="28063" xr:uid="{00000000-0005-0000-0000-0000C26D0000}"/>
    <cellStyle name="Texto de advertencia 38 9" xfId="28064" xr:uid="{00000000-0005-0000-0000-0000C36D0000}"/>
    <cellStyle name="Texto de advertencia 39" xfId="28065" xr:uid="{00000000-0005-0000-0000-0000C46D0000}"/>
    <cellStyle name="Texto de advertencia 39 10" xfId="28066" xr:uid="{00000000-0005-0000-0000-0000C56D0000}"/>
    <cellStyle name="Texto de advertencia 39 11" xfId="28067" xr:uid="{00000000-0005-0000-0000-0000C66D0000}"/>
    <cellStyle name="Texto de advertencia 39 12" xfId="28068" xr:uid="{00000000-0005-0000-0000-0000C76D0000}"/>
    <cellStyle name="Texto de advertencia 39 13" xfId="28069" xr:uid="{00000000-0005-0000-0000-0000C86D0000}"/>
    <cellStyle name="Texto de advertencia 39 14" xfId="28070" xr:uid="{00000000-0005-0000-0000-0000C96D0000}"/>
    <cellStyle name="Texto de advertencia 39 15" xfId="28071" xr:uid="{00000000-0005-0000-0000-0000CA6D0000}"/>
    <cellStyle name="Texto de advertencia 39 16" xfId="28072" xr:uid="{00000000-0005-0000-0000-0000CB6D0000}"/>
    <cellStyle name="Texto de advertencia 39 2" xfId="28073" xr:uid="{00000000-0005-0000-0000-0000CC6D0000}"/>
    <cellStyle name="Texto de advertencia 39 3" xfId="28074" xr:uid="{00000000-0005-0000-0000-0000CD6D0000}"/>
    <cellStyle name="Texto de advertencia 39 4" xfId="28075" xr:uid="{00000000-0005-0000-0000-0000CE6D0000}"/>
    <cellStyle name="Texto de advertencia 39 5" xfId="28076" xr:uid="{00000000-0005-0000-0000-0000CF6D0000}"/>
    <cellStyle name="Texto de advertencia 39 6" xfId="28077" xr:uid="{00000000-0005-0000-0000-0000D06D0000}"/>
    <cellStyle name="Texto de advertencia 39 7" xfId="28078" xr:uid="{00000000-0005-0000-0000-0000D16D0000}"/>
    <cellStyle name="Texto de advertencia 39 8" xfId="28079" xr:uid="{00000000-0005-0000-0000-0000D26D0000}"/>
    <cellStyle name="Texto de advertencia 39 9" xfId="28080" xr:uid="{00000000-0005-0000-0000-0000D36D0000}"/>
    <cellStyle name="Texto de advertencia 4 10" xfId="28081" xr:uid="{00000000-0005-0000-0000-0000D46D0000}"/>
    <cellStyle name="Texto de advertencia 4 11" xfId="28082" xr:uid="{00000000-0005-0000-0000-0000D56D0000}"/>
    <cellStyle name="Texto de advertencia 4 12" xfId="28083" xr:uid="{00000000-0005-0000-0000-0000D66D0000}"/>
    <cellStyle name="Texto de advertencia 4 13" xfId="28084" xr:uid="{00000000-0005-0000-0000-0000D76D0000}"/>
    <cellStyle name="Texto de advertencia 4 14" xfId="28085" xr:uid="{00000000-0005-0000-0000-0000D86D0000}"/>
    <cellStyle name="Texto de advertencia 4 15" xfId="28086" xr:uid="{00000000-0005-0000-0000-0000D96D0000}"/>
    <cellStyle name="Texto de advertencia 4 16" xfId="28087" xr:uid="{00000000-0005-0000-0000-0000DA6D0000}"/>
    <cellStyle name="Texto de advertencia 4 17" xfId="28088" xr:uid="{00000000-0005-0000-0000-0000DB6D0000}"/>
    <cellStyle name="Texto de advertencia 4 18" xfId="28089" xr:uid="{00000000-0005-0000-0000-0000DC6D0000}"/>
    <cellStyle name="Texto de advertencia 4 19" xfId="28090" xr:uid="{00000000-0005-0000-0000-0000DD6D0000}"/>
    <cellStyle name="Texto de advertencia 4 2" xfId="28091" xr:uid="{00000000-0005-0000-0000-0000DE6D0000}"/>
    <cellStyle name="Texto de advertencia 4 2 2" xfId="28092" xr:uid="{00000000-0005-0000-0000-0000DF6D0000}"/>
    <cellStyle name="Texto de advertencia 4 3" xfId="28093" xr:uid="{00000000-0005-0000-0000-0000E06D0000}"/>
    <cellStyle name="Texto de advertencia 4 3 2" xfId="28094" xr:uid="{00000000-0005-0000-0000-0000E16D0000}"/>
    <cellStyle name="Texto de advertencia 4 4" xfId="28095" xr:uid="{00000000-0005-0000-0000-0000E26D0000}"/>
    <cellStyle name="Texto de advertencia 4 4 2" xfId="28096" xr:uid="{00000000-0005-0000-0000-0000E36D0000}"/>
    <cellStyle name="Texto de advertencia 4 5" xfId="28097" xr:uid="{00000000-0005-0000-0000-0000E46D0000}"/>
    <cellStyle name="Texto de advertencia 4 6" xfId="28098" xr:uid="{00000000-0005-0000-0000-0000E56D0000}"/>
    <cellStyle name="Texto de advertencia 4 7" xfId="28099" xr:uid="{00000000-0005-0000-0000-0000E66D0000}"/>
    <cellStyle name="Texto de advertencia 4 8" xfId="28100" xr:uid="{00000000-0005-0000-0000-0000E76D0000}"/>
    <cellStyle name="Texto de advertencia 4 9" xfId="28101" xr:uid="{00000000-0005-0000-0000-0000E86D0000}"/>
    <cellStyle name="Texto de advertencia 40" xfId="28102" xr:uid="{00000000-0005-0000-0000-0000E96D0000}"/>
    <cellStyle name="Texto de advertencia 40 10" xfId="28103" xr:uid="{00000000-0005-0000-0000-0000EA6D0000}"/>
    <cellStyle name="Texto de advertencia 40 11" xfId="28104" xr:uid="{00000000-0005-0000-0000-0000EB6D0000}"/>
    <cellStyle name="Texto de advertencia 40 12" xfId="28105" xr:uid="{00000000-0005-0000-0000-0000EC6D0000}"/>
    <cellStyle name="Texto de advertencia 40 13" xfId="28106" xr:uid="{00000000-0005-0000-0000-0000ED6D0000}"/>
    <cellStyle name="Texto de advertencia 40 14" xfId="28107" xr:uid="{00000000-0005-0000-0000-0000EE6D0000}"/>
    <cellStyle name="Texto de advertencia 40 15" xfId="28108" xr:uid="{00000000-0005-0000-0000-0000EF6D0000}"/>
    <cellStyle name="Texto de advertencia 40 16" xfId="28109" xr:uid="{00000000-0005-0000-0000-0000F06D0000}"/>
    <cellStyle name="Texto de advertencia 40 2" xfId="28110" xr:uid="{00000000-0005-0000-0000-0000F16D0000}"/>
    <cellStyle name="Texto de advertencia 40 3" xfId="28111" xr:uid="{00000000-0005-0000-0000-0000F26D0000}"/>
    <cellStyle name="Texto de advertencia 40 4" xfId="28112" xr:uid="{00000000-0005-0000-0000-0000F36D0000}"/>
    <cellStyle name="Texto de advertencia 40 5" xfId="28113" xr:uid="{00000000-0005-0000-0000-0000F46D0000}"/>
    <cellStyle name="Texto de advertencia 40 6" xfId="28114" xr:uid="{00000000-0005-0000-0000-0000F56D0000}"/>
    <cellStyle name="Texto de advertencia 40 7" xfId="28115" xr:uid="{00000000-0005-0000-0000-0000F66D0000}"/>
    <cellStyle name="Texto de advertencia 40 8" xfId="28116" xr:uid="{00000000-0005-0000-0000-0000F76D0000}"/>
    <cellStyle name="Texto de advertencia 40 9" xfId="28117" xr:uid="{00000000-0005-0000-0000-0000F86D0000}"/>
    <cellStyle name="Texto de advertencia 41" xfId="28118" xr:uid="{00000000-0005-0000-0000-0000F96D0000}"/>
    <cellStyle name="Texto de advertencia 41 10" xfId="28119" xr:uid="{00000000-0005-0000-0000-0000FA6D0000}"/>
    <cellStyle name="Texto de advertencia 41 11" xfId="28120" xr:uid="{00000000-0005-0000-0000-0000FB6D0000}"/>
    <cellStyle name="Texto de advertencia 41 12" xfId="28121" xr:uid="{00000000-0005-0000-0000-0000FC6D0000}"/>
    <cellStyle name="Texto de advertencia 41 13" xfId="28122" xr:uid="{00000000-0005-0000-0000-0000FD6D0000}"/>
    <cellStyle name="Texto de advertencia 41 14" xfId="28123" xr:uid="{00000000-0005-0000-0000-0000FE6D0000}"/>
    <cellStyle name="Texto de advertencia 41 15" xfId="28124" xr:uid="{00000000-0005-0000-0000-0000FF6D0000}"/>
    <cellStyle name="Texto de advertencia 41 16" xfId="28125" xr:uid="{00000000-0005-0000-0000-0000006E0000}"/>
    <cellStyle name="Texto de advertencia 41 2" xfId="28126" xr:uid="{00000000-0005-0000-0000-0000016E0000}"/>
    <cellStyle name="Texto de advertencia 41 3" xfId="28127" xr:uid="{00000000-0005-0000-0000-0000026E0000}"/>
    <cellStyle name="Texto de advertencia 41 4" xfId="28128" xr:uid="{00000000-0005-0000-0000-0000036E0000}"/>
    <cellStyle name="Texto de advertencia 41 5" xfId="28129" xr:uid="{00000000-0005-0000-0000-0000046E0000}"/>
    <cellStyle name="Texto de advertencia 41 6" xfId="28130" xr:uid="{00000000-0005-0000-0000-0000056E0000}"/>
    <cellStyle name="Texto de advertencia 41 7" xfId="28131" xr:uid="{00000000-0005-0000-0000-0000066E0000}"/>
    <cellStyle name="Texto de advertencia 41 8" xfId="28132" xr:uid="{00000000-0005-0000-0000-0000076E0000}"/>
    <cellStyle name="Texto de advertencia 41 9" xfId="28133" xr:uid="{00000000-0005-0000-0000-0000086E0000}"/>
    <cellStyle name="Texto de advertencia 42" xfId="28134" xr:uid="{00000000-0005-0000-0000-0000096E0000}"/>
    <cellStyle name="Texto de advertencia 43" xfId="28135" xr:uid="{00000000-0005-0000-0000-00000A6E0000}"/>
    <cellStyle name="Texto de advertencia 44" xfId="28136" xr:uid="{00000000-0005-0000-0000-00000B6E0000}"/>
    <cellStyle name="Texto de advertencia 45" xfId="28137" xr:uid="{00000000-0005-0000-0000-00000C6E0000}"/>
    <cellStyle name="Texto de advertencia 46" xfId="28138" xr:uid="{00000000-0005-0000-0000-00000D6E0000}"/>
    <cellStyle name="Texto de advertencia 47" xfId="28139" xr:uid="{00000000-0005-0000-0000-00000E6E0000}"/>
    <cellStyle name="Texto de advertencia 48" xfId="28140" xr:uid="{00000000-0005-0000-0000-00000F6E0000}"/>
    <cellStyle name="Texto de advertencia 49" xfId="28141" xr:uid="{00000000-0005-0000-0000-0000106E0000}"/>
    <cellStyle name="Texto de advertencia 5 10" xfId="28142" xr:uid="{00000000-0005-0000-0000-0000116E0000}"/>
    <cellStyle name="Texto de advertencia 5 11" xfId="28143" xr:uid="{00000000-0005-0000-0000-0000126E0000}"/>
    <cellStyle name="Texto de advertencia 5 12" xfId="28144" xr:uid="{00000000-0005-0000-0000-0000136E0000}"/>
    <cellStyle name="Texto de advertencia 5 13" xfId="28145" xr:uid="{00000000-0005-0000-0000-0000146E0000}"/>
    <cellStyle name="Texto de advertencia 5 14" xfId="28146" xr:uid="{00000000-0005-0000-0000-0000156E0000}"/>
    <cellStyle name="Texto de advertencia 5 15" xfId="28147" xr:uid="{00000000-0005-0000-0000-0000166E0000}"/>
    <cellStyle name="Texto de advertencia 5 16" xfId="28148" xr:uid="{00000000-0005-0000-0000-0000176E0000}"/>
    <cellStyle name="Texto de advertencia 5 17" xfId="28149" xr:uid="{00000000-0005-0000-0000-0000186E0000}"/>
    <cellStyle name="Texto de advertencia 5 18" xfId="28150" xr:uid="{00000000-0005-0000-0000-0000196E0000}"/>
    <cellStyle name="Texto de advertencia 5 19" xfId="28151" xr:uid="{00000000-0005-0000-0000-00001A6E0000}"/>
    <cellStyle name="Texto de advertencia 5 2" xfId="28152" xr:uid="{00000000-0005-0000-0000-00001B6E0000}"/>
    <cellStyle name="Texto de advertencia 5 2 2" xfId="28153" xr:uid="{00000000-0005-0000-0000-00001C6E0000}"/>
    <cellStyle name="Texto de advertencia 5 3" xfId="28154" xr:uid="{00000000-0005-0000-0000-00001D6E0000}"/>
    <cellStyle name="Texto de advertencia 5 3 2" xfId="28155" xr:uid="{00000000-0005-0000-0000-00001E6E0000}"/>
    <cellStyle name="Texto de advertencia 5 4" xfId="28156" xr:uid="{00000000-0005-0000-0000-00001F6E0000}"/>
    <cellStyle name="Texto de advertencia 5 4 2" xfId="28157" xr:uid="{00000000-0005-0000-0000-0000206E0000}"/>
    <cellStyle name="Texto de advertencia 5 5" xfId="28158" xr:uid="{00000000-0005-0000-0000-0000216E0000}"/>
    <cellStyle name="Texto de advertencia 5 6" xfId="28159" xr:uid="{00000000-0005-0000-0000-0000226E0000}"/>
    <cellStyle name="Texto de advertencia 5 7" xfId="28160" xr:uid="{00000000-0005-0000-0000-0000236E0000}"/>
    <cellStyle name="Texto de advertencia 5 8" xfId="28161" xr:uid="{00000000-0005-0000-0000-0000246E0000}"/>
    <cellStyle name="Texto de advertencia 5 9" xfId="28162" xr:uid="{00000000-0005-0000-0000-0000256E0000}"/>
    <cellStyle name="Texto de advertencia 50" xfId="28163" xr:uid="{00000000-0005-0000-0000-0000266E0000}"/>
    <cellStyle name="Texto de advertencia 51" xfId="28164" xr:uid="{00000000-0005-0000-0000-0000276E0000}"/>
    <cellStyle name="Texto de advertencia 52" xfId="28165" xr:uid="{00000000-0005-0000-0000-0000286E0000}"/>
    <cellStyle name="Texto de advertencia 53" xfId="28166" xr:uid="{00000000-0005-0000-0000-0000296E0000}"/>
    <cellStyle name="Texto de advertencia 54" xfId="28167" xr:uid="{00000000-0005-0000-0000-00002A6E0000}"/>
    <cellStyle name="Texto de advertencia 55" xfId="28168" xr:uid="{00000000-0005-0000-0000-00002B6E0000}"/>
    <cellStyle name="Texto de advertencia 56" xfId="28169" xr:uid="{00000000-0005-0000-0000-00002C6E0000}"/>
    <cellStyle name="Texto de advertencia 57" xfId="28170" xr:uid="{00000000-0005-0000-0000-00002D6E0000}"/>
    <cellStyle name="Texto de advertencia 58" xfId="28171" xr:uid="{00000000-0005-0000-0000-00002E6E0000}"/>
    <cellStyle name="Texto de advertencia 59" xfId="28172" xr:uid="{00000000-0005-0000-0000-00002F6E0000}"/>
    <cellStyle name="Texto de advertencia 6 10" xfId="28173" xr:uid="{00000000-0005-0000-0000-0000306E0000}"/>
    <cellStyle name="Texto de advertencia 6 11" xfId="28174" xr:uid="{00000000-0005-0000-0000-0000316E0000}"/>
    <cellStyle name="Texto de advertencia 6 12" xfId="28175" xr:uid="{00000000-0005-0000-0000-0000326E0000}"/>
    <cellStyle name="Texto de advertencia 6 13" xfId="28176" xr:uid="{00000000-0005-0000-0000-0000336E0000}"/>
    <cellStyle name="Texto de advertencia 6 14" xfId="28177" xr:uid="{00000000-0005-0000-0000-0000346E0000}"/>
    <cellStyle name="Texto de advertencia 6 15" xfId="28178" xr:uid="{00000000-0005-0000-0000-0000356E0000}"/>
    <cellStyle name="Texto de advertencia 6 16" xfId="28179" xr:uid="{00000000-0005-0000-0000-0000366E0000}"/>
    <cellStyle name="Texto de advertencia 6 17" xfId="28180" xr:uid="{00000000-0005-0000-0000-0000376E0000}"/>
    <cellStyle name="Texto de advertencia 6 18" xfId="28181" xr:uid="{00000000-0005-0000-0000-0000386E0000}"/>
    <cellStyle name="Texto de advertencia 6 19" xfId="28182" xr:uid="{00000000-0005-0000-0000-0000396E0000}"/>
    <cellStyle name="Texto de advertencia 6 2" xfId="28183" xr:uid="{00000000-0005-0000-0000-00003A6E0000}"/>
    <cellStyle name="Texto de advertencia 6 2 2" xfId="28184" xr:uid="{00000000-0005-0000-0000-00003B6E0000}"/>
    <cellStyle name="Texto de advertencia 6 3" xfId="28185" xr:uid="{00000000-0005-0000-0000-00003C6E0000}"/>
    <cellStyle name="Texto de advertencia 6 3 2" xfId="28186" xr:uid="{00000000-0005-0000-0000-00003D6E0000}"/>
    <cellStyle name="Texto de advertencia 6 4" xfId="28187" xr:uid="{00000000-0005-0000-0000-00003E6E0000}"/>
    <cellStyle name="Texto de advertencia 6 4 2" xfId="28188" xr:uid="{00000000-0005-0000-0000-00003F6E0000}"/>
    <cellStyle name="Texto de advertencia 6 5" xfId="28189" xr:uid="{00000000-0005-0000-0000-0000406E0000}"/>
    <cellStyle name="Texto de advertencia 6 6" xfId="28190" xr:uid="{00000000-0005-0000-0000-0000416E0000}"/>
    <cellStyle name="Texto de advertencia 6 7" xfId="28191" xr:uid="{00000000-0005-0000-0000-0000426E0000}"/>
    <cellStyle name="Texto de advertencia 6 8" xfId="28192" xr:uid="{00000000-0005-0000-0000-0000436E0000}"/>
    <cellStyle name="Texto de advertencia 6 9" xfId="28193" xr:uid="{00000000-0005-0000-0000-0000446E0000}"/>
    <cellStyle name="Texto de advertencia 60" xfId="28194" xr:uid="{00000000-0005-0000-0000-0000456E0000}"/>
    <cellStyle name="Texto de advertencia 61" xfId="28195" xr:uid="{00000000-0005-0000-0000-0000466E0000}"/>
    <cellStyle name="Texto de advertencia 62" xfId="28196" xr:uid="{00000000-0005-0000-0000-0000476E0000}"/>
    <cellStyle name="Texto de advertencia 63" xfId="28197" xr:uid="{00000000-0005-0000-0000-0000486E0000}"/>
    <cellStyle name="Texto de advertencia 64" xfId="28198" xr:uid="{00000000-0005-0000-0000-0000496E0000}"/>
    <cellStyle name="Texto de advertencia 7 10" xfId="28199" xr:uid="{00000000-0005-0000-0000-00004A6E0000}"/>
    <cellStyle name="Texto de advertencia 7 11" xfId="28200" xr:uid="{00000000-0005-0000-0000-00004B6E0000}"/>
    <cellStyle name="Texto de advertencia 7 12" xfId="28201" xr:uid="{00000000-0005-0000-0000-00004C6E0000}"/>
    <cellStyle name="Texto de advertencia 7 13" xfId="28202" xr:uid="{00000000-0005-0000-0000-00004D6E0000}"/>
    <cellStyle name="Texto de advertencia 7 14" xfId="28203" xr:uid="{00000000-0005-0000-0000-00004E6E0000}"/>
    <cellStyle name="Texto de advertencia 7 15" xfId="28204" xr:uid="{00000000-0005-0000-0000-00004F6E0000}"/>
    <cellStyle name="Texto de advertencia 7 16" xfId="28205" xr:uid="{00000000-0005-0000-0000-0000506E0000}"/>
    <cellStyle name="Texto de advertencia 7 17" xfId="28206" xr:uid="{00000000-0005-0000-0000-0000516E0000}"/>
    <cellStyle name="Texto de advertencia 7 18" xfId="28207" xr:uid="{00000000-0005-0000-0000-0000526E0000}"/>
    <cellStyle name="Texto de advertencia 7 19" xfId="28208" xr:uid="{00000000-0005-0000-0000-0000536E0000}"/>
    <cellStyle name="Texto de advertencia 7 2" xfId="28209" xr:uid="{00000000-0005-0000-0000-0000546E0000}"/>
    <cellStyle name="Texto de advertencia 7 2 2" xfId="28210" xr:uid="{00000000-0005-0000-0000-0000556E0000}"/>
    <cellStyle name="Texto de advertencia 7 3" xfId="28211" xr:uid="{00000000-0005-0000-0000-0000566E0000}"/>
    <cellStyle name="Texto de advertencia 7 3 2" xfId="28212" xr:uid="{00000000-0005-0000-0000-0000576E0000}"/>
    <cellStyle name="Texto de advertencia 7 4" xfId="28213" xr:uid="{00000000-0005-0000-0000-0000586E0000}"/>
    <cellStyle name="Texto de advertencia 7 4 2" xfId="28214" xr:uid="{00000000-0005-0000-0000-0000596E0000}"/>
    <cellStyle name="Texto de advertencia 7 5" xfId="28215" xr:uid="{00000000-0005-0000-0000-00005A6E0000}"/>
    <cellStyle name="Texto de advertencia 7 6" xfId="28216" xr:uid="{00000000-0005-0000-0000-00005B6E0000}"/>
    <cellStyle name="Texto de advertencia 7 7" xfId="28217" xr:uid="{00000000-0005-0000-0000-00005C6E0000}"/>
    <cellStyle name="Texto de advertencia 7 8" xfId="28218" xr:uid="{00000000-0005-0000-0000-00005D6E0000}"/>
    <cellStyle name="Texto de advertencia 7 9" xfId="28219" xr:uid="{00000000-0005-0000-0000-00005E6E0000}"/>
    <cellStyle name="Texto de advertencia 8 10" xfId="28220" xr:uid="{00000000-0005-0000-0000-00005F6E0000}"/>
    <cellStyle name="Texto de advertencia 8 11" xfId="28221" xr:uid="{00000000-0005-0000-0000-0000606E0000}"/>
    <cellStyle name="Texto de advertencia 8 12" xfId="28222" xr:uid="{00000000-0005-0000-0000-0000616E0000}"/>
    <cellStyle name="Texto de advertencia 8 13" xfId="28223" xr:uid="{00000000-0005-0000-0000-0000626E0000}"/>
    <cellStyle name="Texto de advertencia 8 14" xfId="28224" xr:uid="{00000000-0005-0000-0000-0000636E0000}"/>
    <cellStyle name="Texto de advertencia 8 15" xfId="28225" xr:uid="{00000000-0005-0000-0000-0000646E0000}"/>
    <cellStyle name="Texto de advertencia 8 16" xfId="28226" xr:uid="{00000000-0005-0000-0000-0000656E0000}"/>
    <cellStyle name="Texto de advertencia 8 17" xfId="28227" xr:uid="{00000000-0005-0000-0000-0000666E0000}"/>
    <cellStyle name="Texto de advertencia 8 18" xfId="28228" xr:uid="{00000000-0005-0000-0000-0000676E0000}"/>
    <cellStyle name="Texto de advertencia 8 19" xfId="28229" xr:uid="{00000000-0005-0000-0000-0000686E0000}"/>
    <cellStyle name="Texto de advertencia 8 2" xfId="28230" xr:uid="{00000000-0005-0000-0000-0000696E0000}"/>
    <cellStyle name="Texto de advertencia 8 2 2" xfId="28231" xr:uid="{00000000-0005-0000-0000-00006A6E0000}"/>
    <cellStyle name="Texto de advertencia 8 3" xfId="28232" xr:uid="{00000000-0005-0000-0000-00006B6E0000}"/>
    <cellStyle name="Texto de advertencia 8 3 2" xfId="28233" xr:uid="{00000000-0005-0000-0000-00006C6E0000}"/>
    <cellStyle name="Texto de advertencia 8 4" xfId="28234" xr:uid="{00000000-0005-0000-0000-00006D6E0000}"/>
    <cellStyle name="Texto de advertencia 8 4 2" xfId="28235" xr:uid="{00000000-0005-0000-0000-00006E6E0000}"/>
    <cellStyle name="Texto de advertencia 8 5" xfId="28236" xr:uid="{00000000-0005-0000-0000-00006F6E0000}"/>
    <cellStyle name="Texto de advertencia 8 6" xfId="28237" xr:uid="{00000000-0005-0000-0000-0000706E0000}"/>
    <cellStyle name="Texto de advertencia 8 7" xfId="28238" xr:uid="{00000000-0005-0000-0000-0000716E0000}"/>
    <cellStyle name="Texto de advertencia 8 8" xfId="28239" xr:uid="{00000000-0005-0000-0000-0000726E0000}"/>
    <cellStyle name="Texto de advertencia 8 9" xfId="28240" xr:uid="{00000000-0005-0000-0000-0000736E0000}"/>
    <cellStyle name="Texto de advertencia 9 10" xfId="28241" xr:uid="{00000000-0005-0000-0000-0000746E0000}"/>
    <cellStyle name="Texto de advertencia 9 11" xfId="28242" xr:uid="{00000000-0005-0000-0000-0000756E0000}"/>
    <cellStyle name="Texto de advertencia 9 12" xfId="28243" xr:uid="{00000000-0005-0000-0000-0000766E0000}"/>
    <cellStyle name="Texto de advertencia 9 13" xfId="28244" xr:uid="{00000000-0005-0000-0000-0000776E0000}"/>
    <cellStyle name="Texto de advertencia 9 14" xfId="28245" xr:uid="{00000000-0005-0000-0000-0000786E0000}"/>
    <cellStyle name="Texto de advertencia 9 15" xfId="28246" xr:uid="{00000000-0005-0000-0000-0000796E0000}"/>
    <cellStyle name="Texto de advertencia 9 16" xfId="28247" xr:uid="{00000000-0005-0000-0000-00007A6E0000}"/>
    <cellStyle name="Texto de advertencia 9 17" xfId="28248" xr:uid="{00000000-0005-0000-0000-00007B6E0000}"/>
    <cellStyle name="Texto de advertencia 9 18" xfId="28249" xr:uid="{00000000-0005-0000-0000-00007C6E0000}"/>
    <cellStyle name="Texto de advertencia 9 19" xfId="28250" xr:uid="{00000000-0005-0000-0000-00007D6E0000}"/>
    <cellStyle name="Texto de advertencia 9 2" xfId="28251" xr:uid="{00000000-0005-0000-0000-00007E6E0000}"/>
    <cellStyle name="Texto de advertencia 9 2 2" xfId="28252" xr:uid="{00000000-0005-0000-0000-00007F6E0000}"/>
    <cellStyle name="Texto de advertencia 9 3" xfId="28253" xr:uid="{00000000-0005-0000-0000-0000806E0000}"/>
    <cellStyle name="Texto de advertencia 9 3 2" xfId="28254" xr:uid="{00000000-0005-0000-0000-0000816E0000}"/>
    <cellStyle name="Texto de advertencia 9 4" xfId="28255" xr:uid="{00000000-0005-0000-0000-0000826E0000}"/>
    <cellStyle name="Texto de advertencia 9 4 2" xfId="28256" xr:uid="{00000000-0005-0000-0000-0000836E0000}"/>
    <cellStyle name="Texto de advertencia 9 5" xfId="28257" xr:uid="{00000000-0005-0000-0000-0000846E0000}"/>
    <cellStyle name="Texto de advertencia 9 6" xfId="28258" xr:uid="{00000000-0005-0000-0000-0000856E0000}"/>
    <cellStyle name="Texto de advertencia 9 7" xfId="28259" xr:uid="{00000000-0005-0000-0000-0000866E0000}"/>
    <cellStyle name="Texto de advertencia 9 8" xfId="28260" xr:uid="{00000000-0005-0000-0000-0000876E0000}"/>
    <cellStyle name="Texto de advertencia 9 9" xfId="28261" xr:uid="{00000000-0005-0000-0000-0000886E0000}"/>
    <cellStyle name="Texto explicativo" xfId="32527" builtinId="53" customBuiltin="1"/>
    <cellStyle name="Texto explicativo 10 10" xfId="28262" xr:uid="{00000000-0005-0000-0000-00008A6E0000}"/>
    <cellStyle name="Texto explicativo 10 11" xfId="28263" xr:uid="{00000000-0005-0000-0000-00008B6E0000}"/>
    <cellStyle name="Texto explicativo 10 12" xfId="28264" xr:uid="{00000000-0005-0000-0000-00008C6E0000}"/>
    <cellStyle name="Texto explicativo 10 13" xfId="28265" xr:uid="{00000000-0005-0000-0000-00008D6E0000}"/>
    <cellStyle name="Texto explicativo 10 14" xfId="28266" xr:uid="{00000000-0005-0000-0000-00008E6E0000}"/>
    <cellStyle name="Texto explicativo 10 15" xfId="28267" xr:uid="{00000000-0005-0000-0000-00008F6E0000}"/>
    <cellStyle name="Texto explicativo 10 16" xfId="28268" xr:uid="{00000000-0005-0000-0000-0000906E0000}"/>
    <cellStyle name="Texto explicativo 10 17" xfId="28269" xr:uid="{00000000-0005-0000-0000-0000916E0000}"/>
    <cellStyle name="Texto explicativo 10 18" xfId="28270" xr:uid="{00000000-0005-0000-0000-0000926E0000}"/>
    <cellStyle name="Texto explicativo 10 19" xfId="28271" xr:uid="{00000000-0005-0000-0000-0000936E0000}"/>
    <cellStyle name="Texto explicativo 10 2" xfId="28272" xr:uid="{00000000-0005-0000-0000-0000946E0000}"/>
    <cellStyle name="Texto explicativo 10 2 2" xfId="28273" xr:uid="{00000000-0005-0000-0000-0000956E0000}"/>
    <cellStyle name="Texto explicativo 10 3" xfId="28274" xr:uid="{00000000-0005-0000-0000-0000966E0000}"/>
    <cellStyle name="Texto explicativo 10 3 2" xfId="28275" xr:uid="{00000000-0005-0000-0000-0000976E0000}"/>
    <cellStyle name="Texto explicativo 10 4" xfId="28276" xr:uid="{00000000-0005-0000-0000-0000986E0000}"/>
    <cellStyle name="Texto explicativo 10 4 2" xfId="28277" xr:uid="{00000000-0005-0000-0000-0000996E0000}"/>
    <cellStyle name="Texto explicativo 10 5" xfId="28278" xr:uid="{00000000-0005-0000-0000-00009A6E0000}"/>
    <cellStyle name="Texto explicativo 10 6" xfId="28279" xr:uid="{00000000-0005-0000-0000-00009B6E0000}"/>
    <cellStyle name="Texto explicativo 10 7" xfId="28280" xr:uid="{00000000-0005-0000-0000-00009C6E0000}"/>
    <cellStyle name="Texto explicativo 10 8" xfId="28281" xr:uid="{00000000-0005-0000-0000-00009D6E0000}"/>
    <cellStyle name="Texto explicativo 10 9" xfId="28282" xr:uid="{00000000-0005-0000-0000-00009E6E0000}"/>
    <cellStyle name="Texto explicativo 11 10" xfId="28283" xr:uid="{00000000-0005-0000-0000-00009F6E0000}"/>
    <cellStyle name="Texto explicativo 11 11" xfId="28284" xr:uid="{00000000-0005-0000-0000-0000A06E0000}"/>
    <cellStyle name="Texto explicativo 11 12" xfId="28285" xr:uid="{00000000-0005-0000-0000-0000A16E0000}"/>
    <cellStyle name="Texto explicativo 11 13" xfId="28286" xr:uid="{00000000-0005-0000-0000-0000A26E0000}"/>
    <cellStyle name="Texto explicativo 11 14" xfId="28287" xr:uid="{00000000-0005-0000-0000-0000A36E0000}"/>
    <cellStyle name="Texto explicativo 11 15" xfId="28288" xr:uid="{00000000-0005-0000-0000-0000A46E0000}"/>
    <cellStyle name="Texto explicativo 11 16" xfId="28289" xr:uid="{00000000-0005-0000-0000-0000A56E0000}"/>
    <cellStyle name="Texto explicativo 11 17" xfId="28290" xr:uid="{00000000-0005-0000-0000-0000A66E0000}"/>
    <cellStyle name="Texto explicativo 11 18" xfId="28291" xr:uid="{00000000-0005-0000-0000-0000A76E0000}"/>
    <cellStyle name="Texto explicativo 11 19" xfId="28292" xr:uid="{00000000-0005-0000-0000-0000A86E0000}"/>
    <cellStyle name="Texto explicativo 11 2" xfId="28293" xr:uid="{00000000-0005-0000-0000-0000A96E0000}"/>
    <cellStyle name="Texto explicativo 11 2 2" xfId="28294" xr:uid="{00000000-0005-0000-0000-0000AA6E0000}"/>
    <cellStyle name="Texto explicativo 11 3" xfId="28295" xr:uid="{00000000-0005-0000-0000-0000AB6E0000}"/>
    <cellStyle name="Texto explicativo 11 3 2" xfId="28296" xr:uid="{00000000-0005-0000-0000-0000AC6E0000}"/>
    <cellStyle name="Texto explicativo 11 4" xfId="28297" xr:uid="{00000000-0005-0000-0000-0000AD6E0000}"/>
    <cellStyle name="Texto explicativo 11 4 2" xfId="28298" xr:uid="{00000000-0005-0000-0000-0000AE6E0000}"/>
    <cellStyle name="Texto explicativo 11 5" xfId="28299" xr:uid="{00000000-0005-0000-0000-0000AF6E0000}"/>
    <cellStyle name="Texto explicativo 11 6" xfId="28300" xr:uid="{00000000-0005-0000-0000-0000B06E0000}"/>
    <cellStyle name="Texto explicativo 11 7" xfId="28301" xr:uid="{00000000-0005-0000-0000-0000B16E0000}"/>
    <cellStyle name="Texto explicativo 11 8" xfId="28302" xr:uid="{00000000-0005-0000-0000-0000B26E0000}"/>
    <cellStyle name="Texto explicativo 11 9" xfId="28303" xr:uid="{00000000-0005-0000-0000-0000B36E0000}"/>
    <cellStyle name="Texto explicativo 12 10" xfId="28304" xr:uid="{00000000-0005-0000-0000-0000B46E0000}"/>
    <cellStyle name="Texto explicativo 12 11" xfId="28305" xr:uid="{00000000-0005-0000-0000-0000B56E0000}"/>
    <cellStyle name="Texto explicativo 12 12" xfId="28306" xr:uid="{00000000-0005-0000-0000-0000B66E0000}"/>
    <cellStyle name="Texto explicativo 12 13" xfId="28307" xr:uid="{00000000-0005-0000-0000-0000B76E0000}"/>
    <cellStyle name="Texto explicativo 12 14" xfId="28308" xr:uid="{00000000-0005-0000-0000-0000B86E0000}"/>
    <cellStyle name="Texto explicativo 12 15" xfId="28309" xr:uid="{00000000-0005-0000-0000-0000B96E0000}"/>
    <cellStyle name="Texto explicativo 12 16" xfId="28310" xr:uid="{00000000-0005-0000-0000-0000BA6E0000}"/>
    <cellStyle name="Texto explicativo 12 17" xfId="28311" xr:uid="{00000000-0005-0000-0000-0000BB6E0000}"/>
    <cellStyle name="Texto explicativo 12 18" xfId="28312" xr:uid="{00000000-0005-0000-0000-0000BC6E0000}"/>
    <cellStyle name="Texto explicativo 12 19" xfId="28313" xr:uid="{00000000-0005-0000-0000-0000BD6E0000}"/>
    <cellStyle name="Texto explicativo 12 2" xfId="28314" xr:uid="{00000000-0005-0000-0000-0000BE6E0000}"/>
    <cellStyle name="Texto explicativo 12 2 2" xfId="28315" xr:uid="{00000000-0005-0000-0000-0000BF6E0000}"/>
    <cellStyle name="Texto explicativo 12 3" xfId="28316" xr:uid="{00000000-0005-0000-0000-0000C06E0000}"/>
    <cellStyle name="Texto explicativo 12 3 2" xfId="28317" xr:uid="{00000000-0005-0000-0000-0000C16E0000}"/>
    <cellStyle name="Texto explicativo 12 4" xfId="28318" xr:uid="{00000000-0005-0000-0000-0000C26E0000}"/>
    <cellStyle name="Texto explicativo 12 4 2" xfId="28319" xr:uid="{00000000-0005-0000-0000-0000C36E0000}"/>
    <cellStyle name="Texto explicativo 12 5" xfId="28320" xr:uid="{00000000-0005-0000-0000-0000C46E0000}"/>
    <cellStyle name="Texto explicativo 12 6" xfId="28321" xr:uid="{00000000-0005-0000-0000-0000C56E0000}"/>
    <cellStyle name="Texto explicativo 12 7" xfId="28322" xr:uid="{00000000-0005-0000-0000-0000C66E0000}"/>
    <cellStyle name="Texto explicativo 12 8" xfId="28323" xr:uid="{00000000-0005-0000-0000-0000C76E0000}"/>
    <cellStyle name="Texto explicativo 12 9" xfId="28324" xr:uid="{00000000-0005-0000-0000-0000C86E0000}"/>
    <cellStyle name="Texto explicativo 13 10" xfId="28325" xr:uid="{00000000-0005-0000-0000-0000C96E0000}"/>
    <cellStyle name="Texto explicativo 13 11" xfId="28326" xr:uid="{00000000-0005-0000-0000-0000CA6E0000}"/>
    <cellStyle name="Texto explicativo 13 12" xfId="28327" xr:uid="{00000000-0005-0000-0000-0000CB6E0000}"/>
    <cellStyle name="Texto explicativo 13 13" xfId="28328" xr:uid="{00000000-0005-0000-0000-0000CC6E0000}"/>
    <cellStyle name="Texto explicativo 13 14" xfId="28329" xr:uid="{00000000-0005-0000-0000-0000CD6E0000}"/>
    <cellStyle name="Texto explicativo 13 15" xfId="28330" xr:uid="{00000000-0005-0000-0000-0000CE6E0000}"/>
    <cellStyle name="Texto explicativo 13 16" xfId="28331" xr:uid="{00000000-0005-0000-0000-0000CF6E0000}"/>
    <cellStyle name="Texto explicativo 13 17" xfId="28332" xr:uid="{00000000-0005-0000-0000-0000D06E0000}"/>
    <cellStyle name="Texto explicativo 13 18" xfId="28333" xr:uid="{00000000-0005-0000-0000-0000D16E0000}"/>
    <cellStyle name="Texto explicativo 13 19" xfId="28334" xr:uid="{00000000-0005-0000-0000-0000D26E0000}"/>
    <cellStyle name="Texto explicativo 13 2" xfId="28335" xr:uid="{00000000-0005-0000-0000-0000D36E0000}"/>
    <cellStyle name="Texto explicativo 13 2 2" xfId="28336" xr:uid="{00000000-0005-0000-0000-0000D46E0000}"/>
    <cellStyle name="Texto explicativo 13 3" xfId="28337" xr:uid="{00000000-0005-0000-0000-0000D56E0000}"/>
    <cellStyle name="Texto explicativo 13 3 2" xfId="28338" xr:uid="{00000000-0005-0000-0000-0000D66E0000}"/>
    <cellStyle name="Texto explicativo 13 4" xfId="28339" xr:uid="{00000000-0005-0000-0000-0000D76E0000}"/>
    <cellStyle name="Texto explicativo 13 4 2" xfId="28340" xr:uid="{00000000-0005-0000-0000-0000D86E0000}"/>
    <cellStyle name="Texto explicativo 13 5" xfId="28341" xr:uid="{00000000-0005-0000-0000-0000D96E0000}"/>
    <cellStyle name="Texto explicativo 13 6" xfId="28342" xr:uid="{00000000-0005-0000-0000-0000DA6E0000}"/>
    <cellStyle name="Texto explicativo 13 7" xfId="28343" xr:uid="{00000000-0005-0000-0000-0000DB6E0000}"/>
    <cellStyle name="Texto explicativo 13 8" xfId="28344" xr:uid="{00000000-0005-0000-0000-0000DC6E0000}"/>
    <cellStyle name="Texto explicativo 13 9" xfId="28345" xr:uid="{00000000-0005-0000-0000-0000DD6E0000}"/>
    <cellStyle name="Texto explicativo 14 10" xfId="28346" xr:uid="{00000000-0005-0000-0000-0000DE6E0000}"/>
    <cellStyle name="Texto explicativo 14 11" xfId="28347" xr:uid="{00000000-0005-0000-0000-0000DF6E0000}"/>
    <cellStyle name="Texto explicativo 14 12" xfId="28348" xr:uid="{00000000-0005-0000-0000-0000E06E0000}"/>
    <cellStyle name="Texto explicativo 14 13" xfId="28349" xr:uid="{00000000-0005-0000-0000-0000E16E0000}"/>
    <cellStyle name="Texto explicativo 14 14" xfId="28350" xr:uid="{00000000-0005-0000-0000-0000E26E0000}"/>
    <cellStyle name="Texto explicativo 14 15" xfId="28351" xr:uid="{00000000-0005-0000-0000-0000E36E0000}"/>
    <cellStyle name="Texto explicativo 14 16" xfId="28352" xr:uid="{00000000-0005-0000-0000-0000E46E0000}"/>
    <cellStyle name="Texto explicativo 14 17" xfId="28353" xr:uid="{00000000-0005-0000-0000-0000E56E0000}"/>
    <cellStyle name="Texto explicativo 14 18" xfId="28354" xr:uid="{00000000-0005-0000-0000-0000E66E0000}"/>
    <cellStyle name="Texto explicativo 14 19" xfId="28355" xr:uid="{00000000-0005-0000-0000-0000E76E0000}"/>
    <cellStyle name="Texto explicativo 14 2" xfId="28356" xr:uid="{00000000-0005-0000-0000-0000E86E0000}"/>
    <cellStyle name="Texto explicativo 14 2 2" xfId="28357" xr:uid="{00000000-0005-0000-0000-0000E96E0000}"/>
    <cellStyle name="Texto explicativo 14 3" xfId="28358" xr:uid="{00000000-0005-0000-0000-0000EA6E0000}"/>
    <cellStyle name="Texto explicativo 14 3 2" xfId="28359" xr:uid="{00000000-0005-0000-0000-0000EB6E0000}"/>
    <cellStyle name="Texto explicativo 14 4" xfId="28360" xr:uid="{00000000-0005-0000-0000-0000EC6E0000}"/>
    <cellStyle name="Texto explicativo 14 4 2" xfId="28361" xr:uid="{00000000-0005-0000-0000-0000ED6E0000}"/>
    <cellStyle name="Texto explicativo 14 5" xfId="28362" xr:uid="{00000000-0005-0000-0000-0000EE6E0000}"/>
    <cellStyle name="Texto explicativo 14 6" xfId="28363" xr:uid="{00000000-0005-0000-0000-0000EF6E0000}"/>
    <cellStyle name="Texto explicativo 14 7" xfId="28364" xr:uid="{00000000-0005-0000-0000-0000F06E0000}"/>
    <cellStyle name="Texto explicativo 14 8" xfId="28365" xr:uid="{00000000-0005-0000-0000-0000F16E0000}"/>
    <cellStyle name="Texto explicativo 14 9" xfId="28366" xr:uid="{00000000-0005-0000-0000-0000F26E0000}"/>
    <cellStyle name="Texto explicativo 15 10" xfId="28367" xr:uid="{00000000-0005-0000-0000-0000F36E0000}"/>
    <cellStyle name="Texto explicativo 15 11" xfId="28368" xr:uid="{00000000-0005-0000-0000-0000F46E0000}"/>
    <cellStyle name="Texto explicativo 15 12" xfId="28369" xr:uid="{00000000-0005-0000-0000-0000F56E0000}"/>
    <cellStyle name="Texto explicativo 15 13" xfId="28370" xr:uid="{00000000-0005-0000-0000-0000F66E0000}"/>
    <cellStyle name="Texto explicativo 15 14" xfId="28371" xr:uid="{00000000-0005-0000-0000-0000F76E0000}"/>
    <cellStyle name="Texto explicativo 15 15" xfId="28372" xr:uid="{00000000-0005-0000-0000-0000F86E0000}"/>
    <cellStyle name="Texto explicativo 15 16" xfId="28373" xr:uid="{00000000-0005-0000-0000-0000F96E0000}"/>
    <cellStyle name="Texto explicativo 15 17" xfId="28374" xr:uid="{00000000-0005-0000-0000-0000FA6E0000}"/>
    <cellStyle name="Texto explicativo 15 18" xfId="28375" xr:uid="{00000000-0005-0000-0000-0000FB6E0000}"/>
    <cellStyle name="Texto explicativo 15 19" xfId="28376" xr:uid="{00000000-0005-0000-0000-0000FC6E0000}"/>
    <cellStyle name="Texto explicativo 15 2" xfId="28377" xr:uid="{00000000-0005-0000-0000-0000FD6E0000}"/>
    <cellStyle name="Texto explicativo 15 2 2" xfId="28378" xr:uid="{00000000-0005-0000-0000-0000FE6E0000}"/>
    <cellStyle name="Texto explicativo 15 3" xfId="28379" xr:uid="{00000000-0005-0000-0000-0000FF6E0000}"/>
    <cellStyle name="Texto explicativo 15 3 2" xfId="28380" xr:uid="{00000000-0005-0000-0000-0000006F0000}"/>
    <cellStyle name="Texto explicativo 15 4" xfId="28381" xr:uid="{00000000-0005-0000-0000-0000016F0000}"/>
    <cellStyle name="Texto explicativo 15 4 2" xfId="28382" xr:uid="{00000000-0005-0000-0000-0000026F0000}"/>
    <cellStyle name="Texto explicativo 15 5" xfId="28383" xr:uid="{00000000-0005-0000-0000-0000036F0000}"/>
    <cellStyle name="Texto explicativo 15 6" xfId="28384" xr:uid="{00000000-0005-0000-0000-0000046F0000}"/>
    <cellStyle name="Texto explicativo 15 7" xfId="28385" xr:uid="{00000000-0005-0000-0000-0000056F0000}"/>
    <cellStyle name="Texto explicativo 15 8" xfId="28386" xr:uid="{00000000-0005-0000-0000-0000066F0000}"/>
    <cellStyle name="Texto explicativo 15 9" xfId="28387" xr:uid="{00000000-0005-0000-0000-0000076F0000}"/>
    <cellStyle name="Texto explicativo 16 10" xfId="28388" xr:uid="{00000000-0005-0000-0000-0000086F0000}"/>
    <cellStyle name="Texto explicativo 16 11" xfId="28389" xr:uid="{00000000-0005-0000-0000-0000096F0000}"/>
    <cellStyle name="Texto explicativo 16 12" xfId="28390" xr:uid="{00000000-0005-0000-0000-00000A6F0000}"/>
    <cellStyle name="Texto explicativo 16 13" xfId="28391" xr:uid="{00000000-0005-0000-0000-00000B6F0000}"/>
    <cellStyle name="Texto explicativo 16 14" xfId="28392" xr:uid="{00000000-0005-0000-0000-00000C6F0000}"/>
    <cellStyle name="Texto explicativo 16 15" xfId="28393" xr:uid="{00000000-0005-0000-0000-00000D6F0000}"/>
    <cellStyle name="Texto explicativo 16 16" xfId="28394" xr:uid="{00000000-0005-0000-0000-00000E6F0000}"/>
    <cellStyle name="Texto explicativo 16 17" xfId="28395" xr:uid="{00000000-0005-0000-0000-00000F6F0000}"/>
    <cellStyle name="Texto explicativo 16 18" xfId="28396" xr:uid="{00000000-0005-0000-0000-0000106F0000}"/>
    <cellStyle name="Texto explicativo 16 19" xfId="28397" xr:uid="{00000000-0005-0000-0000-0000116F0000}"/>
    <cellStyle name="Texto explicativo 16 2" xfId="28398" xr:uid="{00000000-0005-0000-0000-0000126F0000}"/>
    <cellStyle name="Texto explicativo 16 2 2" xfId="28399" xr:uid="{00000000-0005-0000-0000-0000136F0000}"/>
    <cellStyle name="Texto explicativo 16 3" xfId="28400" xr:uid="{00000000-0005-0000-0000-0000146F0000}"/>
    <cellStyle name="Texto explicativo 16 3 2" xfId="28401" xr:uid="{00000000-0005-0000-0000-0000156F0000}"/>
    <cellStyle name="Texto explicativo 16 4" xfId="28402" xr:uid="{00000000-0005-0000-0000-0000166F0000}"/>
    <cellStyle name="Texto explicativo 16 4 2" xfId="28403" xr:uid="{00000000-0005-0000-0000-0000176F0000}"/>
    <cellStyle name="Texto explicativo 16 5" xfId="28404" xr:uid="{00000000-0005-0000-0000-0000186F0000}"/>
    <cellStyle name="Texto explicativo 16 6" xfId="28405" xr:uid="{00000000-0005-0000-0000-0000196F0000}"/>
    <cellStyle name="Texto explicativo 16 7" xfId="28406" xr:uid="{00000000-0005-0000-0000-00001A6F0000}"/>
    <cellStyle name="Texto explicativo 16 8" xfId="28407" xr:uid="{00000000-0005-0000-0000-00001B6F0000}"/>
    <cellStyle name="Texto explicativo 16 9" xfId="28408" xr:uid="{00000000-0005-0000-0000-00001C6F0000}"/>
    <cellStyle name="Texto explicativo 17 10" xfId="28409" xr:uid="{00000000-0005-0000-0000-00001D6F0000}"/>
    <cellStyle name="Texto explicativo 17 11" xfId="28410" xr:uid="{00000000-0005-0000-0000-00001E6F0000}"/>
    <cellStyle name="Texto explicativo 17 12" xfId="28411" xr:uid="{00000000-0005-0000-0000-00001F6F0000}"/>
    <cellStyle name="Texto explicativo 17 13" xfId="28412" xr:uid="{00000000-0005-0000-0000-0000206F0000}"/>
    <cellStyle name="Texto explicativo 17 14" xfId="28413" xr:uid="{00000000-0005-0000-0000-0000216F0000}"/>
    <cellStyle name="Texto explicativo 17 15" xfId="28414" xr:uid="{00000000-0005-0000-0000-0000226F0000}"/>
    <cellStyle name="Texto explicativo 17 16" xfId="28415" xr:uid="{00000000-0005-0000-0000-0000236F0000}"/>
    <cellStyle name="Texto explicativo 17 17" xfId="28416" xr:uid="{00000000-0005-0000-0000-0000246F0000}"/>
    <cellStyle name="Texto explicativo 17 18" xfId="28417" xr:uid="{00000000-0005-0000-0000-0000256F0000}"/>
    <cellStyle name="Texto explicativo 17 19" xfId="28418" xr:uid="{00000000-0005-0000-0000-0000266F0000}"/>
    <cellStyle name="Texto explicativo 17 2" xfId="28419" xr:uid="{00000000-0005-0000-0000-0000276F0000}"/>
    <cellStyle name="Texto explicativo 17 2 2" xfId="28420" xr:uid="{00000000-0005-0000-0000-0000286F0000}"/>
    <cellStyle name="Texto explicativo 17 3" xfId="28421" xr:uid="{00000000-0005-0000-0000-0000296F0000}"/>
    <cellStyle name="Texto explicativo 17 3 2" xfId="28422" xr:uid="{00000000-0005-0000-0000-00002A6F0000}"/>
    <cellStyle name="Texto explicativo 17 4" xfId="28423" xr:uid="{00000000-0005-0000-0000-00002B6F0000}"/>
    <cellStyle name="Texto explicativo 17 4 2" xfId="28424" xr:uid="{00000000-0005-0000-0000-00002C6F0000}"/>
    <cellStyle name="Texto explicativo 17 5" xfId="28425" xr:uid="{00000000-0005-0000-0000-00002D6F0000}"/>
    <cellStyle name="Texto explicativo 17 6" xfId="28426" xr:uid="{00000000-0005-0000-0000-00002E6F0000}"/>
    <cellStyle name="Texto explicativo 17 7" xfId="28427" xr:uid="{00000000-0005-0000-0000-00002F6F0000}"/>
    <cellStyle name="Texto explicativo 17 8" xfId="28428" xr:uid="{00000000-0005-0000-0000-0000306F0000}"/>
    <cellStyle name="Texto explicativo 17 9" xfId="28429" xr:uid="{00000000-0005-0000-0000-0000316F0000}"/>
    <cellStyle name="Texto explicativo 18 10" xfId="28430" xr:uid="{00000000-0005-0000-0000-0000326F0000}"/>
    <cellStyle name="Texto explicativo 18 11" xfId="28431" xr:uid="{00000000-0005-0000-0000-0000336F0000}"/>
    <cellStyle name="Texto explicativo 18 12" xfId="28432" xr:uid="{00000000-0005-0000-0000-0000346F0000}"/>
    <cellStyle name="Texto explicativo 18 13" xfId="28433" xr:uid="{00000000-0005-0000-0000-0000356F0000}"/>
    <cellStyle name="Texto explicativo 18 14" xfId="28434" xr:uid="{00000000-0005-0000-0000-0000366F0000}"/>
    <cellStyle name="Texto explicativo 18 15" xfId="28435" xr:uid="{00000000-0005-0000-0000-0000376F0000}"/>
    <cellStyle name="Texto explicativo 18 16" xfId="28436" xr:uid="{00000000-0005-0000-0000-0000386F0000}"/>
    <cellStyle name="Texto explicativo 18 17" xfId="28437" xr:uid="{00000000-0005-0000-0000-0000396F0000}"/>
    <cellStyle name="Texto explicativo 18 18" xfId="28438" xr:uid="{00000000-0005-0000-0000-00003A6F0000}"/>
    <cellStyle name="Texto explicativo 18 19" xfId="28439" xr:uid="{00000000-0005-0000-0000-00003B6F0000}"/>
    <cellStyle name="Texto explicativo 18 2" xfId="28440" xr:uid="{00000000-0005-0000-0000-00003C6F0000}"/>
    <cellStyle name="Texto explicativo 18 2 2" xfId="28441" xr:uid="{00000000-0005-0000-0000-00003D6F0000}"/>
    <cellStyle name="Texto explicativo 18 3" xfId="28442" xr:uid="{00000000-0005-0000-0000-00003E6F0000}"/>
    <cellStyle name="Texto explicativo 18 3 2" xfId="28443" xr:uid="{00000000-0005-0000-0000-00003F6F0000}"/>
    <cellStyle name="Texto explicativo 18 4" xfId="28444" xr:uid="{00000000-0005-0000-0000-0000406F0000}"/>
    <cellStyle name="Texto explicativo 18 4 2" xfId="28445" xr:uid="{00000000-0005-0000-0000-0000416F0000}"/>
    <cellStyle name="Texto explicativo 18 5" xfId="28446" xr:uid="{00000000-0005-0000-0000-0000426F0000}"/>
    <cellStyle name="Texto explicativo 18 6" xfId="28447" xr:uid="{00000000-0005-0000-0000-0000436F0000}"/>
    <cellStyle name="Texto explicativo 18 7" xfId="28448" xr:uid="{00000000-0005-0000-0000-0000446F0000}"/>
    <cellStyle name="Texto explicativo 18 8" xfId="28449" xr:uid="{00000000-0005-0000-0000-0000456F0000}"/>
    <cellStyle name="Texto explicativo 18 9" xfId="28450" xr:uid="{00000000-0005-0000-0000-0000466F0000}"/>
    <cellStyle name="Texto explicativo 19 10" xfId="28451" xr:uid="{00000000-0005-0000-0000-0000476F0000}"/>
    <cellStyle name="Texto explicativo 19 11" xfId="28452" xr:uid="{00000000-0005-0000-0000-0000486F0000}"/>
    <cellStyle name="Texto explicativo 19 12" xfId="28453" xr:uid="{00000000-0005-0000-0000-0000496F0000}"/>
    <cellStyle name="Texto explicativo 19 13" xfId="28454" xr:uid="{00000000-0005-0000-0000-00004A6F0000}"/>
    <cellStyle name="Texto explicativo 19 14" xfId="28455" xr:uid="{00000000-0005-0000-0000-00004B6F0000}"/>
    <cellStyle name="Texto explicativo 19 15" xfId="28456" xr:uid="{00000000-0005-0000-0000-00004C6F0000}"/>
    <cellStyle name="Texto explicativo 19 16" xfId="28457" xr:uid="{00000000-0005-0000-0000-00004D6F0000}"/>
    <cellStyle name="Texto explicativo 19 17" xfId="28458" xr:uid="{00000000-0005-0000-0000-00004E6F0000}"/>
    <cellStyle name="Texto explicativo 19 18" xfId="28459" xr:uid="{00000000-0005-0000-0000-00004F6F0000}"/>
    <cellStyle name="Texto explicativo 19 19" xfId="28460" xr:uid="{00000000-0005-0000-0000-0000506F0000}"/>
    <cellStyle name="Texto explicativo 19 2" xfId="28461" xr:uid="{00000000-0005-0000-0000-0000516F0000}"/>
    <cellStyle name="Texto explicativo 19 2 2" xfId="28462" xr:uid="{00000000-0005-0000-0000-0000526F0000}"/>
    <cellStyle name="Texto explicativo 19 3" xfId="28463" xr:uid="{00000000-0005-0000-0000-0000536F0000}"/>
    <cellStyle name="Texto explicativo 19 3 2" xfId="28464" xr:uid="{00000000-0005-0000-0000-0000546F0000}"/>
    <cellStyle name="Texto explicativo 19 4" xfId="28465" xr:uid="{00000000-0005-0000-0000-0000556F0000}"/>
    <cellStyle name="Texto explicativo 19 4 2" xfId="28466" xr:uid="{00000000-0005-0000-0000-0000566F0000}"/>
    <cellStyle name="Texto explicativo 19 5" xfId="28467" xr:uid="{00000000-0005-0000-0000-0000576F0000}"/>
    <cellStyle name="Texto explicativo 19 6" xfId="28468" xr:uid="{00000000-0005-0000-0000-0000586F0000}"/>
    <cellStyle name="Texto explicativo 19 7" xfId="28469" xr:uid="{00000000-0005-0000-0000-0000596F0000}"/>
    <cellStyle name="Texto explicativo 19 8" xfId="28470" xr:uid="{00000000-0005-0000-0000-00005A6F0000}"/>
    <cellStyle name="Texto explicativo 19 9" xfId="28471" xr:uid="{00000000-0005-0000-0000-00005B6F0000}"/>
    <cellStyle name="Texto explicativo 2 10" xfId="28472" xr:uid="{00000000-0005-0000-0000-00005C6F0000}"/>
    <cellStyle name="Texto explicativo 2 11" xfId="28473" xr:uid="{00000000-0005-0000-0000-00005D6F0000}"/>
    <cellStyle name="Texto explicativo 2 12" xfId="28474" xr:uid="{00000000-0005-0000-0000-00005E6F0000}"/>
    <cellStyle name="Texto explicativo 2 13" xfId="28475" xr:uid="{00000000-0005-0000-0000-00005F6F0000}"/>
    <cellStyle name="Texto explicativo 2 14" xfId="28476" xr:uid="{00000000-0005-0000-0000-0000606F0000}"/>
    <cellStyle name="Texto explicativo 2 15" xfId="28477" xr:uid="{00000000-0005-0000-0000-0000616F0000}"/>
    <cellStyle name="Texto explicativo 2 16" xfId="28478" xr:uid="{00000000-0005-0000-0000-0000626F0000}"/>
    <cellStyle name="Texto explicativo 2 17" xfId="28479" xr:uid="{00000000-0005-0000-0000-0000636F0000}"/>
    <cellStyle name="Texto explicativo 2 18" xfId="28480" xr:uid="{00000000-0005-0000-0000-0000646F0000}"/>
    <cellStyle name="Texto explicativo 2 19" xfId="28481" xr:uid="{00000000-0005-0000-0000-0000656F0000}"/>
    <cellStyle name="Texto explicativo 2 2" xfId="28482" xr:uid="{00000000-0005-0000-0000-0000666F0000}"/>
    <cellStyle name="Texto explicativo 2 2 2" xfId="28483" xr:uid="{00000000-0005-0000-0000-0000676F0000}"/>
    <cellStyle name="Texto explicativo 2 3" xfId="28484" xr:uid="{00000000-0005-0000-0000-0000686F0000}"/>
    <cellStyle name="Texto explicativo 2 3 2" xfId="28485" xr:uid="{00000000-0005-0000-0000-0000696F0000}"/>
    <cellStyle name="Texto explicativo 2 4" xfId="28486" xr:uid="{00000000-0005-0000-0000-00006A6F0000}"/>
    <cellStyle name="Texto explicativo 2 4 2" xfId="28487" xr:uid="{00000000-0005-0000-0000-00006B6F0000}"/>
    <cellStyle name="Texto explicativo 2 5" xfId="28488" xr:uid="{00000000-0005-0000-0000-00006C6F0000}"/>
    <cellStyle name="Texto explicativo 2 6" xfId="28489" xr:uid="{00000000-0005-0000-0000-00006D6F0000}"/>
    <cellStyle name="Texto explicativo 2 7" xfId="28490" xr:uid="{00000000-0005-0000-0000-00006E6F0000}"/>
    <cellStyle name="Texto explicativo 2 8" xfId="28491" xr:uid="{00000000-0005-0000-0000-00006F6F0000}"/>
    <cellStyle name="Texto explicativo 2 9" xfId="28492" xr:uid="{00000000-0005-0000-0000-0000706F0000}"/>
    <cellStyle name="Texto explicativo 20 10" xfId="28493" xr:uid="{00000000-0005-0000-0000-0000716F0000}"/>
    <cellStyle name="Texto explicativo 20 11" xfId="28494" xr:uid="{00000000-0005-0000-0000-0000726F0000}"/>
    <cellStyle name="Texto explicativo 20 12" xfId="28495" xr:uid="{00000000-0005-0000-0000-0000736F0000}"/>
    <cellStyle name="Texto explicativo 20 13" xfId="28496" xr:uid="{00000000-0005-0000-0000-0000746F0000}"/>
    <cellStyle name="Texto explicativo 20 14" xfId="28497" xr:uid="{00000000-0005-0000-0000-0000756F0000}"/>
    <cellStyle name="Texto explicativo 20 15" xfId="28498" xr:uid="{00000000-0005-0000-0000-0000766F0000}"/>
    <cellStyle name="Texto explicativo 20 16" xfId="28499" xr:uid="{00000000-0005-0000-0000-0000776F0000}"/>
    <cellStyle name="Texto explicativo 20 17" xfId="28500" xr:uid="{00000000-0005-0000-0000-0000786F0000}"/>
    <cellStyle name="Texto explicativo 20 18" xfId="28501" xr:uid="{00000000-0005-0000-0000-0000796F0000}"/>
    <cellStyle name="Texto explicativo 20 19" xfId="28502" xr:uid="{00000000-0005-0000-0000-00007A6F0000}"/>
    <cellStyle name="Texto explicativo 20 2" xfId="28503" xr:uid="{00000000-0005-0000-0000-00007B6F0000}"/>
    <cellStyle name="Texto explicativo 20 2 2" xfId="28504" xr:uid="{00000000-0005-0000-0000-00007C6F0000}"/>
    <cellStyle name="Texto explicativo 20 3" xfId="28505" xr:uid="{00000000-0005-0000-0000-00007D6F0000}"/>
    <cellStyle name="Texto explicativo 20 3 2" xfId="28506" xr:uid="{00000000-0005-0000-0000-00007E6F0000}"/>
    <cellStyle name="Texto explicativo 20 4" xfId="28507" xr:uid="{00000000-0005-0000-0000-00007F6F0000}"/>
    <cellStyle name="Texto explicativo 20 4 2" xfId="28508" xr:uid="{00000000-0005-0000-0000-0000806F0000}"/>
    <cellStyle name="Texto explicativo 20 5" xfId="28509" xr:uid="{00000000-0005-0000-0000-0000816F0000}"/>
    <cellStyle name="Texto explicativo 20 6" xfId="28510" xr:uid="{00000000-0005-0000-0000-0000826F0000}"/>
    <cellStyle name="Texto explicativo 20 7" xfId="28511" xr:uid="{00000000-0005-0000-0000-0000836F0000}"/>
    <cellStyle name="Texto explicativo 20 8" xfId="28512" xr:uid="{00000000-0005-0000-0000-0000846F0000}"/>
    <cellStyle name="Texto explicativo 20 9" xfId="28513" xr:uid="{00000000-0005-0000-0000-0000856F0000}"/>
    <cellStyle name="Texto explicativo 21 10" xfId="28514" xr:uid="{00000000-0005-0000-0000-0000866F0000}"/>
    <cellStyle name="Texto explicativo 21 11" xfId="28515" xr:uid="{00000000-0005-0000-0000-0000876F0000}"/>
    <cellStyle name="Texto explicativo 21 12" xfId="28516" xr:uid="{00000000-0005-0000-0000-0000886F0000}"/>
    <cellStyle name="Texto explicativo 21 13" xfId="28517" xr:uid="{00000000-0005-0000-0000-0000896F0000}"/>
    <cellStyle name="Texto explicativo 21 14" xfId="28518" xr:uid="{00000000-0005-0000-0000-00008A6F0000}"/>
    <cellStyle name="Texto explicativo 21 15" xfId="28519" xr:uid="{00000000-0005-0000-0000-00008B6F0000}"/>
    <cellStyle name="Texto explicativo 21 16" xfId="28520" xr:uid="{00000000-0005-0000-0000-00008C6F0000}"/>
    <cellStyle name="Texto explicativo 21 17" xfId="28521" xr:uid="{00000000-0005-0000-0000-00008D6F0000}"/>
    <cellStyle name="Texto explicativo 21 18" xfId="28522" xr:uid="{00000000-0005-0000-0000-00008E6F0000}"/>
    <cellStyle name="Texto explicativo 21 19" xfId="28523" xr:uid="{00000000-0005-0000-0000-00008F6F0000}"/>
    <cellStyle name="Texto explicativo 21 2" xfId="28524" xr:uid="{00000000-0005-0000-0000-0000906F0000}"/>
    <cellStyle name="Texto explicativo 21 2 2" xfId="28525" xr:uid="{00000000-0005-0000-0000-0000916F0000}"/>
    <cellStyle name="Texto explicativo 21 3" xfId="28526" xr:uid="{00000000-0005-0000-0000-0000926F0000}"/>
    <cellStyle name="Texto explicativo 21 3 2" xfId="28527" xr:uid="{00000000-0005-0000-0000-0000936F0000}"/>
    <cellStyle name="Texto explicativo 21 4" xfId="28528" xr:uid="{00000000-0005-0000-0000-0000946F0000}"/>
    <cellStyle name="Texto explicativo 21 4 2" xfId="28529" xr:uid="{00000000-0005-0000-0000-0000956F0000}"/>
    <cellStyle name="Texto explicativo 21 5" xfId="28530" xr:uid="{00000000-0005-0000-0000-0000966F0000}"/>
    <cellStyle name="Texto explicativo 21 6" xfId="28531" xr:uid="{00000000-0005-0000-0000-0000976F0000}"/>
    <cellStyle name="Texto explicativo 21 7" xfId="28532" xr:uid="{00000000-0005-0000-0000-0000986F0000}"/>
    <cellStyle name="Texto explicativo 21 8" xfId="28533" xr:uid="{00000000-0005-0000-0000-0000996F0000}"/>
    <cellStyle name="Texto explicativo 21 9" xfId="28534" xr:uid="{00000000-0005-0000-0000-00009A6F0000}"/>
    <cellStyle name="Texto explicativo 22 10" xfId="28535" xr:uid="{00000000-0005-0000-0000-00009B6F0000}"/>
    <cellStyle name="Texto explicativo 22 11" xfId="28536" xr:uid="{00000000-0005-0000-0000-00009C6F0000}"/>
    <cellStyle name="Texto explicativo 22 12" xfId="28537" xr:uid="{00000000-0005-0000-0000-00009D6F0000}"/>
    <cellStyle name="Texto explicativo 22 13" xfId="28538" xr:uid="{00000000-0005-0000-0000-00009E6F0000}"/>
    <cellStyle name="Texto explicativo 22 14" xfId="28539" xr:uid="{00000000-0005-0000-0000-00009F6F0000}"/>
    <cellStyle name="Texto explicativo 22 15" xfId="28540" xr:uid="{00000000-0005-0000-0000-0000A06F0000}"/>
    <cellStyle name="Texto explicativo 22 16" xfId="28541" xr:uid="{00000000-0005-0000-0000-0000A16F0000}"/>
    <cellStyle name="Texto explicativo 22 17" xfId="28542" xr:uid="{00000000-0005-0000-0000-0000A26F0000}"/>
    <cellStyle name="Texto explicativo 22 18" xfId="28543" xr:uid="{00000000-0005-0000-0000-0000A36F0000}"/>
    <cellStyle name="Texto explicativo 22 19" xfId="28544" xr:uid="{00000000-0005-0000-0000-0000A46F0000}"/>
    <cellStyle name="Texto explicativo 22 2" xfId="28545" xr:uid="{00000000-0005-0000-0000-0000A56F0000}"/>
    <cellStyle name="Texto explicativo 22 2 2" xfId="28546" xr:uid="{00000000-0005-0000-0000-0000A66F0000}"/>
    <cellStyle name="Texto explicativo 22 3" xfId="28547" xr:uid="{00000000-0005-0000-0000-0000A76F0000}"/>
    <cellStyle name="Texto explicativo 22 3 2" xfId="28548" xr:uid="{00000000-0005-0000-0000-0000A86F0000}"/>
    <cellStyle name="Texto explicativo 22 4" xfId="28549" xr:uid="{00000000-0005-0000-0000-0000A96F0000}"/>
    <cellStyle name="Texto explicativo 22 4 2" xfId="28550" xr:uid="{00000000-0005-0000-0000-0000AA6F0000}"/>
    <cellStyle name="Texto explicativo 22 5" xfId="28551" xr:uid="{00000000-0005-0000-0000-0000AB6F0000}"/>
    <cellStyle name="Texto explicativo 22 6" xfId="28552" xr:uid="{00000000-0005-0000-0000-0000AC6F0000}"/>
    <cellStyle name="Texto explicativo 22 7" xfId="28553" xr:uid="{00000000-0005-0000-0000-0000AD6F0000}"/>
    <cellStyle name="Texto explicativo 22 8" xfId="28554" xr:uid="{00000000-0005-0000-0000-0000AE6F0000}"/>
    <cellStyle name="Texto explicativo 22 9" xfId="28555" xr:uid="{00000000-0005-0000-0000-0000AF6F0000}"/>
    <cellStyle name="Texto explicativo 23 10" xfId="28556" xr:uid="{00000000-0005-0000-0000-0000B06F0000}"/>
    <cellStyle name="Texto explicativo 23 11" xfId="28557" xr:uid="{00000000-0005-0000-0000-0000B16F0000}"/>
    <cellStyle name="Texto explicativo 23 12" xfId="28558" xr:uid="{00000000-0005-0000-0000-0000B26F0000}"/>
    <cellStyle name="Texto explicativo 23 13" xfId="28559" xr:uid="{00000000-0005-0000-0000-0000B36F0000}"/>
    <cellStyle name="Texto explicativo 23 14" xfId="28560" xr:uid="{00000000-0005-0000-0000-0000B46F0000}"/>
    <cellStyle name="Texto explicativo 23 15" xfId="28561" xr:uid="{00000000-0005-0000-0000-0000B56F0000}"/>
    <cellStyle name="Texto explicativo 23 16" xfId="28562" xr:uid="{00000000-0005-0000-0000-0000B66F0000}"/>
    <cellStyle name="Texto explicativo 23 17" xfId="28563" xr:uid="{00000000-0005-0000-0000-0000B76F0000}"/>
    <cellStyle name="Texto explicativo 23 18" xfId="28564" xr:uid="{00000000-0005-0000-0000-0000B86F0000}"/>
    <cellStyle name="Texto explicativo 23 19" xfId="28565" xr:uid="{00000000-0005-0000-0000-0000B96F0000}"/>
    <cellStyle name="Texto explicativo 23 2" xfId="28566" xr:uid="{00000000-0005-0000-0000-0000BA6F0000}"/>
    <cellStyle name="Texto explicativo 23 2 2" xfId="28567" xr:uid="{00000000-0005-0000-0000-0000BB6F0000}"/>
    <cellStyle name="Texto explicativo 23 3" xfId="28568" xr:uid="{00000000-0005-0000-0000-0000BC6F0000}"/>
    <cellStyle name="Texto explicativo 23 3 2" xfId="28569" xr:uid="{00000000-0005-0000-0000-0000BD6F0000}"/>
    <cellStyle name="Texto explicativo 23 4" xfId="28570" xr:uid="{00000000-0005-0000-0000-0000BE6F0000}"/>
    <cellStyle name="Texto explicativo 23 4 2" xfId="28571" xr:uid="{00000000-0005-0000-0000-0000BF6F0000}"/>
    <cellStyle name="Texto explicativo 23 5" xfId="28572" xr:uid="{00000000-0005-0000-0000-0000C06F0000}"/>
    <cellStyle name="Texto explicativo 23 6" xfId="28573" xr:uid="{00000000-0005-0000-0000-0000C16F0000}"/>
    <cellStyle name="Texto explicativo 23 7" xfId="28574" xr:uid="{00000000-0005-0000-0000-0000C26F0000}"/>
    <cellStyle name="Texto explicativo 23 8" xfId="28575" xr:uid="{00000000-0005-0000-0000-0000C36F0000}"/>
    <cellStyle name="Texto explicativo 23 9" xfId="28576" xr:uid="{00000000-0005-0000-0000-0000C46F0000}"/>
    <cellStyle name="Texto explicativo 24 10" xfId="28577" xr:uid="{00000000-0005-0000-0000-0000C56F0000}"/>
    <cellStyle name="Texto explicativo 24 11" xfId="28578" xr:uid="{00000000-0005-0000-0000-0000C66F0000}"/>
    <cellStyle name="Texto explicativo 24 12" xfId="28579" xr:uid="{00000000-0005-0000-0000-0000C76F0000}"/>
    <cellStyle name="Texto explicativo 24 13" xfId="28580" xr:uid="{00000000-0005-0000-0000-0000C86F0000}"/>
    <cellStyle name="Texto explicativo 24 14" xfId="28581" xr:uid="{00000000-0005-0000-0000-0000C96F0000}"/>
    <cellStyle name="Texto explicativo 24 15" xfId="28582" xr:uid="{00000000-0005-0000-0000-0000CA6F0000}"/>
    <cellStyle name="Texto explicativo 24 16" xfId="28583" xr:uid="{00000000-0005-0000-0000-0000CB6F0000}"/>
    <cellStyle name="Texto explicativo 24 17" xfId="28584" xr:uid="{00000000-0005-0000-0000-0000CC6F0000}"/>
    <cellStyle name="Texto explicativo 24 18" xfId="28585" xr:uid="{00000000-0005-0000-0000-0000CD6F0000}"/>
    <cellStyle name="Texto explicativo 24 19" xfId="28586" xr:uid="{00000000-0005-0000-0000-0000CE6F0000}"/>
    <cellStyle name="Texto explicativo 24 2" xfId="28587" xr:uid="{00000000-0005-0000-0000-0000CF6F0000}"/>
    <cellStyle name="Texto explicativo 24 2 2" xfId="28588" xr:uid="{00000000-0005-0000-0000-0000D06F0000}"/>
    <cellStyle name="Texto explicativo 24 3" xfId="28589" xr:uid="{00000000-0005-0000-0000-0000D16F0000}"/>
    <cellStyle name="Texto explicativo 24 3 2" xfId="28590" xr:uid="{00000000-0005-0000-0000-0000D26F0000}"/>
    <cellStyle name="Texto explicativo 24 4" xfId="28591" xr:uid="{00000000-0005-0000-0000-0000D36F0000}"/>
    <cellStyle name="Texto explicativo 24 4 2" xfId="28592" xr:uid="{00000000-0005-0000-0000-0000D46F0000}"/>
    <cellStyle name="Texto explicativo 24 5" xfId="28593" xr:uid="{00000000-0005-0000-0000-0000D56F0000}"/>
    <cellStyle name="Texto explicativo 24 6" xfId="28594" xr:uid="{00000000-0005-0000-0000-0000D66F0000}"/>
    <cellStyle name="Texto explicativo 24 7" xfId="28595" xr:uid="{00000000-0005-0000-0000-0000D76F0000}"/>
    <cellStyle name="Texto explicativo 24 8" xfId="28596" xr:uid="{00000000-0005-0000-0000-0000D86F0000}"/>
    <cellStyle name="Texto explicativo 24 9" xfId="28597" xr:uid="{00000000-0005-0000-0000-0000D96F0000}"/>
    <cellStyle name="Texto explicativo 25 10" xfId="28598" xr:uid="{00000000-0005-0000-0000-0000DA6F0000}"/>
    <cellStyle name="Texto explicativo 25 11" xfId="28599" xr:uid="{00000000-0005-0000-0000-0000DB6F0000}"/>
    <cellStyle name="Texto explicativo 25 12" xfId="28600" xr:uid="{00000000-0005-0000-0000-0000DC6F0000}"/>
    <cellStyle name="Texto explicativo 25 13" xfId="28601" xr:uid="{00000000-0005-0000-0000-0000DD6F0000}"/>
    <cellStyle name="Texto explicativo 25 14" xfId="28602" xr:uid="{00000000-0005-0000-0000-0000DE6F0000}"/>
    <cellStyle name="Texto explicativo 25 15" xfId="28603" xr:uid="{00000000-0005-0000-0000-0000DF6F0000}"/>
    <cellStyle name="Texto explicativo 25 16" xfId="28604" xr:uid="{00000000-0005-0000-0000-0000E06F0000}"/>
    <cellStyle name="Texto explicativo 25 17" xfId="28605" xr:uid="{00000000-0005-0000-0000-0000E16F0000}"/>
    <cellStyle name="Texto explicativo 25 18" xfId="28606" xr:uid="{00000000-0005-0000-0000-0000E26F0000}"/>
    <cellStyle name="Texto explicativo 25 19" xfId="28607" xr:uid="{00000000-0005-0000-0000-0000E36F0000}"/>
    <cellStyle name="Texto explicativo 25 2" xfId="28608" xr:uid="{00000000-0005-0000-0000-0000E46F0000}"/>
    <cellStyle name="Texto explicativo 25 2 2" xfId="28609" xr:uid="{00000000-0005-0000-0000-0000E56F0000}"/>
    <cellStyle name="Texto explicativo 25 3" xfId="28610" xr:uid="{00000000-0005-0000-0000-0000E66F0000}"/>
    <cellStyle name="Texto explicativo 25 3 2" xfId="28611" xr:uid="{00000000-0005-0000-0000-0000E76F0000}"/>
    <cellStyle name="Texto explicativo 25 4" xfId="28612" xr:uid="{00000000-0005-0000-0000-0000E86F0000}"/>
    <cellStyle name="Texto explicativo 25 4 2" xfId="28613" xr:uid="{00000000-0005-0000-0000-0000E96F0000}"/>
    <cellStyle name="Texto explicativo 25 5" xfId="28614" xr:uid="{00000000-0005-0000-0000-0000EA6F0000}"/>
    <cellStyle name="Texto explicativo 25 6" xfId="28615" xr:uid="{00000000-0005-0000-0000-0000EB6F0000}"/>
    <cellStyle name="Texto explicativo 25 7" xfId="28616" xr:uid="{00000000-0005-0000-0000-0000EC6F0000}"/>
    <cellStyle name="Texto explicativo 25 8" xfId="28617" xr:uid="{00000000-0005-0000-0000-0000ED6F0000}"/>
    <cellStyle name="Texto explicativo 25 9" xfId="28618" xr:uid="{00000000-0005-0000-0000-0000EE6F0000}"/>
    <cellStyle name="Texto explicativo 26 10" xfId="28619" xr:uid="{00000000-0005-0000-0000-0000EF6F0000}"/>
    <cellStyle name="Texto explicativo 26 11" xfId="28620" xr:uid="{00000000-0005-0000-0000-0000F06F0000}"/>
    <cellStyle name="Texto explicativo 26 12" xfId="28621" xr:uid="{00000000-0005-0000-0000-0000F16F0000}"/>
    <cellStyle name="Texto explicativo 26 13" xfId="28622" xr:uid="{00000000-0005-0000-0000-0000F26F0000}"/>
    <cellStyle name="Texto explicativo 26 14" xfId="28623" xr:uid="{00000000-0005-0000-0000-0000F36F0000}"/>
    <cellStyle name="Texto explicativo 26 15" xfId="28624" xr:uid="{00000000-0005-0000-0000-0000F46F0000}"/>
    <cellStyle name="Texto explicativo 26 16" xfId="28625" xr:uid="{00000000-0005-0000-0000-0000F56F0000}"/>
    <cellStyle name="Texto explicativo 26 17" xfId="28626" xr:uid="{00000000-0005-0000-0000-0000F66F0000}"/>
    <cellStyle name="Texto explicativo 26 18" xfId="28627" xr:uid="{00000000-0005-0000-0000-0000F76F0000}"/>
    <cellStyle name="Texto explicativo 26 19" xfId="28628" xr:uid="{00000000-0005-0000-0000-0000F86F0000}"/>
    <cellStyle name="Texto explicativo 26 2" xfId="28629" xr:uid="{00000000-0005-0000-0000-0000F96F0000}"/>
    <cellStyle name="Texto explicativo 26 2 2" xfId="28630" xr:uid="{00000000-0005-0000-0000-0000FA6F0000}"/>
    <cellStyle name="Texto explicativo 26 3" xfId="28631" xr:uid="{00000000-0005-0000-0000-0000FB6F0000}"/>
    <cellStyle name="Texto explicativo 26 3 2" xfId="28632" xr:uid="{00000000-0005-0000-0000-0000FC6F0000}"/>
    <cellStyle name="Texto explicativo 26 4" xfId="28633" xr:uid="{00000000-0005-0000-0000-0000FD6F0000}"/>
    <cellStyle name="Texto explicativo 26 4 2" xfId="28634" xr:uid="{00000000-0005-0000-0000-0000FE6F0000}"/>
    <cellStyle name="Texto explicativo 26 5" xfId="28635" xr:uid="{00000000-0005-0000-0000-0000FF6F0000}"/>
    <cellStyle name="Texto explicativo 26 6" xfId="28636" xr:uid="{00000000-0005-0000-0000-000000700000}"/>
    <cellStyle name="Texto explicativo 26 7" xfId="28637" xr:uid="{00000000-0005-0000-0000-000001700000}"/>
    <cellStyle name="Texto explicativo 26 8" xfId="28638" xr:uid="{00000000-0005-0000-0000-000002700000}"/>
    <cellStyle name="Texto explicativo 26 9" xfId="28639" xr:uid="{00000000-0005-0000-0000-000003700000}"/>
    <cellStyle name="Texto explicativo 27 10" xfId="28640" xr:uid="{00000000-0005-0000-0000-000004700000}"/>
    <cellStyle name="Texto explicativo 27 11" xfId="28641" xr:uid="{00000000-0005-0000-0000-000005700000}"/>
    <cellStyle name="Texto explicativo 27 12" xfId="28642" xr:uid="{00000000-0005-0000-0000-000006700000}"/>
    <cellStyle name="Texto explicativo 27 13" xfId="28643" xr:uid="{00000000-0005-0000-0000-000007700000}"/>
    <cellStyle name="Texto explicativo 27 14" xfId="28644" xr:uid="{00000000-0005-0000-0000-000008700000}"/>
    <cellStyle name="Texto explicativo 27 15" xfId="28645" xr:uid="{00000000-0005-0000-0000-000009700000}"/>
    <cellStyle name="Texto explicativo 27 16" xfId="28646" xr:uid="{00000000-0005-0000-0000-00000A700000}"/>
    <cellStyle name="Texto explicativo 27 17" xfId="28647" xr:uid="{00000000-0005-0000-0000-00000B700000}"/>
    <cellStyle name="Texto explicativo 27 18" xfId="28648" xr:uid="{00000000-0005-0000-0000-00000C700000}"/>
    <cellStyle name="Texto explicativo 27 19" xfId="28649" xr:uid="{00000000-0005-0000-0000-00000D700000}"/>
    <cellStyle name="Texto explicativo 27 2" xfId="28650" xr:uid="{00000000-0005-0000-0000-00000E700000}"/>
    <cellStyle name="Texto explicativo 27 2 2" xfId="28651" xr:uid="{00000000-0005-0000-0000-00000F700000}"/>
    <cellStyle name="Texto explicativo 27 3" xfId="28652" xr:uid="{00000000-0005-0000-0000-000010700000}"/>
    <cellStyle name="Texto explicativo 27 3 2" xfId="28653" xr:uid="{00000000-0005-0000-0000-000011700000}"/>
    <cellStyle name="Texto explicativo 27 4" xfId="28654" xr:uid="{00000000-0005-0000-0000-000012700000}"/>
    <cellStyle name="Texto explicativo 27 4 2" xfId="28655" xr:uid="{00000000-0005-0000-0000-000013700000}"/>
    <cellStyle name="Texto explicativo 27 5" xfId="28656" xr:uid="{00000000-0005-0000-0000-000014700000}"/>
    <cellStyle name="Texto explicativo 27 6" xfId="28657" xr:uid="{00000000-0005-0000-0000-000015700000}"/>
    <cellStyle name="Texto explicativo 27 7" xfId="28658" xr:uid="{00000000-0005-0000-0000-000016700000}"/>
    <cellStyle name="Texto explicativo 27 8" xfId="28659" xr:uid="{00000000-0005-0000-0000-000017700000}"/>
    <cellStyle name="Texto explicativo 27 9" xfId="28660" xr:uid="{00000000-0005-0000-0000-000018700000}"/>
    <cellStyle name="Texto explicativo 28 10" xfId="28661" xr:uid="{00000000-0005-0000-0000-000019700000}"/>
    <cellStyle name="Texto explicativo 28 11" xfId="28662" xr:uid="{00000000-0005-0000-0000-00001A700000}"/>
    <cellStyle name="Texto explicativo 28 12" xfId="28663" xr:uid="{00000000-0005-0000-0000-00001B700000}"/>
    <cellStyle name="Texto explicativo 28 13" xfId="28664" xr:uid="{00000000-0005-0000-0000-00001C700000}"/>
    <cellStyle name="Texto explicativo 28 14" xfId="28665" xr:uid="{00000000-0005-0000-0000-00001D700000}"/>
    <cellStyle name="Texto explicativo 28 15" xfId="28666" xr:uid="{00000000-0005-0000-0000-00001E700000}"/>
    <cellStyle name="Texto explicativo 28 16" xfId="28667" xr:uid="{00000000-0005-0000-0000-00001F700000}"/>
    <cellStyle name="Texto explicativo 28 17" xfId="28668" xr:uid="{00000000-0005-0000-0000-000020700000}"/>
    <cellStyle name="Texto explicativo 28 18" xfId="28669" xr:uid="{00000000-0005-0000-0000-000021700000}"/>
    <cellStyle name="Texto explicativo 28 19" xfId="28670" xr:uid="{00000000-0005-0000-0000-000022700000}"/>
    <cellStyle name="Texto explicativo 28 2" xfId="28671" xr:uid="{00000000-0005-0000-0000-000023700000}"/>
    <cellStyle name="Texto explicativo 28 2 2" xfId="28672" xr:uid="{00000000-0005-0000-0000-000024700000}"/>
    <cellStyle name="Texto explicativo 28 3" xfId="28673" xr:uid="{00000000-0005-0000-0000-000025700000}"/>
    <cellStyle name="Texto explicativo 28 3 2" xfId="28674" xr:uid="{00000000-0005-0000-0000-000026700000}"/>
    <cellStyle name="Texto explicativo 28 4" xfId="28675" xr:uid="{00000000-0005-0000-0000-000027700000}"/>
    <cellStyle name="Texto explicativo 28 4 2" xfId="28676" xr:uid="{00000000-0005-0000-0000-000028700000}"/>
    <cellStyle name="Texto explicativo 28 5" xfId="28677" xr:uid="{00000000-0005-0000-0000-000029700000}"/>
    <cellStyle name="Texto explicativo 28 6" xfId="28678" xr:uid="{00000000-0005-0000-0000-00002A700000}"/>
    <cellStyle name="Texto explicativo 28 7" xfId="28679" xr:uid="{00000000-0005-0000-0000-00002B700000}"/>
    <cellStyle name="Texto explicativo 28 8" xfId="28680" xr:uid="{00000000-0005-0000-0000-00002C700000}"/>
    <cellStyle name="Texto explicativo 28 9" xfId="28681" xr:uid="{00000000-0005-0000-0000-00002D700000}"/>
    <cellStyle name="Texto explicativo 29 10" xfId="28682" xr:uid="{00000000-0005-0000-0000-00002E700000}"/>
    <cellStyle name="Texto explicativo 29 11" xfId="28683" xr:uid="{00000000-0005-0000-0000-00002F700000}"/>
    <cellStyle name="Texto explicativo 29 12" xfId="28684" xr:uid="{00000000-0005-0000-0000-000030700000}"/>
    <cellStyle name="Texto explicativo 29 13" xfId="28685" xr:uid="{00000000-0005-0000-0000-000031700000}"/>
    <cellStyle name="Texto explicativo 29 14" xfId="28686" xr:uid="{00000000-0005-0000-0000-000032700000}"/>
    <cellStyle name="Texto explicativo 29 15" xfId="28687" xr:uid="{00000000-0005-0000-0000-000033700000}"/>
    <cellStyle name="Texto explicativo 29 16" xfId="28688" xr:uid="{00000000-0005-0000-0000-000034700000}"/>
    <cellStyle name="Texto explicativo 29 17" xfId="28689" xr:uid="{00000000-0005-0000-0000-000035700000}"/>
    <cellStyle name="Texto explicativo 29 18" xfId="28690" xr:uid="{00000000-0005-0000-0000-000036700000}"/>
    <cellStyle name="Texto explicativo 29 19" xfId="28691" xr:uid="{00000000-0005-0000-0000-000037700000}"/>
    <cellStyle name="Texto explicativo 29 2" xfId="28692" xr:uid="{00000000-0005-0000-0000-000038700000}"/>
    <cellStyle name="Texto explicativo 29 2 2" xfId="28693" xr:uid="{00000000-0005-0000-0000-000039700000}"/>
    <cellStyle name="Texto explicativo 29 3" xfId="28694" xr:uid="{00000000-0005-0000-0000-00003A700000}"/>
    <cellStyle name="Texto explicativo 29 3 2" xfId="28695" xr:uid="{00000000-0005-0000-0000-00003B700000}"/>
    <cellStyle name="Texto explicativo 29 4" xfId="28696" xr:uid="{00000000-0005-0000-0000-00003C700000}"/>
    <cellStyle name="Texto explicativo 29 4 2" xfId="28697" xr:uid="{00000000-0005-0000-0000-00003D700000}"/>
    <cellStyle name="Texto explicativo 29 5" xfId="28698" xr:uid="{00000000-0005-0000-0000-00003E700000}"/>
    <cellStyle name="Texto explicativo 29 6" xfId="28699" xr:uid="{00000000-0005-0000-0000-00003F700000}"/>
    <cellStyle name="Texto explicativo 29 7" xfId="28700" xr:uid="{00000000-0005-0000-0000-000040700000}"/>
    <cellStyle name="Texto explicativo 29 8" xfId="28701" xr:uid="{00000000-0005-0000-0000-000041700000}"/>
    <cellStyle name="Texto explicativo 29 9" xfId="28702" xr:uid="{00000000-0005-0000-0000-000042700000}"/>
    <cellStyle name="Texto explicativo 3 10" xfId="28703" xr:uid="{00000000-0005-0000-0000-000043700000}"/>
    <cellStyle name="Texto explicativo 3 11" xfId="28704" xr:uid="{00000000-0005-0000-0000-000044700000}"/>
    <cellStyle name="Texto explicativo 3 12" xfId="28705" xr:uid="{00000000-0005-0000-0000-000045700000}"/>
    <cellStyle name="Texto explicativo 3 13" xfId="28706" xr:uid="{00000000-0005-0000-0000-000046700000}"/>
    <cellStyle name="Texto explicativo 3 14" xfId="28707" xr:uid="{00000000-0005-0000-0000-000047700000}"/>
    <cellStyle name="Texto explicativo 3 15" xfId="28708" xr:uid="{00000000-0005-0000-0000-000048700000}"/>
    <cellStyle name="Texto explicativo 3 16" xfId="28709" xr:uid="{00000000-0005-0000-0000-000049700000}"/>
    <cellStyle name="Texto explicativo 3 17" xfId="28710" xr:uid="{00000000-0005-0000-0000-00004A700000}"/>
    <cellStyle name="Texto explicativo 3 18" xfId="28711" xr:uid="{00000000-0005-0000-0000-00004B700000}"/>
    <cellStyle name="Texto explicativo 3 19" xfId="28712" xr:uid="{00000000-0005-0000-0000-00004C700000}"/>
    <cellStyle name="Texto explicativo 3 2" xfId="28713" xr:uid="{00000000-0005-0000-0000-00004D700000}"/>
    <cellStyle name="Texto explicativo 3 2 2" xfId="28714" xr:uid="{00000000-0005-0000-0000-00004E700000}"/>
    <cellStyle name="Texto explicativo 3 3" xfId="28715" xr:uid="{00000000-0005-0000-0000-00004F700000}"/>
    <cellStyle name="Texto explicativo 3 3 2" xfId="28716" xr:uid="{00000000-0005-0000-0000-000050700000}"/>
    <cellStyle name="Texto explicativo 3 4" xfId="28717" xr:uid="{00000000-0005-0000-0000-000051700000}"/>
    <cellStyle name="Texto explicativo 3 4 2" xfId="28718" xr:uid="{00000000-0005-0000-0000-000052700000}"/>
    <cellStyle name="Texto explicativo 3 5" xfId="28719" xr:uid="{00000000-0005-0000-0000-000053700000}"/>
    <cellStyle name="Texto explicativo 3 6" xfId="28720" xr:uid="{00000000-0005-0000-0000-000054700000}"/>
    <cellStyle name="Texto explicativo 3 7" xfId="28721" xr:uid="{00000000-0005-0000-0000-000055700000}"/>
    <cellStyle name="Texto explicativo 3 8" xfId="28722" xr:uid="{00000000-0005-0000-0000-000056700000}"/>
    <cellStyle name="Texto explicativo 3 9" xfId="28723" xr:uid="{00000000-0005-0000-0000-000057700000}"/>
    <cellStyle name="Texto explicativo 30 10" xfId="28724" xr:uid="{00000000-0005-0000-0000-000058700000}"/>
    <cellStyle name="Texto explicativo 30 11" xfId="28725" xr:uid="{00000000-0005-0000-0000-000059700000}"/>
    <cellStyle name="Texto explicativo 30 12" xfId="28726" xr:uid="{00000000-0005-0000-0000-00005A700000}"/>
    <cellStyle name="Texto explicativo 30 13" xfId="28727" xr:uid="{00000000-0005-0000-0000-00005B700000}"/>
    <cellStyle name="Texto explicativo 30 14" xfId="28728" xr:uid="{00000000-0005-0000-0000-00005C700000}"/>
    <cellStyle name="Texto explicativo 30 15" xfId="28729" xr:uid="{00000000-0005-0000-0000-00005D700000}"/>
    <cellStyle name="Texto explicativo 30 16" xfId="28730" xr:uid="{00000000-0005-0000-0000-00005E700000}"/>
    <cellStyle name="Texto explicativo 30 17" xfId="28731" xr:uid="{00000000-0005-0000-0000-00005F700000}"/>
    <cellStyle name="Texto explicativo 30 18" xfId="28732" xr:uid="{00000000-0005-0000-0000-000060700000}"/>
    <cellStyle name="Texto explicativo 30 19" xfId="28733" xr:uid="{00000000-0005-0000-0000-000061700000}"/>
    <cellStyle name="Texto explicativo 30 2" xfId="28734" xr:uid="{00000000-0005-0000-0000-000062700000}"/>
    <cellStyle name="Texto explicativo 30 2 2" xfId="28735" xr:uid="{00000000-0005-0000-0000-000063700000}"/>
    <cellStyle name="Texto explicativo 30 3" xfId="28736" xr:uid="{00000000-0005-0000-0000-000064700000}"/>
    <cellStyle name="Texto explicativo 30 3 2" xfId="28737" xr:uid="{00000000-0005-0000-0000-000065700000}"/>
    <cellStyle name="Texto explicativo 30 4" xfId="28738" xr:uid="{00000000-0005-0000-0000-000066700000}"/>
    <cellStyle name="Texto explicativo 30 4 2" xfId="28739" xr:uid="{00000000-0005-0000-0000-000067700000}"/>
    <cellStyle name="Texto explicativo 30 5" xfId="28740" xr:uid="{00000000-0005-0000-0000-000068700000}"/>
    <cellStyle name="Texto explicativo 30 6" xfId="28741" xr:uid="{00000000-0005-0000-0000-000069700000}"/>
    <cellStyle name="Texto explicativo 30 7" xfId="28742" xr:uid="{00000000-0005-0000-0000-00006A700000}"/>
    <cellStyle name="Texto explicativo 30 8" xfId="28743" xr:uid="{00000000-0005-0000-0000-00006B700000}"/>
    <cellStyle name="Texto explicativo 30 9" xfId="28744" xr:uid="{00000000-0005-0000-0000-00006C700000}"/>
    <cellStyle name="Texto explicativo 31 10" xfId="28745" xr:uid="{00000000-0005-0000-0000-00006D700000}"/>
    <cellStyle name="Texto explicativo 31 11" xfId="28746" xr:uid="{00000000-0005-0000-0000-00006E700000}"/>
    <cellStyle name="Texto explicativo 31 12" xfId="28747" xr:uid="{00000000-0005-0000-0000-00006F700000}"/>
    <cellStyle name="Texto explicativo 31 13" xfId="28748" xr:uid="{00000000-0005-0000-0000-000070700000}"/>
    <cellStyle name="Texto explicativo 31 14" xfId="28749" xr:uid="{00000000-0005-0000-0000-000071700000}"/>
    <cellStyle name="Texto explicativo 31 15" xfId="28750" xr:uid="{00000000-0005-0000-0000-000072700000}"/>
    <cellStyle name="Texto explicativo 31 16" xfId="28751" xr:uid="{00000000-0005-0000-0000-000073700000}"/>
    <cellStyle name="Texto explicativo 31 17" xfId="28752" xr:uid="{00000000-0005-0000-0000-000074700000}"/>
    <cellStyle name="Texto explicativo 31 18" xfId="28753" xr:uid="{00000000-0005-0000-0000-000075700000}"/>
    <cellStyle name="Texto explicativo 31 19" xfId="28754" xr:uid="{00000000-0005-0000-0000-000076700000}"/>
    <cellStyle name="Texto explicativo 31 2" xfId="28755" xr:uid="{00000000-0005-0000-0000-000077700000}"/>
    <cellStyle name="Texto explicativo 31 2 2" xfId="28756" xr:uid="{00000000-0005-0000-0000-000078700000}"/>
    <cellStyle name="Texto explicativo 31 3" xfId="28757" xr:uid="{00000000-0005-0000-0000-000079700000}"/>
    <cellStyle name="Texto explicativo 31 3 2" xfId="28758" xr:uid="{00000000-0005-0000-0000-00007A700000}"/>
    <cellStyle name="Texto explicativo 31 4" xfId="28759" xr:uid="{00000000-0005-0000-0000-00007B700000}"/>
    <cellStyle name="Texto explicativo 31 4 2" xfId="28760" xr:uid="{00000000-0005-0000-0000-00007C700000}"/>
    <cellStyle name="Texto explicativo 31 5" xfId="28761" xr:uid="{00000000-0005-0000-0000-00007D700000}"/>
    <cellStyle name="Texto explicativo 31 6" xfId="28762" xr:uid="{00000000-0005-0000-0000-00007E700000}"/>
    <cellStyle name="Texto explicativo 31 7" xfId="28763" xr:uid="{00000000-0005-0000-0000-00007F700000}"/>
    <cellStyle name="Texto explicativo 31 8" xfId="28764" xr:uid="{00000000-0005-0000-0000-000080700000}"/>
    <cellStyle name="Texto explicativo 31 9" xfId="28765" xr:uid="{00000000-0005-0000-0000-000081700000}"/>
    <cellStyle name="Texto explicativo 32 10" xfId="28766" xr:uid="{00000000-0005-0000-0000-000082700000}"/>
    <cellStyle name="Texto explicativo 32 11" xfId="28767" xr:uid="{00000000-0005-0000-0000-000083700000}"/>
    <cellStyle name="Texto explicativo 32 12" xfId="28768" xr:uid="{00000000-0005-0000-0000-000084700000}"/>
    <cellStyle name="Texto explicativo 32 13" xfId="28769" xr:uid="{00000000-0005-0000-0000-000085700000}"/>
    <cellStyle name="Texto explicativo 32 14" xfId="28770" xr:uid="{00000000-0005-0000-0000-000086700000}"/>
    <cellStyle name="Texto explicativo 32 15" xfId="28771" xr:uid="{00000000-0005-0000-0000-000087700000}"/>
    <cellStyle name="Texto explicativo 32 16" xfId="28772" xr:uid="{00000000-0005-0000-0000-000088700000}"/>
    <cellStyle name="Texto explicativo 32 17" xfId="28773" xr:uid="{00000000-0005-0000-0000-000089700000}"/>
    <cellStyle name="Texto explicativo 32 18" xfId="28774" xr:uid="{00000000-0005-0000-0000-00008A700000}"/>
    <cellStyle name="Texto explicativo 32 19" xfId="28775" xr:uid="{00000000-0005-0000-0000-00008B700000}"/>
    <cellStyle name="Texto explicativo 32 2" xfId="28776" xr:uid="{00000000-0005-0000-0000-00008C700000}"/>
    <cellStyle name="Texto explicativo 32 2 2" xfId="28777" xr:uid="{00000000-0005-0000-0000-00008D700000}"/>
    <cellStyle name="Texto explicativo 32 3" xfId="28778" xr:uid="{00000000-0005-0000-0000-00008E700000}"/>
    <cellStyle name="Texto explicativo 32 3 2" xfId="28779" xr:uid="{00000000-0005-0000-0000-00008F700000}"/>
    <cellStyle name="Texto explicativo 32 4" xfId="28780" xr:uid="{00000000-0005-0000-0000-000090700000}"/>
    <cellStyle name="Texto explicativo 32 4 2" xfId="28781" xr:uid="{00000000-0005-0000-0000-000091700000}"/>
    <cellStyle name="Texto explicativo 32 5" xfId="28782" xr:uid="{00000000-0005-0000-0000-000092700000}"/>
    <cellStyle name="Texto explicativo 32 6" xfId="28783" xr:uid="{00000000-0005-0000-0000-000093700000}"/>
    <cellStyle name="Texto explicativo 32 7" xfId="28784" xr:uid="{00000000-0005-0000-0000-000094700000}"/>
    <cellStyle name="Texto explicativo 32 8" xfId="28785" xr:uid="{00000000-0005-0000-0000-000095700000}"/>
    <cellStyle name="Texto explicativo 32 9" xfId="28786" xr:uid="{00000000-0005-0000-0000-000096700000}"/>
    <cellStyle name="Texto explicativo 33 10" xfId="28787" xr:uid="{00000000-0005-0000-0000-000097700000}"/>
    <cellStyle name="Texto explicativo 33 11" xfId="28788" xr:uid="{00000000-0005-0000-0000-000098700000}"/>
    <cellStyle name="Texto explicativo 33 12" xfId="28789" xr:uid="{00000000-0005-0000-0000-000099700000}"/>
    <cellStyle name="Texto explicativo 33 13" xfId="28790" xr:uid="{00000000-0005-0000-0000-00009A700000}"/>
    <cellStyle name="Texto explicativo 33 14" xfId="28791" xr:uid="{00000000-0005-0000-0000-00009B700000}"/>
    <cellStyle name="Texto explicativo 33 15" xfId="28792" xr:uid="{00000000-0005-0000-0000-00009C700000}"/>
    <cellStyle name="Texto explicativo 33 16" xfId="28793" xr:uid="{00000000-0005-0000-0000-00009D700000}"/>
    <cellStyle name="Texto explicativo 33 17" xfId="28794" xr:uid="{00000000-0005-0000-0000-00009E700000}"/>
    <cellStyle name="Texto explicativo 33 18" xfId="28795" xr:uid="{00000000-0005-0000-0000-00009F700000}"/>
    <cellStyle name="Texto explicativo 33 19" xfId="28796" xr:uid="{00000000-0005-0000-0000-0000A0700000}"/>
    <cellStyle name="Texto explicativo 33 2" xfId="28797" xr:uid="{00000000-0005-0000-0000-0000A1700000}"/>
    <cellStyle name="Texto explicativo 33 2 2" xfId="28798" xr:uid="{00000000-0005-0000-0000-0000A2700000}"/>
    <cellStyle name="Texto explicativo 33 3" xfId="28799" xr:uid="{00000000-0005-0000-0000-0000A3700000}"/>
    <cellStyle name="Texto explicativo 33 3 2" xfId="28800" xr:uid="{00000000-0005-0000-0000-0000A4700000}"/>
    <cellStyle name="Texto explicativo 33 4" xfId="28801" xr:uid="{00000000-0005-0000-0000-0000A5700000}"/>
    <cellStyle name="Texto explicativo 33 4 2" xfId="28802" xr:uid="{00000000-0005-0000-0000-0000A6700000}"/>
    <cellStyle name="Texto explicativo 33 5" xfId="28803" xr:uid="{00000000-0005-0000-0000-0000A7700000}"/>
    <cellStyle name="Texto explicativo 33 6" xfId="28804" xr:uid="{00000000-0005-0000-0000-0000A8700000}"/>
    <cellStyle name="Texto explicativo 33 7" xfId="28805" xr:uid="{00000000-0005-0000-0000-0000A9700000}"/>
    <cellStyle name="Texto explicativo 33 8" xfId="28806" xr:uid="{00000000-0005-0000-0000-0000AA700000}"/>
    <cellStyle name="Texto explicativo 33 9" xfId="28807" xr:uid="{00000000-0005-0000-0000-0000AB700000}"/>
    <cellStyle name="Texto explicativo 34 10" xfId="28808" xr:uid="{00000000-0005-0000-0000-0000AC700000}"/>
    <cellStyle name="Texto explicativo 34 11" xfId="28809" xr:uid="{00000000-0005-0000-0000-0000AD700000}"/>
    <cellStyle name="Texto explicativo 34 12" xfId="28810" xr:uid="{00000000-0005-0000-0000-0000AE700000}"/>
    <cellStyle name="Texto explicativo 34 13" xfId="28811" xr:uid="{00000000-0005-0000-0000-0000AF700000}"/>
    <cellStyle name="Texto explicativo 34 14" xfId="28812" xr:uid="{00000000-0005-0000-0000-0000B0700000}"/>
    <cellStyle name="Texto explicativo 34 15" xfId="28813" xr:uid="{00000000-0005-0000-0000-0000B1700000}"/>
    <cellStyle name="Texto explicativo 34 16" xfId="28814" xr:uid="{00000000-0005-0000-0000-0000B2700000}"/>
    <cellStyle name="Texto explicativo 34 17" xfId="28815" xr:uid="{00000000-0005-0000-0000-0000B3700000}"/>
    <cellStyle name="Texto explicativo 34 18" xfId="28816" xr:uid="{00000000-0005-0000-0000-0000B4700000}"/>
    <cellStyle name="Texto explicativo 34 19" xfId="28817" xr:uid="{00000000-0005-0000-0000-0000B5700000}"/>
    <cellStyle name="Texto explicativo 34 2" xfId="28818" xr:uid="{00000000-0005-0000-0000-0000B6700000}"/>
    <cellStyle name="Texto explicativo 34 2 2" xfId="28819" xr:uid="{00000000-0005-0000-0000-0000B7700000}"/>
    <cellStyle name="Texto explicativo 34 3" xfId="28820" xr:uid="{00000000-0005-0000-0000-0000B8700000}"/>
    <cellStyle name="Texto explicativo 34 3 2" xfId="28821" xr:uid="{00000000-0005-0000-0000-0000B9700000}"/>
    <cellStyle name="Texto explicativo 34 4" xfId="28822" xr:uid="{00000000-0005-0000-0000-0000BA700000}"/>
    <cellStyle name="Texto explicativo 34 4 2" xfId="28823" xr:uid="{00000000-0005-0000-0000-0000BB700000}"/>
    <cellStyle name="Texto explicativo 34 5" xfId="28824" xr:uid="{00000000-0005-0000-0000-0000BC700000}"/>
    <cellStyle name="Texto explicativo 34 6" xfId="28825" xr:uid="{00000000-0005-0000-0000-0000BD700000}"/>
    <cellStyle name="Texto explicativo 34 7" xfId="28826" xr:uid="{00000000-0005-0000-0000-0000BE700000}"/>
    <cellStyle name="Texto explicativo 34 8" xfId="28827" xr:uid="{00000000-0005-0000-0000-0000BF700000}"/>
    <cellStyle name="Texto explicativo 34 9" xfId="28828" xr:uid="{00000000-0005-0000-0000-0000C0700000}"/>
    <cellStyle name="Texto explicativo 35 10" xfId="28829" xr:uid="{00000000-0005-0000-0000-0000C1700000}"/>
    <cellStyle name="Texto explicativo 35 11" xfId="28830" xr:uid="{00000000-0005-0000-0000-0000C2700000}"/>
    <cellStyle name="Texto explicativo 35 12" xfId="28831" xr:uid="{00000000-0005-0000-0000-0000C3700000}"/>
    <cellStyle name="Texto explicativo 35 13" xfId="28832" xr:uid="{00000000-0005-0000-0000-0000C4700000}"/>
    <cellStyle name="Texto explicativo 35 14" xfId="28833" xr:uid="{00000000-0005-0000-0000-0000C5700000}"/>
    <cellStyle name="Texto explicativo 35 15" xfId="28834" xr:uid="{00000000-0005-0000-0000-0000C6700000}"/>
    <cellStyle name="Texto explicativo 35 16" xfId="28835" xr:uid="{00000000-0005-0000-0000-0000C7700000}"/>
    <cellStyle name="Texto explicativo 35 17" xfId="28836" xr:uid="{00000000-0005-0000-0000-0000C8700000}"/>
    <cellStyle name="Texto explicativo 35 18" xfId="28837" xr:uid="{00000000-0005-0000-0000-0000C9700000}"/>
    <cellStyle name="Texto explicativo 35 19" xfId="28838" xr:uid="{00000000-0005-0000-0000-0000CA700000}"/>
    <cellStyle name="Texto explicativo 35 2" xfId="28839" xr:uid="{00000000-0005-0000-0000-0000CB700000}"/>
    <cellStyle name="Texto explicativo 35 2 2" xfId="28840" xr:uid="{00000000-0005-0000-0000-0000CC700000}"/>
    <cellStyle name="Texto explicativo 35 3" xfId="28841" xr:uid="{00000000-0005-0000-0000-0000CD700000}"/>
    <cellStyle name="Texto explicativo 35 3 2" xfId="28842" xr:uid="{00000000-0005-0000-0000-0000CE700000}"/>
    <cellStyle name="Texto explicativo 35 4" xfId="28843" xr:uid="{00000000-0005-0000-0000-0000CF700000}"/>
    <cellStyle name="Texto explicativo 35 4 2" xfId="28844" xr:uid="{00000000-0005-0000-0000-0000D0700000}"/>
    <cellStyle name="Texto explicativo 35 5" xfId="28845" xr:uid="{00000000-0005-0000-0000-0000D1700000}"/>
    <cellStyle name="Texto explicativo 35 6" xfId="28846" xr:uid="{00000000-0005-0000-0000-0000D2700000}"/>
    <cellStyle name="Texto explicativo 35 7" xfId="28847" xr:uid="{00000000-0005-0000-0000-0000D3700000}"/>
    <cellStyle name="Texto explicativo 35 8" xfId="28848" xr:uid="{00000000-0005-0000-0000-0000D4700000}"/>
    <cellStyle name="Texto explicativo 35 9" xfId="28849" xr:uid="{00000000-0005-0000-0000-0000D5700000}"/>
    <cellStyle name="Texto explicativo 36 10" xfId="28850" xr:uid="{00000000-0005-0000-0000-0000D6700000}"/>
    <cellStyle name="Texto explicativo 36 11" xfId="28851" xr:uid="{00000000-0005-0000-0000-0000D7700000}"/>
    <cellStyle name="Texto explicativo 36 12" xfId="28852" xr:uid="{00000000-0005-0000-0000-0000D8700000}"/>
    <cellStyle name="Texto explicativo 36 13" xfId="28853" xr:uid="{00000000-0005-0000-0000-0000D9700000}"/>
    <cellStyle name="Texto explicativo 36 14" xfId="28854" xr:uid="{00000000-0005-0000-0000-0000DA700000}"/>
    <cellStyle name="Texto explicativo 36 15" xfId="28855" xr:uid="{00000000-0005-0000-0000-0000DB700000}"/>
    <cellStyle name="Texto explicativo 36 16" xfId="28856" xr:uid="{00000000-0005-0000-0000-0000DC700000}"/>
    <cellStyle name="Texto explicativo 36 17" xfId="28857" xr:uid="{00000000-0005-0000-0000-0000DD700000}"/>
    <cellStyle name="Texto explicativo 36 18" xfId="28858" xr:uid="{00000000-0005-0000-0000-0000DE700000}"/>
    <cellStyle name="Texto explicativo 36 19" xfId="28859" xr:uid="{00000000-0005-0000-0000-0000DF700000}"/>
    <cellStyle name="Texto explicativo 36 2" xfId="28860" xr:uid="{00000000-0005-0000-0000-0000E0700000}"/>
    <cellStyle name="Texto explicativo 36 2 2" xfId="28861" xr:uid="{00000000-0005-0000-0000-0000E1700000}"/>
    <cellStyle name="Texto explicativo 36 3" xfId="28862" xr:uid="{00000000-0005-0000-0000-0000E2700000}"/>
    <cellStyle name="Texto explicativo 36 3 2" xfId="28863" xr:uid="{00000000-0005-0000-0000-0000E3700000}"/>
    <cellStyle name="Texto explicativo 36 4" xfId="28864" xr:uid="{00000000-0005-0000-0000-0000E4700000}"/>
    <cellStyle name="Texto explicativo 36 4 2" xfId="28865" xr:uid="{00000000-0005-0000-0000-0000E5700000}"/>
    <cellStyle name="Texto explicativo 36 5" xfId="28866" xr:uid="{00000000-0005-0000-0000-0000E6700000}"/>
    <cellStyle name="Texto explicativo 36 6" xfId="28867" xr:uid="{00000000-0005-0000-0000-0000E7700000}"/>
    <cellStyle name="Texto explicativo 36 7" xfId="28868" xr:uid="{00000000-0005-0000-0000-0000E8700000}"/>
    <cellStyle name="Texto explicativo 36 8" xfId="28869" xr:uid="{00000000-0005-0000-0000-0000E9700000}"/>
    <cellStyle name="Texto explicativo 36 9" xfId="28870" xr:uid="{00000000-0005-0000-0000-0000EA700000}"/>
    <cellStyle name="Texto explicativo 37 10" xfId="28871" xr:uid="{00000000-0005-0000-0000-0000EB700000}"/>
    <cellStyle name="Texto explicativo 37 11" xfId="28872" xr:uid="{00000000-0005-0000-0000-0000EC700000}"/>
    <cellStyle name="Texto explicativo 37 12" xfId="28873" xr:uid="{00000000-0005-0000-0000-0000ED700000}"/>
    <cellStyle name="Texto explicativo 37 13" xfId="28874" xr:uid="{00000000-0005-0000-0000-0000EE700000}"/>
    <cellStyle name="Texto explicativo 37 14" xfId="28875" xr:uid="{00000000-0005-0000-0000-0000EF700000}"/>
    <cellStyle name="Texto explicativo 37 15" xfId="28876" xr:uid="{00000000-0005-0000-0000-0000F0700000}"/>
    <cellStyle name="Texto explicativo 37 16" xfId="28877" xr:uid="{00000000-0005-0000-0000-0000F1700000}"/>
    <cellStyle name="Texto explicativo 37 17" xfId="28878" xr:uid="{00000000-0005-0000-0000-0000F2700000}"/>
    <cellStyle name="Texto explicativo 37 18" xfId="28879" xr:uid="{00000000-0005-0000-0000-0000F3700000}"/>
    <cellStyle name="Texto explicativo 37 19" xfId="28880" xr:uid="{00000000-0005-0000-0000-0000F4700000}"/>
    <cellStyle name="Texto explicativo 37 2" xfId="28881" xr:uid="{00000000-0005-0000-0000-0000F5700000}"/>
    <cellStyle name="Texto explicativo 37 2 2" xfId="28882" xr:uid="{00000000-0005-0000-0000-0000F6700000}"/>
    <cellStyle name="Texto explicativo 37 3" xfId="28883" xr:uid="{00000000-0005-0000-0000-0000F7700000}"/>
    <cellStyle name="Texto explicativo 37 3 2" xfId="28884" xr:uid="{00000000-0005-0000-0000-0000F8700000}"/>
    <cellStyle name="Texto explicativo 37 4" xfId="28885" xr:uid="{00000000-0005-0000-0000-0000F9700000}"/>
    <cellStyle name="Texto explicativo 37 4 2" xfId="28886" xr:uid="{00000000-0005-0000-0000-0000FA700000}"/>
    <cellStyle name="Texto explicativo 37 5" xfId="28887" xr:uid="{00000000-0005-0000-0000-0000FB700000}"/>
    <cellStyle name="Texto explicativo 37 6" xfId="28888" xr:uid="{00000000-0005-0000-0000-0000FC700000}"/>
    <cellStyle name="Texto explicativo 37 7" xfId="28889" xr:uid="{00000000-0005-0000-0000-0000FD700000}"/>
    <cellStyle name="Texto explicativo 37 8" xfId="28890" xr:uid="{00000000-0005-0000-0000-0000FE700000}"/>
    <cellStyle name="Texto explicativo 37 9" xfId="28891" xr:uid="{00000000-0005-0000-0000-0000FF700000}"/>
    <cellStyle name="Texto explicativo 38 10" xfId="28892" xr:uid="{00000000-0005-0000-0000-000000710000}"/>
    <cellStyle name="Texto explicativo 38 11" xfId="28893" xr:uid="{00000000-0005-0000-0000-000001710000}"/>
    <cellStyle name="Texto explicativo 38 12" xfId="28894" xr:uid="{00000000-0005-0000-0000-000002710000}"/>
    <cellStyle name="Texto explicativo 38 13" xfId="28895" xr:uid="{00000000-0005-0000-0000-000003710000}"/>
    <cellStyle name="Texto explicativo 38 14" xfId="28896" xr:uid="{00000000-0005-0000-0000-000004710000}"/>
    <cellStyle name="Texto explicativo 38 15" xfId="28897" xr:uid="{00000000-0005-0000-0000-000005710000}"/>
    <cellStyle name="Texto explicativo 38 16" xfId="28898" xr:uid="{00000000-0005-0000-0000-000006710000}"/>
    <cellStyle name="Texto explicativo 38 17" xfId="28899" xr:uid="{00000000-0005-0000-0000-000007710000}"/>
    <cellStyle name="Texto explicativo 38 18" xfId="28900" xr:uid="{00000000-0005-0000-0000-000008710000}"/>
    <cellStyle name="Texto explicativo 38 19" xfId="28901" xr:uid="{00000000-0005-0000-0000-000009710000}"/>
    <cellStyle name="Texto explicativo 38 2" xfId="28902" xr:uid="{00000000-0005-0000-0000-00000A710000}"/>
    <cellStyle name="Texto explicativo 38 2 2" xfId="28903" xr:uid="{00000000-0005-0000-0000-00000B710000}"/>
    <cellStyle name="Texto explicativo 38 3" xfId="28904" xr:uid="{00000000-0005-0000-0000-00000C710000}"/>
    <cellStyle name="Texto explicativo 38 3 2" xfId="28905" xr:uid="{00000000-0005-0000-0000-00000D710000}"/>
    <cellStyle name="Texto explicativo 38 4" xfId="28906" xr:uid="{00000000-0005-0000-0000-00000E710000}"/>
    <cellStyle name="Texto explicativo 38 4 2" xfId="28907" xr:uid="{00000000-0005-0000-0000-00000F710000}"/>
    <cellStyle name="Texto explicativo 38 5" xfId="28908" xr:uid="{00000000-0005-0000-0000-000010710000}"/>
    <cellStyle name="Texto explicativo 38 6" xfId="28909" xr:uid="{00000000-0005-0000-0000-000011710000}"/>
    <cellStyle name="Texto explicativo 38 7" xfId="28910" xr:uid="{00000000-0005-0000-0000-000012710000}"/>
    <cellStyle name="Texto explicativo 38 8" xfId="28911" xr:uid="{00000000-0005-0000-0000-000013710000}"/>
    <cellStyle name="Texto explicativo 38 9" xfId="28912" xr:uid="{00000000-0005-0000-0000-000014710000}"/>
    <cellStyle name="Texto explicativo 39" xfId="28913" xr:uid="{00000000-0005-0000-0000-000015710000}"/>
    <cellStyle name="Texto explicativo 39 10" xfId="28914" xr:uid="{00000000-0005-0000-0000-000016710000}"/>
    <cellStyle name="Texto explicativo 39 11" xfId="28915" xr:uid="{00000000-0005-0000-0000-000017710000}"/>
    <cellStyle name="Texto explicativo 39 12" xfId="28916" xr:uid="{00000000-0005-0000-0000-000018710000}"/>
    <cellStyle name="Texto explicativo 39 13" xfId="28917" xr:uid="{00000000-0005-0000-0000-000019710000}"/>
    <cellStyle name="Texto explicativo 39 14" xfId="28918" xr:uid="{00000000-0005-0000-0000-00001A710000}"/>
    <cellStyle name="Texto explicativo 39 15" xfId="28919" xr:uid="{00000000-0005-0000-0000-00001B710000}"/>
    <cellStyle name="Texto explicativo 39 16" xfId="28920" xr:uid="{00000000-0005-0000-0000-00001C710000}"/>
    <cellStyle name="Texto explicativo 39 2" xfId="28921" xr:uid="{00000000-0005-0000-0000-00001D710000}"/>
    <cellStyle name="Texto explicativo 39 3" xfId="28922" xr:uid="{00000000-0005-0000-0000-00001E710000}"/>
    <cellStyle name="Texto explicativo 39 4" xfId="28923" xr:uid="{00000000-0005-0000-0000-00001F710000}"/>
    <cellStyle name="Texto explicativo 39 5" xfId="28924" xr:uid="{00000000-0005-0000-0000-000020710000}"/>
    <cellStyle name="Texto explicativo 39 6" xfId="28925" xr:uid="{00000000-0005-0000-0000-000021710000}"/>
    <cellStyle name="Texto explicativo 39 7" xfId="28926" xr:uid="{00000000-0005-0000-0000-000022710000}"/>
    <cellStyle name="Texto explicativo 39 8" xfId="28927" xr:uid="{00000000-0005-0000-0000-000023710000}"/>
    <cellStyle name="Texto explicativo 39 9" xfId="28928" xr:uid="{00000000-0005-0000-0000-000024710000}"/>
    <cellStyle name="Texto explicativo 4 10" xfId="28929" xr:uid="{00000000-0005-0000-0000-000025710000}"/>
    <cellStyle name="Texto explicativo 4 11" xfId="28930" xr:uid="{00000000-0005-0000-0000-000026710000}"/>
    <cellStyle name="Texto explicativo 4 12" xfId="28931" xr:uid="{00000000-0005-0000-0000-000027710000}"/>
    <cellStyle name="Texto explicativo 4 13" xfId="28932" xr:uid="{00000000-0005-0000-0000-000028710000}"/>
    <cellStyle name="Texto explicativo 4 14" xfId="28933" xr:uid="{00000000-0005-0000-0000-000029710000}"/>
    <cellStyle name="Texto explicativo 4 15" xfId="28934" xr:uid="{00000000-0005-0000-0000-00002A710000}"/>
    <cellStyle name="Texto explicativo 4 16" xfId="28935" xr:uid="{00000000-0005-0000-0000-00002B710000}"/>
    <cellStyle name="Texto explicativo 4 17" xfId="28936" xr:uid="{00000000-0005-0000-0000-00002C710000}"/>
    <cellStyle name="Texto explicativo 4 18" xfId="28937" xr:uid="{00000000-0005-0000-0000-00002D710000}"/>
    <cellStyle name="Texto explicativo 4 19" xfId="28938" xr:uid="{00000000-0005-0000-0000-00002E710000}"/>
    <cellStyle name="Texto explicativo 4 2" xfId="28939" xr:uid="{00000000-0005-0000-0000-00002F710000}"/>
    <cellStyle name="Texto explicativo 4 2 2" xfId="28940" xr:uid="{00000000-0005-0000-0000-000030710000}"/>
    <cellStyle name="Texto explicativo 4 3" xfId="28941" xr:uid="{00000000-0005-0000-0000-000031710000}"/>
    <cellStyle name="Texto explicativo 4 3 2" xfId="28942" xr:uid="{00000000-0005-0000-0000-000032710000}"/>
    <cellStyle name="Texto explicativo 4 4" xfId="28943" xr:uid="{00000000-0005-0000-0000-000033710000}"/>
    <cellStyle name="Texto explicativo 4 4 2" xfId="28944" xr:uid="{00000000-0005-0000-0000-000034710000}"/>
    <cellStyle name="Texto explicativo 4 5" xfId="28945" xr:uid="{00000000-0005-0000-0000-000035710000}"/>
    <cellStyle name="Texto explicativo 4 6" xfId="28946" xr:uid="{00000000-0005-0000-0000-000036710000}"/>
    <cellStyle name="Texto explicativo 4 7" xfId="28947" xr:uid="{00000000-0005-0000-0000-000037710000}"/>
    <cellStyle name="Texto explicativo 4 8" xfId="28948" xr:uid="{00000000-0005-0000-0000-000038710000}"/>
    <cellStyle name="Texto explicativo 4 9" xfId="28949" xr:uid="{00000000-0005-0000-0000-000039710000}"/>
    <cellStyle name="Texto explicativo 40" xfId="28950" xr:uid="{00000000-0005-0000-0000-00003A710000}"/>
    <cellStyle name="Texto explicativo 40 10" xfId="28951" xr:uid="{00000000-0005-0000-0000-00003B710000}"/>
    <cellStyle name="Texto explicativo 40 11" xfId="28952" xr:uid="{00000000-0005-0000-0000-00003C710000}"/>
    <cellStyle name="Texto explicativo 40 12" xfId="28953" xr:uid="{00000000-0005-0000-0000-00003D710000}"/>
    <cellStyle name="Texto explicativo 40 13" xfId="28954" xr:uid="{00000000-0005-0000-0000-00003E710000}"/>
    <cellStyle name="Texto explicativo 40 14" xfId="28955" xr:uid="{00000000-0005-0000-0000-00003F710000}"/>
    <cellStyle name="Texto explicativo 40 15" xfId="28956" xr:uid="{00000000-0005-0000-0000-000040710000}"/>
    <cellStyle name="Texto explicativo 40 16" xfId="28957" xr:uid="{00000000-0005-0000-0000-000041710000}"/>
    <cellStyle name="Texto explicativo 40 2" xfId="28958" xr:uid="{00000000-0005-0000-0000-000042710000}"/>
    <cellStyle name="Texto explicativo 40 3" xfId="28959" xr:uid="{00000000-0005-0000-0000-000043710000}"/>
    <cellStyle name="Texto explicativo 40 4" xfId="28960" xr:uid="{00000000-0005-0000-0000-000044710000}"/>
    <cellStyle name="Texto explicativo 40 5" xfId="28961" xr:uid="{00000000-0005-0000-0000-000045710000}"/>
    <cellStyle name="Texto explicativo 40 6" xfId="28962" xr:uid="{00000000-0005-0000-0000-000046710000}"/>
    <cellStyle name="Texto explicativo 40 7" xfId="28963" xr:uid="{00000000-0005-0000-0000-000047710000}"/>
    <cellStyle name="Texto explicativo 40 8" xfId="28964" xr:uid="{00000000-0005-0000-0000-000048710000}"/>
    <cellStyle name="Texto explicativo 40 9" xfId="28965" xr:uid="{00000000-0005-0000-0000-000049710000}"/>
    <cellStyle name="Texto explicativo 41" xfId="28966" xr:uid="{00000000-0005-0000-0000-00004A710000}"/>
    <cellStyle name="Texto explicativo 41 10" xfId="28967" xr:uid="{00000000-0005-0000-0000-00004B710000}"/>
    <cellStyle name="Texto explicativo 41 11" xfId="28968" xr:uid="{00000000-0005-0000-0000-00004C710000}"/>
    <cellStyle name="Texto explicativo 41 12" xfId="28969" xr:uid="{00000000-0005-0000-0000-00004D710000}"/>
    <cellStyle name="Texto explicativo 41 13" xfId="28970" xr:uid="{00000000-0005-0000-0000-00004E710000}"/>
    <cellStyle name="Texto explicativo 41 14" xfId="28971" xr:uid="{00000000-0005-0000-0000-00004F710000}"/>
    <cellStyle name="Texto explicativo 41 15" xfId="28972" xr:uid="{00000000-0005-0000-0000-000050710000}"/>
    <cellStyle name="Texto explicativo 41 16" xfId="28973" xr:uid="{00000000-0005-0000-0000-000051710000}"/>
    <cellStyle name="Texto explicativo 41 2" xfId="28974" xr:uid="{00000000-0005-0000-0000-000052710000}"/>
    <cellStyle name="Texto explicativo 41 3" xfId="28975" xr:uid="{00000000-0005-0000-0000-000053710000}"/>
    <cellStyle name="Texto explicativo 41 4" xfId="28976" xr:uid="{00000000-0005-0000-0000-000054710000}"/>
    <cellStyle name="Texto explicativo 41 5" xfId="28977" xr:uid="{00000000-0005-0000-0000-000055710000}"/>
    <cellStyle name="Texto explicativo 41 6" xfId="28978" xr:uid="{00000000-0005-0000-0000-000056710000}"/>
    <cellStyle name="Texto explicativo 41 7" xfId="28979" xr:uid="{00000000-0005-0000-0000-000057710000}"/>
    <cellStyle name="Texto explicativo 41 8" xfId="28980" xr:uid="{00000000-0005-0000-0000-000058710000}"/>
    <cellStyle name="Texto explicativo 41 9" xfId="28981" xr:uid="{00000000-0005-0000-0000-000059710000}"/>
    <cellStyle name="Texto explicativo 42" xfId="28982" xr:uid="{00000000-0005-0000-0000-00005A710000}"/>
    <cellStyle name="Texto explicativo 43" xfId="28983" xr:uid="{00000000-0005-0000-0000-00005B710000}"/>
    <cellStyle name="Texto explicativo 44" xfId="28984" xr:uid="{00000000-0005-0000-0000-00005C710000}"/>
    <cellStyle name="Texto explicativo 45" xfId="28985" xr:uid="{00000000-0005-0000-0000-00005D710000}"/>
    <cellStyle name="Texto explicativo 46" xfId="28986" xr:uid="{00000000-0005-0000-0000-00005E710000}"/>
    <cellStyle name="Texto explicativo 47" xfId="28987" xr:uid="{00000000-0005-0000-0000-00005F710000}"/>
    <cellStyle name="Texto explicativo 48" xfId="28988" xr:uid="{00000000-0005-0000-0000-000060710000}"/>
    <cellStyle name="Texto explicativo 49" xfId="28989" xr:uid="{00000000-0005-0000-0000-000061710000}"/>
    <cellStyle name="Texto explicativo 5 10" xfId="28990" xr:uid="{00000000-0005-0000-0000-000062710000}"/>
    <cellStyle name="Texto explicativo 5 11" xfId="28991" xr:uid="{00000000-0005-0000-0000-000063710000}"/>
    <cellStyle name="Texto explicativo 5 12" xfId="28992" xr:uid="{00000000-0005-0000-0000-000064710000}"/>
    <cellStyle name="Texto explicativo 5 13" xfId="28993" xr:uid="{00000000-0005-0000-0000-000065710000}"/>
    <cellStyle name="Texto explicativo 5 14" xfId="28994" xr:uid="{00000000-0005-0000-0000-000066710000}"/>
    <cellStyle name="Texto explicativo 5 15" xfId="28995" xr:uid="{00000000-0005-0000-0000-000067710000}"/>
    <cellStyle name="Texto explicativo 5 16" xfId="28996" xr:uid="{00000000-0005-0000-0000-000068710000}"/>
    <cellStyle name="Texto explicativo 5 17" xfId="28997" xr:uid="{00000000-0005-0000-0000-000069710000}"/>
    <cellStyle name="Texto explicativo 5 18" xfId="28998" xr:uid="{00000000-0005-0000-0000-00006A710000}"/>
    <cellStyle name="Texto explicativo 5 19" xfId="28999" xr:uid="{00000000-0005-0000-0000-00006B710000}"/>
    <cellStyle name="Texto explicativo 5 2" xfId="29000" xr:uid="{00000000-0005-0000-0000-00006C710000}"/>
    <cellStyle name="Texto explicativo 5 2 2" xfId="29001" xr:uid="{00000000-0005-0000-0000-00006D710000}"/>
    <cellStyle name="Texto explicativo 5 3" xfId="29002" xr:uid="{00000000-0005-0000-0000-00006E710000}"/>
    <cellStyle name="Texto explicativo 5 3 2" xfId="29003" xr:uid="{00000000-0005-0000-0000-00006F710000}"/>
    <cellStyle name="Texto explicativo 5 4" xfId="29004" xr:uid="{00000000-0005-0000-0000-000070710000}"/>
    <cellStyle name="Texto explicativo 5 4 2" xfId="29005" xr:uid="{00000000-0005-0000-0000-000071710000}"/>
    <cellStyle name="Texto explicativo 5 5" xfId="29006" xr:uid="{00000000-0005-0000-0000-000072710000}"/>
    <cellStyle name="Texto explicativo 5 6" xfId="29007" xr:uid="{00000000-0005-0000-0000-000073710000}"/>
    <cellStyle name="Texto explicativo 5 7" xfId="29008" xr:uid="{00000000-0005-0000-0000-000074710000}"/>
    <cellStyle name="Texto explicativo 5 8" xfId="29009" xr:uid="{00000000-0005-0000-0000-000075710000}"/>
    <cellStyle name="Texto explicativo 5 9" xfId="29010" xr:uid="{00000000-0005-0000-0000-000076710000}"/>
    <cellStyle name="Texto explicativo 50" xfId="29011" xr:uid="{00000000-0005-0000-0000-000077710000}"/>
    <cellStyle name="Texto explicativo 51" xfId="29012" xr:uid="{00000000-0005-0000-0000-000078710000}"/>
    <cellStyle name="Texto explicativo 52" xfId="29013" xr:uid="{00000000-0005-0000-0000-000079710000}"/>
    <cellStyle name="Texto explicativo 53" xfId="29014" xr:uid="{00000000-0005-0000-0000-00007A710000}"/>
    <cellStyle name="Texto explicativo 54" xfId="29015" xr:uid="{00000000-0005-0000-0000-00007B710000}"/>
    <cellStyle name="Texto explicativo 55" xfId="29016" xr:uid="{00000000-0005-0000-0000-00007C710000}"/>
    <cellStyle name="Texto explicativo 56" xfId="29017" xr:uid="{00000000-0005-0000-0000-00007D710000}"/>
    <cellStyle name="Texto explicativo 57" xfId="29018" xr:uid="{00000000-0005-0000-0000-00007E710000}"/>
    <cellStyle name="Texto explicativo 58" xfId="29019" xr:uid="{00000000-0005-0000-0000-00007F710000}"/>
    <cellStyle name="Texto explicativo 59" xfId="29020" xr:uid="{00000000-0005-0000-0000-000080710000}"/>
    <cellStyle name="Texto explicativo 6 10" xfId="29021" xr:uid="{00000000-0005-0000-0000-000081710000}"/>
    <cellStyle name="Texto explicativo 6 11" xfId="29022" xr:uid="{00000000-0005-0000-0000-000082710000}"/>
    <cellStyle name="Texto explicativo 6 12" xfId="29023" xr:uid="{00000000-0005-0000-0000-000083710000}"/>
    <cellStyle name="Texto explicativo 6 13" xfId="29024" xr:uid="{00000000-0005-0000-0000-000084710000}"/>
    <cellStyle name="Texto explicativo 6 14" xfId="29025" xr:uid="{00000000-0005-0000-0000-000085710000}"/>
    <cellStyle name="Texto explicativo 6 15" xfId="29026" xr:uid="{00000000-0005-0000-0000-000086710000}"/>
    <cellStyle name="Texto explicativo 6 16" xfId="29027" xr:uid="{00000000-0005-0000-0000-000087710000}"/>
    <cellStyle name="Texto explicativo 6 17" xfId="29028" xr:uid="{00000000-0005-0000-0000-000088710000}"/>
    <cellStyle name="Texto explicativo 6 18" xfId="29029" xr:uid="{00000000-0005-0000-0000-000089710000}"/>
    <cellStyle name="Texto explicativo 6 19" xfId="29030" xr:uid="{00000000-0005-0000-0000-00008A710000}"/>
    <cellStyle name="Texto explicativo 6 2" xfId="29031" xr:uid="{00000000-0005-0000-0000-00008B710000}"/>
    <cellStyle name="Texto explicativo 6 2 2" xfId="29032" xr:uid="{00000000-0005-0000-0000-00008C710000}"/>
    <cellStyle name="Texto explicativo 6 3" xfId="29033" xr:uid="{00000000-0005-0000-0000-00008D710000}"/>
    <cellStyle name="Texto explicativo 6 3 2" xfId="29034" xr:uid="{00000000-0005-0000-0000-00008E710000}"/>
    <cellStyle name="Texto explicativo 6 4" xfId="29035" xr:uid="{00000000-0005-0000-0000-00008F710000}"/>
    <cellStyle name="Texto explicativo 6 4 2" xfId="29036" xr:uid="{00000000-0005-0000-0000-000090710000}"/>
    <cellStyle name="Texto explicativo 6 5" xfId="29037" xr:uid="{00000000-0005-0000-0000-000091710000}"/>
    <cellStyle name="Texto explicativo 6 6" xfId="29038" xr:uid="{00000000-0005-0000-0000-000092710000}"/>
    <cellStyle name="Texto explicativo 6 7" xfId="29039" xr:uid="{00000000-0005-0000-0000-000093710000}"/>
    <cellStyle name="Texto explicativo 6 8" xfId="29040" xr:uid="{00000000-0005-0000-0000-000094710000}"/>
    <cellStyle name="Texto explicativo 6 9" xfId="29041" xr:uid="{00000000-0005-0000-0000-000095710000}"/>
    <cellStyle name="Texto explicativo 60" xfId="29042" xr:uid="{00000000-0005-0000-0000-000096710000}"/>
    <cellStyle name="Texto explicativo 61" xfId="29043" xr:uid="{00000000-0005-0000-0000-000097710000}"/>
    <cellStyle name="Texto explicativo 62" xfId="29044" xr:uid="{00000000-0005-0000-0000-000098710000}"/>
    <cellStyle name="Texto explicativo 63" xfId="29045" xr:uid="{00000000-0005-0000-0000-000099710000}"/>
    <cellStyle name="Texto explicativo 64" xfId="29046" xr:uid="{00000000-0005-0000-0000-00009A710000}"/>
    <cellStyle name="Texto explicativo 7 10" xfId="29047" xr:uid="{00000000-0005-0000-0000-00009B710000}"/>
    <cellStyle name="Texto explicativo 7 11" xfId="29048" xr:uid="{00000000-0005-0000-0000-00009C710000}"/>
    <cellStyle name="Texto explicativo 7 12" xfId="29049" xr:uid="{00000000-0005-0000-0000-00009D710000}"/>
    <cellStyle name="Texto explicativo 7 13" xfId="29050" xr:uid="{00000000-0005-0000-0000-00009E710000}"/>
    <cellStyle name="Texto explicativo 7 14" xfId="29051" xr:uid="{00000000-0005-0000-0000-00009F710000}"/>
    <cellStyle name="Texto explicativo 7 15" xfId="29052" xr:uid="{00000000-0005-0000-0000-0000A0710000}"/>
    <cellStyle name="Texto explicativo 7 16" xfId="29053" xr:uid="{00000000-0005-0000-0000-0000A1710000}"/>
    <cellStyle name="Texto explicativo 7 17" xfId="29054" xr:uid="{00000000-0005-0000-0000-0000A2710000}"/>
    <cellStyle name="Texto explicativo 7 18" xfId="29055" xr:uid="{00000000-0005-0000-0000-0000A3710000}"/>
    <cellStyle name="Texto explicativo 7 19" xfId="29056" xr:uid="{00000000-0005-0000-0000-0000A4710000}"/>
    <cellStyle name="Texto explicativo 7 2" xfId="29057" xr:uid="{00000000-0005-0000-0000-0000A5710000}"/>
    <cellStyle name="Texto explicativo 7 2 2" xfId="29058" xr:uid="{00000000-0005-0000-0000-0000A6710000}"/>
    <cellStyle name="Texto explicativo 7 3" xfId="29059" xr:uid="{00000000-0005-0000-0000-0000A7710000}"/>
    <cellStyle name="Texto explicativo 7 3 2" xfId="29060" xr:uid="{00000000-0005-0000-0000-0000A8710000}"/>
    <cellStyle name="Texto explicativo 7 4" xfId="29061" xr:uid="{00000000-0005-0000-0000-0000A9710000}"/>
    <cellStyle name="Texto explicativo 7 4 2" xfId="29062" xr:uid="{00000000-0005-0000-0000-0000AA710000}"/>
    <cellStyle name="Texto explicativo 7 5" xfId="29063" xr:uid="{00000000-0005-0000-0000-0000AB710000}"/>
    <cellStyle name="Texto explicativo 7 6" xfId="29064" xr:uid="{00000000-0005-0000-0000-0000AC710000}"/>
    <cellStyle name="Texto explicativo 7 7" xfId="29065" xr:uid="{00000000-0005-0000-0000-0000AD710000}"/>
    <cellStyle name="Texto explicativo 7 8" xfId="29066" xr:uid="{00000000-0005-0000-0000-0000AE710000}"/>
    <cellStyle name="Texto explicativo 7 9" xfId="29067" xr:uid="{00000000-0005-0000-0000-0000AF710000}"/>
    <cellStyle name="Texto explicativo 8 10" xfId="29068" xr:uid="{00000000-0005-0000-0000-0000B0710000}"/>
    <cellStyle name="Texto explicativo 8 11" xfId="29069" xr:uid="{00000000-0005-0000-0000-0000B1710000}"/>
    <cellStyle name="Texto explicativo 8 12" xfId="29070" xr:uid="{00000000-0005-0000-0000-0000B2710000}"/>
    <cellStyle name="Texto explicativo 8 13" xfId="29071" xr:uid="{00000000-0005-0000-0000-0000B3710000}"/>
    <cellStyle name="Texto explicativo 8 14" xfId="29072" xr:uid="{00000000-0005-0000-0000-0000B4710000}"/>
    <cellStyle name="Texto explicativo 8 15" xfId="29073" xr:uid="{00000000-0005-0000-0000-0000B5710000}"/>
    <cellStyle name="Texto explicativo 8 16" xfId="29074" xr:uid="{00000000-0005-0000-0000-0000B6710000}"/>
    <cellStyle name="Texto explicativo 8 17" xfId="29075" xr:uid="{00000000-0005-0000-0000-0000B7710000}"/>
    <cellStyle name="Texto explicativo 8 18" xfId="29076" xr:uid="{00000000-0005-0000-0000-0000B8710000}"/>
    <cellStyle name="Texto explicativo 8 19" xfId="29077" xr:uid="{00000000-0005-0000-0000-0000B9710000}"/>
    <cellStyle name="Texto explicativo 8 2" xfId="29078" xr:uid="{00000000-0005-0000-0000-0000BA710000}"/>
    <cellStyle name="Texto explicativo 8 2 2" xfId="29079" xr:uid="{00000000-0005-0000-0000-0000BB710000}"/>
    <cellStyle name="Texto explicativo 8 3" xfId="29080" xr:uid="{00000000-0005-0000-0000-0000BC710000}"/>
    <cellStyle name="Texto explicativo 8 3 2" xfId="29081" xr:uid="{00000000-0005-0000-0000-0000BD710000}"/>
    <cellStyle name="Texto explicativo 8 4" xfId="29082" xr:uid="{00000000-0005-0000-0000-0000BE710000}"/>
    <cellStyle name="Texto explicativo 8 4 2" xfId="29083" xr:uid="{00000000-0005-0000-0000-0000BF710000}"/>
    <cellStyle name="Texto explicativo 8 5" xfId="29084" xr:uid="{00000000-0005-0000-0000-0000C0710000}"/>
    <cellStyle name="Texto explicativo 8 6" xfId="29085" xr:uid="{00000000-0005-0000-0000-0000C1710000}"/>
    <cellStyle name="Texto explicativo 8 7" xfId="29086" xr:uid="{00000000-0005-0000-0000-0000C2710000}"/>
    <cellStyle name="Texto explicativo 8 8" xfId="29087" xr:uid="{00000000-0005-0000-0000-0000C3710000}"/>
    <cellStyle name="Texto explicativo 8 9" xfId="29088" xr:uid="{00000000-0005-0000-0000-0000C4710000}"/>
    <cellStyle name="Texto explicativo 9 10" xfId="29089" xr:uid="{00000000-0005-0000-0000-0000C5710000}"/>
    <cellStyle name="Texto explicativo 9 11" xfId="29090" xr:uid="{00000000-0005-0000-0000-0000C6710000}"/>
    <cellStyle name="Texto explicativo 9 12" xfId="29091" xr:uid="{00000000-0005-0000-0000-0000C7710000}"/>
    <cellStyle name="Texto explicativo 9 13" xfId="29092" xr:uid="{00000000-0005-0000-0000-0000C8710000}"/>
    <cellStyle name="Texto explicativo 9 14" xfId="29093" xr:uid="{00000000-0005-0000-0000-0000C9710000}"/>
    <cellStyle name="Texto explicativo 9 15" xfId="29094" xr:uid="{00000000-0005-0000-0000-0000CA710000}"/>
    <cellStyle name="Texto explicativo 9 16" xfId="29095" xr:uid="{00000000-0005-0000-0000-0000CB710000}"/>
    <cellStyle name="Texto explicativo 9 17" xfId="29096" xr:uid="{00000000-0005-0000-0000-0000CC710000}"/>
    <cellStyle name="Texto explicativo 9 18" xfId="29097" xr:uid="{00000000-0005-0000-0000-0000CD710000}"/>
    <cellStyle name="Texto explicativo 9 19" xfId="29098" xr:uid="{00000000-0005-0000-0000-0000CE710000}"/>
    <cellStyle name="Texto explicativo 9 2" xfId="29099" xr:uid="{00000000-0005-0000-0000-0000CF710000}"/>
    <cellStyle name="Texto explicativo 9 2 2" xfId="29100" xr:uid="{00000000-0005-0000-0000-0000D0710000}"/>
    <cellStyle name="Texto explicativo 9 3" xfId="29101" xr:uid="{00000000-0005-0000-0000-0000D1710000}"/>
    <cellStyle name="Texto explicativo 9 3 2" xfId="29102" xr:uid="{00000000-0005-0000-0000-0000D2710000}"/>
    <cellStyle name="Texto explicativo 9 4" xfId="29103" xr:uid="{00000000-0005-0000-0000-0000D3710000}"/>
    <cellStyle name="Texto explicativo 9 4 2" xfId="29104" xr:uid="{00000000-0005-0000-0000-0000D4710000}"/>
    <cellStyle name="Texto explicativo 9 5" xfId="29105" xr:uid="{00000000-0005-0000-0000-0000D5710000}"/>
    <cellStyle name="Texto explicativo 9 6" xfId="29106" xr:uid="{00000000-0005-0000-0000-0000D6710000}"/>
    <cellStyle name="Texto explicativo 9 7" xfId="29107" xr:uid="{00000000-0005-0000-0000-0000D7710000}"/>
    <cellStyle name="Texto explicativo 9 8" xfId="29108" xr:uid="{00000000-0005-0000-0000-0000D8710000}"/>
    <cellStyle name="Texto explicativo 9 9" xfId="29109" xr:uid="{00000000-0005-0000-0000-0000D9710000}"/>
    <cellStyle name="Title 2" xfId="29110" xr:uid="{00000000-0005-0000-0000-0000DA710000}"/>
    <cellStyle name="Título" xfId="32512" builtinId="15" customBuiltin="1"/>
    <cellStyle name="Título 1 10 10" xfId="29111" xr:uid="{00000000-0005-0000-0000-0000DC710000}"/>
    <cellStyle name="Título 1 10 11" xfId="29112" xr:uid="{00000000-0005-0000-0000-0000DD710000}"/>
    <cellStyle name="Título 1 10 12" xfId="29113" xr:uid="{00000000-0005-0000-0000-0000DE710000}"/>
    <cellStyle name="Título 1 10 13" xfId="29114" xr:uid="{00000000-0005-0000-0000-0000DF710000}"/>
    <cellStyle name="Título 1 10 14" xfId="29115" xr:uid="{00000000-0005-0000-0000-0000E0710000}"/>
    <cellStyle name="Título 1 10 15" xfId="29116" xr:uid="{00000000-0005-0000-0000-0000E1710000}"/>
    <cellStyle name="Título 1 10 16" xfId="29117" xr:uid="{00000000-0005-0000-0000-0000E2710000}"/>
    <cellStyle name="Título 1 10 17" xfId="29118" xr:uid="{00000000-0005-0000-0000-0000E3710000}"/>
    <cellStyle name="Título 1 10 18" xfId="29119" xr:uid="{00000000-0005-0000-0000-0000E4710000}"/>
    <cellStyle name="Título 1 10 19" xfId="29120" xr:uid="{00000000-0005-0000-0000-0000E5710000}"/>
    <cellStyle name="Título 1 10 2" xfId="29121" xr:uid="{00000000-0005-0000-0000-0000E6710000}"/>
    <cellStyle name="Título 1 10 2 2" xfId="29122" xr:uid="{00000000-0005-0000-0000-0000E7710000}"/>
    <cellStyle name="Título 1 10 3" xfId="29123" xr:uid="{00000000-0005-0000-0000-0000E8710000}"/>
    <cellStyle name="Título 1 10 3 2" xfId="29124" xr:uid="{00000000-0005-0000-0000-0000E9710000}"/>
    <cellStyle name="Título 1 10 4" xfId="29125" xr:uid="{00000000-0005-0000-0000-0000EA710000}"/>
    <cellStyle name="Título 1 10 4 2" xfId="29126" xr:uid="{00000000-0005-0000-0000-0000EB710000}"/>
    <cellStyle name="Título 1 10 5" xfId="29127" xr:uid="{00000000-0005-0000-0000-0000EC710000}"/>
    <cellStyle name="Título 1 10 6" xfId="29128" xr:uid="{00000000-0005-0000-0000-0000ED710000}"/>
    <cellStyle name="Título 1 10 7" xfId="29129" xr:uid="{00000000-0005-0000-0000-0000EE710000}"/>
    <cellStyle name="Título 1 10 8" xfId="29130" xr:uid="{00000000-0005-0000-0000-0000EF710000}"/>
    <cellStyle name="Título 1 10 9" xfId="29131" xr:uid="{00000000-0005-0000-0000-0000F0710000}"/>
    <cellStyle name="Título 1 11 10" xfId="29132" xr:uid="{00000000-0005-0000-0000-0000F1710000}"/>
    <cellStyle name="Título 1 11 11" xfId="29133" xr:uid="{00000000-0005-0000-0000-0000F2710000}"/>
    <cellStyle name="Título 1 11 12" xfId="29134" xr:uid="{00000000-0005-0000-0000-0000F3710000}"/>
    <cellStyle name="Título 1 11 13" xfId="29135" xr:uid="{00000000-0005-0000-0000-0000F4710000}"/>
    <cellStyle name="Título 1 11 14" xfId="29136" xr:uid="{00000000-0005-0000-0000-0000F5710000}"/>
    <cellStyle name="Título 1 11 15" xfId="29137" xr:uid="{00000000-0005-0000-0000-0000F6710000}"/>
    <cellStyle name="Título 1 11 16" xfId="29138" xr:uid="{00000000-0005-0000-0000-0000F7710000}"/>
    <cellStyle name="Título 1 11 17" xfId="29139" xr:uid="{00000000-0005-0000-0000-0000F8710000}"/>
    <cellStyle name="Título 1 11 18" xfId="29140" xr:uid="{00000000-0005-0000-0000-0000F9710000}"/>
    <cellStyle name="Título 1 11 19" xfId="29141" xr:uid="{00000000-0005-0000-0000-0000FA710000}"/>
    <cellStyle name="Título 1 11 2" xfId="29142" xr:uid="{00000000-0005-0000-0000-0000FB710000}"/>
    <cellStyle name="Título 1 11 2 2" xfId="29143" xr:uid="{00000000-0005-0000-0000-0000FC710000}"/>
    <cellStyle name="Título 1 11 3" xfId="29144" xr:uid="{00000000-0005-0000-0000-0000FD710000}"/>
    <cellStyle name="Título 1 11 3 2" xfId="29145" xr:uid="{00000000-0005-0000-0000-0000FE710000}"/>
    <cellStyle name="Título 1 11 4" xfId="29146" xr:uid="{00000000-0005-0000-0000-0000FF710000}"/>
    <cellStyle name="Título 1 11 4 2" xfId="29147" xr:uid="{00000000-0005-0000-0000-000000720000}"/>
    <cellStyle name="Título 1 11 5" xfId="29148" xr:uid="{00000000-0005-0000-0000-000001720000}"/>
    <cellStyle name="Título 1 11 6" xfId="29149" xr:uid="{00000000-0005-0000-0000-000002720000}"/>
    <cellStyle name="Título 1 11 7" xfId="29150" xr:uid="{00000000-0005-0000-0000-000003720000}"/>
    <cellStyle name="Título 1 11 8" xfId="29151" xr:uid="{00000000-0005-0000-0000-000004720000}"/>
    <cellStyle name="Título 1 11 9" xfId="29152" xr:uid="{00000000-0005-0000-0000-000005720000}"/>
    <cellStyle name="Título 1 12 10" xfId="29153" xr:uid="{00000000-0005-0000-0000-000006720000}"/>
    <cellStyle name="Título 1 12 11" xfId="29154" xr:uid="{00000000-0005-0000-0000-000007720000}"/>
    <cellStyle name="Título 1 12 12" xfId="29155" xr:uid="{00000000-0005-0000-0000-000008720000}"/>
    <cellStyle name="Título 1 12 13" xfId="29156" xr:uid="{00000000-0005-0000-0000-000009720000}"/>
    <cellStyle name="Título 1 12 14" xfId="29157" xr:uid="{00000000-0005-0000-0000-00000A720000}"/>
    <cellStyle name="Título 1 12 15" xfId="29158" xr:uid="{00000000-0005-0000-0000-00000B720000}"/>
    <cellStyle name="Título 1 12 16" xfId="29159" xr:uid="{00000000-0005-0000-0000-00000C720000}"/>
    <cellStyle name="Título 1 12 17" xfId="29160" xr:uid="{00000000-0005-0000-0000-00000D720000}"/>
    <cellStyle name="Título 1 12 18" xfId="29161" xr:uid="{00000000-0005-0000-0000-00000E720000}"/>
    <cellStyle name="Título 1 12 19" xfId="29162" xr:uid="{00000000-0005-0000-0000-00000F720000}"/>
    <cellStyle name="Título 1 12 2" xfId="29163" xr:uid="{00000000-0005-0000-0000-000010720000}"/>
    <cellStyle name="Título 1 12 2 2" xfId="29164" xr:uid="{00000000-0005-0000-0000-000011720000}"/>
    <cellStyle name="Título 1 12 3" xfId="29165" xr:uid="{00000000-0005-0000-0000-000012720000}"/>
    <cellStyle name="Título 1 12 3 2" xfId="29166" xr:uid="{00000000-0005-0000-0000-000013720000}"/>
    <cellStyle name="Título 1 12 4" xfId="29167" xr:uid="{00000000-0005-0000-0000-000014720000}"/>
    <cellStyle name="Título 1 12 4 2" xfId="29168" xr:uid="{00000000-0005-0000-0000-000015720000}"/>
    <cellStyle name="Título 1 12 5" xfId="29169" xr:uid="{00000000-0005-0000-0000-000016720000}"/>
    <cellStyle name="Título 1 12 6" xfId="29170" xr:uid="{00000000-0005-0000-0000-000017720000}"/>
    <cellStyle name="Título 1 12 7" xfId="29171" xr:uid="{00000000-0005-0000-0000-000018720000}"/>
    <cellStyle name="Título 1 12 8" xfId="29172" xr:uid="{00000000-0005-0000-0000-000019720000}"/>
    <cellStyle name="Título 1 12 9" xfId="29173" xr:uid="{00000000-0005-0000-0000-00001A720000}"/>
    <cellStyle name="Título 1 13 10" xfId="29174" xr:uid="{00000000-0005-0000-0000-00001B720000}"/>
    <cellStyle name="Título 1 13 11" xfId="29175" xr:uid="{00000000-0005-0000-0000-00001C720000}"/>
    <cellStyle name="Título 1 13 12" xfId="29176" xr:uid="{00000000-0005-0000-0000-00001D720000}"/>
    <cellStyle name="Título 1 13 13" xfId="29177" xr:uid="{00000000-0005-0000-0000-00001E720000}"/>
    <cellStyle name="Título 1 13 14" xfId="29178" xr:uid="{00000000-0005-0000-0000-00001F720000}"/>
    <cellStyle name="Título 1 13 15" xfId="29179" xr:uid="{00000000-0005-0000-0000-000020720000}"/>
    <cellStyle name="Título 1 13 16" xfId="29180" xr:uid="{00000000-0005-0000-0000-000021720000}"/>
    <cellStyle name="Título 1 13 17" xfId="29181" xr:uid="{00000000-0005-0000-0000-000022720000}"/>
    <cellStyle name="Título 1 13 18" xfId="29182" xr:uid="{00000000-0005-0000-0000-000023720000}"/>
    <cellStyle name="Título 1 13 19" xfId="29183" xr:uid="{00000000-0005-0000-0000-000024720000}"/>
    <cellStyle name="Título 1 13 2" xfId="29184" xr:uid="{00000000-0005-0000-0000-000025720000}"/>
    <cellStyle name="Título 1 13 2 2" xfId="29185" xr:uid="{00000000-0005-0000-0000-000026720000}"/>
    <cellStyle name="Título 1 13 3" xfId="29186" xr:uid="{00000000-0005-0000-0000-000027720000}"/>
    <cellStyle name="Título 1 13 3 2" xfId="29187" xr:uid="{00000000-0005-0000-0000-000028720000}"/>
    <cellStyle name="Título 1 13 4" xfId="29188" xr:uid="{00000000-0005-0000-0000-000029720000}"/>
    <cellStyle name="Título 1 13 4 2" xfId="29189" xr:uid="{00000000-0005-0000-0000-00002A720000}"/>
    <cellStyle name="Título 1 13 5" xfId="29190" xr:uid="{00000000-0005-0000-0000-00002B720000}"/>
    <cellStyle name="Título 1 13 6" xfId="29191" xr:uid="{00000000-0005-0000-0000-00002C720000}"/>
    <cellStyle name="Título 1 13 7" xfId="29192" xr:uid="{00000000-0005-0000-0000-00002D720000}"/>
    <cellStyle name="Título 1 13 8" xfId="29193" xr:uid="{00000000-0005-0000-0000-00002E720000}"/>
    <cellStyle name="Título 1 13 9" xfId="29194" xr:uid="{00000000-0005-0000-0000-00002F720000}"/>
    <cellStyle name="Título 1 14 10" xfId="29195" xr:uid="{00000000-0005-0000-0000-000030720000}"/>
    <cellStyle name="Título 1 14 11" xfId="29196" xr:uid="{00000000-0005-0000-0000-000031720000}"/>
    <cellStyle name="Título 1 14 12" xfId="29197" xr:uid="{00000000-0005-0000-0000-000032720000}"/>
    <cellStyle name="Título 1 14 13" xfId="29198" xr:uid="{00000000-0005-0000-0000-000033720000}"/>
    <cellStyle name="Título 1 14 14" xfId="29199" xr:uid="{00000000-0005-0000-0000-000034720000}"/>
    <cellStyle name="Título 1 14 15" xfId="29200" xr:uid="{00000000-0005-0000-0000-000035720000}"/>
    <cellStyle name="Título 1 14 16" xfId="29201" xr:uid="{00000000-0005-0000-0000-000036720000}"/>
    <cellStyle name="Título 1 14 17" xfId="29202" xr:uid="{00000000-0005-0000-0000-000037720000}"/>
    <cellStyle name="Título 1 14 18" xfId="29203" xr:uid="{00000000-0005-0000-0000-000038720000}"/>
    <cellStyle name="Título 1 14 19" xfId="29204" xr:uid="{00000000-0005-0000-0000-000039720000}"/>
    <cellStyle name="Título 1 14 2" xfId="29205" xr:uid="{00000000-0005-0000-0000-00003A720000}"/>
    <cellStyle name="Título 1 14 2 2" xfId="29206" xr:uid="{00000000-0005-0000-0000-00003B720000}"/>
    <cellStyle name="Título 1 14 3" xfId="29207" xr:uid="{00000000-0005-0000-0000-00003C720000}"/>
    <cellStyle name="Título 1 14 3 2" xfId="29208" xr:uid="{00000000-0005-0000-0000-00003D720000}"/>
    <cellStyle name="Título 1 14 4" xfId="29209" xr:uid="{00000000-0005-0000-0000-00003E720000}"/>
    <cellStyle name="Título 1 14 4 2" xfId="29210" xr:uid="{00000000-0005-0000-0000-00003F720000}"/>
    <cellStyle name="Título 1 14 5" xfId="29211" xr:uid="{00000000-0005-0000-0000-000040720000}"/>
    <cellStyle name="Título 1 14 6" xfId="29212" xr:uid="{00000000-0005-0000-0000-000041720000}"/>
    <cellStyle name="Título 1 14 7" xfId="29213" xr:uid="{00000000-0005-0000-0000-000042720000}"/>
    <cellStyle name="Título 1 14 8" xfId="29214" xr:uid="{00000000-0005-0000-0000-000043720000}"/>
    <cellStyle name="Título 1 14 9" xfId="29215" xr:uid="{00000000-0005-0000-0000-000044720000}"/>
    <cellStyle name="Título 1 15 10" xfId="29216" xr:uid="{00000000-0005-0000-0000-000045720000}"/>
    <cellStyle name="Título 1 15 11" xfId="29217" xr:uid="{00000000-0005-0000-0000-000046720000}"/>
    <cellStyle name="Título 1 15 12" xfId="29218" xr:uid="{00000000-0005-0000-0000-000047720000}"/>
    <cellStyle name="Título 1 15 13" xfId="29219" xr:uid="{00000000-0005-0000-0000-000048720000}"/>
    <cellStyle name="Título 1 15 14" xfId="29220" xr:uid="{00000000-0005-0000-0000-000049720000}"/>
    <cellStyle name="Título 1 15 15" xfId="29221" xr:uid="{00000000-0005-0000-0000-00004A720000}"/>
    <cellStyle name="Título 1 15 16" xfId="29222" xr:uid="{00000000-0005-0000-0000-00004B720000}"/>
    <cellStyle name="Título 1 15 17" xfId="29223" xr:uid="{00000000-0005-0000-0000-00004C720000}"/>
    <cellStyle name="Título 1 15 18" xfId="29224" xr:uid="{00000000-0005-0000-0000-00004D720000}"/>
    <cellStyle name="Título 1 15 19" xfId="29225" xr:uid="{00000000-0005-0000-0000-00004E720000}"/>
    <cellStyle name="Título 1 15 2" xfId="29226" xr:uid="{00000000-0005-0000-0000-00004F720000}"/>
    <cellStyle name="Título 1 15 2 2" xfId="29227" xr:uid="{00000000-0005-0000-0000-000050720000}"/>
    <cellStyle name="Título 1 15 3" xfId="29228" xr:uid="{00000000-0005-0000-0000-000051720000}"/>
    <cellStyle name="Título 1 15 3 2" xfId="29229" xr:uid="{00000000-0005-0000-0000-000052720000}"/>
    <cellStyle name="Título 1 15 4" xfId="29230" xr:uid="{00000000-0005-0000-0000-000053720000}"/>
    <cellStyle name="Título 1 15 4 2" xfId="29231" xr:uid="{00000000-0005-0000-0000-000054720000}"/>
    <cellStyle name="Título 1 15 5" xfId="29232" xr:uid="{00000000-0005-0000-0000-000055720000}"/>
    <cellStyle name="Título 1 15 6" xfId="29233" xr:uid="{00000000-0005-0000-0000-000056720000}"/>
    <cellStyle name="Título 1 15 7" xfId="29234" xr:uid="{00000000-0005-0000-0000-000057720000}"/>
    <cellStyle name="Título 1 15 8" xfId="29235" xr:uid="{00000000-0005-0000-0000-000058720000}"/>
    <cellStyle name="Título 1 15 9" xfId="29236" xr:uid="{00000000-0005-0000-0000-000059720000}"/>
    <cellStyle name="Título 1 16 10" xfId="29237" xr:uid="{00000000-0005-0000-0000-00005A720000}"/>
    <cellStyle name="Título 1 16 11" xfId="29238" xr:uid="{00000000-0005-0000-0000-00005B720000}"/>
    <cellStyle name="Título 1 16 12" xfId="29239" xr:uid="{00000000-0005-0000-0000-00005C720000}"/>
    <cellStyle name="Título 1 16 13" xfId="29240" xr:uid="{00000000-0005-0000-0000-00005D720000}"/>
    <cellStyle name="Título 1 16 14" xfId="29241" xr:uid="{00000000-0005-0000-0000-00005E720000}"/>
    <cellStyle name="Título 1 16 15" xfId="29242" xr:uid="{00000000-0005-0000-0000-00005F720000}"/>
    <cellStyle name="Título 1 16 16" xfId="29243" xr:uid="{00000000-0005-0000-0000-000060720000}"/>
    <cellStyle name="Título 1 16 17" xfId="29244" xr:uid="{00000000-0005-0000-0000-000061720000}"/>
    <cellStyle name="Título 1 16 18" xfId="29245" xr:uid="{00000000-0005-0000-0000-000062720000}"/>
    <cellStyle name="Título 1 16 19" xfId="29246" xr:uid="{00000000-0005-0000-0000-000063720000}"/>
    <cellStyle name="Título 1 16 2" xfId="29247" xr:uid="{00000000-0005-0000-0000-000064720000}"/>
    <cellStyle name="Título 1 16 2 2" xfId="29248" xr:uid="{00000000-0005-0000-0000-000065720000}"/>
    <cellStyle name="Título 1 16 3" xfId="29249" xr:uid="{00000000-0005-0000-0000-000066720000}"/>
    <cellStyle name="Título 1 16 3 2" xfId="29250" xr:uid="{00000000-0005-0000-0000-000067720000}"/>
    <cellStyle name="Título 1 16 4" xfId="29251" xr:uid="{00000000-0005-0000-0000-000068720000}"/>
    <cellStyle name="Título 1 16 4 2" xfId="29252" xr:uid="{00000000-0005-0000-0000-000069720000}"/>
    <cellStyle name="Título 1 16 5" xfId="29253" xr:uid="{00000000-0005-0000-0000-00006A720000}"/>
    <cellStyle name="Título 1 16 6" xfId="29254" xr:uid="{00000000-0005-0000-0000-00006B720000}"/>
    <cellStyle name="Título 1 16 7" xfId="29255" xr:uid="{00000000-0005-0000-0000-00006C720000}"/>
    <cellStyle name="Título 1 16 8" xfId="29256" xr:uid="{00000000-0005-0000-0000-00006D720000}"/>
    <cellStyle name="Título 1 16 9" xfId="29257" xr:uid="{00000000-0005-0000-0000-00006E720000}"/>
    <cellStyle name="Título 1 17 10" xfId="29258" xr:uid="{00000000-0005-0000-0000-00006F720000}"/>
    <cellStyle name="Título 1 17 11" xfId="29259" xr:uid="{00000000-0005-0000-0000-000070720000}"/>
    <cellStyle name="Título 1 17 12" xfId="29260" xr:uid="{00000000-0005-0000-0000-000071720000}"/>
    <cellStyle name="Título 1 17 13" xfId="29261" xr:uid="{00000000-0005-0000-0000-000072720000}"/>
    <cellStyle name="Título 1 17 14" xfId="29262" xr:uid="{00000000-0005-0000-0000-000073720000}"/>
    <cellStyle name="Título 1 17 15" xfId="29263" xr:uid="{00000000-0005-0000-0000-000074720000}"/>
    <cellStyle name="Título 1 17 16" xfId="29264" xr:uid="{00000000-0005-0000-0000-000075720000}"/>
    <cellStyle name="Título 1 17 17" xfId="29265" xr:uid="{00000000-0005-0000-0000-000076720000}"/>
    <cellStyle name="Título 1 17 18" xfId="29266" xr:uid="{00000000-0005-0000-0000-000077720000}"/>
    <cellStyle name="Título 1 17 19" xfId="29267" xr:uid="{00000000-0005-0000-0000-000078720000}"/>
    <cellStyle name="Título 1 17 2" xfId="29268" xr:uid="{00000000-0005-0000-0000-000079720000}"/>
    <cellStyle name="Título 1 17 2 2" xfId="29269" xr:uid="{00000000-0005-0000-0000-00007A720000}"/>
    <cellStyle name="Título 1 17 3" xfId="29270" xr:uid="{00000000-0005-0000-0000-00007B720000}"/>
    <cellStyle name="Título 1 17 3 2" xfId="29271" xr:uid="{00000000-0005-0000-0000-00007C720000}"/>
    <cellStyle name="Título 1 17 4" xfId="29272" xr:uid="{00000000-0005-0000-0000-00007D720000}"/>
    <cellStyle name="Título 1 17 4 2" xfId="29273" xr:uid="{00000000-0005-0000-0000-00007E720000}"/>
    <cellStyle name="Título 1 17 5" xfId="29274" xr:uid="{00000000-0005-0000-0000-00007F720000}"/>
    <cellStyle name="Título 1 17 6" xfId="29275" xr:uid="{00000000-0005-0000-0000-000080720000}"/>
    <cellStyle name="Título 1 17 7" xfId="29276" xr:uid="{00000000-0005-0000-0000-000081720000}"/>
    <cellStyle name="Título 1 17 8" xfId="29277" xr:uid="{00000000-0005-0000-0000-000082720000}"/>
    <cellStyle name="Título 1 17 9" xfId="29278" xr:uid="{00000000-0005-0000-0000-000083720000}"/>
    <cellStyle name="Título 1 18 10" xfId="29279" xr:uid="{00000000-0005-0000-0000-000084720000}"/>
    <cellStyle name="Título 1 18 11" xfId="29280" xr:uid="{00000000-0005-0000-0000-000085720000}"/>
    <cellStyle name="Título 1 18 12" xfId="29281" xr:uid="{00000000-0005-0000-0000-000086720000}"/>
    <cellStyle name="Título 1 18 13" xfId="29282" xr:uid="{00000000-0005-0000-0000-000087720000}"/>
    <cellStyle name="Título 1 18 14" xfId="29283" xr:uid="{00000000-0005-0000-0000-000088720000}"/>
    <cellStyle name="Título 1 18 15" xfId="29284" xr:uid="{00000000-0005-0000-0000-000089720000}"/>
    <cellStyle name="Título 1 18 16" xfId="29285" xr:uid="{00000000-0005-0000-0000-00008A720000}"/>
    <cellStyle name="Título 1 18 17" xfId="29286" xr:uid="{00000000-0005-0000-0000-00008B720000}"/>
    <cellStyle name="Título 1 18 18" xfId="29287" xr:uid="{00000000-0005-0000-0000-00008C720000}"/>
    <cellStyle name="Título 1 18 19" xfId="29288" xr:uid="{00000000-0005-0000-0000-00008D720000}"/>
    <cellStyle name="Título 1 18 2" xfId="29289" xr:uid="{00000000-0005-0000-0000-00008E720000}"/>
    <cellStyle name="Título 1 18 2 2" xfId="29290" xr:uid="{00000000-0005-0000-0000-00008F720000}"/>
    <cellStyle name="Título 1 18 3" xfId="29291" xr:uid="{00000000-0005-0000-0000-000090720000}"/>
    <cellStyle name="Título 1 18 3 2" xfId="29292" xr:uid="{00000000-0005-0000-0000-000091720000}"/>
    <cellStyle name="Título 1 18 4" xfId="29293" xr:uid="{00000000-0005-0000-0000-000092720000}"/>
    <cellStyle name="Título 1 18 4 2" xfId="29294" xr:uid="{00000000-0005-0000-0000-000093720000}"/>
    <cellStyle name="Título 1 18 5" xfId="29295" xr:uid="{00000000-0005-0000-0000-000094720000}"/>
    <cellStyle name="Título 1 18 6" xfId="29296" xr:uid="{00000000-0005-0000-0000-000095720000}"/>
    <cellStyle name="Título 1 18 7" xfId="29297" xr:uid="{00000000-0005-0000-0000-000096720000}"/>
    <cellStyle name="Título 1 18 8" xfId="29298" xr:uid="{00000000-0005-0000-0000-000097720000}"/>
    <cellStyle name="Título 1 18 9" xfId="29299" xr:uid="{00000000-0005-0000-0000-000098720000}"/>
    <cellStyle name="Título 1 19 10" xfId="29300" xr:uid="{00000000-0005-0000-0000-000099720000}"/>
    <cellStyle name="Título 1 19 11" xfId="29301" xr:uid="{00000000-0005-0000-0000-00009A720000}"/>
    <cellStyle name="Título 1 19 12" xfId="29302" xr:uid="{00000000-0005-0000-0000-00009B720000}"/>
    <cellStyle name="Título 1 19 13" xfId="29303" xr:uid="{00000000-0005-0000-0000-00009C720000}"/>
    <cellStyle name="Título 1 19 14" xfId="29304" xr:uid="{00000000-0005-0000-0000-00009D720000}"/>
    <cellStyle name="Título 1 19 15" xfId="29305" xr:uid="{00000000-0005-0000-0000-00009E720000}"/>
    <cellStyle name="Título 1 19 16" xfId="29306" xr:uid="{00000000-0005-0000-0000-00009F720000}"/>
    <cellStyle name="Título 1 19 17" xfId="29307" xr:uid="{00000000-0005-0000-0000-0000A0720000}"/>
    <cellStyle name="Título 1 19 18" xfId="29308" xr:uid="{00000000-0005-0000-0000-0000A1720000}"/>
    <cellStyle name="Título 1 19 19" xfId="29309" xr:uid="{00000000-0005-0000-0000-0000A2720000}"/>
    <cellStyle name="Título 1 19 2" xfId="29310" xr:uid="{00000000-0005-0000-0000-0000A3720000}"/>
    <cellStyle name="Título 1 19 2 2" xfId="29311" xr:uid="{00000000-0005-0000-0000-0000A4720000}"/>
    <cellStyle name="Título 1 19 3" xfId="29312" xr:uid="{00000000-0005-0000-0000-0000A5720000}"/>
    <cellStyle name="Título 1 19 3 2" xfId="29313" xr:uid="{00000000-0005-0000-0000-0000A6720000}"/>
    <cellStyle name="Título 1 19 4" xfId="29314" xr:uid="{00000000-0005-0000-0000-0000A7720000}"/>
    <cellStyle name="Título 1 19 4 2" xfId="29315" xr:uid="{00000000-0005-0000-0000-0000A8720000}"/>
    <cellStyle name="Título 1 19 5" xfId="29316" xr:uid="{00000000-0005-0000-0000-0000A9720000}"/>
    <cellStyle name="Título 1 19 6" xfId="29317" xr:uid="{00000000-0005-0000-0000-0000AA720000}"/>
    <cellStyle name="Título 1 19 7" xfId="29318" xr:uid="{00000000-0005-0000-0000-0000AB720000}"/>
    <cellStyle name="Título 1 19 8" xfId="29319" xr:uid="{00000000-0005-0000-0000-0000AC720000}"/>
    <cellStyle name="Título 1 19 9" xfId="29320" xr:uid="{00000000-0005-0000-0000-0000AD720000}"/>
    <cellStyle name="Título 1 2 10" xfId="29321" xr:uid="{00000000-0005-0000-0000-0000AE720000}"/>
    <cellStyle name="Título 1 2 11" xfId="29322" xr:uid="{00000000-0005-0000-0000-0000AF720000}"/>
    <cellStyle name="Título 1 2 12" xfId="29323" xr:uid="{00000000-0005-0000-0000-0000B0720000}"/>
    <cellStyle name="Título 1 2 13" xfId="29324" xr:uid="{00000000-0005-0000-0000-0000B1720000}"/>
    <cellStyle name="Título 1 2 14" xfId="29325" xr:uid="{00000000-0005-0000-0000-0000B2720000}"/>
    <cellStyle name="Título 1 2 15" xfId="29326" xr:uid="{00000000-0005-0000-0000-0000B3720000}"/>
    <cellStyle name="Título 1 2 16" xfId="29327" xr:uid="{00000000-0005-0000-0000-0000B4720000}"/>
    <cellStyle name="Título 1 2 17" xfId="29328" xr:uid="{00000000-0005-0000-0000-0000B5720000}"/>
    <cellStyle name="Título 1 2 18" xfId="29329" xr:uid="{00000000-0005-0000-0000-0000B6720000}"/>
    <cellStyle name="Título 1 2 19" xfId="29330" xr:uid="{00000000-0005-0000-0000-0000B7720000}"/>
    <cellStyle name="Título 1 2 2" xfId="29331" xr:uid="{00000000-0005-0000-0000-0000B8720000}"/>
    <cellStyle name="Título 1 2 2 2" xfId="29332" xr:uid="{00000000-0005-0000-0000-0000B9720000}"/>
    <cellStyle name="Título 1 2 3" xfId="29333" xr:uid="{00000000-0005-0000-0000-0000BA720000}"/>
    <cellStyle name="Título 1 2 3 2" xfId="29334" xr:uid="{00000000-0005-0000-0000-0000BB720000}"/>
    <cellStyle name="Título 1 2 4" xfId="29335" xr:uid="{00000000-0005-0000-0000-0000BC720000}"/>
    <cellStyle name="Título 1 2 4 2" xfId="29336" xr:uid="{00000000-0005-0000-0000-0000BD720000}"/>
    <cellStyle name="Título 1 2 5" xfId="29337" xr:uid="{00000000-0005-0000-0000-0000BE720000}"/>
    <cellStyle name="Título 1 2 6" xfId="29338" xr:uid="{00000000-0005-0000-0000-0000BF720000}"/>
    <cellStyle name="Título 1 2 7" xfId="29339" xr:uid="{00000000-0005-0000-0000-0000C0720000}"/>
    <cellStyle name="Título 1 2 8" xfId="29340" xr:uid="{00000000-0005-0000-0000-0000C1720000}"/>
    <cellStyle name="Título 1 2 9" xfId="29341" xr:uid="{00000000-0005-0000-0000-0000C2720000}"/>
    <cellStyle name="Título 1 20 10" xfId="29342" xr:uid="{00000000-0005-0000-0000-0000C3720000}"/>
    <cellStyle name="Título 1 20 11" xfId="29343" xr:uid="{00000000-0005-0000-0000-0000C4720000}"/>
    <cellStyle name="Título 1 20 12" xfId="29344" xr:uid="{00000000-0005-0000-0000-0000C5720000}"/>
    <cellStyle name="Título 1 20 13" xfId="29345" xr:uid="{00000000-0005-0000-0000-0000C6720000}"/>
    <cellStyle name="Título 1 20 14" xfId="29346" xr:uid="{00000000-0005-0000-0000-0000C7720000}"/>
    <cellStyle name="Título 1 20 15" xfId="29347" xr:uid="{00000000-0005-0000-0000-0000C8720000}"/>
    <cellStyle name="Título 1 20 16" xfId="29348" xr:uid="{00000000-0005-0000-0000-0000C9720000}"/>
    <cellStyle name="Título 1 20 17" xfId="29349" xr:uid="{00000000-0005-0000-0000-0000CA720000}"/>
    <cellStyle name="Título 1 20 18" xfId="29350" xr:uid="{00000000-0005-0000-0000-0000CB720000}"/>
    <cellStyle name="Título 1 20 19" xfId="29351" xr:uid="{00000000-0005-0000-0000-0000CC720000}"/>
    <cellStyle name="Título 1 20 2" xfId="29352" xr:uid="{00000000-0005-0000-0000-0000CD720000}"/>
    <cellStyle name="Título 1 20 2 2" xfId="29353" xr:uid="{00000000-0005-0000-0000-0000CE720000}"/>
    <cellStyle name="Título 1 20 3" xfId="29354" xr:uid="{00000000-0005-0000-0000-0000CF720000}"/>
    <cellStyle name="Título 1 20 3 2" xfId="29355" xr:uid="{00000000-0005-0000-0000-0000D0720000}"/>
    <cellStyle name="Título 1 20 4" xfId="29356" xr:uid="{00000000-0005-0000-0000-0000D1720000}"/>
    <cellStyle name="Título 1 20 4 2" xfId="29357" xr:uid="{00000000-0005-0000-0000-0000D2720000}"/>
    <cellStyle name="Título 1 20 5" xfId="29358" xr:uid="{00000000-0005-0000-0000-0000D3720000}"/>
    <cellStyle name="Título 1 20 6" xfId="29359" xr:uid="{00000000-0005-0000-0000-0000D4720000}"/>
    <cellStyle name="Título 1 20 7" xfId="29360" xr:uid="{00000000-0005-0000-0000-0000D5720000}"/>
    <cellStyle name="Título 1 20 8" xfId="29361" xr:uid="{00000000-0005-0000-0000-0000D6720000}"/>
    <cellStyle name="Título 1 20 9" xfId="29362" xr:uid="{00000000-0005-0000-0000-0000D7720000}"/>
    <cellStyle name="Título 1 21 10" xfId="29363" xr:uid="{00000000-0005-0000-0000-0000D8720000}"/>
    <cellStyle name="Título 1 21 11" xfId="29364" xr:uid="{00000000-0005-0000-0000-0000D9720000}"/>
    <cellStyle name="Título 1 21 12" xfId="29365" xr:uid="{00000000-0005-0000-0000-0000DA720000}"/>
    <cellStyle name="Título 1 21 13" xfId="29366" xr:uid="{00000000-0005-0000-0000-0000DB720000}"/>
    <cellStyle name="Título 1 21 14" xfId="29367" xr:uid="{00000000-0005-0000-0000-0000DC720000}"/>
    <cellStyle name="Título 1 21 15" xfId="29368" xr:uid="{00000000-0005-0000-0000-0000DD720000}"/>
    <cellStyle name="Título 1 21 16" xfId="29369" xr:uid="{00000000-0005-0000-0000-0000DE720000}"/>
    <cellStyle name="Título 1 21 17" xfId="29370" xr:uid="{00000000-0005-0000-0000-0000DF720000}"/>
    <cellStyle name="Título 1 21 18" xfId="29371" xr:uid="{00000000-0005-0000-0000-0000E0720000}"/>
    <cellStyle name="Título 1 21 19" xfId="29372" xr:uid="{00000000-0005-0000-0000-0000E1720000}"/>
    <cellStyle name="Título 1 21 2" xfId="29373" xr:uid="{00000000-0005-0000-0000-0000E2720000}"/>
    <cellStyle name="Título 1 21 2 2" xfId="29374" xr:uid="{00000000-0005-0000-0000-0000E3720000}"/>
    <cellStyle name="Título 1 21 3" xfId="29375" xr:uid="{00000000-0005-0000-0000-0000E4720000}"/>
    <cellStyle name="Título 1 21 3 2" xfId="29376" xr:uid="{00000000-0005-0000-0000-0000E5720000}"/>
    <cellStyle name="Título 1 21 4" xfId="29377" xr:uid="{00000000-0005-0000-0000-0000E6720000}"/>
    <cellStyle name="Título 1 21 4 2" xfId="29378" xr:uid="{00000000-0005-0000-0000-0000E7720000}"/>
    <cellStyle name="Título 1 21 5" xfId="29379" xr:uid="{00000000-0005-0000-0000-0000E8720000}"/>
    <cellStyle name="Título 1 21 6" xfId="29380" xr:uid="{00000000-0005-0000-0000-0000E9720000}"/>
    <cellStyle name="Título 1 21 7" xfId="29381" xr:uid="{00000000-0005-0000-0000-0000EA720000}"/>
    <cellStyle name="Título 1 21 8" xfId="29382" xr:uid="{00000000-0005-0000-0000-0000EB720000}"/>
    <cellStyle name="Título 1 21 9" xfId="29383" xr:uid="{00000000-0005-0000-0000-0000EC720000}"/>
    <cellStyle name="Título 1 22 10" xfId="29384" xr:uid="{00000000-0005-0000-0000-0000ED720000}"/>
    <cellStyle name="Título 1 22 11" xfId="29385" xr:uid="{00000000-0005-0000-0000-0000EE720000}"/>
    <cellStyle name="Título 1 22 12" xfId="29386" xr:uid="{00000000-0005-0000-0000-0000EF720000}"/>
    <cellStyle name="Título 1 22 13" xfId="29387" xr:uid="{00000000-0005-0000-0000-0000F0720000}"/>
    <cellStyle name="Título 1 22 14" xfId="29388" xr:uid="{00000000-0005-0000-0000-0000F1720000}"/>
    <cellStyle name="Título 1 22 15" xfId="29389" xr:uid="{00000000-0005-0000-0000-0000F2720000}"/>
    <cellStyle name="Título 1 22 16" xfId="29390" xr:uid="{00000000-0005-0000-0000-0000F3720000}"/>
    <cellStyle name="Título 1 22 17" xfId="29391" xr:uid="{00000000-0005-0000-0000-0000F4720000}"/>
    <cellStyle name="Título 1 22 18" xfId="29392" xr:uid="{00000000-0005-0000-0000-0000F5720000}"/>
    <cellStyle name="Título 1 22 19" xfId="29393" xr:uid="{00000000-0005-0000-0000-0000F6720000}"/>
    <cellStyle name="Título 1 22 2" xfId="29394" xr:uid="{00000000-0005-0000-0000-0000F7720000}"/>
    <cellStyle name="Título 1 22 2 2" xfId="29395" xr:uid="{00000000-0005-0000-0000-0000F8720000}"/>
    <cellStyle name="Título 1 22 3" xfId="29396" xr:uid="{00000000-0005-0000-0000-0000F9720000}"/>
    <cellStyle name="Título 1 22 3 2" xfId="29397" xr:uid="{00000000-0005-0000-0000-0000FA720000}"/>
    <cellStyle name="Título 1 22 4" xfId="29398" xr:uid="{00000000-0005-0000-0000-0000FB720000}"/>
    <cellStyle name="Título 1 22 4 2" xfId="29399" xr:uid="{00000000-0005-0000-0000-0000FC720000}"/>
    <cellStyle name="Título 1 22 5" xfId="29400" xr:uid="{00000000-0005-0000-0000-0000FD720000}"/>
    <cellStyle name="Título 1 22 6" xfId="29401" xr:uid="{00000000-0005-0000-0000-0000FE720000}"/>
    <cellStyle name="Título 1 22 7" xfId="29402" xr:uid="{00000000-0005-0000-0000-0000FF720000}"/>
    <cellStyle name="Título 1 22 8" xfId="29403" xr:uid="{00000000-0005-0000-0000-000000730000}"/>
    <cellStyle name="Título 1 22 9" xfId="29404" xr:uid="{00000000-0005-0000-0000-000001730000}"/>
    <cellStyle name="Título 1 23 10" xfId="29405" xr:uid="{00000000-0005-0000-0000-000002730000}"/>
    <cellStyle name="Título 1 23 11" xfId="29406" xr:uid="{00000000-0005-0000-0000-000003730000}"/>
    <cellStyle name="Título 1 23 12" xfId="29407" xr:uid="{00000000-0005-0000-0000-000004730000}"/>
    <cellStyle name="Título 1 23 13" xfId="29408" xr:uid="{00000000-0005-0000-0000-000005730000}"/>
    <cellStyle name="Título 1 23 14" xfId="29409" xr:uid="{00000000-0005-0000-0000-000006730000}"/>
    <cellStyle name="Título 1 23 15" xfId="29410" xr:uid="{00000000-0005-0000-0000-000007730000}"/>
    <cellStyle name="Título 1 23 16" xfId="29411" xr:uid="{00000000-0005-0000-0000-000008730000}"/>
    <cellStyle name="Título 1 23 17" xfId="29412" xr:uid="{00000000-0005-0000-0000-000009730000}"/>
    <cellStyle name="Título 1 23 18" xfId="29413" xr:uid="{00000000-0005-0000-0000-00000A730000}"/>
    <cellStyle name="Título 1 23 19" xfId="29414" xr:uid="{00000000-0005-0000-0000-00000B730000}"/>
    <cellStyle name="Título 1 23 2" xfId="29415" xr:uid="{00000000-0005-0000-0000-00000C730000}"/>
    <cellStyle name="Título 1 23 2 2" xfId="29416" xr:uid="{00000000-0005-0000-0000-00000D730000}"/>
    <cellStyle name="Título 1 23 3" xfId="29417" xr:uid="{00000000-0005-0000-0000-00000E730000}"/>
    <cellStyle name="Título 1 23 3 2" xfId="29418" xr:uid="{00000000-0005-0000-0000-00000F730000}"/>
    <cellStyle name="Título 1 23 4" xfId="29419" xr:uid="{00000000-0005-0000-0000-000010730000}"/>
    <cellStyle name="Título 1 23 4 2" xfId="29420" xr:uid="{00000000-0005-0000-0000-000011730000}"/>
    <cellStyle name="Título 1 23 5" xfId="29421" xr:uid="{00000000-0005-0000-0000-000012730000}"/>
    <cellStyle name="Título 1 23 6" xfId="29422" xr:uid="{00000000-0005-0000-0000-000013730000}"/>
    <cellStyle name="Título 1 23 7" xfId="29423" xr:uid="{00000000-0005-0000-0000-000014730000}"/>
    <cellStyle name="Título 1 23 8" xfId="29424" xr:uid="{00000000-0005-0000-0000-000015730000}"/>
    <cellStyle name="Título 1 23 9" xfId="29425" xr:uid="{00000000-0005-0000-0000-000016730000}"/>
    <cellStyle name="Título 1 24 10" xfId="29426" xr:uid="{00000000-0005-0000-0000-000017730000}"/>
    <cellStyle name="Título 1 24 11" xfId="29427" xr:uid="{00000000-0005-0000-0000-000018730000}"/>
    <cellStyle name="Título 1 24 12" xfId="29428" xr:uid="{00000000-0005-0000-0000-000019730000}"/>
    <cellStyle name="Título 1 24 13" xfId="29429" xr:uid="{00000000-0005-0000-0000-00001A730000}"/>
    <cellStyle name="Título 1 24 14" xfId="29430" xr:uid="{00000000-0005-0000-0000-00001B730000}"/>
    <cellStyle name="Título 1 24 15" xfId="29431" xr:uid="{00000000-0005-0000-0000-00001C730000}"/>
    <cellStyle name="Título 1 24 16" xfId="29432" xr:uid="{00000000-0005-0000-0000-00001D730000}"/>
    <cellStyle name="Título 1 24 17" xfId="29433" xr:uid="{00000000-0005-0000-0000-00001E730000}"/>
    <cellStyle name="Título 1 24 18" xfId="29434" xr:uid="{00000000-0005-0000-0000-00001F730000}"/>
    <cellStyle name="Título 1 24 19" xfId="29435" xr:uid="{00000000-0005-0000-0000-000020730000}"/>
    <cellStyle name="Título 1 24 2" xfId="29436" xr:uid="{00000000-0005-0000-0000-000021730000}"/>
    <cellStyle name="Título 1 24 2 2" xfId="29437" xr:uid="{00000000-0005-0000-0000-000022730000}"/>
    <cellStyle name="Título 1 24 3" xfId="29438" xr:uid="{00000000-0005-0000-0000-000023730000}"/>
    <cellStyle name="Título 1 24 3 2" xfId="29439" xr:uid="{00000000-0005-0000-0000-000024730000}"/>
    <cellStyle name="Título 1 24 4" xfId="29440" xr:uid="{00000000-0005-0000-0000-000025730000}"/>
    <cellStyle name="Título 1 24 4 2" xfId="29441" xr:uid="{00000000-0005-0000-0000-000026730000}"/>
    <cellStyle name="Título 1 24 5" xfId="29442" xr:uid="{00000000-0005-0000-0000-000027730000}"/>
    <cellStyle name="Título 1 24 6" xfId="29443" xr:uid="{00000000-0005-0000-0000-000028730000}"/>
    <cellStyle name="Título 1 24 7" xfId="29444" xr:uid="{00000000-0005-0000-0000-000029730000}"/>
    <cellStyle name="Título 1 24 8" xfId="29445" xr:uid="{00000000-0005-0000-0000-00002A730000}"/>
    <cellStyle name="Título 1 24 9" xfId="29446" xr:uid="{00000000-0005-0000-0000-00002B730000}"/>
    <cellStyle name="Título 1 25 10" xfId="29447" xr:uid="{00000000-0005-0000-0000-00002C730000}"/>
    <cellStyle name="Título 1 25 11" xfId="29448" xr:uid="{00000000-0005-0000-0000-00002D730000}"/>
    <cellStyle name="Título 1 25 12" xfId="29449" xr:uid="{00000000-0005-0000-0000-00002E730000}"/>
    <cellStyle name="Título 1 25 13" xfId="29450" xr:uid="{00000000-0005-0000-0000-00002F730000}"/>
    <cellStyle name="Título 1 25 14" xfId="29451" xr:uid="{00000000-0005-0000-0000-000030730000}"/>
    <cellStyle name="Título 1 25 15" xfId="29452" xr:uid="{00000000-0005-0000-0000-000031730000}"/>
    <cellStyle name="Título 1 25 16" xfId="29453" xr:uid="{00000000-0005-0000-0000-000032730000}"/>
    <cellStyle name="Título 1 25 17" xfId="29454" xr:uid="{00000000-0005-0000-0000-000033730000}"/>
    <cellStyle name="Título 1 25 18" xfId="29455" xr:uid="{00000000-0005-0000-0000-000034730000}"/>
    <cellStyle name="Título 1 25 19" xfId="29456" xr:uid="{00000000-0005-0000-0000-000035730000}"/>
    <cellStyle name="Título 1 25 2" xfId="29457" xr:uid="{00000000-0005-0000-0000-000036730000}"/>
    <cellStyle name="Título 1 25 2 2" xfId="29458" xr:uid="{00000000-0005-0000-0000-000037730000}"/>
    <cellStyle name="Título 1 25 3" xfId="29459" xr:uid="{00000000-0005-0000-0000-000038730000}"/>
    <cellStyle name="Título 1 25 3 2" xfId="29460" xr:uid="{00000000-0005-0000-0000-000039730000}"/>
    <cellStyle name="Título 1 25 4" xfId="29461" xr:uid="{00000000-0005-0000-0000-00003A730000}"/>
    <cellStyle name="Título 1 25 4 2" xfId="29462" xr:uid="{00000000-0005-0000-0000-00003B730000}"/>
    <cellStyle name="Título 1 25 5" xfId="29463" xr:uid="{00000000-0005-0000-0000-00003C730000}"/>
    <cellStyle name="Título 1 25 6" xfId="29464" xr:uid="{00000000-0005-0000-0000-00003D730000}"/>
    <cellStyle name="Título 1 25 7" xfId="29465" xr:uid="{00000000-0005-0000-0000-00003E730000}"/>
    <cellStyle name="Título 1 25 8" xfId="29466" xr:uid="{00000000-0005-0000-0000-00003F730000}"/>
    <cellStyle name="Título 1 25 9" xfId="29467" xr:uid="{00000000-0005-0000-0000-000040730000}"/>
    <cellStyle name="Título 1 26 10" xfId="29468" xr:uid="{00000000-0005-0000-0000-000041730000}"/>
    <cellStyle name="Título 1 26 11" xfId="29469" xr:uid="{00000000-0005-0000-0000-000042730000}"/>
    <cellStyle name="Título 1 26 12" xfId="29470" xr:uid="{00000000-0005-0000-0000-000043730000}"/>
    <cellStyle name="Título 1 26 13" xfId="29471" xr:uid="{00000000-0005-0000-0000-000044730000}"/>
    <cellStyle name="Título 1 26 14" xfId="29472" xr:uid="{00000000-0005-0000-0000-000045730000}"/>
    <cellStyle name="Título 1 26 15" xfId="29473" xr:uid="{00000000-0005-0000-0000-000046730000}"/>
    <cellStyle name="Título 1 26 16" xfId="29474" xr:uid="{00000000-0005-0000-0000-000047730000}"/>
    <cellStyle name="Título 1 26 17" xfId="29475" xr:uid="{00000000-0005-0000-0000-000048730000}"/>
    <cellStyle name="Título 1 26 18" xfId="29476" xr:uid="{00000000-0005-0000-0000-000049730000}"/>
    <cellStyle name="Título 1 26 19" xfId="29477" xr:uid="{00000000-0005-0000-0000-00004A730000}"/>
    <cellStyle name="Título 1 26 2" xfId="29478" xr:uid="{00000000-0005-0000-0000-00004B730000}"/>
    <cellStyle name="Título 1 26 2 2" xfId="29479" xr:uid="{00000000-0005-0000-0000-00004C730000}"/>
    <cellStyle name="Título 1 26 3" xfId="29480" xr:uid="{00000000-0005-0000-0000-00004D730000}"/>
    <cellStyle name="Título 1 26 3 2" xfId="29481" xr:uid="{00000000-0005-0000-0000-00004E730000}"/>
    <cellStyle name="Título 1 26 4" xfId="29482" xr:uid="{00000000-0005-0000-0000-00004F730000}"/>
    <cellStyle name="Título 1 26 4 2" xfId="29483" xr:uid="{00000000-0005-0000-0000-000050730000}"/>
    <cellStyle name="Título 1 26 5" xfId="29484" xr:uid="{00000000-0005-0000-0000-000051730000}"/>
    <cellStyle name="Título 1 26 6" xfId="29485" xr:uid="{00000000-0005-0000-0000-000052730000}"/>
    <cellStyle name="Título 1 26 7" xfId="29486" xr:uid="{00000000-0005-0000-0000-000053730000}"/>
    <cellStyle name="Título 1 26 8" xfId="29487" xr:uid="{00000000-0005-0000-0000-000054730000}"/>
    <cellStyle name="Título 1 26 9" xfId="29488" xr:uid="{00000000-0005-0000-0000-000055730000}"/>
    <cellStyle name="Título 1 27 10" xfId="29489" xr:uid="{00000000-0005-0000-0000-000056730000}"/>
    <cellStyle name="Título 1 27 11" xfId="29490" xr:uid="{00000000-0005-0000-0000-000057730000}"/>
    <cellStyle name="Título 1 27 12" xfId="29491" xr:uid="{00000000-0005-0000-0000-000058730000}"/>
    <cellStyle name="Título 1 27 13" xfId="29492" xr:uid="{00000000-0005-0000-0000-000059730000}"/>
    <cellStyle name="Título 1 27 14" xfId="29493" xr:uid="{00000000-0005-0000-0000-00005A730000}"/>
    <cellStyle name="Título 1 27 15" xfId="29494" xr:uid="{00000000-0005-0000-0000-00005B730000}"/>
    <cellStyle name="Título 1 27 16" xfId="29495" xr:uid="{00000000-0005-0000-0000-00005C730000}"/>
    <cellStyle name="Título 1 27 17" xfId="29496" xr:uid="{00000000-0005-0000-0000-00005D730000}"/>
    <cellStyle name="Título 1 27 18" xfId="29497" xr:uid="{00000000-0005-0000-0000-00005E730000}"/>
    <cellStyle name="Título 1 27 19" xfId="29498" xr:uid="{00000000-0005-0000-0000-00005F730000}"/>
    <cellStyle name="Título 1 27 2" xfId="29499" xr:uid="{00000000-0005-0000-0000-000060730000}"/>
    <cellStyle name="Título 1 27 2 2" xfId="29500" xr:uid="{00000000-0005-0000-0000-000061730000}"/>
    <cellStyle name="Título 1 27 3" xfId="29501" xr:uid="{00000000-0005-0000-0000-000062730000}"/>
    <cellStyle name="Título 1 27 3 2" xfId="29502" xr:uid="{00000000-0005-0000-0000-000063730000}"/>
    <cellStyle name="Título 1 27 4" xfId="29503" xr:uid="{00000000-0005-0000-0000-000064730000}"/>
    <cellStyle name="Título 1 27 4 2" xfId="29504" xr:uid="{00000000-0005-0000-0000-000065730000}"/>
    <cellStyle name="Título 1 27 5" xfId="29505" xr:uid="{00000000-0005-0000-0000-000066730000}"/>
    <cellStyle name="Título 1 27 6" xfId="29506" xr:uid="{00000000-0005-0000-0000-000067730000}"/>
    <cellStyle name="Título 1 27 7" xfId="29507" xr:uid="{00000000-0005-0000-0000-000068730000}"/>
    <cellStyle name="Título 1 27 8" xfId="29508" xr:uid="{00000000-0005-0000-0000-000069730000}"/>
    <cellStyle name="Título 1 27 9" xfId="29509" xr:uid="{00000000-0005-0000-0000-00006A730000}"/>
    <cellStyle name="Título 1 28 10" xfId="29510" xr:uid="{00000000-0005-0000-0000-00006B730000}"/>
    <cellStyle name="Título 1 28 11" xfId="29511" xr:uid="{00000000-0005-0000-0000-00006C730000}"/>
    <cellStyle name="Título 1 28 12" xfId="29512" xr:uid="{00000000-0005-0000-0000-00006D730000}"/>
    <cellStyle name="Título 1 28 13" xfId="29513" xr:uid="{00000000-0005-0000-0000-00006E730000}"/>
    <cellStyle name="Título 1 28 14" xfId="29514" xr:uid="{00000000-0005-0000-0000-00006F730000}"/>
    <cellStyle name="Título 1 28 15" xfId="29515" xr:uid="{00000000-0005-0000-0000-000070730000}"/>
    <cellStyle name="Título 1 28 16" xfId="29516" xr:uid="{00000000-0005-0000-0000-000071730000}"/>
    <cellStyle name="Título 1 28 17" xfId="29517" xr:uid="{00000000-0005-0000-0000-000072730000}"/>
    <cellStyle name="Título 1 28 18" xfId="29518" xr:uid="{00000000-0005-0000-0000-000073730000}"/>
    <cellStyle name="Título 1 28 19" xfId="29519" xr:uid="{00000000-0005-0000-0000-000074730000}"/>
    <cellStyle name="Título 1 28 2" xfId="29520" xr:uid="{00000000-0005-0000-0000-000075730000}"/>
    <cellStyle name="Título 1 28 2 2" xfId="29521" xr:uid="{00000000-0005-0000-0000-000076730000}"/>
    <cellStyle name="Título 1 28 3" xfId="29522" xr:uid="{00000000-0005-0000-0000-000077730000}"/>
    <cellStyle name="Título 1 28 3 2" xfId="29523" xr:uid="{00000000-0005-0000-0000-000078730000}"/>
    <cellStyle name="Título 1 28 4" xfId="29524" xr:uid="{00000000-0005-0000-0000-000079730000}"/>
    <cellStyle name="Título 1 28 4 2" xfId="29525" xr:uid="{00000000-0005-0000-0000-00007A730000}"/>
    <cellStyle name="Título 1 28 5" xfId="29526" xr:uid="{00000000-0005-0000-0000-00007B730000}"/>
    <cellStyle name="Título 1 28 6" xfId="29527" xr:uid="{00000000-0005-0000-0000-00007C730000}"/>
    <cellStyle name="Título 1 28 7" xfId="29528" xr:uid="{00000000-0005-0000-0000-00007D730000}"/>
    <cellStyle name="Título 1 28 8" xfId="29529" xr:uid="{00000000-0005-0000-0000-00007E730000}"/>
    <cellStyle name="Título 1 28 9" xfId="29530" xr:uid="{00000000-0005-0000-0000-00007F730000}"/>
    <cellStyle name="Título 1 29 10" xfId="29531" xr:uid="{00000000-0005-0000-0000-000080730000}"/>
    <cellStyle name="Título 1 29 11" xfId="29532" xr:uid="{00000000-0005-0000-0000-000081730000}"/>
    <cellStyle name="Título 1 29 12" xfId="29533" xr:uid="{00000000-0005-0000-0000-000082730000}"/>
    <cellStyle name="Título 1 29 13" xfId="29534" xr:uid="{00000000-0005-0000-0000-000083730000}"/>
    <cellStyle name="Título 1 29 14" xfId="29535" xr:uid="{00000000-0005-0000-0000-000084730000}"/>
    <cellStyle name="Título 1 29 15" xfId="29536" xr:uid="{00000000-0005-0000-0000-000085730000}"/>
    <cellStyle name="Título 1 29 16" xfId="29537" xr:uid="{00000000-0005-0000-0000-000086730000}"/>
    <cellStyle name="Título 1 29 17" xfId="29538" xr:uid="{00000000-0005-0000-0000-000087730000}"/>
    <cellStyle name="Título 1 29 18" xfId="29539" xr:uid="{00000000-0005-0000-0000-000088730000}"/>
    <cellStyle name="Título 1 29 19" xfId="29540" xr:uid="{00000000-0005-0000-0000-000089730000}"/>
    <cellStyle name="Título 1 29 2" xfId="29541" xr:uid="{00000000-0005-0000-0000-00008A730000}"/>
    <cellStyle name="Título 1 29 2 2" xfId="29542" xr:uid="{00000000-0005-0000-0000-00008B730000}"/>
    <cellStyle name="Título 1 29 3" xfId="29543" xr:uid="{00000000-0005-0000-0000-00008C730000}"/>
    <cellStyle name="Título 1 29 3 2" xfId="29544" xr:uid="{00000000-0005-0000-0000-00008D730000}"/>
    <cellStyle name="Título 1 29 4" xfId="29545" xr:uid="{00000000-0005-0000-0000-00008E730000}"/>
    <cellStyle name="Título 1 29 4 2" xfId="29546" xr:uid="{00000000-0005-0000-0000-00008F730000}"/>
    <cellStyle name="Título 1 29 5" xfId="29547" xr:uid="{00000000-0005-0000-0000-000090730000}"/>
    <cellStyle name="Título 1 29 6" xfId="29548" xr:uid="{00000000-0005-0000-0000-000091730000}"/>
    <cellStyle name="Título 1 29 7" xfId="29549" xr:uid="{00000000-0005-0000-0000-000092730000}"/>
    <cellStyle name="Título 1 29 8" xfId="29550" xr:uid="{00000000-0005-0000-0000-000093730000}"/>
    <cellStyle name="Título 1 29 9" xfId="29551" xr:uid="{00000000-0005-0000-0000-000094730000}"/>
    <cellStyle name="Título 1 3 10" xfId="29552" xr:uid="{00000000-0005-0000-0000-000095730000}"/>
    <cellStyle name="Título 1 3 11" xfId="29553" xr:uid="{00000000-0005-0000-0000-000096730000}"/>
    <cellStyle name="Título 1 3 12" xfId="29554" xr:uid="{00000000-0005-0000-0000-000097730000}"/>
    <cellStyle name="Título 1 3 13" xfId="29555" xr:uid="{00000000-0005-0000-0000-000098730000}"/>
    <cellStyle name="Título 1 3 14" xfId="29556" xr:uid="{00000000-0005-0000-0000-000099730000}"/>
    <cellStyle name="Título 1 3 15" xfId="29557" xr:uid="{00000000-0005-0000-0000-00009A730000}"/>
    <cellStyle name="Título 1 3 16" xfId="29558" xr:uid="{00000000-0005-0000-0000-00009B730000}"/>
    <cellStyle name="Título 1 3 17" xfId="29559" xr:uid="{00000000-0005-0000-0000-00009C730000}"/>
    <cellStyle name="Título 1 3 18" xfId="29560" xr:uid="{00000000-0005-0000-0000-00009D730000}"/>
    <cellStyle name="Título 1 3 19" xfId="29561" xr:uid="{00000000-0005-0000-0000-00009E730000}"/>
    <cellStyle name="Título 1 3 2" xfId="29562" xr:uid="{00000000-0005-0000-0000-00009F730000}"/>
    <cellStyle name="Título 1 3 2 2" xfId="29563" xr:uid="{00000000-0005-0000-0000-0000A0730000}"/>
    <cellStyle name="Título 1 3 3" xfId="29564" xr:uid="{00000000-0005-0000-0000-0000A1730000}"/>
    <cellStyle name="Título 1 3 3 2" xfId="29565" xr:uid="{00000000-0005-0000-0000-0000A2730000}"/>
    <cellStyle name="Título 1 3 4" xfId="29566" xr:uid="{00000000-0005-0000-0000-0000A3730000}"/>
    <cellStyle name="Título 1 3 4 2" xfId="29567" xr:uid="{00000000-0005-0000-0000-0000A4730000}"/>
    <cellStyle name="Título 1 3 5" xfId="29568" xr:uid="{00000000-0005-0000-0000-0000A5730000}"/>
    <cellStyle name="Título 1 3 6" xfId="29569" xr:uid="{00000000-0005-0000-0000-0000A6730000}"/>
    <cellStyle name="Título 1 3 7" xfId="29570" xr:uid="{00000000-0005-0000-0000-0000A7730000}"/>
    <cellStyle name="Título 1 3 8" xfId="29571" xr:uid="{00000000-0005-0000-0000-0000A8730000}"/>
    <cellStyle name="Título 1 3 9" xfId="29572" xr:uid="{00000000-0005-0000-0000-0000A9730000}"/>
    <cellStyle name="Título 1 30 10" xfId="29573" xr:uid="{00000000-0005-0000-0000-0000AA730000}"/>
    <cellStyle name="Título 1 30 11" xfId="29574" xr:uid="{00000000-0005-0000-0000-0000AB730000}"/>
    <cellStyle name="Título 1 30 12" xfId="29575" xr:uid="{00000000-0005-0000-0000-0000AC730000}"/>
    <cellStyle name="Título 1 30 13" xfId="29576" xr:uid="{00000000-0005-0000-0000-0000AD730000}"/>
    <cellStyle name="Título 1 30 14" xfId="29577" xr:uid="{00000000-0005-0000-0000-0000AE730000}"/>
    <cellStyle name="Título 1 30 15" xfId="29578" xr:uid="{00000000-0005-0000-0000-0000AF730000}"/>
    <cellStyle name="Título 1 30 16" xfId="29579" xr:uid="{00000000-0005-0000-0000-0000B0730000}"/>
    <cellStyle name="Título 1 30 17" xfId="29580" xr:uid="{00000000-0005-0000-0000-0000B1730000}"/>
    <cellStyle name="Título 1 30 18" xfId="29581" xr:uid="{00000000-0005-0000-0000-0000B2730000}"/>
    <cellStyle name="Título 1 30 19" xfId="29582" xr:uid="{00000000-0005-0000-0000-0000B3730000}"/>
    <cellStyle name="Título 1 30 2" xfId="29583" xr:uid="{00000000-0005-0000-0000-0000B4730000}"/>
    <cellStyle name="Título 1 30 2 2" xfId="29584" xr:uid="{00000000-0005-0000-0000-0000B5730000}"/>
    <cellStyle name="Título 1 30 3" xfId="29585" xr:uid="{00000000-0005-0000-0000-0000B6730000}"/>
    <cellStyle name="Título 1 30 3 2" xfId="29586" xr:uid="{00000000-0005-0000-0000-0000B7730000}"/>
    <cellStyle name="Título 1 30 4" xfId="29587" xr:uid="{00000000-0005-0000-0000-0000B8730000}"/>
    <cellStyle name="Título 1 30 4 2" xfId="29588" xr:uid="{00000000-0005-0000-0000-0000B9730000}"/>
    <cellStyle name="Título 1 30 5" xfId="29589" xr:uid="{00000000-0005-0000-0000-0000BA730000}"/>
    <cellStyle name="Título 1 30 6" xfId="29590" xr:uid="{00000000-0005-0000-0000-0000BB730000}"/>
    <cellStyle name="Título 1 30 7" xfId="29591" xr:uid="{00000000-0005-0000-0000-0000BC730000}"/>
    <cellStyle name="Título 1 30 8" xfId="29592" xr:uid="{00000000-0005-0000-0000-0000BD730000}"/>
    <cellStyle name="Título 1 30 9" xfId="29593" xr:uid="{00000000-0005-0000-0000-0000BE730000}"/>
    <cellStyle name="Título 1 31 10" xfId="29594" xr:uid="{00000000-0005-0000-0000-0000BF730000}"/>
    <cellStyle name="Título 1 31 11" xfId="29595" xr:uid="{00000000-0005-0000-0000-0000C0730000}"/>
    <cellStyle name="Título 1 31 12" xfId="29596" xr:uid="{00000000-0005-0000-0000-0000C1730000}"/>
    <cellStyle name="Título 1 31 13" xfId="29597" xr:uid="{00000000-0005-0000-0000-0000C2730000}"/>
    <cellStyle name="Título 1 31 14" xfId="29598" xr:uid="{00000000-0005-0000-0000-0000C3730000}"/>
    <cellStyle name="Título 1 31 15" xfId="29599" xr:uid="{00000000-0005-0000-0000-0000C4730000}"/>
    <cellStyle name="Título 1 31 16" xfId="29600" xr:uid="{00000000-0005-0000-0000-0000C5730000}"/>
    <cellStyle name="Título 1 31 17" xfId="29601" xr:uid="{00000000-0005-0000-0000-0000C6730000}"/>
    <cellStyle name="Título 1 31 18" xfId="29602" xr:uid="{00000000-0005-0000-0000-0000C7730000}"/>
    <cellStyle name="Título 1 31 19" xfId="29603" xr:uid="{00000000-0005-0000-0000-0000C8730000}"/>
    <cellStyle name="Título 1 31 2" xfId="29604" xr:uid="{00000000-0005-0000-0000-0000C9730000}"/>
    <cellStyle name="Título 1 31 2 2" xfId="29605" xr:uid="{00000000-0005-0000-0000-0000CA730000}"/>
    <cellStyle name="Título 1 31 3" xfId="29606" xr:uid="{00000000-0005-0000-0000-0000CB730000}"/>
    <cellStyle name="Título 1 31 3 2" xfId="29607" xr:uid="{00000000-0005-0000-0000-0000CC730000}"/>
    <cellStyle name="Título 1 31 4" xfId="29608" xr:uid="{00000000-0005-0000-0000-0000CD730000}"/>
    <cellStyle name="Título 1 31 4 2" xfId="29609" xr:uid="{00000000-0005-0000-0000-0000CE730000}"/>
    <cellStyle name="Título 1 31 5" xfId="29610" xr:uid="{00000000-0005-0000-0000-0000CF730000}"/>
    <cellStyle name="Título 1 31 6" xfId="29611" xr:uid="{00000000-0005-0000-0000-0000D0730000}"/>
    <cellStyle name="Título 1 31 7" xfId="29612" xr:uid="{00000000-0005-0000-0000-0000D1730000}"/>
    <cellStyle name="Título 1 31 8" xfId="29613" xr:uid="{00000000-0005-0000-0000-0000D2730000}"/>
    <cellStyle name="Título 1 31 9" xfId="29614" xr:uid="{00000000-0005-0000-0000-0000D3730000}"/>
    <cellStyle name="Título 1 32 10" xfId="29615" xr:uid="{00000000-0005-0000-0000-0000D4730000}"/>
    <cellStyle name="Título 1 32 11" xfId="29616" xr:uid="{00000000-0005-0000-0000-0000D5730000}"/>
    <cellStyle name="Título 1 32 12" xfId="29617" xr:uid="{00000000-0005-0000-0000-0000D6730000}"/>
    <cellStyle name="Título 1 32 13" xfId="29618" xr:uid="{00000000-0005-0000-0000-0000D7730000}"/>
    <cellStyle name="Título 1 32 14" xfId="29619" xr:uid="{00000000-0005-0000-0000-0000D8730000}"/>
    <cellStyle name="Título 1 32 15" xfId="29620" xr:uid="{00000000-0005-0000-0000-0000D9730000}"/>
    <cellStyle name="Título 1 32 16" xfId="29621" xr:uid="{00000000-0005-0000-0000-0000DA730000}"/>
    <cellStyle name="Título 1 32 17" xfId="29622" xr:uid="{00000000-0005-0000-0000-0000DB730000}"/>
    <cellStyle name="Título 1 32 18" xfId="29623" xr:uid="{00000000-0005-0000-0000-0000DC730000}"/>
    <cellStyle name="Título 1 32 19" xfId="29624" xr:uid="{00000000-0005-0000-0000-0000DD730000}"/>
    <cellStyle name="Título 1 32 2" xfId="29625" xr:uid="{00000000-0005-0000-0000-0000DE730000}"/>
    <cellStyle name="Título 1 32 2 2" xfId="29626" xr:uid="{00000000-0005-0000-0000-0000DF730000}"/>
    <cellStyle name="Título 1 32 3" xfId="29627" xr:uid="{00000000-0005-0000-0000-0000E0730000}"/>
    <cellStyle name="Título 1 32 3 2" xfId="29628" xr:uid="{00000000-0005-0000-0000-0000E1730000}"/>
    <cellStyle name="Título 1 32 4" xfId="29629" xr:uid="{00000000-0005-0000-0000-0000E2730000}"/>
    <cellStyle name="Título 1 32 4 2" xfId="29630" xr:uid="{00000000-0005-0000-0000-0000E3730000}"/>
    <cellStyle name="Título 1 32 5" xfId="29631" xr:uid="{00000000-0005-0000-0000-0000E4730000}"/>
    <cellStyle name="Título 1 32 6" xfId="29632" xr:uid="{00000000-0005-0000-0000-0000E5730000}"/>
    <cellStyle name="Título 1 32 7" xfId="29633" xr:uid="{00000000-0005-0000-0000-0000E6730000}"/>
    <cellStyle name="Título 1 32 8" xfId="29634" xr:uid="{00000000-0005-0000-0000-0000E7730000}"/>
    <cellStyle name="Título 1 32 9" xfId="29635" xr:uid="{00000000-0005-0000-0000-0000E8730000}"/>
    <cellStyle name="Título 1 33 10" xfId="29636" xr:uid="{00000000-0005-0000-0000-0000E9730000}"/>
    <cellStyle name="Título 1 33 11" xfId="29637" xr:uid="{00000000-0005-0000-0000-0000EA730000}"/>
    <cellStyle name="Título 1 33 12" xfId="29638" xr:uid="{00000000-0005-0000-0000-0000EB730000}"/>
    <cellStyle name="Título 1 33 13" xfId="29639" xr:uid="{00000000-0005-0000-0000-0000EC730000}"/>
    <cellStyle name="Título 1 33 14" xfId="29640" xr:uid="{00000000-0005-0000-0000-0000ED730000}"/>
    <cellStyle name="Título 1 33 15" xfId="29641" xr:uid="{00000000-0005-0000-0000-0000EE730000}"/>
    <cellStyle name="Título 1 33 16" xfId="29642" xr:uid="{00000000-0005-0000-0000-0000EF730000}"/>
    <cellStyle name="Título 1 33 17" xfId="29643" xr:uid="{00000000-0005-0000-0000-0000F0730000}"/>
    <cellStyle name="Título 1 33 18" xfId="29644" xr:uid="{00000000-0005-0000-0000-0000F1730000}"/>
    <cellStyle name="Título 1 33 19" xfId="29645" xr:uid="{00000000-0005-0000-0000-0000F2730000}"/>
    <cellStyle name="Título 1 33 2" xfId="29646" xr:uid="{00000000-0005-0000-0000-0000F3730000}"/>
    <cellStyle name="Título 1 33 2 2" xfId="29647" xr:uid="{00000000-0005-0000-0000-0000F4730000}"/>
    <cellStyle name="Título 1 33 3" xfId="29648" xr:uid="{00000000-0005-0000-0000-0000F5730000}"/>
    <cellStyle name="Título 1 33 3 2" xfId="29649" xr:uid="{00000000-0005-0000-0000-0000F6730000}"/>
    <cellStyle name="Título 1 33 4" xfId="29650" xr:uid="{00000000-0005-0000-0000-0000F7730000}"/>
    <cellStyle name="Título 1 33 4 2" xfId="29651" xr:uid="{00000000-0005-0000-0000-0000F8730000}"/>
    <cellStyle name="Título 1 33 5" xfId="29652" xr:uid="{00000000-0005-0000-0000-0000F9730000}"/>
    <cellStyle name="Título 1 33 6" xfId="29653" xr:uid="{00000000-0005-0000-0000-0000FA730000}"/>
    <cellStyle name="Título 1 33 7" xfId="29654" xr:uid="{00000000-0005-0000-0000-0000FB730000}"/>
    <cellStyle name="Título 1 33 8" xfId="29655" xr:uid="{00000000-0005-0000-0000-0000FC730000}"/>
    <cellStyle name="Título 1 33 9" xfId="29656" xr:uid="{00000000-0005-0000-0000-0000FD730000}"/>
    <cellStyle name="Título 1 34 10" xfId="29657" xr:uid="{00000000-0005-0000-0000-0000FE730000}"/>
    <cellStyle name="Título 1 34 11" xfId="29658" xr:uid="{00000000-0005-0000-0000-0000FF730000}"/>
    <cellStyle name="Título 1 34 12" xfId="29659" xr:uid="{00000000-0005-0000-0000-000000740000}"/>
    <cellStyle name="Título 1 34 13" xfId="29660" xr:uid="{00000000-0005-0000-0000-000001740000}"/>
    <cellStyle name="Título 1 34 14" xfId="29661" xr:uid="{00000000-0005-0000-0000-000002740000}"/>
    <cellStyle name="Título 1 34 15" xfId="29662" xr:uid="{00000000-0005-0000-0000-000003740000}"/>
    <cellStyle name="Título 1 34 16" xfId="29663" xr:uid="{00000000-0005-0000-0000-000004740000}"/>
    <cellStyle name="Título 1 34 17" xfId="29664" xr:uid="{00000000-0005-0000-0000-000005740000}"/>
    <cellStyle name="Título 1 34 18" xfId="29665" xr:uid="{00000000-0005-0000-0000-000006740000}"/>
    <cellStyle name="Título 1 34 19" xfId="29666" xr:uid="{00000000-0005-0000-0000-000007740000}"/>
    <cellStyle name="Título 1 34 2" xfId="29667" xr:uid="{00000000-0005-0000-0000-000008740000}"/>
    <cellStyle name="Título 1 34 2 2" xfId="29668" xr:uid="{00000000-0005-0000-0000-000009740000}"/>
    <cellStyle name="Título 1 34 3" xfId="29669" xr:uid="{00000000-0005-0000-0000-00000A740000}"/>
    <cellStyle name="Título 1 34 3 2" xfId="29670" xr:uid="{00000000-0005-0000-0000-00000B740000}"/>
    <cellStyle name="Título 1 34 4" xfId="29671" xr:uid="{00000000-0005-0000-0000-00000C740000}"/>
    <cellStyle name="Título 1 34 4 2" xfId="29672" xr:uid="{00000000-0005-0000-0000-00000D740000}"/>
    <cellStyle name="Título 1 34 5" xfId="29673" xr:uid="{00000000-0005-0000-0000-00000E740000}"/>
    <cellStyle name="Título 1 34 6" xfId="29674" xr:uid="{00000000-0005-0000-0000-00000F740000}"/>
    <cellStyle name="Título 1 34 7" xfId="29675" xr:uid="{00000000-0005-0000-0000-000010740000}"/>
    <cellStyle name="Título 1 34 8" xfId="29676" xr:uid="{00000000-0005-0000-0000-000011740000}"/>
    <cellStyle name="Título 1 34 9" xfId="29677" xr:uid="{00000000-0005-0000-0000-000012740000}"/>
    <cellStyle name="Título 1 35 10" xfId="29678" xr:uid="{00000000-0005-0000-0000-000013740000}"/>
    <cellStyle name="Título 1 35 11" xfId="29679" xr:uid="{00000000-0005-0000-0000-000014740000}"/>
    <cellStyle name="Título 1 35 12" xfId="29680" xr:uid="{00000000-0005-0000-0000-000015740000}"/>
    <cellStyle name="Título 1 35 13" xfId="29681" xr:uid="{00000000-0005-0000-0000-000016740000}"/>
    <cellStyle name="Título 1 35 14" xfId="29682" xr:uid="{00000000-0005-0000-0000-000017740000}"/>
    <cellStyle name="Título 1 35 15" xfId="29683" xr:uid="{00000000-0005-0000-0000-000018740000}"/>
    <cellStyle name="Título 1 35 16" xfId="29684" xr:uid="{00000000-0005-0000-0000-000019740000}"/>
    <cellStyle name="Título 1 35 17" xfId="29685" xr:uid="{00000000-0005-0000-0000-00001A740000}"/>
    <cellStyle name="Título 1 35 18" xfId="29686" xr:uid="{00000000-0005-0000-0000-00001B740000}"/>
    <cellStyle name="Título 1 35 19" xfId="29687" xr:uid="{00000000-0005-0000-0000-00001C740000}"/>
    <cellStyle name="Título 1 35 2" xfId="29688" xr:uid="{00000000-0005-0000-0000-00001D740000}"/>
    <cellStyle name="Título 1 35 2 2" xfId="29689" xr:uid="{00000000-0005-0000-0000-00001E740000}"/>
    <cellStyle name="Título 1 35 3" xfId="29690" xr:uid="{00000000-0005-0000-0000-00001F740000}"/>
    <cellStyle name="Título 1 35 3 2" xfId="29691" xr:uid="{00000000-0005-0000-0000-000020740000}"/>
    <cellStyle name="Título 1 35 4" xfId="29692" xr:uid="{00000000-0005-0000-0000-000021740000}"/>
    <cellStyle name="Título 1 35 4 2" xfId="29693" xr:uid="{00000000-0005-0000-0000-000022740000}"/>
    <cellStyle name="Título 1 35 5" xfId="29694" xr:uid="{00000000-0005-0000-0000-000023740000}"/>
    <cellStyle name="Título 1 35 6" xfId="29695" xr:uid="{00000000-0005-0000-0000-000024740000}"/>
    <cellStyle name="Título 1 35 7" xfId="29696" xr:uid="{00000000-0005-0000-0000-000025740000}"/>
    <cellStyle name="Título 1 35 8" xfId="29697" xr:uid="{00000000-0005-0000-0000-000026740000}"/>
    <cellStyle name="Título 1 35 9" xfId="29698" xr:uid="{00000000-0005-0000-0000-000027740000}"/>
    <cellStyle name="Título 1 36 10" xfId="29699" xr:uid="{00000000-0005-0000-0000-000028740000}"/>
    <cellStyle name="Título 1 36 11" xfId="29700" xr:uid="{00000000-0005-0000-0000-000029740000}"/>
    <cellStyle name="Título 1 36 12" xfId="29701" xr:uid="{00000000-0005-0000-0000-00002A740000}"/>
    <cellStyle name="Título 1 36 13" xfId="29702" xr:uid="{00000000-0005-0000-0000-00002B740000}"/>
    <cellStyle name="Título 1 36 14" xfId="29703" xr:uid="{00000000-0005-0000-0000-00002C740000}"/>
    <cellStyle name="Título 1 36 15" xfId="29704" xr:uid="{00000000-0005-0000-0000-00002D740000}"/>
    <cellStyle name="Título 1 36 16" xfId="29705" xr:uid="{00000000-0005-0000-0000-00002E740000}"/>
    <cellStyle name="Título 1 36 17" xfId="29706" xr:uid="{00000000-0005-0000-0000-00002F740000}"/>
    <cellStyle name="Título 1 36 18" xfId="29707" xr:uid="{00000000-0005-0000-0000-000030740000}"/>
    <cellStyle name="Título 1 36 19" xfId="29708" xr:uid="{00000000-0005-0000-0000-000031740000}"/>
    <cellStyle name="Título 1 36 2" xfId="29709" xr:uid="{00000000-0005-0000-0000-000032740000}"/>
    <cellStyle name="Título 1 36 2 2" xfId="29710" xr:uid="{00000000-0005-0000-0000-000033740000}"/>
    <cellStyle name="Título 1 36 3" xfId="29711" xr:uid="{00000000-0005-0000-0000-000034740000}"/>
    <cellStyle name="Título 1 36 3 2" xfId="29712" xr:uid="{00000000-0005-0000-0000-000035740000}"/>
    <cellStyle name="Título 1 36 4" xfId="29713" xr:uid="{00000000-0005-0000-0000-000036740000}"/>
    <cellStyle name="Título 1 36 4 2" xfId="29714" xr:uid="{00000000-0005-0000-0000-000037740000}"/>
    <cellStyle name="Título 1 36 5" xfId="29715" xr:uid="{00000000-0005-0000-0000-000038740000}"/>
    <cellStyle name="Título 1 36 6" xfId="29716" xr:uid="{00000000-0005-0000-0000-000039740000}"/>
    <cellStyle name="Título 1 36 7" xfId="29717" xr:uid="{00000000-0005-0000-0000-00003A740000}"/>
    <cellStyle name="Título 1 36 8" xfId="29718" xr:uid="{00000000-0005-0000-0000-00003B740000}"/>
    <cellStyle name="Título 1 36 9" xfId="29719" xr:uid="{00000000-0005-0000-0000-00003C740000}"/>
    <cellStyle name="Título 1 37 10" xfId="29720" xr:uid="{00000000-0005-0000-0000-00003D740000}"/>
    <cellStyle name="Título 1 37 11" xfId="29721" xr:uid="{00000000-0005-0000-0000-00003E740000}"/>
    <cellStyle name="Título 1 37 12" xfId="29722" xr:uid="{00000000-0005-0000-0000-00003F740000}"/>
    <cellStyle name="Título 1 37 13" xfId="29723" xr:uid="{00000000-0005-0000-0000-000040740000}"/>
    <cellStyle name="Título 1 37 14" xfId="29724" xr:uid="{00000000-0005-0000-0000-000041740000}"/>
    <cellStyle name="Título 1 37 15" xfId="29725" xr:uid="{00000000-0005-0000-0000-000042740000}"/>
    <cellStyle name="Título 1 37 16" xfId="29726" xr:uid="{00000000-0005-0000-0000-000043740000}"/>
    <cellStyle name="Título 1 37 17" xfId="29727" xr:uid="{00000000-0005-0000-0000-000044740000}"/>
    <cellStyle name="Título 1 37 18" xfId="29728" xr:uid="{00000000-0005-0000-0000-000045740000}"/>
    <cellStyle name="Título 1 37 19" xfId="29729" xr:uid="{00000000-0005-0000-0000-000046740000}"/>
    <cellStyle name="Título 1 37 2" xfId="29730" xr:uid="{00000000-0005-0000-0000-000047740000}"/>
    <cellStyle name="Título 1 37 2 2" xfId="29731" xr:uid="{00000000-0005-0000-0000-000048740000}"/>
    <cellStyle name="Título 1 37 3" xfId="29732" xr:uid="{00000000-0005-0000-0000-000049740000}"/>
    <cellStyle name="Título 1 37 3 2" xfId="29733" xr:uid="{00000000-0005-0000-0000-00004A740000}"/>
    <cellStyle name="Título 1 37 4" xfId="29734" xr:uid="{00000000-0005-0000-0000-00004B740000}"/>
    <cellStyle name="Título 1 37 4 2" xfId="29735" xr:uid="{00000000-0005-0000-0000-00004C740000}"/>
    <cellStyle name="Título 1 37 5" xfId="29736" xr:uid="{00000000-0005-0000-0000-00004D740000}"/>
    <cellStyle name="Título 1 37 6" xfId="29737" xr:uid="{00000000-0005-0000-0000-00004E740000}"/>
    <cellStyle name="Título 1 37 7" xfId="29738" xr:uid="{00000000-0005-0000-0000-00004F740000}"/>
    <cellStyle name="Título 1 37 8" xfId="29739" xr:uid="{00000000-0005-0000-0000-000050740000}"/>
    <cellStyle name="Título 1 37 9" xfId="29740" xr:uid="{00000000-0005-0000-0000-000051740000}"/>
    <cellStyle name="Título 1 38 10" xfId="29741" xr:uid="{00000000-0005-0000-0000-000052740000}"/>
    <cellStyle name="Título 1 38 11" xfId="29742" xr:uid="{00000000-0005-0000-0000-000053740000}"/>
    <cellStyle name="Título 1 38 12" xfId="29743" xr:uid="{00000000-0005-0000-0000-000054740000}"/>
    <cellStyle name="Título 1 38 13" xfId="29744" xr:uid="{00000000-0005-0000-0000-000055740000}"/>
    <cellStyle name="Título 1 38 14" xfId="29745" xr:uid="{00000000-0005-0000-0000-000056740000}"/>
    <cellStyle name="Título 1 38 15" xfId="29746" xr:uid="{00000000-0005-0000-0000-000057740000}"/>
    <cellStyle name="Título 1 38 16" xfId="29747" xr:uid="{00000000-0005-0000-0000-000058740000}"/>
    <cellStyle name="Título 1 38 17" xfId="29748" xr:uid="{00000000-0005-0000-0000-000059740000}"/>
    <cellStyle name="Título 1 38 18" xfId="29749" xr:uid="{00000000-0005-0000-0000-00005A740000}"/>
    <cellStyle name="Título 1 38 19" xfId="29750" xr:uid="{00000000-0005-0000-0000-00005B740000}"/>
    <cellStyle name="Título 1 38 2" xfId="29751" xr:uid="{00000000-0005-0000-0000-00005C740000}"/>
    <cellStyle name="Título 1 38 2 2" xfId="29752" xr:uid="{00000000-0005-0000-0000-00005D740000}"/>
    <cellStyle name="Título 1 38 3" xfId="29753" xr:uid="{00000000-0005-0000-0000-00005E740000}"/>
    <cellStyle name="Título 1 38 3 2" xfId="29754" xr:uid="{00000000-0005-0000-0000-00005F740000}"/>
    <cellStyle name="Título 1 38 4" xfId="29755" xr:uid="{00000000-0005-0000-0000-000060740000}"/>
    <cellStyle name="Título 1 38 4 2" xfId="29756" xr:uid="{00000000-0005-0000-0000-000061740000}"/>
    <cellStyle name="Título 1 38 5" xfId="29757" xr:uid="{00000000-0005-0000-0000-000062740000}"/>
    <cellStyle name="Título 1 38 6" xfId="29758" xr:uid="{00000000-0005-0000-0000-000063740000}"/>
    <cellStyle name="Título 1 38 7" xfId="29759" xr:uid="{00000000-0005-0000-0000-000064740000}"/>
    <cellStyle name="Título 1 38 8" xfId="29760" xr:uid="{00000000-0005-0000-0000-000065740000}"/>
    <cellStyle name="Título 1 38 9" xfId="29761" xr:uid="{00000000-0005-0000-0000-000066740000}"/>
    <cellStyle name="Título 1 39" xfId="29762" xr:uid="{00000000-0005-0000-0000-000067740000}"/>
    <cellStyle name="Título 1 39 10" xfId="29763" xr:uid="{00000000-0005-0000-0000-000068740000}"/>
    <cellStyle name="Título 1 39 11" xfId="29764" xr:uid="{00000000-0005-0000-0000-000069740000}"/>
    <cellStyle name="Título 1 39 12" xfId="29765" xr:uid="{00000000-0005-0000-0000-00006A740000}"/>
    <cellStyle name="Título 1 39 13" xfId="29766" xr:uid="{00000000-0005-0000-0000-00006B740000}"/>
    <cellStyle name="Título 1 39 14" xfId="29767" xr:uid="{00000000-0005-0000-0000-00006C740000}"/>
    <cellStyle name="Título 1 39 15" xfId="29768" xr:uid="{00000000-0005-0000-0000-00006D740000}"/>
    <cellStyle name="Título 1 39 16" xfId="29769" xr:uid="{00000000-0005-0000-0000-00006E740000}"/>
    <cellStyle name="Título 1 39 2" xfId="29770" xr:uid="{00000000-0005-0000-0000-00006F740000}"/>
    <cellStyle name="Título 1 39 3" xfId="29771" xr:uid="{00000000-0005-0000-0000-000070740000}"/>
    <cellStyle name="Título 1 39 4" xfId="29772" xr:uid="{00000000-0005-0000-0000-000071740000}"/>
    <cellStyle name="Título 1 39 5" xfId="29773" xr:uid="{00000000-0005-0000-0000-000072740000}"/>
    <cellStyle name="Título 1 39 6" xfId="29774" xr:uid="{00000000-0005-0000-0000-000073740000}"/>
    <cellStyle name="Título 1 39 7" xfId="29775" xr:uid="{00000000-0005-0000-0000-000074740000}"/>
    <cellStyle name="Título 1 39 8" xfId="29776" xr:uid="{00000000-0005-0000-0000-000075740000}"/>
    <cellStyle name="Título 1 39 9" xfId="29777" xr:uid="{00000000-0005-0000-0000-000076740000}"/>
    <cellStyle name="Título 1 4 10" xfId="29778" xr:uid="{00000000-0005-0000-0000-000077740000}"/>
    <cellStyle name="Título 1 4 11" xfId="29779" xr:uid="{00000000-0005-0000-0000-000078740000}"/>
    <cellStyle name="Título 1 4 12" xfId="29780" xr:uid="{00000000-0005-0000-0000-000079740000}"/>
    <cellStyle name="Título 1 4 13" xfId="29781" xr:uid="{00000000-0005-0000-0000-00007A740000}"/>
    <cellStyle name="Título 1 4 14" xfId="29782" xr:uid="{00000000-0005-0000-0000-00007B740000}"/>
    <cellStyle name="Título 1 4 15" xfId="29783" xr:uid="{00000000-0005-0000-0000-00007C740000}"/>
    <cellStyle name="Título 1 4 16" xfId="29784" xr:uid="{00000000-0005-0000-0000-00007D740000}"/>
    <cellStyle name="Título 1 4 17" xfId="29785" xr:uid="{00000000-0005-0000-0000-00007E740000}"/>
    <cellStyle name="Título 1 4 18" xfId="29786" xr:uid="{00000000-0005-0000-0000-00007F740000}"/>
    <cellStyle name="Título 1 4 19" xfId="29787" xr:uid="{00000000-0005-0000-0000-000080740000}"/>
    <cellStyle name="Título 1 4 2" xfId="29788" xr:uid="{00000000-0005-0000-0000-000081740000}"/>
    <cellStyle name="Título 1 4 2 2" xfId="29789" xr:uid="{00000000-0005-0000-0000-000082740000}"/>
    <cellStyle name="Título 1 4 3" xfId="29790" xr:uid="{00000000-0005-0000-0000-000083740000}"/>
    <cellStyle name="Título 1 4 3 2" xfId="29791" xr:uid="{00000000-0005-0000-0000-000084740000}"/>
    <cellStyle name="Título 1 4 4" xfId="29792" xr:uid="{00000000-0005-0000-0000-000085740000}"/>
    <cellStyle name="Título 1 4 4 2" xfId="29793" xr:uid="{00000000-0005-0000-0000-000086740000}"/>
    <cellStyle name="Título 1 4 5" xfId="29794" xr:uid="{00000000-0005-0000-0000-000087740000}"/>
    <cellStyle name="Título 1 4 6" xfId="29795" xr:uid="{00000000-0005-0000-0000-000088740000}"/>
    <cellStyle name="Título 1 4 7" xfId="29796" xr:uid="{00000000-0005-0000-0000-000089740000}"/>
    <cellStyle name="Título 1 4 8" xfId="29797" xr:uid="{00000000-0005-0000-0000-00008A740000}"/>
    <cellStyle name="Título 1 4 9" xfId="29798" xr:uid="{00000000-0005-0000-0000-00008B740000}"/>
    <cellStyle name="Título 1 40" xfId="29799" xr:uid="{00000000-0005-0000-0000-00008C740000}"/>
    <cellStyle name="Título 1 40 10" xfId="29800" xr:uid="{00000000-0005-0000-0000-00008D740000}"/>
    <cellStyle name="Título 1 40 11" xfId="29801" xr:uid="{00000000-0005-0000-0000-00008E740000}"/>
    <cellStyle name="Título 1 40 12" xfId="29802" xr:uid="{00000000-0005-0000-0000-00008F740000}"/>
    <cellStyle name="Título 1 40 13" xfId="29803" xr:uid="{00000000-0005-0000-0000-000090740000}"/>
    <cellStyle name="Título 1 40 14" xfId="29804" xr:uid="{00000000-0005-0000-0000-000091740000}"/>
    <cellStyle name="Título 1 40 15" xfId="29805" xr:uid="{00000000-0005-0000-0000-000092740000}"/>
    <cellStyle name="Título 1 40 16" xfId="29806" xr:uid="{00000000-0005-0000-0000-000093740000}"/>
    <cellStyle name="Título 1 40 2" xfId="29807" xr:uid="{00000000-0005-0000-0000-000094740000}"/>
    <cellStyle name="Título 1 40 3" xfId="29808" xr:uid="{00000000-0005-0000-0000-000095740000}"/>
    <cellStyle name="Título 1 40 4" xfId="29809" xr:uid="{00000000-0005-0000-0000-000096740000}"/>
    <cellStyle name="Título 1 40 5" xfId="29810" xr:uid="{00000000-0005-0000-0000-000097740000}"/>
    <cellStyle name="Título 1 40 6" xfId="29811" xr:uid="{00000000-0005-0000-0000-000098740000}"/>
    <cellStyle name="Título 1 40 7" xfId="29812" xr:uid="{00000000-0005-0000-0000-000099740000}"/>
    <cellStyle name="Título 1 40 8" xfId="29813" xr:uid="{00000000-0005-0000-0000-00009A740000}"/>
    <cellStyle name="Título 1 40 9" xfId="29814" xr:uid="{00000000-0005-0000-0000-00009B740000}"/>
    <cellStyle name="Título 1 41" xfId="29815" xr:uid="{00000000-0005-0000-0000-00009C740000}"/>
    <cellStyle name="Título 1 41 10" xfId="29816" xr:uid="{00000000-0005-0000-0000-00009D740000}"/>
    <cellStyle name="Título 1 41 11" xfId="29817" xr:uid="{00000000-0005-0000-0000-00009E740000}"/>
    <cellStyle name="Título 1 41 12" xfId="29818" xr:uid="{00000000-0005-0000-0000-00009F740000}"/>
    <cellStyle name="Título 1 41 13" xfId="29819" xr:uid="{00000000-0005-0000-0000-0000A0740000}"/>
    <cellStyle name="Título 1 41 14" xfId="29820" xr:uid="{00000000-0005-0000-0000-0000A1740000}"/>
    <cellStyle name="Título 1 41 15" xfId="29821" xr:uid="{00000000-0005-0000-0000-0000A2740000}"/>
    <cellStyle name="Título 1 41 16" xfId="29822" xr:uid="{00000000-0005-0000-0000-0000A3740000}"/>
    <cellStyle name="Título 1 41 2" xfId="29823" xr:uid="{00000000-0005-0000-0000-0000A4740000}"/>
    <cellStyle name="Título 1 41 3" xfId="29824" xr:uid="{00000000-0005-0000-0000-0000A5740000}"/>
    <cellStyle name="Título 1 41 4" xfId="29825" xr:uid="{00000000-0005-0000-0000-0000A6740000}"/>
    <cellStyle name="Título 1 41 5" xfId="29826" xr:uid="{00000000-0005-0000-0000-0000A7740000}"/>
    <cellStyle name="Título 1 41 6" xfId="29827" xr:uid="{00000000-0005-0000-0000-0000A8740000}"/>
    <cellStyle name="Título 1 41 7" xfId="29828" xr:uid="{00000000-0005-0000-0000-0000A9740000}"/>
    <cellStyle name="Título 1 41 8" xfId="29829" xr:uid="{00000000-0005-0000-0000-0000AA740000}"/>
    <cellStyle name="Título 1 41 9" xfId="29830" xr:uid="{00000000-0005-0000-0000-0000AB740000}"/>
    <cellStyle name="Título 1 42" xfId="29831" xr:uid="{00000000-0005-0000-0000-0000AC740000}"/>
    <cellStyle name="Título 1 43" xfId="29832" xr:uid="{00000000-0005-0000-0000-0000AD740000}"/>
    <cellStyle name="Título 1 44" xfId="29833" xr:uid="{00000000-0005-0000-0000-0000AE740000}"/>
    <cellStyle name="Título 1 45" xfId="29834" xr:uid="{00000000-0005-0000-0000-0000AF740000}"/>
    <cellStyle name="Título 1 46" xfId="29835" xr:uid="{00000000-0005-0000-0000-0000B0740000}"/>
    <cellStyle name="Título 1 47" xfId="29836" xr:uid="{00000000-0005-0000-0000-0000B1740000}"/>
    <cellStyle name="Título 1 48" xfId="29837" xr:uid="{00000000-0005-0000-0000-0000B2740000}"/>
    <cellStyle name="Título 1 49" xfId="29838" xr:uid="{00000000-0005-0000-0000-0000B3740000}"/>
    <cellStyle name="Título 1 5 10" xfId="29839" xr:uid="{00000000-0005-0000-0000-0000B4740000}"/>
    <cellStyle name="Título 1 5 11" xfId="29840" xr:uid="{00000000-0005-0000-0000-0000B5740000}"/>
    <cellStyle name="Título 1 5 12" xfId="29841" xr:uid="{00000000-0005-0000-0000-0000B6740000}"/>
    <cellStyle name="Título 1 5 13" xfId="29842" xr:uid="{00000000-0005-0000-0000-0000B7740000}"/>
    <cellStyle name="Título 1 5 14" xfId="29843" xr:uid="{00000000-0005-0000-0000-0000B8740000}"/>
    <cellStyle name="Título 1 5 15" xfId="29844" xr:uid="{00000000-0005-0000-0000-0000B9740000}"/>
    <cellStyle name="Título 1 5 16" xfId="29845" xr:uid="{00000000-0005-0000-0000-0000BA740000}"/>
    <cellStyle name="Título 1 5 17" xfId="29846" xr:uid="{00000000-0005-0000-0000-0000BB740000}"/>
    <cellStyle name="Título 1 5 18" xfId="29847" xr:uid="{00000000-0005-0000-0000-0000BC740000}"/>
    <cellStyle name="Título 1 5 19" xfId="29848" xr:uid="{00000000-0005-0000-0000-0000BD740000}"/>
    <cellStyle name="Título 1 5 2" xfId="29849" xr:uid="{00000000-0005-0000-0000-0000BE740000}"/>
    <cellStyle name="Título 1 5 2 2" xfId="29850" xr:uid="{00000000-0005-0000-0000-0000BF740000}"/>
    <cellStyle name="Título 1 5 3" xfId="29851" xr:uid="{00000000-0005-0000-0000-0000C0740000}"/>
    <cellStyle name="Título 1 5 3 2" xfId="29852" xr:uid="{00000000-0005-0000-0000-0000C1740000}"/>
    <cellStyle name="Título 1 5 4" xfId="29853" xr:uid="{00000000-0005-0000-0000-0000C2740000}"/>
    <cellStyle name="Título 1 5 4 2" xfId="29854" xr:uid="{00000000-0005-0000-0000-0000C3740000}"/>
    <cellStyle name="Título 1 5 5" xfId="29855" xr:uid="{00000000-0005-0000-0000-0000C4740000}"/>
    <cellStyle name="Título 1 5 6" xfId="29856" xr:uid="{00000000-0005-0000-0000-0000C5740000}"/>
    <cellStyle name="Título 1 5 7" xfId="29857" xr:uid="{00000000-0005-0000-0000-0000C6740000}"/>
    <cellStyle name="Título 1 5 8" xfId="29858" xr:uid="{00000000-0005-0000-0000-0000C7740000}"/>
    <cellStyle name="Título 1 5 9" xfId="29859" xr:uid="{00000000-0005-0000-0000-0000C8740000}"/>
    <cellStyle name="Título 1 50" xfId="29860" xr:uid="{00000000-0005-0000-0000-0000C9740000}"/>
    <cellStyle name="Título 1 51" xfId="29861" xr:uid="{00000000-0005-0000-0000-0000CA740000}"/>
    <cellStyle name="Título 1 52" xfId="29862" xr:uid="{00000000-0005-0000-0000-0000CB740000}"/>
    <cellStyle name="Título 1 53" xfId="29863" xr:uid="{00000000-0005-0000-0000-0000CC740000}"/>
    <cellStyle name="Título 1 54" xfId="29864" xr:uid="{00000000-0005-0000-0000-0000CD740000}"/>
    <cellStyle name="Título 1 55" xfId="29865" xr:uid="{00000000-0005-0000-0000-0000CE740000}"/>
    <cellStyle name="Título 1 56" xfId="29866" xr:uid="{00000000-0005-0000-0000-0000CF740000}"/>
    <cellStyle name="Título 1 57" xfId="29867" xr:uid="{00000000-0005-0000-0000-0000D0740000}"/>
    <cellStyle name="Título 1 58" xfId="29868" xr:uid="{00000000-0005-0000-0000-0000D1740000}"/>
    <cellStyle name="Título 1 59" xfId="29869" xr:uid="{00000000-0005-0000-0000-0000D2740000}"/>
    <cellStyle name="Título 1 6 10" xfId="29870" xr:uid="{00000000-0005-0000-0000-0000D3740000}"/>
    <cellStyle name="Título 1 6 11" xfId="29871" xr:uid="{00000000-0005-0000-0000-0000D4740000}"/>
    <cellStyle name="Título 1 6 12" xfId="29872" xr:uid="{00000000-0005-0000-0000-0000D5740000}"/>
    <cellStyle name="Título 1 6 13" xfId="29873" xr:uid="{00000000-0005-0000-0000-0000D6740000}"/>
    <cellStyle name="Título 1 6 14" xfId="29874" xr:uid="{00000000-0005-0000-0000-0000D7740000}"/>
    <cellStyle name="Título 1 6 15" xfId="29875" xr:uid="{00000000-0005-0000-0000-0000D8740000}"/>
    <cellStyle name="Título 1 6 16" xfId="29876" xr:uid="{00000000-0005-0000-0000-0000D9740000}"/>
    <cellStyle name="Título 1 6 17" xfId="29877" xr:uid="{00000000-0005-0000-0000-0000DA740000}"/>
    <cellStyle name="Título 1 6 18" xfId="29878" xr:uid="{00000000-0005-0000-0000-0000DB740000}"/>
    <cellStyle name="Título 1 6 19" xfId="29879" xr:uid="{00000000-0005-0000-0000-0000DC740000}"/>
    <cellStyle name="Título 1 6 2" xfId="29880" xr:uid="{00000000-0005-0000-0000-0000DD740000}"/>
    <cellStyle name="Título 1 6 2 2" xfId="29881" xr:uid="{00000000-0005-0000-0000-0000DE740000}"/>
    <cellStyle name="Título 1 6 3" xfId="29882" xr:uid="{00000000-0005-0000-0000-0000DF740000}"/>
    <cellStyle name="Título 1 6 3 2" xfId="29883" xr:uid="{00000000-0005-0000-0000-0000E0740000}"/>
    <cellStyle name="Título 1 6 4" xfId="29884" xr:uid="{00000000-0005-0000-0000-0000E1740000}"/>
    <cellStyle name="Título 1 6 4 2" xfId="29885" xr:uid="{00000000-0005-0000-0000-0000E2740000}"/>
    <cellStyle name="Título 1 6 5" xfId="29886" xr:uid="{00000000-0005-0000-0000-0000E3740000}"/>
    <cellStyle name="Título 1 6 6" xfId="29887" xr:uid="{00000000-0005-0000-0000-0000E4740000}"/>
    <cellStyle name="Título 1 6 7" xfId="29888" xr:uid="{00000000-0005-0000-0000-0000E5740000}"/>
    <cellStyle name="Título 1 6 8" xfId="29889" xr:uid="{00000000-0005-0000-0000-0000E6740000}"/>
    <cellStyle name="Título 1 6 9" xfId="29890" xr:uid="{00000000-0005-0000-0000-0000E7740000}"/>
    <cellStyle name="Título 1 60" xfId="29891" xr:uid="{00000000-0005-0000-0000-0000E8740000}"/>
    <cellStyle name="Título 1 61" xfId="29892" xr:uid="{00000000-0005-0000-0000-0000E9740000}"/>
    <cellStyle name="Título 1 62" xfId="29893" xr:uid="{00000000-0005-0000-0000-0000EA740000}"/>
    <cellStyle name="Título 1 63" xfId="29894" xr:uid="{00000000-0005-0000-0000-0000EB740000}"/>
    <cellStyle name="Título 1 64" xfId="29895" xr:uid="{00000000-0005-0000-0000-0000EC740000}"/>
    <cellStyle name="Título 1 7 10" xfId="29896" xr:uid="{00000000-0005-0000-0000-0000ED740000}"/>
    <cellStyle name="Título 1 7 11" xfId="29897" xr:uid="{00000000-0005-0000-0000-0000EE740000}"/>
    <cellStyle name="Título 1 7 12" xfId="29898" xr:uid="{00000000-0005-0000-0000-0000EF740000}"/>
    <cellStyle name="Título 1 7 13" xfId="29899" xr:uid="{00000000-0005-0000-0000-0000F0740000}"/>
    <cellStyle name="Título 1 7 14" xfId="29900" xr:uid="{00000000-0005-0000-0000-0000F1740000}"/>
    <cellStyle name="Título 1 7 15" xfId="29901" xr:uid="{00000000-0005-0000-0000-0000F2740000}"/>
    <cellStyle name="Título 1 7 16" xfId="29902" xr:uid="{00000000-0005-0000-0000-0000F3740000}"/>
    <cellStyle name="Título 1 7 17" xfId="29903" xr:uid="{00000000-0005-0000-0000-0000F4740000}"/>
    <cellStyle name="Título 1 7 18" xfId="29904" xr:uid="{00000000-0005-0000-0000-0000F5740000}"/>
    <cellStyle name="Título 1 7 19" xfId="29905" xr:uid="{00000000-0005-0000-0000-0000F6740000}"/>
    <cellStyle name="Título 1 7 2" xfId="29906" xr:uid="{00000000-0005-0000-0000-0000F7740000}"/>
    <cellStyle name="Título 1 7 2 2" xfId="29907" xr:uid="{00000000-0005-0000-0000-0000F8740000}"/>
    <cellStyle name="Título 1 7 3" xfId="29908" xr:uid="{00000000-0005-0000-0000-0000F9740000}"/>
    <cellStyle name="Título 1 7 3 2" xfId="29909" xr:uid="{00000000-0005-0000-0000-0000FA740000}"/>
    <cellStyle name="Título 1 7 4" xfId="29910" xr:uid="{00000000-0005-0000-0000-0000FB740000}"/>
    <cellStyle name="Título 1 7 4 2" xfId="29911" xr:uid="{00000000-0005-0000-0000-0000FC740000}"/>
    <cellStyle name="Título 1 7 5" xfId="29912" xr:uid="{00000000-0005-0000-0000-0000FD740000}"/>
    <cellStyle name="Título 1 7 6" xfId="29913" xr:uid="{00000000-0005-0000-0000-0000FE740000}"/>
    <cellStyle name="Título 1 7 7" xfId="29914" xr:uid="{00000000-0005-0000-0000-0000FF740000}"/>
    <cellStyle name="Título 1 7 8" xfId="29915" xr:uid="{00000000-0005-0000-0000-000000750000}"/>
    <cellStyle name="Título 1 7 9" xfId="29916" xr:uid="{00000000-0005-0000-0000-000001750000}"/>
    <cellStyle name="Título 1 8 10" xfId="29917" xr:uid="{00000000-0005-0000-0000-000002750000}"/>
    <cellStyle name="Título 1 8 11" xfId="29918" xr:uid="{00000000-0005-0000-0000-000003750000}"/>
    <cellStyle name="Título 1 8 12" xfId="29919" xr:uid="{00000000-0005-0000-0000-000004750000}"/>
    <cellStyle name="Título 1 8 13" xfId="29920" xr:uid="{00000000-0005-0000-0000-000005750000}"/>
    <cellStyle name="Título 1 8 14" xfId="29921" xr:uid="{00000000-0005-0000-0000-000006750000}"/>
    <cellStyle name="Título 1 8 15" xfId="29922" xr:uid="{00000000-0005-0000-0000-000007750000}"/>
    <cellStyle name="Título 1 8 16" xfId="29923" xr:uid="{00000000-0005-0000-0000-000008750000}"/>
    <cellStyle name="Título 1 8 17" xfId="29924" xr:uid="{00000000-0005-0000-0000-000009750000}"/>
    <cellStyle name="Título 1 8 18" xfId="29925" xr:uid="{00000000-0005-0000-0000-00000A750000}"/>
    <cellStyle name="Título 1 8 19" xfId="29926" xr:uid="{00000000-0005-0000-0000-00000B750000}"/>
    <cellStyle name="Título 1 8 2" xfId="29927" xr:uid="{00000000-0005-0000-0000-00000C750000}"/>
    <cellStyle name="Título 1 8 2 2" xfId="29928" xr:uid="{00000000-0005-0000-0000-00000D750000}"/>
    <cellStyle name="Título 1 8 3" xfId="29929" xr:uid="{00000000-0005-0000-0000-00000E750000}"/>
    <cellStyle name="Título 1 8 3 2" xfId="29930" xr:uid="{00000000-0005-0000-0000-00000F750000}"/>
    <cellStyle name="Título 1 8 4" xfId="29931" xr:uid="{00000000-0005-0000-0000-000010750000}"/>
    <cellStyle name="Título 1 8 4 2" xfId="29932" xr:uid="{00000000-0005-0000-0000-000011750000}"/>
    <cellStyle name="Título 1 8 5" xfId="29933" xr:uid="{00000000-0005-0000-0000-000012750000}"/>
    <cellStyle name="Título 1 8 6" xfId="29934" xr:uid="{00000000-0005-0000-0000-000013750000}"/>
    <cellStyle name="Título 1 8 7" xfId="29935" xr:uid="{00000000-0005-0000-0000-000014750000}"/>
    <cellStyle name="Título 1 8 8" xfId="29936" xr:uid="{00000000-0005-0000-0000-000015750000}"/>
    <cellStyle name="Título 1 8 9" xfId="29937" xr:uid="{00000000-0005-0000-0000-000016750000}"/>
    <cellStyle name="Título 1 9 10" xfId="29938" xr:uid="{00000000-0005-0000-0000-000017750000}"/>
    <cellStyle name="Título 1 9 11" xfId="29939" xr:uid="{00000000-0005-0000-0000-000018750000}"/>
    <cellStyle name="Título 1 9 12" xfId="29940" xr:uid="{00000000-0005-0000-0000-000019750000}"/>
    <cellStyle name="Título 1 9 13" xfId="29941" xr:uid="{00000000-0005-0000-0000-00001A750000}"/>
    <cellStyle name="Título 1 9 14" xfId="29942" xr:uid="{00000000-0005-0000-0000-00001B750000}"/>
    <cellStyle name="Título 1 9 15" xfId="29943" xr:uid="{00000000-0005-0000-0000-00001C750000}"/>
    <cellStyle name="Título 1 9 16" xfId="29944" xr:uid="{00000000-0005-0000-0000-00001D750000}"/>
    <cellStyle name="Título 1 9 17" xfId="29945" xr:uid="{00000000-0005-0000-0000-00001E750000}"/>
    <cellStyle name="Título 1 9 18" xfId="29946" xr:uid="{00000000-0005-0000-0000-00001F750000}"/>
    <cellStyle name="Título 1 9 19" xfId="29947" xr:uid="{00000000-0005-0000-0000-000020750000}"/>
    <cellStyle name="Título 1 9 2" xfId="29948" xr:uid="{00000000-0005-0000-0000-000021750000}"/>
    <cellStyle name="Título 1 9 2 2" xfId="29949" xr:uid="{00000000-0005-0000-0000-000022750000}"/>
    <cellStyle name="Título 1 9 3" xfId="29950" xr:uid="{00000000-0005-0000-0000-000023750000}"/>
    <cellStyle name="Título 1 9 3 2" xfId="29951" xr:uid="{00000000-0005-0000-0000-000024750000}"/>
    <cellStyle name="Título 1 9 4" xfId="29952" xr:uid="{00000000-0005-0000-0000-000025750000}"/>
    <cellStyle name="Título 1 9 4 2" xfId="29953" xr:uid="{00000000-0005-0000-0000-000026750000}"/>
    <cellStyle name="Título 1 9 5" xfId="29954" xr:uid="{00000000-0005-0000-0000-000027750000}"/>
    <cellStyle name="Título 1 9 6" xfId="29955" xr:uid="{00000000-0005-0000-0000-000028750000}"/>
    <cellStyle name="Título 1 9 7" xfId="29956" xr:uid="{00000000-0005-0000-0000-000029750000}"/>
    <cellStyle name="Título 1 9 8" xfId="29957" xr:uid="{00000000-0005-0000-0000-00002A750000}"/>
    <cellStyle name="Título 1 9 9" xfId="29958" xr:uid="{00000000-0005-0000-0000-00002B750000}"/>
    <cellStyle name="Título 10" xfId="29959" xr:uid="{00000000-0005-0000-0000-00002C750000}"/>
    <cellStyle name="Título 11" xfId="29960" xr:uid="{00000000-0005-0000-0000-00002D750000}"/>
    <cellStyle name="Título 12" xfId="29961" xr:uid="{00000000-0005-0000-0000-00002E750000}"/>
    <cellStyle name="Título 2" xfId="32514" builtinId="17" customBuiltin="1"/>
    <cellStyle name="Título 2 10 10" xfId="29962" xr:uid="{00000000-0005-0000-0000-000030750000}"/>
    <cellStyle name="Título 2 10 11" xfId="29963" xr:uid="{00000000-0005-0000-0000-000031750000}"/>
    <cellStyle name="Título 2 10 12" xfId="29964" xr:uid="{00000000-0005-0000-0000-000032750000}"/>
    <cellStyle name="Título 2 10 13" xfId="29965" xr:uid="{00000000-0005-0000-0000-000033750000}"/>
    <cellStyle name="Título 2 10 14" xfId="29966" xr:uid="{00000000-0005-0000-0000-000034750000}"/>
    <cellStyle name="Título 2 10 15" xfId="29967" xr:uid="{00000000-0005-0000-0000-000035750000}"/>
    <cellStyle name="Título 2 10 16" xfId="29968" xr:uid="{00000000-0005-0000-0000-000036750000}"/>
    <cellStyle name="Título 2 10 17" xfId="29969" xr:uid="{00000000-0005-0000-0000-000037750000}"/>
    <cellStyle name="Título 2 10 18" xfId="29970" xr:uid="{00000000-0005-0000-0000-000038750000}"/>
    <cellStyle name="Título 2 10 19" xfId="29971" xr:uid="{00000000-0005-0000-0000-000039750000}"/>
    <cellStyle name="Título 2 10 2" xfId="29972" xr:uid="{00000000-0005-0000-0000-00003A750000}"/>
    <cellStyle name="Título 2 10 2 2" xfId="29973" xr:uid="{00000000-0005-0000-0000-00003B750000}"/>
    <cellStyle name="Título 2 10 3" xfId="29974" xr:uid="{00000000-0005-0000-0000-00003C750000}"/>
    <cellStyle name="Título 2 10 3 2" xfId="29975" xr:uid="{00000000-0005-0000-0000-00003D750000}"/>
    <cellStyle name="Título 2 10 4" xfId="29976" xr:uid="{00000000-0005-0000-0000-00003E750000}"/>
    <cellStyle name="Título 2 10 4 2" xfId="29977" xr:uid="{00000000-0005-0000-0000-00003F750000}"/>
    <cellStyle name="Título 2 10 5" xfId="29978" xr:uid="{00000000-0005-0000-0000-000040750000}"/>
    <cellStyle name="Título 2 10 6" xfId="29979" xr:uid="{00000000-0005-0000-0000-000041750000}"/>
    <cellStyle name="Título 2 10 7" xfId="29980" xr:uid="{00000000-0005-0000-0000-000042750000}"/>
    <cellStyle name="Título 2 10 8" xfId="29981" xr:uid="{00000000-0005-0000-0000-000043750000}"/>
    <cellStyle name="Título 2 10 9" xfId="29982" xr:uid="{00000000-0005-0000-0000-000044750000}"/>
    <cellStyle name="Título 2 11 10" xfId="29983" xr:uid="{00000000-0005-0000-0000-000045750000}"/>
    <cellStyle name="Título 2 11 11" xfId="29984" xr:uid="{00000000-0005-0000-0000-000046750000}"/>
    <cellStyle name="Título 2 11 12" xfId="29985" xr:uid="{00000000-0005-0000-0000-000047750000}"/>
    <cellStyle name="Título 2 11 13" xfId="29986" xr:uid="{00000000-0005-0000-0000-000048750000}"/>
    <cellStyle name="Título 2 11 14" xfId="29987" xr:uid="{00000000-0005-0000-0000-000049750000}"/>
    <cellStyle name="Título 2 11 15" xfId="29988" xr:uid="{00000000-0005-0000-0000-00004A750000}"/>
    <cellStyle name="Título 2 11 16" xfId="29989" xr:uid="{00000000-0005-0000-0000-00004B750000}"/>
    <cellStyle name="Título 2 11 17" xfId="29990" xr:uid="{00000000-0005-0000-0000-00004C750000}"/>
    <cellStyle name="Título 2 11 18" xfId="29991" xr:uid="{00000000-0005-0000-0000-00004D750000}"/>
    <cellStyle name="Título 2 11 19" xfId="29992" xr:uid="{00000000-0005-0000-0000-00004E750000}"/>
    <cellStyle name="Título 2 11 2" xfId="29993" xr:uid="{00000000-0005-0000-0000-00004F750000}"/>
    <cellStyle name="Título 2 11 2 2" xfId="29994" xr:uid="{00000000-0005-0000-0000-000050750000}"/>
    <cellStyle name="Título 2 11 3" xfId="29995" xr:uid="{00000000-0005-0000-0000-000051750000}"/>
    <cellStyle name="Título 2 11 3 2" xfId="29996" xr:uid="{00000000-0005-0000-0000-000052750000}"/>
    <cellStyle name="Título 2 11 4" xfId="29997" xr:uid="{00000000-0005-0000-0000-000053750000}"/>
    <cellStyle name="Título 2 11 4 2" xfId="29998" xr:uid="{00000000-0005-0000-0000-000054750000}"/>
    <cellStyle name="Título 2 11 5" xfId="29999" xr:uid="{00000000-0005-0000-0000-000055750000}"/>
    <cellStyle name="Título 2 11 6" xfId="30000" xr:uid="{00000000-0005-0000-0000-000056750000}"/>
    <cellStyle name="Título 2 11 7" xfId="30001" xr:uid="{00000000-0005-0000-0000-000057750000}"/>
    <cellStyle name="Título 2 11 8" xfId="30002" xr:uid="{00000000-0005-0000-0000-000058750000}"/>
    <cellStyle name="Título 2 11 9" xfId="30003" xr:uid="{00000000-0005-0000-0000-000059750000}"/>
    <cellStyle name="Título 2 12 10" xfId="30004" xr:uid="{00000000-0005-0000-0000-00005A750000}"/>
    <cellStyle name="Título 2 12 11" xfId="30005" xr:uid="{00000000-0005-0000-0000-00005B750000}"/>
    <cellStyle name="Título 2 12 12" xfId="30006" xr:uid="{00000000-0005-0000-0000-00005C750000}"/>
    <cellStyle name="Título 2 12 13" xfId="30007" xr:uid="{00000000-0005-0000-0000-00005D750000}"/>
    <cellStyle name="Título 2 12 14" xfId="30008" xr:uid="{00000000-0005-0000-0000-00005E750000}"/>
    <cellStyle name="Título 2 12 15" xfId="30009" xr:uid="{00000000-0005-0000-0000-00005F750000}"/>
    <cellStyle name="Título 2 12 16" xfId="30010" xr:uid="{00000000-0005-0000-0000-000060750000}"/>
    <cellStyle name="Título 2 12 17" xfId="30011" xr:uid="{00000000-0005-0000-0000-000061750000}"/>
    <cellStyle name="Título 2 12 18" xfId="30012" xr:uid="{00000000-0005-0000-0000-000062750000}"/>
    <cellStyle name="Título 2 12 19" xfId="30013" xr:uid="{00000000-0005-0000-0000-000063750000}"/>
    <cellStyle name="Título 2 12 2" xfId="30014" xr:uid="{00000000-0005-0000-0000-000064750000}"/>
    <cellStyle name="Título 2 12 2 2" xfId="30015" xr:uid="{00000000-0005-0000-0000-000065750000}"/>
    <cellStyle name="Título 2 12 3" xfId="30016" xr:uid="{00000000-0005-0000-0000-000066750000}"/>
    <cellStyle name="Título 2 12 3 2" xfId="30017" xr:uid="{00000000-0005-0000-0000-000067750000}"/>
    <cellStyle name="Título 2 12 4" xfId="30018" xr:uid="{00000000-0005-0000-0000-000068750000}"/>
    <cellStyle name="Título 2 12 4 2" xfId="30019" xr:uid="{00000000-0005-0000-0000-000069750000}"/>
    <cellStyle name="Título 2 12 5" xfId="30020" xr:uid="{00000000-0005-0000-0000-00006A750000}"/>
    <cellStyle name="Título 2 12 6" xfId="30021" xr:uid="{00000000-0005-0000-0000-00006B750000}"/>
    <cellStyle name="Título 2 12 7" xfId="30022" xr:uid="{00000000-0005-0000-0000-00006C750000}"/>
    <cellStyle name="Título 2 12 8" xfId="30023" xr:uid="{00000000-0005-0000-0000-00006D750000}"/>
    <cellStyle name="Título 2 12 9" xfId="30024" xr:uid="{00000000-0005-0000-0000-00006E750000}"/>
    <cellStyle name="Título 2 13 10" xfId="30025" xr:uid="{00000000-0005-0000-0000-00006F750000}"/>
    <cellStyle name="Título 2 13 11" xfId="30026" xr:uid="{00000000-0005-0000-0000-000070750000}"/>
    <cellStyle name="Título 2 13 12" xfId="30027" xr:uid="{00000000-0005-0000-0000-000071750000}"/>
    <cellStyle name="Título 2 13 13" xfId="30028" xr:uid="{00000000-0005-0000-0000-000072750000}"/>
    <cellStyle name="Título 2 13 14" xfId="30029" xr:uid="{00000000-0005-0000-0000-000073750000}"/>
    <cellStyle name="Título 2 13 15" xfId="30030" xr:uid="{00000000-0005-0000-0000-000074750000}"/>
    <cellStyle name="Título 2 13 16" xfId="30031" xr:uid="{00000000-0005-0000-0000-000075750000}"/>
    <cellStyle name="Título 2 13 17" xfId="30032" xr:uid="{00000000-0005-0000-0000-000076750000}"/>
    <cellStyle name="Título 2 13 18" xfId="30033" xr:uid="{00000000-0005-0000-0000-000077750000}"/>
    <cellStyle name="Título 2 13 19" xfId="30034" xr:uid="{00000000-0005-0000-0000-000078750000}"/>
    <cellStyle name="Título 2 13 2" xfId="30035" xr:uid="{00000000-0005-0000-0000-000079750000}"/>
    <cellStyle name="Título 2 13 2 2" xfId="30036" xr:uid="{00000000-0005-0000-0000-00007A750000}"/>
    <cellStyle name="Título 2 13 3" xfId="30037" xr:uid="{00000000-0005-0000-0000-00007B750000}"/>
    <cellStyle name="Título 2 13 3 2" xfId="30038" xr:uid="{00000000-0005-0000-0000-00007C750000}"/>
    <cellStyle name="Título 2 13 4" xfId="30039" xr:uid="{00000000-0005-0000-0000-00007D750000}"/>
    <cellStyle name="Título 2 13 4 2" xfId="30040" xr:uid="{00000000-0005-0000-0000-00007E750000}"/>
    <cellStyle name="Título 2 13 5" xfId="30041" xr:uid="{00000000-0005-0000-0000-00007F750000}"/>
    <cellStyle name="Título 2 13 6" xfId="30042" xr:uid="{00000000-0005-0000-0000-000080750000}"/>
    <cellStyle name="Título 2 13 7" xfId="30043" xr:uid="{00000000-0005-0000-0000-000081750000}"/>
    <cellStyle name="Título 2 13 8" xfId="30044" xr:uid="{00000000-0005-0000-0000-000082750000}"/>
    <cellStyle name="Título 2 13 9" xfId="30045" xr:uid="{00000000-0005-0000-0000-000083750000}"/>
    <cellStyle name="Título 2 14 10" xfId="30046" xr:uid="{00000000-0005-0000-0000-000084750000}"/>
    <cellStyle name="Título 2 14 11" xfId="30047" xr:uid="{00000000-0005-0000-0000-000085750000}"/>
    <cellStyle name="Título 2 14 12" xfId="30048" xr:uid="{00000000-0005-0000-0000-000086750000}"/>
    <cellStyle name="Título 2 14 13" xfId="30049" xr:uid="{00000000-0005-0000-0000-000087750000}"/>
    <cellStyle name="Título 2 14 14" xfId="30050" xr:uid="{00000000-0005-0000-0000-000088750000}"/>
    <cellStyle name="Título 2 14 15" xfId="30051" xr:uid="{00000000-0005-0000-0000-000089750000}"/>
    <cellStyle name="Título 2 14 16" xfId="30052" xr:uid="{00000000-0005-0000-0000-00008A750000}"/>
    <cellStyle name="Título 2 14 17" xfId="30053" xr:uid="{00000000-0005-0000-0000-00008B750000}"/>
    <cellStyle name="Título 2 14 18" xfId="30054" xr:uid="{00000000-0005-0000-0000-00008C750000}"/>
    <cellStyle name="Título 2 14 19" xfId="30055" xr:uid="{00000000-0005-0000-0000-00008D750000}"/>
    <cellStyle name="Título 2 14 2" xfId="30056" xr:uid="{00000000-0005-0000-0000-00008E750000}"/>
    <cellStyle name="Título 2 14 2 2" xfId="30057" xr:uid="{00000000-0005-0000-0000-00008F750000}"/>
    <cellStyle name="Título 2 14 3" xfId="30058" xr:uid="{00000000-0005-0000-0000-000090750000}"/>
    <cellStyle name="Título 2 14 3 2" xfId="30059" xr:uid="{00000000-0005-0000-0000-000091750000}"/>
    <cellStyle name="Título 2 14 4" xfId="30060" xr:uid="{00000000-0005-0000-0000-000092750000}"/>
    <cellStyle name="Título 2 14 4 2" xfId="30061" xr:uid="{00000000-0005-0000-0000-000093750000}"/>
    <cellStyle name="Título 2 14 5" xfId="30062" xr:uid="{00000000-0005-0000-0000-000094750000}"/>
    <cellStyle name="Título 2 14 6" xfId="30063" xr:uid="{00000000-0005-0000-0000-000095750000}"/>
    <cellStyle name="Título 2 14 7" xfId="30064" xr:uid="{00000000-0005-0000-0000-000096750000}"/>
    <cellStyle name="Título 2 14 8" xfId="30065" xr:uid="{00000000-0005-0000-0000-000097750000}"/>
    <cellStyle name="Título 2 14 9" xfId="30066" xr:uid="{00000000-0005-0000-0000-000098750000}"/>
    <cellStyle name="Título 2 15 10" xfId="30067" xr:uid="{00000000-0005-0000-0000-000099750000}"/>
    <cellStyle name="Título 2 15 11" xfId="30068" xr:uid="{00000000-0005-0000-0000-00009A750000}"/>
    <cellStyle name="Título 2 15 12" xfId="30069" xr:uid="{00000000-0005-0000-0000-00009B750000}"/>
    <cellStyle name="Título 2 15 13" xfId="30070" xr:uid="{00000000-0005-0000-0000-00009C750000}"/>
    <cellStyle name="Título 2 15 14" xfId="30071" xr:uid="{00000000-0005-0000-0000-00009D750000}"/>
    <cellStyle name="Título 2 15 15" xfId="30072" xr:uid="{00000000-0005-0000-0000-00009E750000}"/>
    <cellStyle name="Título 2 15 16" xfId="30073" xr:uid="{00000000-0005-0000-0000-00009F750000}"/>
    <cellStyle name="Título 2 15 17" xfId="30074" xr:uid="{00000000-0005-0000-0000-0000A0750000}"/>
    <cellStyle name="Título 2 15 18" xfId="30075" xr:uid="{00000000-0005-0000-0000-0000A1750000}"/>
    <cellStyle name="Título 2 15 19" xfId="30076" xr:uid="{00000000-0005-0000-0000-0000A2750000}"/>
    <cellStyle name="Título 2 15 2" xfId="30077" xr:uid="{00000000-0005-0000-0000-0000A3750000}"/>
    <cellStyle name="Título 2 15 2 2" xfId="30078" xr:uid="{00000000-0005-0000-0000-0000A4750000}"/>
    <cellStyle name="Título 2 15 3" xfId="30079" xr:uid="{00000000-0005-0000-0000-0000A5750000}"/>
    <cellStyle name="Título 2 15 3 2" xfId="30080" xr:uid="{00000000-0005-0000-0000-0000A6750000}"/>
    <cellStyle name="Título 2 15 4" xfId="30081" xr:uid="{00000000-0005-0000-0000-0000A7750000}"/>
    <cellStyle name="Título 2 15 4 2" xfId="30082" xr:uid="{00000000-0005-0000-0000-0000A8750000}"/>
    <cellStyle name="Título 2 15 5" xfId="30083" xr:uid="{00000000-0005-0000-0000-0000A9750000}"/>
    <cellStyle name="Título 2 15 6" xfId="30084" xr:uid="{00000000-0005-0000-0000-0000AA750000}"/>
    <cellStyle name="Título 2 15 7" xfId="30085" xr:uid="{00000000-0005-0000-0000-0000AB750000}"/>
    <cellStyle name="Título 2 15 8" xfId="30086" xr:uid="{00000000-0005-0000-0000-0000AC750000}"/>
    <cellStyle name="Título 2 15 9" xfId="30087" xr:uid="{00000000-0005-0000-0000-0000AD750000}"/>
    <cellStyle name="Título 2 16 10" xfId="30088" xr:uid="{00000000-0005-0000-0000-0000AE750000}"/>
    <cellStyle name="Título 2 16 11" xfId="30089" xr:uid="{00000000-0005-0000-0000-0000AF750000}"/>
    <cellStyle name="Título 2 16 12" xfId="30090" xr:uid="{00000000-0005-0000-0000-0000B0750000}"/>
    <cellStyle name="Título 2 16 13" xfId="30091" xr:uid="{00000000-0005-0000-0000-0000B1750000}"/>
    <cellStyle name="Título 2 16 14" xfId="30092" xr:uid="{00000000-0005-0000-0000-0000B2750000}"/>
    <cellStyle name="Título 2 16 15" xfId="30093" xr:uid="{00000000-0005-0000-0000-0000B3750000}"/>
    <cellStyle name="Título 2 16 16" xfId="30094" xr:uid="{00000000-0005-0000-0000-0000B4750000}"/>
    <cellStyle name="Título 2 16 17" xfId="30095" xr:uid="{00000000-0005-0000-0000-0000B5750000}"/>
    <cellStyle name="Título 2 16 18" xfId="30096" xr:uid="{00000000-0005-0000-0000-0000B6750000}"/>
    <cellStyle name="Título 2 16 19" xfId="30097" xr:uid="{00000000-0005-0000-0000-0000B7750000}"/>
    <cellStyle name="Título 2 16 2" xfId="30098" xr:uid="{00000000-0005-0000-0000-0000B8750000}"/>
    <cellStyle name="Título 2 16 2 2" xfId="30099" xr:uid="{00000000-0005-0000-0000-0000B9750000}"/>
    <cellStyle name="Título 2 16 3" xfId="30100" xr:uid="{00000000-0005-0000-0000-0000BA750000}"/>
    <cellStyle name="Título 2 16 3 2" xfId="30101" xr:uid="{00000000-0005-0000-0000-0000BB750000}"/>
    <cellStyle name="Título 2 16 4" xfId="30102" xr:uid="{00000000-0005-0000-0000-0000BC750000}"/>
    <cellStyle name="Título 2 16 4 2" xfId="30103" xr:uid="{00000000-0005-0000-0000-0000BD750000}"/>
    <cellStyle name="Título 2 16 5" xfId="30104" xr:uid="{00000000-0005-0000-0000-0000BE750000}"/>
    <cellStyle name="Título 2 16 6" xfId="30105" xr:uid="{00000000-0005-0000-0000-0000BF750000}"/>
    <cellStyle name="Título 2 16 7" xfId="30106" xr:uid="{00000000-0005-0000-0000-0000C0750000}"/>
    <cellStyle name="Título 2 16 8" xfId="30107" xr:uid="{00000000-0005-0000-0000-0000C1750000}"/>
    <cellStyle name="Título 2 16 9" xfId="30108" xr:uid="{00000000-0005-0000-0000-0000C2750000}"/>
    <cellStyle name="Título 2 17 10" xfId="30109" xr:uid="{00000000-0005-0000-0000-0000C3750000}"/>
    <cellStyle name="Título 2 17 11" xfId="30110" xr:uid="{00000000-0005-0000-0000-0000C4750000}"/>
    <cellStyle name="Título 2 17 12" xfId="30111" xr:uid="{00000000-0005-0000-0000-0000C5750000}"/>
    <cellStyle name="Título 2 17 13" xfId="30112" xr:uid="{00000000-0005-0000-0000-0000C6750000}"/>
    <cellStyle name="Título 2 17 14" xfId="30113" xr:uid="{00000000-0005-0000-0000-0000C7750000}"/>
    <cellStyle name="Título 2 17 15" xfId="30114" xr:uid="{00000000-0005-0000-0000-0000C8750000}"/>
    <cellStyle name="Título 2 17 16" xfId="30115" xr:uid="{00000000-0005-0000-0000-0000C9750000}"/>
    <cellStyle name="Título 2 17 17" xfId="30116" xr:uid="{00000000-0005-0000-0000-0000CA750000}"/>
    <cellStyle name="Título 2 17 18" xfId="30117" xr:uid="{00000000-0005-0000-0000-0000CB750000}"/>
    <cellStyle name="Título 2 17 19" xfId="30118" xr:uid="{00000000-0005-0000-0000-0000CC750000}"/>
    <cellStyle name="Título 2 17 2" xfId="30119" xr:uid="{00000000-0005-0000-0000-0000CD750000}"/>
    <cellStyle name="Título 2 17 2 2" xfId="30120" xr:uid="{00000000-0005-0000-0000-0000CE750000}"/>
    <cellStyle name="Título 2 17 3" xfId="30121" xr:uid="{00000000-0005-0000-0000-0000CF750000}"/>
    <cellStyle name="Título 2 17 3 2" xfId="30122" xr:uid="{00000000-0005-0000-0000-0000D0750000}"/>
    <cellStyle name="Título 2 17 4" xfId="30123" xr:uid="{00000000-0005-0000-0000-0000D1750000}"/>
    <cellStyle name="Título 2 17 4 2" xfId="30124" xr:uid="{00000000-0005-0000-0000-0000D2750000}"/>
    <cellStyle name="Título 2 17 5" xfId="30125" xr:uid="{00000000-0005-0000-0000-0000D3750000}"/>
    <cellStyle name="Título 2 17 6" xfId="30126" xr:uid="{00000000-0005-0000-0000-0000D4750000}"/>
    <cellStyle name="Título 2 17 7" xfId="30127" xr:uid="{00000000-0005-0000-0000-0000D5750000}"/>
    <cellStyle name="Título 2 17 8" xfId="30128" xr:uid="{00000000-0005-0000-0000-0000D6750000}"/>
    <cellStyle name="Título 2 17 9" xfId="30129" xr:uid="{00000000-0005-0000-0000-0000D7750000}"/>
    <cellStyle name="Título 2 18 10" xfId="30130" xr:uid="{00000000-0005-0000-0000-0000D8750000}"/>
    <cellStyle name="Título 2 18 11" xfId="30131" xr:uid="{00000000-0005-0000-0000-0000D9750000}"/>
    <cellStyle name="Título 2 18 12" xfId="30132" xr:uid="{00000000-0005-0000-0000-0000DA750000}"/>
    <cellStyle name="Título 2 18 13" xfId="30133" xr:uid="{00000000-0005-0000-0000-0000DB750000}"/>
    <cellStyle name="Título 2 18 14" xfId="30134" xr:uid="{00000000-0005-0000-0000-0000DC750000}"/>
    <cellStyle name="Título 2 18 15" xfId="30135" xr:uid="{00000000-0005-0000-0000-0000DD750000}"/>
    <cellStyle name="Título 2 18 16" xfId="30136" xr:uid="{00000000-0005-0000-0000-0000DE750000}"/>
    <cellStyle name="Título 2 18 17" xfId="30137" xr:uid="{00000000-0005-0000-0000-0000DF750000}"/>
    <cellStyle name="Título 2 18 18" xfId="30138" xr:uid="{00000000-0005-0000-0000-0000E0750000}"/>
    <cellStyle name="Título 2 18 19" xfId="30139" xr:uid="{00000000-0005-0000-0000-0000E1750000}"/>
    <cellStyle name="Título 2 18 2" xfId="30140" xr:uid="{00000000-0005-0000-0000-0000E2750000}"/>
    <cellStyle name="Título 2 18 2 2" xfId="30141" xr:uid="{00000000-0005-0000-0000-0000E3750000}"/>
    <cellStyle name="Título 2 18 3" xfId="30142" xr:uid="{00000000-0005-0000-0000-0000E4750000}"/>
    <cellStyle name="Título 2 18 3 2" xfId="30143" xr:uid="{00000000-0005-0000-0000-0000E5750000}"/>
    <cellStyle name="Título 2 18 4" xfId="30144" xr:uid="{00000000-0005-0000-0000-0000E6750000}"/>
    <cellStyle name="Título 2 18 4 2" xfId="30145" xr:uid="{00000000-0005-0000-0000-0000E7750000}"/>
    <cellStyle name="Título 2 18 5" xfId="30146" xr:uid="{00000000-0005-0000-0000-0000E8750000}"/>
    <cellStyle name="Título 2 18 6" xfId="30147" xr:uid="{00000000-0005-0000-0000-0000E9750000}"/>
    <cellStyle name="Título 2 18 7" xfId="30148" xr:uid="{00000000-0005-0000-0000-0000EA750000}"/>
    <cellStyle name="Título 2 18 8" xfId="30149" xr:uid="{00000000-0005-0000-0000-0000EB750000}"/>
    <cellStyle name="Título 2 18 9" xfId="30150" xr:uid="{00000000-0005-0000-0000-0000EC750000}"/>
    <cellStyle name="Título 2 19 10" xfId="30151" xr:uid="{00000000-0005-0000-0000-0000ED750000}"/>
    <cellStyle name="Título 2 19 11" xfId="30152" xr:uid="{00000000-0005-0000-0000-0000EE750000}"/>
    <cellStyle name="Título 2 19 12" xfId="30153" xr:uid="{00000000-0005-0000-0000-0000EF750000}"/>
    <cellStyle name="Título 2 19 13" xfId="30154" xr:uid="{00000000-0005-0000-0000-0000F0750000}"/>
    <cellStyle name="Título 2 19 14" xfId="30155" xr:uid="{00000000-0005-0000-0000-0000F1750000}"/>
    <cellStyle name="Título 2 19 15" xfId="30156" xr:uid="{00000000-0005-0000-0000-0000F2750000}"/>
    <cellStyle name="Título 2 19 16" xfId="30157" xr:uid="{00000000-0005-0000-0000-0000F3750000}"/>
    <cellStyle name="Título 2 19 17" xfId="30158" xr:uid="{00000000-0005-0000-0000-0000F4750000}"/>
    <cellStyle name="Título 2 19 18" xfId="30159" xr:uid="{00000000-0005-0000-0000-0000F5750000}"/>
    <cellStyle name="Título 2 19 19" xfId="30160" xr:uid="{00000000-0005-0000-0000-0000F6750000}"/>
    <cellStyle name="Título 2 19 2" xfId="30161" xr:uid="{00000000-0005-0000-0000-0000F7750000}"/>
    <cellStyle name="Título 2 19 2 2" xfId="30162" xr:uid="{00000000-0005-0000-0000-0000F8750000}"/>
    <cellStyle name="Título 2 19 3" xfId="30163" xr:uid="{00000000-0005-0000-0000-0000F9750000}"/>
    <cellStyle name="Título 2 19 3 2" xfId="30164" xr:uid="{00000000-0005-0000-0000-0000FA750000}"/>
    <cellStyle name="Título 2 19 4" xfId="30165" xr:uid="{00000000-0005-0000-0000-0000FB750000}"/>
    <cellStyle name="Título 2 19 4 2" xfId="30166" xr:uid="{00000000-0005-0000-0000-0000FC750000}"/>
    <cellStyle name="Título 2 19 5" xfId="30167" xr:uid="{00000000-0005-0000-0000-0000FD750000}"/>
    <cellStyle name="Título 2 19 6" xfId="30168" xr:uid="{00000000-0005-0000-0000-0000FE750000}"/>
    <cellStyle name="Título 2 19 7" xfId="30169" xr:uid="{00000000-0005-0000-0000-0000FF750000}"/>
    <cellStyle name="Título 2 19 8" xfId="30170" xr:uid="{00000000-0005-0000-0000-000000760000}"/>
    <cellStyle name="Título 2 19 9" xfId="30171" xr:uid="{00000000-0005-0000-0000-000001760000}"/>
    <cellStyle name="Título 2 2 10" xfId="30172" xr:uid="{00000000-0005-0000-0000-000002760000}"/>
    <cellStyle name="Título 2 2 11" xfId="30173" xr:uid="{00000000-0005-0000-0000-000003760000}"/>
    <cellStyle name="Título 2 2 12" xfId="30174" xr:uid="{00000000-0005-0000-0000-000004760000}"/>
    <cellStyle name="Título 2 2 13" xfId="30175" xr:uid="{00000000-0005-0000-0000-000005760000}"/>
    <cellStyle name="Título 2 2 14" xfId="30176" xr:uid="{00000000-0005-0000-0000-000006760000}"/>
    <cellStyle name="Título 2 2 15" xfId="30177" xr:uid="{00000000-0005-0000-0000-000007760000}"/>
    <cellStyle name="Título 2 2 16" xfId="30178" xr:uid="{00000000-0005-0000-0000-000008760000}"/>
    <cellStyle name="Título 2 2 17" xfId="30179" xr:uid="{00000000-0005-0000-0000-000009760000}"/>
    <cellStyle name="Título 2 2 18" xfId="30180" xr:uid="{00000000-0005-0000-0000-00000A760000}"/>
    <cellStyle name="Título 2 2 19" xfId="30181" xr:uid="{00000000-0005-0000-0000-00000B760000}"/>
    <cellStyle name="Título 2 2 2" xfId="30182" xr:uid="{00000000-0005-0000-0000-00000C760000}"/>
    <cellStyle name="Título 2 2 2 2" xfId="30183" xr:uid="{00000000-0005-0000-0000-00000D760000}"/>
    <cellStyle name="Título 2 2 3" xfId="30184" xr:uid="{00000000-0005-0000-0000-00000E760000}"/>
    <cellStyle name="Título 2 2 3 2" xfId="30185" xr:uid="{00000000-0005-0000-0000-00000F760000}"/>
    <cellStyle name="Título 2 2 4" xfId="30186" xr:uid="{00000000-0005-0000-0000-000010760000}"/>
    <cellStyle name="Título 2 2 4 2" xfId="30187" xr:uid="{00000000-0005-0000-0000-000011760000}"/>
    <cellStyle name="Título 2 2 5" xfId="30188" xr:uid="{00000000-0005-0000-0000-000012760000}"/>
    <cellStyle name="Título 2 2 6" xfId="30189" xr:uid="{00000000-0005-0000-0000-000013760000}"/>
    <cellStyle name="Título 2 2 7" xfId="30190" xr:uid="{00000000-0005-0000-0000-000014760000}"/>
    <cellStyle name="Título 2 2 8" xfId="30191" xr:uid="{00000000-0005-0000-0000-000015760000}"/>
    <cellStyle name="Título 2 2 9" xfId="30192" xr:uid="{00000000-0005-0000-0000-000016760000}"/>
    <cellStyle name="Título 2 20 10" xfId="30193" xr:uid="{00000000-0005-0000-0000-000017760000}"/>
    <cellStyle name="Título 2 20 11" xfId="30194" xr:uid="{00000000-0005-0000-0000-000018760000}"/>
    <cellStyle name="Título 2 20 12" xfId="30195" xr:uid="{00000000-0005-0000-0000-000019760000}"/>
    <cellStyle name="Título 2 20 13" xfId="30196" xr:uid="{00000000-0005-0000-0000-00001A760000}"/>
    <cellStyle name="Título 2 20 14" xfId="30197" xr:uid="{00000000-0005-0000-0000-00001B760000}"/>
    <cellStyle name="Título 2 20 15" xfId="30198" xr:uid="{00000000-0005-0000-0000-00001C760000}"/>
    <cellStyle name="Título 2 20 16" xfId="30199" xr:uid="{00000000-0005-0000-0000-00001D760000}"/>
    <cellStyle name="Título 2 20 17" xfId="30200" xr:uid="{00000000-0005-0000-0000-00001E760000}"/>
    <cellStyle name="Título 2 20 18" xfId="30201" xr:uid="{00000000-0005-0000-0000-00001F760000}"/>
    <cellStyle name="Título 2 20 19" xfId="30202" xr:uid="{00000000-0005-0000-0000-000020760000}"/>
    <cellStyle name="Título 2 20 2" xfId="30203" xr:uid="{00000000-0005-0000-0000-000021760000}"/>
    <cellStyle name="Título 2 20 2 2" xfId="30204" xr:uid="{00000000-0005-0000-0000-000022760000}"/>
    <cellStyle name="Título 2 20 3" xfId="30205" xr:uid="{00000000-0005-0000-0000-000023760000}"/>
    <cellStyle name="Título 2 20 3 2" xfId="30206" xr:uid="{00000000-0005-0000-0000-000024760000}"/>
    <cellStyle name="Título 2 20 4" xfId="30207" xr:uid="{00000000-0005-0000-0000-000025760000}"/>
    <cellStyle name="Título 2 20 4 2" xfId="30208" xr:uid="{00000000-0005-0000-0000-000026760000}"/>
    <cellStyle name="Título 2 20 5" xfId="30209" xr:uid="{00000000-0005-0000-0000-000027760000}"/>
    <cellStyle name="Título 2 20 6" xfId="30210" xr:uid="{00000000-0005-0000-0000-000028760000}"/>
    <cellStyle name="Título 2 20 7" xfId="30211" xr:uid="{00000000-0005-0000-0000-000029760000}"/>
    <cellStyle name="Título 2 20 8" xfId="30212" xr:uid="{00000000-0005-0000-0000-00002A760000}"/>
    <cellStyle name="Título 2 20 9" xfId="30213" xr:uid="{00000000-0005-0000-0000-00002B760000}"/>
    <cellStyle name="Título 2 21 10" xfId="30214" xr:uid="{00000000-0005-0000-0000-00002C760000}"/>
    <cellStyle name="Título 2 21 11" xfId="30215" xr:uid="{00000000-0005-0000-0000-00002D760000}"/>
    <cellStyle name="Título 2 21 12" xfId="30216" xr:uid="{00000000-0005-0000-0000-00002E760000}"/>
    <cellStyle name="Título 2 21 13" xfId="30217" xr:uid="{00000000-0005-0000-0000-00002F760000}"/>
    <cellStyle name="Título 2 21 14" xfId="30218" xr:uid="{00000000-0005-0000-0000-000030760000}"/>
    <cellStyle name="Título 2 21 15" xfId="30219" xr:uid="{00000000-0005-0000-0000-000031760000}"/>
    <cellStyle name="Título 2 21 16" xfId="30220" xr:uid="{00000000-0005-0000-0000-000032760000}"/>
    <cellStyle name="Título 2 21 17" xfId="30221" xr:uid="{00000000-0005-0000-0000-000033760000}"/>
    <cellStyle name="Título 2 21 18" xfId="30222" xr:uid="{00000000-0005-0000-0000-000034760000}"/>
    <cellStyle name="Título 2 21 19" xfId="30223" xr:uid="{00000000-0005-0000-0000-000035760000}"/>
    <cellStyle name="Título 2 21 2" xfId="30224" xr:uid="{00000000-0005-0000-0000-000036760000}"/>
    <cellStyle name="Título 2 21 2 2" xfId="30225" xr:uid="{00000000-0005-0000-0000-000037760000}"/>
    <cellStyle name="Título 2 21 3" xfId="30226" xr:uid="{00000000-0005-0000-0000-000038760000}"/>
    <cellStyle name="Título 2 21 3 2" xfId="30227" xr:uid="{00000000-0005-0000-0000-000039760000}"/>
    <cellStyle name="Título 2 21 4" xfId="30228" xr:uid="{00000000-0005-0000-0000-00003A760000}"/>
    <cellStyle name="Título 2 21 4 2" xfId="30229" xr:uid="{00000000-0005-0000-0000-00003B760000}"/>
    <cellStyle name="Título 2 21 5" xfId="30230" xr:uid="{00000000-0005-0000-0000-00003C760000}"/>
    <cellStyle name="Título 2 21 6" xfId="30231" xr:uid="{00000000-0005-0000-0000-00003D760000}"/>
    <cellStyle name="Título 2 21 7" xfId="30232" xr:uid="{00000000-0005-0000-0000-00003E760000}"/>
    <cellStyle name="Título 2 21 8" xfId="30233" xr:uid="{00000000-0005-0000-0000-00003F760000}"/>
    <cellStyle name="Título 2 21 9" xfId="30234" xr:uid="{00000000-0005-0000-0000-000040760000}"/>
    <cellStyle name="Título 2 22 10" xfId="30235" xr:uid="{00000000-0005-0000-0000-000041760000}"/>
    <cellStyle name="Título 2 22 11" xfId="30236" xr:uid="{00000000-0005-0000-0000-000042760000}"/>
    <cellStyle name="Título 2 22 12" xfId="30237" xr:uid="{00000000-0005-0000-0000-000043760000}"/>
    <cellStyle name="Título 2 22 13" xfId="30238" xr:uid="{00000000-0005-0000-0000-000044760000}"/>
    <cellStyle name="Título 2 22 14" xfId="30239" xr:uid="{00000000-0005-0000-0000-000045760000}"/>
    <cellStyle name="Título 2 22 15" xfId="30240" xr:uid="{00000000-0005-0000-0000-000046760000}"/>
    <cellStyle name="Título 2 22 16" xfId="30241" xr:uid="{00000000-0005-0000-0000-000047760000}"/>
    <cellStyle name="Título 2 22 17" xfId="30242" xr:uid="{00000000-0005-0000-0000-000048760000}"/>
    <cellStyle name="Título 2 22 18" xfId="30243" xr:uid="{00000000-0005-0000-0000-000049760000}"/>
    <cellStyle name="Título 2 22 19" xfId="30244" xr:uid="{00000000-0005-0000-0000-00004A760000}"/>
    <cellStyle name="Título 2 22 2" xfId="30245" xr:uid="{00000000-0005-0000-0000-00004B760000}"/>
    <cellStyle name="Título 2 22 2 2" xfId="30246" xr:uid="{00000000-0005-0000-0000-00004C760000}"/>
    <cellStyle name="Título 2 22 3" xfId="30247" xr:uid="{00000000-0005-0000-0000-00004D760000}"/>
    <cellStyle name="Título 2 22 3 2" xfId="30248" xr:uid="{00000000-0005-0000-0000-00004E760000}"/>
    <cellStyle name="Título 2 22 4" xfId="30249" xr:uid="{00000000-0005-0000-0000-00004F760000}"/>
    <cellStyle name="Título 2 22 4 2" xfId="30250" xr:uid="{00000000-0005-0000-0000-000050760000}"/>
    <cellStyle name="Título 2 22 5" xfId="30251" xr:uid="{00000000-0005-0000-0000-000051760000}"/>
    <cellStyle name="Título 2 22 6" xfId="30252" xr:uid="{00000000-0005-0000-0000-000052760000}"/>
    <cellStyle name="Título 2 22 7" xfId="30253" xr:uid="{00000000-0005-0000-0000-000053760000}"/>
    <cellStyle name="Título 2 22 8" xfId="30254" xr:uid="{00000000-0005-0000-0000-000054760000}"/>
    <cellStyle name="Título 2 22 9" xfId="30255" xr:uid="{00000000-0005-0000-0000-000055760000}"/>
    <cellStyle name="Título 2 23 10" xfId="30256" xr:uid="{00000000-0005-0000-0000-000056760000}"/>
    <cellStyle name="Título 2 23 11" xfId="30257" xr:uid="{00000000-0005-0000-0000-000057760000}"/>
    <cellStyle name="Título 2 23 12" xfId="30258" xr:uid="{00000000-0005-0000-0000-000058760000}"/>
    <cellStyle name="Título 2 23 13" xfId="30259" xr:uid="{00000000-0005-0000-0000-000059760000}"/>
    <cellStyle name="Título 2 23 14" xfId="30260" xr:uid="{00000000-0005-0000-0000-00005A760000}"/>
    <cellStyle name="Título 2 23 15" xfId="30261" xr:uid="{00000000-0005-0000-0000-00005B760000}"/>
    <cellStyle name="Título 2 23 16" xfId="30262" xr:uid="{00000000-0005-0000-0000-00005C760000}"/>
    <cellStyle name="Título 2 23 17" xfId="30263" xr:uid="{00000000-0005-0000-0000-00005D760000}"/>
    <cellStyle name="Título 2 23 18" xfId="30264" xr:uid="{00000000-0005-0000-0000-00005E760000}"/>
    <cellStyle name="Título 2 23 19" xfId="30265" xr:uid="{00000000-0005-0000-0000-00005F760000}"/>
    <cellStyle name="Título 2 23 2" xfId="30266" xr:uid="{00000000-0005-0000-0000-000060760000}"/>
    <cellStyle name="Título 2 23 2 2" xfId="30267" xr:uid="{00000000-0005-0000-0000-000061760000}"/>
    <cellStyle name="Título 2 23 3" xfId="30268" xr:uid="{00000000-0005-0000-0000-000062760000}"/>
    <cellStyle name="Título 2 23 3 2" xfId="30269" xr:uid="{00000000-0005-0000-0000-000063760000}"/>
    <cellStyle name="Título 2 23 4" xfId="30270" xr:uid="{00000000-0005-0000-0000-000064760000}"/>
    <cellStyle name="Título 2 23 4 2" xfId="30271" xr:uid="{00000000-0005-0000-0000-000065760000}"/>
    <cellStyle name="Título 2 23 5" xfId="30272" xr:uid="{00000000-0005-0000-0000-000066760000}"/>
    <cellStyle name="Título 2 23 6" xfId="30273" xr:uid="{00000000-0005-0000-0000-000067760000}"/>
    <cellStyle name="Título 2 23 7" xfId="30274" xr:uid="{00000000-0005-0000-0000-000068760000}"/>
    <cellStyle name="Título 2 23 8" xfId="30275" xr:uid="{00000000-0005-0000-0000-000069760000}"/>
    <cellStyle name="Título 2 23 9" xfId="30276" xr:uid="{00000000-0005-0000-0000-00006A760000}"/>
    <cellStyle name="Título 2 24 10" xfId="30277" xr:uid="{00000000-0005-0000-0000-00006B760000}"/>
    <cellStyle name="Título 2 24 11" xfId="30278" xr:uid="{00000000-0005-0000-0000-00006C760000}"/>
    <cellStyle name="Título 2 24 12" xfId="30279" xr:uid="{00000000-0005-0000-0000-00006D760000}"/>
    <cellStyle name="Título 2 24 13" xfId="30280" xr:uid="{00000000-0005-0000-0000-00006E760000}"/>
    <cellStyle name="Título 2 24 14" xfId="30281" xr:uid="{00000000-0005-0000-0000-00006F760000}"/>
    <cellStyle name="Título 2 24 15" xfId="30282" xr:uid="{00000000-0005-0000-0000-000070760000}"/>
    <cellStyle name="Título 2 24 16" xfId="30283" xr:uid="{00000000-0005-0000-0000-000071760000}"/>
    <cellStyle name="Título 2 24 17" xfId="30284" xr:uid="{00000000-0005-0000-0000-000072760000}"/>
    <cellStyle name="Título 2 24 18" xfId="30285" xr:uid="{00000000-0005-0000-0000-000073760000}"/>
    <cellStyle name="Título 2 24 19" xfId="30286" xr:uid="{00000000-0005-0000-0000-000074760000}"/>
    <cellStyle name="Título 2 24 2" xfId="30287" xr:uid="{00000000-0005-0000-0000-000075760000}"/>
    <cellStyle name="Título 2 24 2 2" xfId="30288" xr:uid="{00000000-0005-0000-0000-000076760000}"/>
    <cellStyle name="Título 2 24 3" xfId="30289" xr:uid="{00000000-0005-0000-0000-000077760000}"/>
    <cellStyle name="Título 2 24 3 2" xfId="30290" xr:uid="{00000000-0005-0000-0000-000078760000}"/>
    <cellStyle name="Título 2 24 4" xfId="30291" xr:uid="{00000000-0005-0000-0000-000079760000}"/>
    <cellStyle name="Título 2 24 4 2" xfId="30292" xr:uid="{00000000-0005-0000-0000-00007A760000}"/>
    <cellStyle name="Título 2 24 5" xfId="30293" xr:uid="{00000000-0005-0000-0000-00007B760000}"/>
    <cellStyle name="Título 2 24 6" xfId="30294" xr:uid="{00000000-0005-0000-0000-00007C760000}"/>
    <cellStyle name="Título 2 24 7" xfId="30295" xr:uid="{00000000-0005-0000-0000-00007D760000}"/>
    <cellStyle name="Título 2 24 8" xfId="30296" xr:uid="{00000000-0005-0000-0000-00007E760000}"/>
    <cellStyle name="Título 2 24 9" xfId="30297" xr:uid="{00000000-0005-0000-0000-00007F760000}"/>
    <cellStyle name="Título 2 25 10" xfId="30298" xr:uid="{00000000-0005-0000-0000-000080760000}"/>
    <cellStyle name="Título 2 25 11" xfId="30299" xr:uid="{00000000-0005-0000-0000-000081760000}"/>
    <cellStyle name="Título 2 25 12" xfId="30300" xr:uid="{00000000-0005-0000-0000-000082760000}"/>
    <cellStyle name="Título 2 25 13" xfId="30301" xr:uid="{00000000-0005-0000-0000-000083760000}"/>
    <cellStyle name="Título 2 25 14" xfId="30302" xr:uid="{00000000-0005-0000-0000-000084760000}"/>
    <cellStyle name="Título 2 25 15" xfId="30303" xr:uid="{00000000-0005-0000-0000-000085760000}"/>
    <cellStyle name="Título 2 25 16" xfId="30304" xr:uid="{00000000-0005-0000-0000-000086760000}"/>
    <cellStyle name="Título 2 25 17" xfId="30305" xr:uid="{00000000-0005-0000-0000-000087760000}"/>
    <cellStyle name="Título 2 25 18" xfId="30306" xr:uid="{00000000-0005-0000-0000-000088760000}"/>
    <cellStyle name="Título 2 25 19" xfId="30307" xr:uid="{00000000-0005-0000-0000-000089760000}"/>
    <cellStyle name="Título 2 25 2" xfId="30308" xr:uid="{00000000-0005-0000-0000-00008A760000}"/>
    <cellStyle name="Título 2 25 2 2" xfId="30309" xr:uid="{00000000-0005-0000-0000-00008B760000}"/>
    <cellStyle name="Título 2 25 3" xfId="30310" xr:uid="{00000000-0005-0000-0000-00008C760000}"/>
    <cellStyle name="Título 2 25 3 2" xfId="30311" xr:uid="{00000000-0005-0000-0000-00008D760000}"/>
    <cellStyle name="Título 2 25 4" xfId="30312" xr:uid="{00000000-0005-0000-0000-00008E760000}"/>
    <cellStyle name="Título 2 25 4 2" xfId="30313" xr:uid="{00000000-0005-0000-0000-00008F760000}"/>
    <cellStyle name="Título 2 25 5" xfId="30314" xr:uid="{00000000-0005-0000-0000-000090760000}"/>
    <cellStyle name="Título 2 25 6" xfId="30315" xr:uid="{00000000-0005-0000-0000-000091760000}"/>
    <cellStyle name="Título 2 25 7" xfId="30316" xr:uid="{00000000-0005-0000-0000-000092760000}"/>
    <cellStyle name="Título 2 25 8" xfId="30317" xr:uid="{00000000-0005-0000-0000-000093760000}"/>
    <cellStyle name="Título 2 25 9" xfId="30318" xr:uid="{00000000-0005-0000-0000-000094760000}"/>
    <cellStyle name="Título 2 26 10" xfId="30319" xr:uid="{00000000-0005-0000-0000-000095760000}"/>
    <cellStyle name="Título 2 26 11" xfId="30320" xr:uid="{00000000-0005-0000-0000-000096760000}"/>
    <cellStyle name="Título 2 26 12" xfId="30321" xr:uid="{00000000-0005-0000-0000-000097760000}"/>
    <cellStyle name="Título 2 26 13" xfId="30322" xr:uid="{00000000-0005-0000-0000-000098760000}"/>
    <cellStyle name="Título 2 26 14" xfId="30323" xr:uid="{00000000-0005-0000-0000-000099760000}"/>
    <cellStyle name="Título 2 26 15" xfId="30324" xr:uid="{00000000-0005-0000-0000-00009A760000}"/>
    <cellStyle name="Título 2 26 16" xfId="30325" xr:uid="{00000000-0005-0000-0000-00009B760000}"/>
    <cellStyle name="Título 2 26 17" xfId="30326" xr:uid="{00000000-0005-0000-0000-00009C760000}"/>
    <cellStyle name="Título 2 26 18" xfId="30327" xr:uid="{00000000-0005-0000-0000-00009D760000}"/>
    <cellStyle name="Título 2 26 19" xfId="30328" xr:uid="{00000000-0005-0000-0000-00009E760000}"/>
    <cellStyle name="Título 2 26 2" xfId="30329" xr:uid="{00000000-0005-0000-0000-00009F760000}"/>
    <cellStyle name="Título 2 26 2 2" xfId="30330" xr:uid="{00000000-0005-0000-0000-0000A0760000}"/>
    <cellStyle name="Título 2 26 3" xfId="30331" xr:uid="{00000000-0005-0000-0000-0000A1760000}"/>
    <cellStyle name="Título 2 26 3 2" xfId="30332" xr:uid="{00000000-0005-0000-0000-0000A2760000}"/>
    <cellStyle name="Título 2 26 4" xfId="30333" xr:uid="{00000000-0005-0000-0000-0000A3760000}"/>
    <cellStyle name="Título 2 26 4 2" xfId="30334" xr:uid="{00000000-0005-0000-0000-0000A4760000}"/>
    <cellStyle name="Título 2 26 5" xfId="30335" xr:uid="{00000000-0005-0000-0000-0000A5760000}"/>
    <cellStyle name="Título 2 26 6" xfId="30336" xr:uid="{00000000-0005-0000-0000-0000A6760000}"/>
    <cellStyle name="Título 2 26 7" xfId="30337" xr:uid="{00000000-0005-0000-0000-0000A7760000}"/>
    <cellStyle name="Título 2 26 8" xfId="30338" xr:uid="{00000000-0005-0000-0000-0000A8760000}"/>
    <cellStyle name="Título 2 26 9" xfId="30339" xr:uid="{00000000-0005-0000-0000-0000A9760000}"/>
    <cellStyle name="Título 2 27 10" xfId="30340" xr:uid="{00000000-0005-0000-0000-0000AA760000}"/>
    <cellStyle name="Título 2 27 11" xfId="30341" xr:uid="{00000000-0005-0000-0000-0000AB760000}"/>
    <cellStyle name="Título 2 27 12" xfId="30342" xr:uid="{00000000-0005-0000-0000-0000AC760000}"/>
    <cellStyle name="Título 2 27 13" xfId="30343" xr:uid="{00000000-0005-0000-0000-0000AD760000}"/>
    <cellStyle name="Título 2 27 14" xfId="30344" xr:uid="{00000000-0005-0000-0000-0000AE760000}"/>
    <cellStyle name="Título 2 27 15" xfId="30345" xr:uid="{00000000-0005-0000-0000-0000AF760000}"/>
    <cellStyle name="Título 2 27 16" xfId="30346" xr:uid="{00000000-0005-0000-0000-0000B0760000}"/>
    <cellStyle name="Título 2 27 17" xfId="30347" xr:uid="{00000000-0005-0000-0000-0000B1760000}"/>
    <cellStyle name="Título 2 27 18" xfId="30348" xr:uid="{00000000-0005-0000-0000-0000B2760000}"/>
    <cellStyle name="Título 2 27 19" xfId="30349" xr:uid="{00000000-0005-0000-0000-0000B3760000}"/>
    <cellStyle name="Título 2 27 2" xfId="30350" xr:uid="{00000000-0005-0000-0000-0000B4760000}"/>
    <cellStyle name="Título 2 27 2 2" xfId="30351" xr:uid="{00000000-0005-0000-0000-0000B5760000}"/>
    <cellStyle name="Título 2 27 3" xfId="30352" xr:uid="{00000000-0005-0000-0000-0000B6760000}"/>
    <cellStyle name="Título 2 27 3 2" xfId="30353" xr:uid="{00000000-0005-0000-0000-0000B7760000}"/>
    <cellStyle name="Título 2 27 4" xfId="30354" xr:uid="{00000000-0005-0000-0000-0000B8760000}"/>
    <cellStyle name="Título 2 27 4 2" xfId="30355" xr:uid="{00000000-0005-0000-0000-0000B9760000}"/>
    <cellStyle name="Título 2 27 5" xfId="30356" xr:uid="{00000000-0005-0000-0000-0000BA760000}"/>
    <cellStyle name="Título 2 27 6" xfId="30357" xr:uid="{00000000-0005-0000-0000-0000BB760000}"/>
    <cellStyle name="Título 2 27 7" xfId="30358" xr:uid="{00000000-0005-0000-0000-0000BC760000}"/>
    <cellStyle name="Título 2 27 8" xfId="30359" xr:uid="{00000000-0005-0000-0000-0000BD760000}"/>
    <cellStyle name="Título 2 27 9" xfId="30360" xr:uid="{00000000-0005-0000-0000-0000BE760000}"/>
    <cellStyle name="Título 2 28 10" xfId="30361" xr:uid="{00000000-0005-0000-0000-0000BF760000}"/>
    <cellStyle name="Título 2 28 11" xfId="30362" xr:uid="{00000000-0005-0000-0000-0000C0760000}"/>
    <cellStyle name="Título 2 28 12" xfId="30363" xr:uid="{00000000-0005-0000-0000-0000C1760000}"/>
    <cellStyle name="Título 2 28 13" xfId="30364" xr:uid="{00000000-0005-0000-0000-0000C2760000}"/>
    <cellStyle name="Título 2 28 14" xfId="30365" xr:uid="{00000000-0005-0000-0000-0000C3760000}"/>
    <cellStyle name="Título 2 28 15" xfId="30366" xr:uid="{00000000-0005-0000-0000-0000C4760000}"/>
    <cellStyle name="Título 2 28 16" xfId="30367" xr:uid="{00000000-0005-0000-0000-0000C5760000}"/>
    <cellStyle name="Título 2 28 17" xfId="30368" xr:uid="{00000000-0005-0000-0000-0000C6760000}"/>
    <cellStyle name="Título 2 28 18" xfId="30369" xr:uid="{00000000-0005-0000-0000-0000C7760000}"/>
    <cellStyle name="Título 2 28 19" xfId="30370" xr:uid="{00000000-0005-0000-0000-0000C8760000}"/>
    <cellStyle name="Título 2 28 2" xfId="30371" xr:uid="{00000000-0005-0000-0000-0000C9760000}"/>
    <cellStyle name="Título 2 28 2 2" xfId="30372" xr:uid="{00000000-0005-0000-0000-0000CA760000}"/>
    <cellStyle name="Título 2 28 3" xfId="30373" xr:uid="{00000000-0005-0000-0000-0000CB760000}"/>
    <cellStyle name="Título 2 28 3 2" xfId="30374" xr:uid="{00000000-0005-0000-0000-0000CC760000}"/>
    <cellStyle name="Título 2 28 4" xfId="30375" xr:uid="{00000000-0005-0000-0000-0000CD760000}"/>
    <cellStyle name="Título 2 28 4 2" xfId="30376" xr:uid="{00000000-0005-0000-0000-0000CE760000}"/>
    <cellStyle name="Título 2 28 5" xfId="30377" xr:uid="{00000000-0005-0000-0000-0000CF760000}"/>
    <cellStyle name="Título 2 28 6" xfId="30378" xr:uid="{00000000-0005-0000-0000-0000D0760000}"/>
    <cellStyle name="Título 2 28 7" xfId="30379" xr:uid="{00000000-0005-0000-0000-0000D1760000}"/>
    <cellStyle name="Título 2 28 8" xfId="30380" xr:uid="{00000000-0005-0000-0000-0000D2760000}"/>
    <cellStyle name="Título 2 28 9" xfId="30381" xr:uid="{00000000-0005-0000-0000-0000D3760000}"/>
    <cellStyle name="Título 2 29 10" xfId="30382" xr:uid="{00000000-0005-0000-0000-0000D4760000}"/>
    <cellStyle name="Título 2 29 11" xfId="30383" xr:uid="{00000000-0005-0000-0000-0000D5760000}"/>
    <cellStyle name="Título 2 29 12" xfId="30384" xr:uid="{00000000-0005-0000-0000-0000D6760000}"/>
    <cellStyle name="Título 2 29 13" xfId="30385" xr:uid="{00000000-0005-0000-0000-0000D7760000}"/>
    <cellStyle name="Título 2 29 14" xfId="30386" xr:uid="{00000000-0005-0000-0000-0000D8760000}"/>
    <cellStyle name="Título 2 29 15" xfId="30387" xr:uid="{00000000-0005-0000-0000-0000D9760000}"/>
    <cellStyle name="Título 2 29 16" xfId="30388" xr:uid="{00000000-0005-0000-0000-0000DA760000}"/>
    <cellStyle name="Título 2 29 17" xfId="30389" xr:uid="{00000000-0005-0000-0000-0000DB760000}"/>
    <cellStyle name="Título 2 29 18" xfId="30390" xr:uid="{00000000-0005-0000-0000-0000DC760000}"/>
    <cellStyle name="Título 2 29 19" xfId="30391" xr:uid="{00000000-0005-0000-0000-0000DD760000}"/>
    <cellStyle name="Título 2 29 2" xfId="30392" xr:uid="{00000000-0005-0000-0000-0000DE760000}"/>
    <cellStyle name="Título 2 29 2 2" xfId="30393" xr:uid="{00000000-0005-0000-0000-0000DF760000}"/>
    <cellStyle name="Título 2 29 3" xfId="30394" xr:uid="{00000000-0005-0000-0000-0000E0760000}"/>
    <cellStyle name="Título 2 29 3 2" xfId="30395" xr:uid="{00000000-0005-0000-0000-0000E1760000}"/>
    <cellStyle name="Título 2 29 4" xfId="30396" xr:uid="{00000000-0005-0000-0000-0000E2760000}"/>
    <cellStyle name="Título 2 29 4 2" xfId="30397" xr:uid="{00000000-0005-0000-0000-0000E3760000}"/>
    <cellStyle name="Título 2 29 5" xfId="30398" xr:uid="{00000000-0005-0000-0000-0000E4760000}"/>
    <cellStyle name="Título 2 29 6" xfId="30399" xr:uid="{00000000-0005-0000-0000-0000E5760000}"/>
    <cellStyle name="Título 2 29 7" xfId="30400" xr:uid="{00000000-0005-0000-0000-0000E6760000}"/>
    <cellStyle name="Título 2 29 8" xfId="30401" xr:uid="{00000000-0005-0000-0000-0000E7760000}"/>
    <cellStyle name="Título 2 29 9" xfId="30402" xr:uid="{00000000-0005-0000-0000-0000E8760000}"/>
    <cellStyle name="Título 2 3 10" xfId="30403" xr:uid="{00000000-0005-0000-0000-0000E9760000}"/>
    <cellStyle name="Título 2 3 11" xfId="30404" xr:uid="{00000000-0005-0000-0000-0000EA760000}"/>
    <cellStyle name="Título 2 3 12" xfId="30405" xr:uid="{00000000-0005-0000-0000-0000EB760000}"/>
    <cellStyle name="Título 2 3 13" xfId="30406" xr:uid="{00000000-0005-0000-0000-0000EC760000}"/>
    <cellStyle name="Título 2 3 14" xfId="30407" xr:uid="{00000000-0005-0000-0000-0000ED760000}"/>
    <cellStyle name="Título 2 3 15" xfId="30408" xr:uid="{00000000-0005-0000-0000-0000EE760000}"/>
    <cellStyle name="Título 2 3 16" xfId="30409" xr:uid="{00000000-0005-0000-0000-0000EF760000}"/>
    <cellStyle name="Título 2 3 17" xfId="30410" xr:uid="{00000000-0005-0000-0000-0000F0760000}"/>
    <cellStyle name="Título 2 3 18" xfId="30411" xr:uid="{00000000-0005-0000-0000-0000F1760000}"/>
    <cellStyle name="Título 2 3 19" xfId="30412" xr:uid="{00000000-0005-0000-0000-0000F2760000}"/>
    <cellStyle name="Título 2 3 2" xfId="30413" xr:uid="{00000000-0005-0000-0000-0000F3760000}"/>
    <cellStyle name="Título 2 3 2 2" xfId="30414" xr:uid="{00000000-0005-0000-0000-0000F4760000}"/>
    <cellStyle name="Título 2 3 3" xfId="30415" xr:uid="{00000000-0005-0000-0000-0000F5760000}"/>
    <cellStyle name="Título 2 3 3 2" xfId="30416" xr:uid="{00000000-0005-0000-0000-0000F6760000}"/>
    <cellStyle name="Título 2 3 4" xfId="30417" xr:uid="{00000000-0005-0000-0000-0000F7760000}"/>
    <cellStyle name="Título 2 3 4 2" xfId="30418" xr:uid="{00000000-0005-0000-0000-0000F8760000}"/>
    <cellStyle name="Título 2 3 5" xfId="30419" xr:uid="{00000000-0005-0000-0000-0000F9760000}"/>
    <cellStyle name="Título 2 3 6" xfId="30420" xr:uid="{00000000-0005-0000-0000-0000FA760000}"/>
    <cellStyle name="Título 2 3 7" xfId="30421" xr:uid="{00000000-0005-0000-0000-0000FB760000}"/>
    <cellStyle name="Título 2 3 8" xfId="30422" xr:uid="{00000000-0005-0000-0000-0000FC760000}"/>
    <cellStyle name="Título 2 3 9" xfId="30423" xr:uid="{00000000-0005-0000-0000-0000FD760000}"/>
    <cellStyle name="Título 2 30 10" xfId="30424" xr:uid="{00000000-0005-0000-0000-0000FE760000}"/>
    <cellStyle name="Título 2 30 11" xfId="30425" xr:uid="{00000000-0005-0000-0000-0000FF760000}"/>
    <cellStyle name="Título 2 30 12" xfId="30426" xr:uid="{00000000-0005-0000-0000-000000770000}"/>
    <cellStyle name="Título 2 30 13" xfId="30427" xr:uid="{00000000-0005-0000-0000-000001770000}"/>
    <cellStyle name="Título 2 30 14" xfId="30428" xr:uid="{00000000-0005-0000-0000-000002770000}"/>
    <cellStyle name="Título 2 30 15" xfId="30429" xr:uid="{00000000-0005-0000-0000-000003770000}"/>
    <cellStyle name="Título 2 30 16" xfId="30430" xr:uid="{00000000-0005-0000-0000-000004770000}"/>
    <cellStyle name="Título 2 30 17" xfId="30431" xr:uid="{00000000-0005-0000-0000-000005770000}"/>
    <cellStyle name="Título 2 30 18" xfId="30432" xr:uid="{00000000-0005-0000-0000-000006770000}"/>
    <cellStyle name="Título 2 30 19" xfId="30433" xr:uid="{00000000-0005-0000-0000-000007770000}"/>
    <cellStyle name="Título 2 30 2" xfId="30434" xr:uid="{00000000-0005-0000-0000-000008770000}"/>
    <cellStyle name="Título 2 30 2 2" xfId="30435" xr:uid="{00000000-0005-0000-0000-000009770000}"/>
    <cellStyle name="Título 2 30 3" xfId="30436" xr:uid="{00000000-0005-0000-0000-00000A770000}"/>
    <cellStyle name="Título 2 30 3 2" xfId="30437" xr:uid="{00000000-0005-0000-0000-00000B770000}"/>
    <cellStyle name="Título 2 30 4" xfId="30438" xr:uid="{00000000-0005-0000-0000-00000C770000}"/>
    <cellStyle name="Título 2 30 4 2" xfId="30439" xr:uid="{00000000-0005-0000-0000-00000D770000}"/>
    <cellStyle name="Título 2 30 5" xfId="30440" xr:uid="{00000000-0005-0000-0000-00000E770000}"/>
    <cellStyle name="Título 2 30 6" xfId="30441" xr:uid="{00000000-0005-0000-0000-00000F770000}"/>
    <cellStyle name="Título 2 30 7" xfId="30442" xr:uid="{00000000-0005-0000-0000-000010770000}"/>
    <cellStyle name="Título 2 30 8" xfId="30443" xr:uid="{00000000-0005-0000-0000-000011770000}"/>
    <cellStyle name="Título 2 30 9" xfId="30444" xr:uid="{00000000-0005-0000-0000-000012770000}"/>
    <cellStyle name="Título 2 31 10" xfId="30445" xr:uid="{00000000-0005-0000-0000-000013770000}"/>
    <cellStyle name="Título 2 31 11" xfId="30446" xr:uid="{00000000-0005-0000-0000-000014770000}"/>
    <cellStyle name="Título 2 31 12" xfId="30447" xr:uid="{00000000-0005-0000-0000-000015770000}"/>
    <cellStyle name="Título 2 31 13" xfId="30448" xr:uid="{00000000-0005-0000-0000-000016770000}"/>
    <cellStyle name="Título 2 31 14" xfId="30449" xr:uid="{00000000-0005-0000-0000-000017770000}"/>
    <cellStyle name="Título 2 31 15" xfId="30450" xr:uid="{00000000-0005-0000-0000-000018770000}"/>
    <cellStyle name="Título 2 31 16" xfId="30451" xr:uid="{00000000-0005-0000-0000-000019770000}"/>
    <cellStyle name="Título 2 31 17" xfId="30452" xr:uid="{00000000-0005-0000-0000-00001A770000}"/>
    <cellStyle name="Título 2 31 18" xfId="30453" xr:uid="{00000000-0005-0000-0000-00001B770000}"/>
    <cellStyle name="Título 2 31 19" xfId="30454" xr:uid="{00000000-0005-0000-0000-00001C770000}"/>
    <cellStyle name="Título 2 31 2" xfId="30455" xr:uid="{00000000-0005-0000-0000-00001D770000}"/>
    <cellStyle name="Título 2 31 2 2" xfId="30456" xr:uid="{00000000-0005-0000-0000-00001E770000}"/>
    <cellStyle name="Título 2 31 3" xfId="30457" xr:uid="{00000000-0005-0000-0000-00001F770000}"/>
    <cellStyle name="Título 2 31 3 2" xfId="30458" xr:uid="{00000000-0005-0000-0000-000020770000}"/>
    <cellStyle name="Título 2 31 4" xfId="30459" xr:uid="{00000000-0005-0000-0000-000021770000}"/>
    <cellStyle name="Título 2 31 4 2" xfId="30460" xr:uid="{00000000-0005-0000-0000-000022770000}"/>
    <cellStyle name="Título 2 31 5" xfId="30461" xr:uid="{00000000-0005-0000-0000-000023770000}"/>
    <cellStyle name="Título 2 31 6" xfId="30462" xr:uid="{00000000-0005-0000-0000-000024770000}"/>
    <cellStyle name="Título 2 31 7" xfId="30463" xr:uid="{00000000-0005-0000-0000-000025770000}"/>
    <cellStyle name="Título 2 31 8" xfId="30464" xr:uid="{00000000-0005-0000-0000-000026770000}"/>
    <cellStyle name="Título 2 31 9" xfId="30465" xr:uid="{00000000-0005-0000-0000-000027770000}"/>
    <cellStyle name="Título 2 32 10" xfId="30466" xr:uid="{00000000-0005-0000-0000-000028770000}"/>
    <cellStyle name="Título 2 32 11" xfId="30467" xr:uid="{00000000-0005-0000-0000-000029770000}"/>
    <cellStyle name="Título 2 32 12" xfId="30468" xr:uid="{00000000-0005-0000-0000-00002A770000}"/>
    <cellStyle name="Título 2 32 13" xfId="30469" xr:uid="{00000000-0005-0000-0000-00002B770000}"/>
    <cellStyle name="Título 2 32 14" xfId="30470" xr:uid="{00000000-0005-0000-0000-00002C770000}"/>
    <cellStyle name="Título 2 32 15" xfId="30471" xr:uid="{00000000-0005-0000-0000-00002D770000}"/>
    <cellStyle name="Título 2 32 16" xfId="30472" xr:uid="{00000000-0005-0000-0000-00002E770000}"/>
    <cellStyle name="Título 2 32 17" xfId="30473" xr:uid="{00000000-0005-0000-0000-00002F770000}"/>
    <cellStyle name="Título 2 32 18" xfId="30474" xr:uid="{00000000-0005-0000-0000-000030770000}"/>
    <cellStyle name="Título 2 32 19" xfId="30475" xr:uid="{00000000-0005-0000-0000-000031770000}"/>
    <cellStyle name="Título 2 32 2" xfId="30476" xr:uid="{00000000-0005-0000-0000-000032770000}"/>
    <cellStyle name="Título 2 32 2 2" xfId="30477" xr:uid="{00000000-0005-0000-0000-000033770000}"/>
    <cellStyle name="Título 2 32 3" xfId="30478" xr:uid="{00000000-0005-0000-0000-000034770000}"/>
    <cellStyle name="Título 2 32 3 2" xfId="30479" xr:uid="{00000000-0005-0000-0000-000035770000}"/>
    <cellStyle name="Título 2 32 4" xfId="30480" xr:uid="{00000000-0005-0000-0000-000036770000}"/>
    <cellStyle name="Título 2 32 4 2" xfId="30481" xr:uid="{00000000-0005-0000-0000-000037770000}"/>
    <cellStyle name="Título 2 32 5" xfId="30482" xr:uid="{00000000-0005-0000-0000-000038770000}"/>
    <cellStyle name="Título 2 32 6" xfId="30483" xr:uid="{00000000-0005-0000-0000-000039770000}"/>
    <cellStyle name="Título 2 32 7" xfId="30484" xr:uid="{00000000-0005-0000-0000-00003A770000}"/>
    <cellStyle name="Título 2 32 8" xfId="30485" xr:uid="{00000000-0005-0000-0000-00003B770000}"/>
    <cellStyle name="Título 2 32 9" xfId="30486" xr:uid="{00000000-0005-0000-0000-00003C770000}"/>
    <cellStyle name="Título 2 33 10" xfId="30487" xr:uid="{00000000-0005-0000-0000-00003D770000}"/>
    <cellStyle name="Título 2 33 11" xfId="30488" xr:uid="{00000000-0005-0000-0000-00003E770000}"/>
    <cellStyle name="Título 2 33 12" xfId="30489" xr:uid="{00000000-0005-0000-0000-00003F770000}"/>
    <cellStyle name="Título 2 33 13" xfId="30490" xr:uid="{00000000-0005-0000-0000-000040770000}"/>
    <cellStyle name="Título 2 33 14" xfId="30491" xr:uid="{00000000-0005-0000-0000-000041770000}"/>
    <cellStyle name="Título 2 33 15" xfId="30492" xr:uid="{00000000-0005-0000-0000-000042770000}"/>
    <cellStyle name="Título 2 33 16" xfId="30493" xr:uid="{00000000-0005-0000-0000-000043770000}"/>
    <cellStyle name="Título 2 33 17" xfId="30494" xr:uid="{00000000-0005-0000-0000-000044770000}"/>
    <cellStyle name="Título 2 33 18" xfId="30495" xr:uid="{00000000-0005-0000-0000-000045770000}"/>
    <cellStyle name="Título 2 33 19" xfId="30496" xr:uid="{00000000-0005-0000-0000-000046770000}"/>
    <cellStyle name="Título 2 33 2" xfId="30497" xr:uid="{00000000-0005-0000-0000-000047770000}"/>
    <cellStyle name="Título 2 33 2 2" xfId="30498" xr:uid="{00000000-0005-0000-0000-000048770000}"/>
    <cellStyle name="Título 2 33 3" xfId="30499" xr:uid="{00000000-0005-0000-0000-000049770000}"/>
    <cellStyle name="Título 2 33 3 2" xfId="30500" xr:uid="{00000000-0005-0000-0000-00004A770000}"/>
    <cellStyle name="Título 2 33 4" xfId="30501" xr:uid="{00000000-0005-0000-0000-00004B770000}"/>
    <cellStyle name="Título 2 33 4 2" xfId="30502" xr:uid="{00000000-0005-0000-0000-00004C770000}"/>
    <cellStyle name="Título 2 33 5" xfId="30503" xr:uid="{00000000-0005-0000-0000-00004D770000}"/>
    <cellStyle name="Título 2 33 6" xfId="30504" xr:uid="{00000000-0005-0000-0000-00004E770000}"/>
    <cellStyle name="Título 2 33 7" xfId="30505" xr:uid="{00000000-0005-0000-0000-00004F770000}"/>
    <cellStyle name="Título 2 33 8" xfId="30506" xr:uid="{00000000-0005-0000-0000-000050770000}"/>
    <cellStyle name="Título 2 33 9" xfId="30507" xr:uid="{00000000-0005-0000-0000-000051770000}"/>
    <cellStyle name="Título 2 34 10" xfId="30508" xr:uid="{00000000-0005-0000-0000-000052770000}"/>
    <cellStyle name="Título 2 34 11" xfId="30509" xr:uid="{00000000-0005-0000-0000-000053770000}"/>
    <cellStyle name="Título 2 34 12" xfId="30510" xr:uid="{00000000-0005-0000-0000-000054770000}"/>
    <cellStyle name="Título 2 34 13" xfId="30511" xr:uid="{00000000-0005-0000-0000-000055770000}"/>
    <cellStyle name="Título 2 34 14" xfId="30512" xr:uid="{00000000-0005-0000-0000-000056770000}"/>
    <cellStyle name="Título 2 34 15" xfId="30513" xr:uid="{00000000-0005-0000-0000-000057770000}"/>
    <cellStyle name="Título 2 34 16" xfId="30514" xr:uid="{00000000-0005-0000-0000-000058770000}"/>
    <cellStyle name="Título 2 34 17" xfId="30515" xr:uid="{00000000-0005-0000-0000-000059770000}"/>
    <cellStyle name="Título 2 34 18" xfId="30516" xr:uid="{00000000-0005-0000-0000-00005A770000}"/>
    <cellStyle name="Título 2 34 19" xfId="30517" xr:uid="{00000000-0005-0000-0000-00005B770000}"/>
    <cellStyle name="Título 2 34 2" xfId="30518" xr:uid="{00000000-0005-0000-0000-00005C770000}"/>
    <cellStyle name="Título 2 34 2 2" xfId="30519" xr:uid="{00000000-0005-0000-0000-00005D770000}"/>
    <cellStyle name="Título 2 34 3" xfId="30520" xr:uid="{00000000-0005-0000-0000-00005E770000}"/>
    <cellStyle name="Título 2 34 3 2" xfId="30521" xr:uid="{00000000-0005-0000-0000-00005F770000}"/>
    <cellStyle name="Título 2 34 4" xfId="30522" xr:uid="{00000000-0005-0000-0000-000060770000}"/>
    <cellStyle name="Título 2 34 4 2" xfId="30523" xr:uid="{00000000-0005-0000-0000-000061770000}"/>
    <cellStyle name="Título 2 34 5" xfId="30524" xr:uid="{00000000-0005-0000-0000-000062770000}"/>
    <cellStyle name="Título 2 34 6" xfId="30525" xr:uid="{00000000-0005-0000-0000-000063770000}"/>
    <cellStyle name="Título 2 34 7" xfId="30526" xr:uid="{00000000-0005-0000-0000-000064770000}"/>
    <cellStyle name="Título 2 34 8" xfId="30527" xr:uid="{00000000-0005-0000-0000-000065770000}"/>
    <cellStyle name="Título 2 34 9" xfId="30528" xr:uid="{00000000-0005-0000-0000-000066770000}"/>
    <cellStyle name="Título 2 35 10" xfId="30529" xr:uid="{00000000-0005-0000-0000-000067770000}"/>
    <cellStyle name="Título 2 35 11" xfId="30530" xr:uid="{00000000-0005-0000-0000-000068770000}"/>
    <cellStyle name="Título 2 35 12" xfId="30531" xr:uid="{00000000-0005-0000-0000-000069770000}"/>
    <cellStyle name="Título 2 35 13" xfId="30532" xr:uid="{00000000-0005-0000-0000-00006A770000}"/>
    <cellStyle name="Título 2 35 14" xfId="30533" xr:uid="{00000000-0005-0000-0000-00006B770000}"/>
    <cellStyle name="Título 2 35 15" xfId="30534" xr:uid="{00000000-0005-0000-0000-00006C770000}"/>
    <cellStyle name="Título 2 35 16" xfId="30535" xr:uid="{00000000-0005-0000-0000-00006D770000}"/>
    <cellStyle name="Título 2 35 17" xfId="30536" xr:uid="{00000000-0005-0000-0000-00006E770000}"/>
    <cellStyle name="Título 2 35 18" xfId="30537" xr:uid="{00000000-0005-0000-0000-00006F770000}"/>
    <cellStyle name="Título 2 35 19" xfId="30538" xr:uid="{00000000-0005-0000-0000-000070770000}"/>
    <cellStyle name="Título 2 35 2" xfId="30539" xr:uid="{00000000-0005-0000-0000-000071770000}"/>
    <cellStyle name="Título 2 35 2 2" xfId="30540" xr:uid="{00000000-0005-0000-0000-000072770000}"/>
    <cellStyle name="Título 2 35 3" xfId="30541" xr:uid="{00000000-0005-0000-0000-000073770000}"/>
    <cellStyle name="Título 2 35 3 2" xfId="30542" xr:uid="{00000000-0005-0000-0000-000074770000}"/>
    <cellStyle name="Título 2 35 4" xfId="30543" xr:uid="{00000000-0005-0000-0000-000075770000}"/>
    <cellStyle name="Título 2 35 4 2" xfId="30544" xr:uid="{00000000-0005-0000-0000-000076770000}"/>
    <cellStyle name="Título 2 35 5" xfId="30545" xr:uid="{00000000-0005-0000-0000-000077770000}"/>
    <cellStyle name="Título 2 35 6" xfId="30546" xr:uid="{00000000-0005-0000-0000-000078770000}"/>
    <cellStyle name="Título 2 35 7" xfId="30547" xr:uid="{00000000-0005-0000-0000-000079770000}"/>
    <cellStyle name="Título 2 35 8" xfId="30548" xr:uid="{00000000-0005-0000-0000-00007A770000}"/>
    <cellStyle name="Título 2 35 9" xfId="30549" xr:uid="{00000000-0005-0000-0000-00007B770000}"/>
    <cellStyle name="Título 2 36 10" xfId="30550" xr:uid="{00000000-0005-0000-0000-00007C770000}"/>
    <cellStyle name="Título 2 36 11" xfId="30551" xr:uid="{00000000-0005-0000-0000-00007D770000}"/>
    <cellStyle name="Título 2 36 12" xfId="30552" xr:uid="{00000000-0005-0000-0000-00007E770000}"/>
    <cellStyle name="Título 2 36 13" xfId="30553" xr:uid="{00000000-0005-0000-0000-00007F770000}"/>
    <cellStyle name="Título 2 36 14" xfId="30554" xr:uid="{00000000-0005-0000-0000-000080770000}"/>
    <cellStyle name="Título 2 36 15" xfId="30555" xr:uid="{00000000-0005-0000-0000-000081770000}"/>
    <cellStyle name="Título 2 36 16" xfId="30556" xr:uid="{00000000-0005-0000-0000-000082770000}"/>
    <cellStyle name="Título 2 36 17" xfId="30557" xr:uid="{00000000-0005-0000-0000-000083770000}"/>
    <cellStyle name="Título 2 36 18" xfId="30558" xr:uid="{00000000-0005-0000-0000-000084770000}"/>
    <cellStyle name="Título 2 36 19" xfId="30559" xr:uid="{00000000-0005-0000-0000-000085770000}"/>
    <cellStyle name="Título 2 36 2" xfId="30560" xr:uid="{00000000-0005-0000-0000-000086770000}"/>
    <cellStyle name="Título 2 36 2 2" xfId="30561" xr:uid="{00000000-0005-0000-0000-000087770000}"/>
    <cellStyle name="Título 2 36 3" xfId="30562" xr:uid="{00000000-0005-0000-0000-000088770000}"/>
    <cellStyle name="Título 2 36 3 2" xfId="30563" xr:uid="{00000000-0005-0000-0000-000089770000}"/>
    <cellStyle name="Título 2 36 4" xfId="30564" xr:uid="{00000000-0005-0000-0000-00008A770000}"/>
    <cellStyle name="Título 2 36 4 2" xfId="30565" xr:uid="{00000000-0005-0000-0000-00008B770000}"/>
    <cellStyle name="Título 2 36 5" xfId="30566" xr:uid="{00000000-0005-0000-0000-00008C770000}"/>
    <cellStyle name="Título 2 36 6" xfId="30567" xr:uid="{00000000-0005-0000-0000-00008D770000}"/>
    <cellStyle name="Título 2 36 7" xfId="30568" xr:uid="{00000000-0005-0000-0000-00008E770000}"/>
    <cellStyle name="Título 2 36 8" xfId="30569" xr:uid="{00000000-0005-0000-0000-00008F770000}"/>
    <cellStyle name="Título 2 36 9" xfId="30570" xr:uid="{00000000-0005-0000-0000-000090770000}"/>
    <cellStyle name="Título 2 37 10" xfId="30571" xr:uid="{00000000-0005-0000-0000-000091770000}"/>
    <cellStyle name="Título 2 37 11" xfId="30572" xr:uid="{00000000-0005-0000-0000-000092770000}"/>
    <cellStyle name="Título 2 37 12" xfId="30573" xr:uid="{00000000-0005-0000-0000-000093770000}"/>
    <cellStyle name="Título 2 37 13" xfId="30574" xr:uid="{00000000-0005-0000-0000-000094770000}"/>
    <cellStyle name="Título 2 37 14" xfId="30575" xr:uid="{00000000-0005-0000-0000-000095770000}"/>
    <cellStyle name="Título 2 37 15" xfId="30576" xr:uid="{00000000-0005-0000-0000-000096770000}"/>
    <cellStyle name="Título 2 37 16" xfId="30577" xr:uid="{00000000-0005-0000-0000-000097770000}"/>
    <cellStyle name="Título 2 37 17" xfId="30578" xr:uid="{00000000-0005-0000-0000-000098770000}"/>
    <cellStyle name="Título 2 37 18" xfId="30579" xr:uid="{00000000-0005-0000-0000-000099770000}"/>
    <cellStyle name="Título 2 37 19" xfId="30580" xr:uid="{00000000-0005-0000-0000-00009A770000}"/>
    <cellStyle name="Título 2 37 2" xfId="30581" xr:uid="{00000000-0005-0000-0000-00009B770000}"/>
    <cellStyle name="Título 2 37 2 2" xfId="30582" xr:uid="{00000000-0005-0000-0000-00009C770000}"/>
    <cellStyle name="Título 2 37 3" xfId="30583" xr:uid="{00000000-0005-0000-0000-00009D770000}"/>
    <cellStyle name="Título 2 37 3 2" xfId="30584" xr:uid="{00000000-0005-0000-0000-00009E770000}"/>
    <cellStyle name="Título 2 37 4" xfId="30585" xr:uid="{00000000-0005-0000-0000-00009F770000}"/>
    <cellStyle name="Título 2 37 4 2" xfId="30586" xr:uid="{00000000-0005-0000-0000-0000A0770000}"/>
    <cellStyle name="Título 2 37 5" xfId="30587" xr:uid="{00000000-0005-0000-0000-0000A1770000}"/>
    <cellStyle name="Título 2 37 6" xfId="30588" xr:uid="{00000000-0005-0000-0000-0000A2770000}"/>
    <cellStyle name="Título 2 37 7" xfId="30589" xr:uid="{00000000-0005-0000-0000-0000A3770000}"/>
    <cellStyle name="Título 2 37 8" xfId="30590" xr:uid="{00000000-0005-0000-0000-0000A4770000}"/>
    <cellStyle name="Título 2 37 9" xfId="30591" xr:uid="{00000000-0005-0000-0000-0000A5770000}"/>
    <cellStyle name="Título 2 38 10" xfId="30592" xr:uid="{00000000-0005-0000-0000-0000A6770000}"/>
    <cellStyle name="Título 2 38 11" xfId="30593" xr:uid="{00000000-0005-0000-0000-0000A7770000}"/>
    <cellStyle name="Título 2 38 12" xfId="30594" xr:uid="{00000000-0005-0000-0000-0000A8770000}"/>
    <cellStyle name="Título 2 38 13" xfId="30595" xr:uid="{00000000-0005-0000-0000-0000A9770000}"/>
    <cellStyle name="Título 2 38 14" xfId="30596" xr:uid="{00000000-0005-0000-0000-0000AA770000}"/>
    <cellStyle name="Título 2 38 15" xfId="30597" xr:uid="{00000000-0005-0000-0000-0000AB770000}"/>
    <cellStyle name="Título 2 38 16" xfId="30598" xr:uid="{00000000-0005-0000-0000-0000AC770000}"/>
    <cellStyle name="Título 2 38 17" xfId="30599" xr:uid="{00000000-0005-0000-0000-0000AD770000}"/>
    <cellStyle name="Título 2 38 18" xfId="30600" xr:uid="{00000000-0005-0000-0000-0000AE770000}"/>
    <cellStyle name="Título 2 38 19" xfId="30601" xr:uid="{00000000-0005-0000-0000-0000AF770000}"/>
    <cellStyle name="Título 2 38 2" xfId="30602" xr:uid="{00000000-0005-0000-0000-0000B0770000}"/>
    <cellStyle name="Título 2 38 2 2" xfId="30603" xr:uid="{00000000-0005-0000-0000-0000B1770000}"/>
    <cellStyle name="Título 2 38 3" xfId="30604" xr:uid="{00000000-0005-0000-0000-0000B2770000}"/>
    <cellStyle name="Título 2 38 3 2" xfId="30605" xr:uid="{00000000-0005-0000-0000-0000B3770000}"/>
    <cellStyle name="Título 2 38 4" xfId="30606" xr:uid="{00000000-0005-0000-0000-0000B4770000}"/>
    <cellStyle name="Título 2 38 4 2" xfId="30607" xr:uid="{00000000-0005-0000-0000-0000B5770000}"/>
    <cellStyle name="Título 2 38 5" xfId="30608" xr:uid="{00000000-0005-0000-0000-0000B6770000}"/>
    <cellStyle name="Título 2 38 6" xfId="30609" xr:uid="{00000000-0005-0000-0000-0000B7770000}"/>
    <cellStyle name="Título 2 38 7" xfId="30610" xr:uid="{00000000-0005-0000-0000-0000B8770000}"/>
    <cellStyle name="Título 2 38 8" xfId="30611" xr:uid="{00000000-0005-0000-0000-0000B9770000}"/>
    <cellStyle name="Título 2 38 9" xfId="30612" xr:uid="{00000000-0005-0000-0000-0000BA770000}"/>
    <cellStyle name="Título 2 39" xfId="30613" xr:uid="{00000000-0005-0000-0000-0000BB770000}"/>
    <cellStyle name="Título 2 39 10" xfId="30614" xr:uid="{00000000-0005-0000-0000-0000BC770000}"/>
    <cellStyle name="Título 2 39 11" xfId="30615" xr:uid="{00000000-0005-0000-0000-0000BD770000}"/>
    <cellStyle name="Título 2 39 12" xfId="30616" xr:uid="{00000000-0005-0000-0000-0000BE770000}"/>
    <cellStyle name="Título 2 39 13" xfId="30617" xr:uid="{00000000-0005-0000-0000-0000BF770000}"/>
    <cellStyle name="Título 2 39 14" xfId="30618" xr:uid="{00000000-0005-0000-0000-0000C0770000}"/>
    <cellStyle name="Título 2 39 15" xfId="30619" xr:uid="{00000000-0005-0000-0000-0000C1770000}"/>
    <cellStyle name="Título 2 39 16" xfId="30620" xr:uid="{00000000-0005-0000-0000-0000C2770000}"/>
    <cellStyle name="Título 2 39 2" xfId="30621" xr:uid="{00000000-0005-0000-0000-0000C3770000}"/>
    <cellStyle name="Título 2 39 3" xfId="30622" xr:uid="{00000000-0005-0000-0000-0000C4770000}"/>
    <cellStyle name="Título 2 39 4" xfId="30623" xr:uid="{00000000-0005-0000-0000-0000C5770000}"/>
    <cellStyle name="Título 2 39 5" xfId="30624" xr:uid="{00000000-0005-0000-0000-0000C6770000}"/>
    <cellStyle name="Título 2 39 6" xfId="30625" xr:uid="{00000000-0005-0000-0000-0000C7770000}"/>
    <cellStyle name="Título 2 39 7" xfId="30626" xr:uid="{00000000-0005-0000-0000-0000C8770000}"/>
    <cellStyle name="Título 2 39 8" xfId="30627" xr:uid="{00000000-0005-0000-0000-0000C9770000}"/>
    <cellStyle name="Título 2 39 9" xfId="30628" xr:uid="{00000000-0005-0000-0000-0000CA770000}"/>
    <cellStyle name="Título 2 4 10" xfId="30629" xr:uid="{00000000-0005-0000-0000-0000CB770000}"/>
    <cellStyle name="Título 2 4 11" xfId="30630" xr:uid="{00000000-0005-0000-0000-0000CC770000}"/>
    <cellStyle name="Título 2 4 12" xfId="30631" xr:uid="{00000000-0005-0000-0000-0000CD770000}"/>
    <cellStyle name="Título 2 4 13" xfId="30632" xr:uid="{00000000-0005-0000-0000-0000CE770000}"/>
    <cellStyle name="Título 2 4 14" xfId="30633" xr:uid="{00000000-0005-0000-0000-0000CF770000}"/>
    <cellStyle name="Título 2 4 15" xfId="30634" xr:uid="{00000000-0005-0000-0000-0000D0770000}"/>
    <cellStyle name="Título 2 4 16" xfId="30635" xr:uid="{00000000-0005-0000-0000-0000D1770000}"/>
    <cellStyle name="Título 2 4 17" xfId="30636" xr:uid="{00000000-0005-0000-0000-0000D2770000}"/>
    <cellStyle name="Título 2 4 18" xfId="30637" xr:uid="{00000000-0005-0000-0000-0000D3770000}"/>
    <cellStyle name="Título 2 4 19" xfId="30638" xr:uid="{00000000-0005-0000-0000-0000D4770000}"/>
    <cellStyle name="Título 2 4 2" xfId="30639" xr:uid="{00000000-0005-0000-0000-0000D5770000}"/>
    <cellStyle name="Título 2 4 2 2" xfId="30640" xr:uid="{00000000-0005-0000-0000-0000D6770000}"/>
    <cellStyle name="Título 2 4 3" xfId="30641" xr:uid="{00000000-0005-0000-0000-0000D7770000}"/>
    <cellStyle name="Título 2 4 3 2" xfId="30642" xr:uid="{00000000-0005-0000-0000-0000D8770000}"/>
    <cellStyle name="Título 2 4 4" xfId="30643" xr:uid="{00000000-0005-0000-0000-0000D9770000}"/>
    <cellStyle name="Título 2 4 4 2" xfId="30644" xr:uid="{00000000-0005-0000-0000-0000DA770000}"/>
    <cellStyle name="Título 2 4 5" xfId="30645" xr:uid="{00000000-0005-0000-0000-0000DB770000}"/>
    <cellStyle name="Título 2 4 6" xfId="30646" xr:uid="{00000000-0005-0000-0000-0000DC770000}"/>
    <cellStyle name="Título 2 4 7" xfId="30647" xr:uid="{00000000-0005-0000-0000-0000DD770000}"/>
    <cellStyle name="Título 2 4 8" xfId="30648" xr:uid="{00000000-0005-0000-0000-0000DE770000}"/>
    <cellStyle name="Título 2 4 9" xfId="30649" xr:uid="{00000000-0005-0000-0000-0000DF770000}"/>
    <cellStyle name="Título 2 40" xfId="30650" xr:uid="{00000000-0005-0000-0000-0000E0770000}"/>
    <cellStyle name="Título 2 40 10" xfId="30651" xr:uid="{00000000-0005-0000-0000-0000E1770000}"/>
    <cellStyle name="Título 2 40 11" xfId="30652" xr:uid="{00000000-0005-0000-0000-0000E2770000}"/>
    <cellStyle name="Título 2 40 12" xfId="30653" xr:uid="{00000000-0005-0000-0000-0000E3770000}"/>
    <cellStyle name="Título 2 40 13" xfId="30654" xr:uid="{00000000-0005-0000-0000-0000E4770000}"/>
    <cellStyle name="Título 2 40 14" xfId="30655" xr:uid="{00000000-0005-0000-0000-0000E5770000}"/>
    <cellStyle name="Título 2 40 15" xfId="30656" xr:uid="{00000000-0005-0000-0000-0000E6770000}"/>
    <cellStyle name="Título 2 40 16" xfId="30657" xr:uid="{00000000-0005-0000-0000-0000E7770000}"/>
    <cellStyle name="Título 2 40 2" xfId="30658" xr:uid="{00000000-0005-0000-0000-0000E8770000}"/>
    <cellStyle name="Título 2 40 3" xfId="30659" xr:uid="{00000000-0005-0000-0000-0000E9770000}"/>
    <cellStyle name="Título 2 40 4" xfId="30660" xr:uid="{00000000-0005-0000-0000-0000EA770000}"/>
    <cellStyle name="Título 2 40 5" xfId="30661" xr:uid="{00000000-0005-0000-0000-0000EB770000}"/>
    <cellStyle name="Título 2 40 6" xfId="30662" xr:uid="{00000000-0005-0000-0000-0000EC770000}"/>
    <cellStyle name="Título 2 40 7" xfId="30663" xr:uid="{00000000-0005-0000-0000-0000ED770000}"/>
    <cellStyle name="Título 2 40 8" xfId="30664" xr:uid="{00000000-0005-0000-0000-0000EE770000}"/>
    <cellStyle name="Título 2 40 9" xfId="30665" xr:uid="{00000000-0005-0000-0000-0000EF770000}"/>
    <cellStyle name="Título 2 41" xfId="30666" xr:uid="{00000000-0005-0000-0000-0000F0770000}"/>
    <cellStyle name="Título 2 41 10" xfId="30667" xr:uid="{00000000-0005-0000-0000-0000F1770000}"/>
    <cellStyle name="Título 2 41 11" xfId="30668" xr:uid="{00000000-0005-0000-0000-0000F2770000}"/>
    <cellStyle name="Título 2 41 12" xfId="30669" xr:uid="{00000000-0005-0000-0000-0000F3770000}"/>
    <cellStyle name="Título 2 41 13" xfId="30670" xr:uid="{00000000-0005-0000-0000-0000F4770000}"/>
    <cellStyle name="Título 2 41 14" xfId="30671" xr:uid="{00000000-0005-0000-0000-0000F5770000}"/>
    <cellStyle name="Título 2 41 15" xfId="30672" xr:uid="{00000000-0005-0000-0000-0000F6770000}"/>
    <cellStyle name="Título 2 41 16" xfId="30673" xr:uid="{00000000-0005-0000-0000-0000F7770000}"/>
    <cellStyle name="Título 2 41 2" xfId="30674" xr:uid="{00000000-0005-0000-0000-0000F8770000}"/>
    <cellStyle name="Título 2 41 3" xfId="30675" xr:uid="{00000000-0005-0000-0000-0000F9770000}"/>
    <cellStyle name="Título 2 41 4" xfId="30676" xr:uid="{00000000-0005-0000-0000-0000FA770000}"/>
    <cellStyle name="Título 2 41 5" xfId="30677" xr:uid="{00000000-0005-0000-0000-0000FB770000}"/>
    <cellStyle name="Título 2 41 6" xfId="30678" xr:uid="{00000000-0005-0000-0000-0000FC770000}"/>
    <cellStyle name="Título 2 41 7" xfId="30679" xr:uid="{00000000-0005-0000-0000-0000FD770000}"/>
    <cellStyle name="Título 2 41 8" xfId="30680" xr:uid="{00000000-0005-0000-0000-0000FE770000}"/>
    <cellStyle name="Título 2 41 9" xfId="30681" xr:uid="{00000000-0005-0000-0000-0000FF770000}"/>
    <cellStyle name="Título 2 42" xfId="30682" xr:uid="{00000000-0005-0000-0000-000000780000}"/>
    <cellStyle name="Título 2 43" xfId="30683" xr:uid="{00000000-0005-0000-0000-000001780000}"/>
    <cellStyle name="Título 2 44" xfId="30684" xr:uid="{00000000-0005-0000-0000-000002780000}"/>
    <cellStyle name="Título 2 45" xfId="30685" xr:uid="{00000000-0005-0000-0000-000003780000}"/>
    <cellStyle name="Título 2 46" xfId="30686" xr:uid="{00000000-0005-0000-0000-000004780000}"/>
    <cellStyle name="Título 2 47" xfId="30687" xr:uid="{00000000-0005-0000-0000-000005780000}"/>
    <cellStyle name="Título 2 48" xfId="30688" xr:uid="{00000000-0005-0000-0000-000006780000}"/>
    <cellStyle name="Título 2 49" xfId="30689" xr:uid="{00000000-0005-0000-0000-000007780000}"/>
    <cellStyle name="Título 2 5 10" xfId="30690" xr:uid="{00000000-0005-0000-0000-000008780000}"/>
    <cellStyle name="Título 2 5 11" xfId="30691" xr:uid="{00000000-0005-0000-0000-000009780000}"/>
    <cellStyle name="Título 2 5 12" xfId="30692" xr:uid="{00000000-0005-0000-0000-00000A780000}"/>
    <cellStyle name="Título 2 5 13" xfId="30693" xr:uid="{00000000-0005-0000-0000-00000B780000}"/>
    <cellStyle name="Título 2 5 14" xfId="30694" xr:uid="{00000000-0005-0000-0000-00000C780000}"/>
    <cellStyle name="Título 2 5 15" xfId="30695" xr:uid="{00000000-0005-0000-0000-00000D780000}"/>
    <cellStyle name="Título 2 5 16" xfId="30696" xr:uid="{00000000-0005-0000-0000-00000E780000}"/>
    <cellStyle name="Título 2 5 17" xfId="30697" xr:uid="{00000000-0005-0000-0000-00000F780000}"/>
    <cellStyle name="Título 2 5 18" xfId="30698" xr:uid="{00000000-0005-0000-0000-000010780000}"/>
    <cellStyle name="Título 2 5 19" xfId="30699" xr:uid="{00000000-0005-0000-0000-000011780000}"/>
    <cellStyle name="Título 2 5 2" xfId="30700" xr:uid="{00000000-0005-0000-0000-000012780000}"/>
    <cellStyle name="Título 2 5 2 2" xfId="30701" xr:uid="{00000000-0005-0000-0000-000013780000}"/>
    <cellStyle name="Título 2 5 3" xfId="30702" xr:uid="{00000000-0005-0000-0000-000014780000}"/>
    <cellStyle name="Título 2 5 3 2" xfId="30703" xr:uid="{00000000-0005-0000-0000-000015780000}"/>
    <cellStyle name="Título 2 5 4" xfId="30704" xr:uid="{00000000-0005-0000-0000-000016780000}"/>
    <cellStyle name="Título 2 5 4 2" xfId="30705" xr:uid="{00000000-0005-0000-0000-000017780000}"/>
    <cellStyle name="Título 2 5 5" xfId="30706" xr:uid="{00000000-0005-0000-0000-000018780000}"/>
    <cellStyle name="Título 2 5 6" xfId="30707" xr:uid="{00000000-0005-0000-0000-000019780000}"/>
    <cellStyle name="Título 2 5 7" xfId="30708" xr:uid="{00000000-0005-0000-0000-00001A780000}"/>
    <cellStyle name="Título 2 5 8" xfId="30709" xr:uid="{00000000-0005-0000-0000-00001B780000}"/>
    <cellStyle name="Título 2 5 9" xfId="30710" xr:uid="{00000000-0005-0000-0000-00001C780000}"/>
    <cellStyle name="Título 2 50" xfId="30711" xr:uid="{00000000-0005-0000-0000-00001D780000}"/>
    <cellStyle name="Título 2 51" xfId="30712" xr:uid="{00000000-0005-0000-0000-00001E780000}"/>
    <cellStyle name="Título 2 52" xfId="30713" xr:uid="{00000000-0005-0000-0000-00001F780000}"/>
    <cellStyle name="Título 2 53" xfId="30714" xr:uid="{00000000-0005-0000-0000-000020780000}"/>
    <cellStyle name="Título 2 54" xfId="30715" xr:uid="{00000000-0005-0000-0000-000021780000}"/>
    <cellStyle name="Título 2 55" xfId="30716" xr:uid="{00000000-0005-0000-0000-000022780000}"/>
    <cellStyle name="Título 2 56" xfId="30717" xr:uid="{00000000-0005-0000-0000-000023780000}"/>
    <cellStyle name="Título 2 57" xfId="30718" xr:uid="{00000000-0005-0000-0000-000024780000}"/>
    <cellStyle name="Título 2 58" xfId="30719" xr:uid="{00000000-0005-0000-0000-000025780000}"/>
    <cellStyle name="Título 2 59" xfId="30720" xr:uid="{00000000-0005-0000-0000-000026780000}"/>
    <cellStyle name="Título 2 6 10" xfId="30721" xr:uid="{00000000-0005-0000-0000-000027780000}"/>
    <cellStyle name="Título 2 6 11" xfId="30722" xr:uid="{00000000-0005-0000-0000-000028780000}"/>
    <cellStyle name="Título 2 6 12" xfId="30723" xr:uid="{00000000-0005-0000-0000-000029780000}"/>
    <cellStyle name="Título 2 6 13" xfId="30724" xr:uid="{00000000-0005-0000-0000-00002A780000}"/>
    <cellStyle name="Título 2 6 14" xfId="30725" xr:uid="{00000000-0005-0000-0000-00002B780000}"/>
    <cellStyle name="Título 2 6 15" xfId="30726" xr:uid="{00000000-0005-0000-0000-00002C780000}"/>
    <cellStyle name="Título 2 6 16" xfId="30727" xr:uid="{00000000-0005-0000-0000-00002D780000}"/>
    <cellStyle name="Título 2 6 17" xfId="30728" xr:uid="{00000000-0005-0000-0000-00002E780000}"/>
    <cellStyle name="Título 2 6 18" xfId="30729" xr:uid="{00000000-0005-0000-0000-00002F780000}"/>
    <cellStyle name="Título 2 6 19" xfId="30730" xr:uid="{00000000-0005-0000-0000-000030780000}"/>
    <cellStyle name="Título 2 6 2" xfId="30731" xr:uid="{00000000-0005-0000-0000-000031780000}"/>
    <cellStyle name="Título 2 6 2 2" xfId="30732" xr:uid="{00000000-0005-0000-0000-000032780000}"/>
    <cellStyle name="Título 2 6 3" xfId="30733" xr:uid="{00000000-0005-0000-0000-000033780000}"/>
    <cellStyle name="Título 2 6 3 2" xfId="30734" xr:uid="{00000000-0005-0000-0000-000034780000}"/>
    <cellStyle name="Título 2 6 4" xfId="30735" xr:uid="{00000000-0005-0000-0000-000035780000}"/>
    <cellStyle name="Título 2 6 4 2" xfId="30736" xr:uid="{00000000-0005-0000-0000-000036780000}"/>
    <cellStyle name="Título 2 6 5" xfId="30737" xr:uid="{00000000-0005-0000-0000-000037780000}"/>
    <cellStyle name="Título 2 6 6" xfId="30738" xr:uid="{00000000-0005-0000-0000-000038780000}"/>
    <cellStyle name="Título 2 6 7" xfId="30739" xr:uid="{00000000-0005-0000-0000-000039780000}"/>
    <cellStyle name="Título 2 6 8" xfId="30740" xr:uid="{00000000-0005-0000-0000-00003A780000}"/>
    <cellStyle name="Título 2 6 9" xfId="30741" xr:uid="{00000000-0005-0000-0000-00003B780000}"/>
    <cellStyle name="Título 2 60" xfId="30742" xr:uid="{00000000-0005-0000-0000-00003C780000}"/>
    <cellStyle name="Título 2 61" xfId="30743" xr:uid="{00000000-0005-0000-0000-00003D780000}"/>
    <cellStyle name="Título 2 62" xfId="30744" xr:uid="{00000000-0005-0000-0000-00003E780000}"/>
    <cellStyle name="Título 2 63" xfId="30745" xr:uid="{00000000-0005-0000-0000-00003F780000}"/>
    <cellStyle name="Título 2 64" xfId="30746" xr:uid="{00000000-0005-0000-0000-000040780000}"/>
    <cellStyle name="Título 2 7 10" xfId="30747" xr:uid="{00000000-0005-0000-0000-000041780000}"/>
    <cellStyle name="Título 2 7 11" xfId="30748" xr:uid="{00000000-0005-0000-0000-000042780000}"/>
    <cellStyle name="Título 2 7 12" xfId="30749" xr:uid="{00000000-0005-0000-0000-000043780000}"/>
    <cellStyle name="Título 2 7 13" xfId="30750" xr:uid="{00000000-0005-0000-0000-000044780000}"/>
    <cellStyle name="Título 2 7 14" xfId="30751" xr:uid="{00000000-0005-0000-0000-000045780000}"/>
    <cellStyle name="Título 2 7 15" xfId="30752" xr:uid="{00000000-0005-0000-0000-000046780000}"/>
    <cellStyle name="Título 2 7 16" xfId="30753" xr:uid="{00000000-0005-0000-0000-000047780000}"/>
    <cellStyle name="Título 2 7 17" xfId="30754" xr:uid="{00000000-0005-0000-0000-000048780000}"/>
    <cellStyle name="Título 2 7 18" xfId="30755" xr:uid="{00000000-0005-0000-0000-000049780000}"/>
    <cellStyle name="Título 2 7 19" xfId="30756" xr:uid="{00000000-0005-0000-0000-00004A780000}"/>
    <cellStyle name="Título 2 7 2" xfId="30757" xr:uid="{00000000-0005-0000-0000-00004B780000}"/>
    <cellStyle name="Título 2 7 2 2" xfId="30758" xr:uid="{00000000-0005-0000-0000-00004C780000}"/>
    <cellStyle name="Título 2 7 3" xfId="30759" xr:uid="{00000000-0005-0000-0000-00004D780000}"/>
    <cellStyle name="Título 2 7 3 2" xfId="30760" xr:uid="{00000000-0005-0000-0000-00004E780000}"/>
    <cellStyle name="Título 2 7 4" xfId="30761" xr:uid="{00000000-0005-0000-0000-00004F780000}"/>
    <cellStyle name="Título 2 7 4 2" xfId="30762" xr:uid="{00000000-0005-0000-0000-000050780000}"/>
    <cellStyle name="Título 2 7 5" xfId="30763" xr:uid="{00000000-0005-0000-0000-000051780000}"/>
    <cellStyle name="Título 2 7 6" xfId="30764" xr:uid="{00000000-0005-0000-0000-000052780000}"/>
    <cellStyle name="Título 2 7 7" xfId="30765" xr:uid="{00000000-0005-0000-0000-000053780000}"/>
    <cellStyle name="Título 2 7 8" xfId="30766" xr:uid="{00000000-0005-0000-0000-000054780000}"/>
    <cellStyle name="Título 2 7 9" xfId="30767" xr:uid="{00000000-0005-0000-0000-000055780000}"/>
    <cellStyle name="Título 2 8 10" xfId="30768" xr:uid="{00000000-0005-0000-0000-000056780000}"/>
    <cellStyle name="Título 2 8 11" xfId="30769" xr:uid="{00000000-0005-0000-0000-000057780000}"/>
    <cellStyle name="Título 2 8 12" xfId="30770" xr:uid="{00000000-0005-0000-0000-000058780000}"/>
    <cellStyle name="Título 2 8 13" xfId="30771" xr:uid="{00000000-0005-0000-0000-000059780000}"/>
    <cellStyle name="Título 2 8 14" xfId="30772" xr:uid="{00000000-0005-0000-0000-00005A780000}"/>
    <cellStyle name="Título 2 8 15" xfId="30773" xr:uid="{00000000-0005-0000-0000-00005B780000}"/>
    <cellStyle name="Título 2 8 16" xfId="30774" xr:uid="{00000000-0005-0000-0000-00005C780000}"/>
    <cellStyle name="Título 2 8 17" xfId="30775" xr:uid="{00000000-0005-0000-0000-00005D780000}"/>
    <cellStyle name="Título 2 8 18" xfId="30776" xr:uid="{00000000-0005-0000-0000-00005E780000}"/>
    <cellStyle name="Título 2 8 19" xfId="30777" xr:uid="{00000000-0005-0000-0000-00005F780000}"/>
    <cellStyle name="Título 2 8 2" xfId="30778" xr:uid="{00000000-0005-0000-0000-000060780000}"/>
    <cellStyle name="Título 2 8 2 2" xfId="30779" xr:uid="{00000000-0005-0000-0000-000061780000}"/>
    <cellStyle name="Título 2 8 3" xfId="30780" xr:uid="{00000000-0005-0000-0000-000062780000}"/>
    <cellStyle name="Título 2 8 3 2" xfId="30781" xr:uid="{00000000-0005-0000-0000-000063780000}"/>
    <cellStyle name="Título 2 8 4" xfId="30782" xr:uid="{00000000-0005-0000-0000-000064780000}"/>
    <cellStyle name="Título 2 8 4 2" xfId="30783" xr:uid="{00000000-0005-0000-0000-000065780000}"/>
    <cellStyle name="Título 2 8 5" xfId="30784" xr:uid="{00000000-0005-0000-0000-000066780000}"/>
    <cellStyle name="Título 2 8 6" xfId="30785" xr:uid="{00000000-0005-0000-0000-000067780000}"/>
    <cellStyle name="Título 2 8 7" xfId="30786" xr:uid="{00000000-0005-0000-0000-000068780000}"/>
    <cellStyle name="Título 2 8 8" xfId="30787" xr:uid="{00000000-0005-0000-0000-000069780000}"/>
    <cellStyle name="Título 2 8 9" xfId="30788" xr:uid="{00000000-0005-0000-0000-00006A780000}"/>
    <cellStyle name="Título 2 9 10" xfId="30789" xr:uid="{00000000-0005-0000-0000-00006B780000}"/>
    <cellStyle name="Título 2 9 11" xfId="30790" xr:uid="{00000000-0005-0000-0000-00006C780000}"/>
    <cellStyle name="Título 2 9 12" xfId="30791" xr:uid="{00000000-0005-0000-0000-00006D780000}"/>
    <cellStyle name="Título 2 9 13" xfId="30792" xr:uid="{00000000-0005-0000-0000-00006E780000}"/>
    <cellStyle name="Título 2 9 14" xfId="30793" xr:uid="{00000000-0005-0000-0000-00006F780000}"/>
    <cellStyle name="Título 2 9 15" xfId="30794" xr:uid="{00000000-0005-0000-0000-000070780000}"/>
    <cellStyle name="Título 2 9 16" xfId="30795" xr:uid="{00000000-0005-0000-0000-000071780000}"/>
    <cellStyle name="Título 2 9 17" xfId="30796" xr:uid="{00000000-0005-0000-0000-000072780000}"/>
    <cellStyle name="Título 2 9 18" xfId="30797" xr:uid="{00000000-0005-0000-0000-000073780000}"/>
    <cellStyle name="Título 2 9 19" xfId="30798" xr:uid="{00000000-0005-0000-0000-000074780000}"/>
    <cellStyle name="Título 2 9 2" xfId="30799" xr:uid="{00000000-0005-0000-0000-000075780000}"/>
    <cellStyle name="Título 2 9 2 2" xfId="30800" xr:uid="{00000000-0005-0000-0000-000076780000}"/>
    <cellStyle name="Título 2 9 3" xfId="30801" xr:uid="{00000000-0005-0000-0000-000077780000}"/>
    <cellStyle name="Título 2 9 3 2" xfId="30802" xr:uid="{00000000-0005-0000-0000-000078780000}"/>
    <cellStyle name="Título 2 9 4" xfId="30803" xr:uid="{00000000-0005-0000-0000-000079780000}"/>
    <cellStyle name="Título 2 9 4 2" xfId="30804" xr:uid="{00000000-0005-0000-0000-00007A780000}"/>
    <cellStyle name="Título 2 9 5" xfId="30805" xr:uid="{00000000-0005-0000-0000-00007B780000}"/>
    <cellStyle name="Título 2 9 6" xfId="30806" xr:uid="{00000000-0005-0000-0000-00007C780000}"/>
    <cellStyle name="Título 2 9 7" xfId="30807" xr:uid="{00000000-0005-0000-0000-00007D780000}"/>
    <cellStyle name="Título 2 9 8" xfId="30808" xr:uid="{00000000-0005-0000-0000-00007E780000}"/>
    <cellStyle name="Título 2 9 9" xfId="30809" xr:uid="{00000000-0005-0000-0000-00007F780000}"/>
    <cellStyle name="Título 3" xfId="32515" builtinId="18" customBuiltin="1"/>
    <cellStyle name="Título 3 10 10" xfId="30810" xr:uid="{00000000-0005-0000-0000-000081780000}"/>
    <cellStyle name="Título 3 10 11" xfId="30811" xr:uid="{00000000-0005-0000-0000-000082780000}"/>
    <cellStyle name="Título 3 10 12" xfId="30812" xr:uid="{00000000-0005-0000-0000-000083780000}"/>
    <cellStyle name="Título 3 10 13" xfId="30813" xr:uid="{00000000-0005-0000-0000-000084780000}"/>
    <cellStyle name="Título 3 10 14" xfId="30814" xr:uid="{00000000-0005-0000-0000-000085780000}"/>
    <cellStyle name="Título 3 10 15" xfId="30815" xr:uid="{00000000-0005-0000-0000-000086780000}"/>
    <cellStyle name="Título 3 10 16" xfId="30816" xr:uid="{00000000-0005-0000-0000-000087780000}"/>
    <cellStyle name="Título 3 10 17" xfId="30817" xr:uid="{00000000-0005-0000-0000-000088780000}"/>
    <cellStyle name="Título 3 10 18" xfId="30818" xr:uid="{00000000-0005-0000-0000-000089780000}"/>
    <cellStyle name="Título 3 10 19" xfId="30819" xr:uid="{00000000-0005-0000-0000-00008A780000}"/>
    <cellStyle name="Título 3 10 2" xfId="30820" xr:uid="{00000000-0005-0000-0000-00008B780000}"/>
    <cellStyle name="Título 3 10 2 2" xfId="30821" xr:uid="{00000000-0005-0000-0000-00008C780000}"/>
    <cellStyle name="Título 3 10 3" xfId="30822" xr:uid="{00000000-0005-0000-0000-00008D780000}"/>
    <cellStyle name="Título 3 10 3 2" xfId="30823" xr:uid="{00000000-0005-0000-0000-00008E780000}"/>
    <cellStyle name="Título 3 10 4" xfId="30824" xr:uid="{00000000-0005-0000-0000-00008F780000}"/>
    <cellStyle name="Título 3 10 4 2" xfId="30825" xr:uid="{00000000-0005-0000-0000-000090780000}"/>
    <cellStyle name="Título 3 10 5" xfId="30826" xr:uid="{00000000-0005-0000-0000-000091780000}"/>
    <cellStyle name="Título 3 10 6" xfId="30827" xr:uid="{00000000-0005-0000-0000-000092780000}"/>
    <cellStyle name="Título 3 10 7" xfId="30828" xr:uid="{00000000-0005-0000-0000-000093780000}"/>
    <cellStyle name="Título 3 10 8" xfId="30829" xr:uid="{00000000-0005-0000-0000-000094780000}"/>
    <cellStyle name="Título 3 10 9" xfId="30830" xr:uid="{00000000-0005-0000-0000-000095780000}"/>
    <cellStyle name="Título 3 11 10" xfId="30831" xr:uid="{00000000-0005-0000-0000-000096780000}"/>
    <cellStyle name="Título 3 11 11" xfId="30832" xr:uid="{00000000-0005-0000-0000-000097780000}"/>
    <cellStyle name="Título 3 11 12" xfId="30833" xr:uid="{00000000-0005-0000-0000-000098780000}"/>
    <cellStyle name="Título 3 11 13" xfId="30834" xr:uid="{00000000-0005-0000-0000-000099780000}"/>
    <cellStyle name="Título 3 11 14" xfId="30835" xr:uid="{00000000-0005-0000-0000-00009A780000}"/>
    <cellStyle name="Título 3 11 15" xfId="30836" xr:uid="{00000000-0005-0000-0000-00009B780000}"/>
    <cellStyle name="Título 3 11 16" xfId="30837" xr:uid="{00000000-0005-0000-0000-00009C780000}"/>
    <cellStyle name="Título 3 11 17" xfId="30838" xr:uid="{00000000-0005-0000-0000-00009D780000}"/>
    <cellStyle name="Título 3 11 18" xfId="30839" xr:uid="{00000000-0005-0000-0000-00009E780000}"/>
    <cellStyle name="Título 3 11 19" xfId="30840" xr:uid="{00000000-0005-0000-0000-00009F780000}"/>
    <cellStyle name="Título 3 11 2" xfId="30841" xr:uid="{00000000-0005-0000-0000-0000A0780000}"/>
    <cellStyle name="Título 3 11 2 2" xfId="30842" xr:uid="{00000000-0005-0000-0000-0000A1780000}"/>
    <cellStyle name="Título 3 11 3" xfId="30843" xr:uid="{00000000-0005-0000-0000-0000A2780000}"/>
    <cellStyle name="Título 3 11 3 2" xfId="30844" xr:uid="{00000000-0005-0000-0000-0000A3780000}"/>
    <cellStyle name="Título 3 11 4" xfId="30845" xr:uid="{00000000-0005-0000-0000-0000A4780000}"/>
    <cellStyle name="Título 3 11 4 2" xfId="30846" xr:uid="{00000000-0005-0000-0000-0000A5780000}"/>
    <cellStyle name="Título 3 11 5" xfId="30847" xr:uid="{00000000-0005-0000-0000-0000A6780000}"/>
    <cellStyle name="Título 3 11 6" xfId="30848" xr:uid="{00000000-0005-0000-0000-0000A7780000}"/>
    <cellStyle name="Título 3 11 7" xfId="30849" xr:uid="{00000000-0005-0000-0000-0000A8780000}"/>
    <cellStyle name="Título 3 11 8" xfId="30850" xr:uid="{00000000-0005-0000-0000-0000A9780000}"/>
    <cellStyle name="Título 3 11 9" xfId="30851" xr:uid="{00000000-0005-0000-0000-0000AA780000}"/>
    <cellStyle name="Título 3 12 10" xfId="30852" xr:uid="{00000000-0005-0000-0000-0000AB780000}"/>
    <cellStyle name="Título 3 12 11" xfId="30853" xr:uid="{00000000-0005-0000-0000-0000AC780000}"/>
    <cellStyle name="Título 3 12 12" xfId="30854" xr:uid="{00000000-0005-0000-0000-0000AD780000}"/>
    <cellStyle name="Título 3 12 13" xfId="30855" xr:uid="{00000000-0005-0000-0000-0000AE780000}"/>
    <cellStyle name="Título 3 12 14" xfId="30856" xr:uid="{00000000-0005-0000-0000-0000AF780000}"/>
    <cellStyle name="Título 3 12 15" xfId="30857" xr:uid="{00000000-0005-0000-0000-0000B0780000}"/>
    <cellStyle name="Título 3 12 16" xfId="30858" xr:uid="{00000000-0005-0000-0000-0000B1780000}"/>
    <cellStyle name="Título 3 12 17" xfId="30859" xr:uid="{00000000-0005-0000-0000-0000B2780000}"/>
    <cellStyle name="Título 3 12 18" xfId="30860" xr:uid="{00000000-0005-0000-0000-0000B3780000}"/>
    <cellStyle name="Título 3 12 19" xfId="30861" xr:uid="{00000000-0005-0000-0000-0000B4780000}"/>
    <cellStyle name="Título 3 12 2" xfId="30862" xr:uid="{00000000-0005-0000-0000-0000B5780000}"/>
    <cellStyle name="Título 3 12 2 2" xfId="30863" xr:uid="{00000000-0005-0000-0000-0000B6780000}"/>
    <cellStyle name="Título 3 12 3" xfId="30864" xr:uid="{00000000-0005-0000-0000-0000B7780000}"/>
    <cellStyle name="Título 3 12 3 2" xfId="30865" xr:uid="{00000000-0005-0000-0000-0000B8780000}"/>
    <cellStyle name="Título 3 12 4" xfId="30866" xr:uid="{00000000-0005-0000-0000-0000B9780000}"/>
    <cellStyle name="Título 3 12 4 2" xfId="30867" xr:uid="{00000000-0005-0000-0000-0000BA780000}"/>
    <cellStyle name="Título 3 12 5" xfId="30868" xr:uid="{00000000-0005-0000-0000-0000BB780000}"/>
    <cellStyle name="Título 3 12 6" xfId="30869" xr:uid="{00000000-0005-0000-0000-0000BC780000}"/>
    <cellStyle name="Título 3 12 7" xfId="30870" xr:uid="{00000000-0005-0000-0000-0000BD780000}"/>
    <cellStyle name="Título 3 12 8" xfId="30871" xr:uid="{00000000-0005-0000-0000-0000BE780000}"/>
    <cellStyle name="Título 3 12 9" xfId="30872" xr:uid="{00000000-0005-0000-0000-0000BF780000}"/>
    <cellStyle name="Título 3 13 10" xfId="30873" xr:uid="{00000000-0005-0000-0000-0000C0780000}"/>
    <cellStyle name="Título 3 13 11" xfId="30874" xr:uid="{00000000-0005-0000-0000-0000C1780000}"/>
    <cellStyle name="Título 3 13 12" xfId="30875" xr:uid="{00000000-0005-0000-0000-0000C2780000}"/>
    <cellStyle name="Título 3 13 13" xfId="30876" xr:uid="{00000000-0005-0000-0000-0000C3780000}"/>
    <cellStyle name="Título 3 13 14" xfId="30877" xr:uid="{00000000-0005-0000-0000-0000C4780000}"/>
    <cellStyle name="Título 3 13 15" xfId="30878" xr:uid="{00000000-0005-0000-0000-0000C5780000}"/>
    <cellStyle name="Título 3 13 16" xfId="30879" xr:uid="{00000000-0005-0000-0000-0000C6780000}"/>
    <cellStyle name="Título 3 13 17" xfId="30880" xr:uid="{00000000-0005-0000-0000-0000C7780000}"/>
    <cellStyle name="Título 3 13 18" xfId="30881" xr:uid="{00000000-0005-0000-0000-0000C8780000}"/>
    <cellStyle name="Título 3 13 19" xfId="30882" xr:uid="{00000000-0005-0000-0000-0000C9780000}"/>
    <cellStyle name="Título 3 13 2" xfId="30883" xr:uid="{00000000-0005-0000-0000-0000CA780000}"/>
    <cellStyle name="Título 3 13 2 2" xfId="30884" xr:uid="{00000000-0005-0000-0000-0000CB780000}"/>
    <cellStyle name="Título 3 13 3" xfId="30885" xr:uid="{00000000-0005-0000-0000-0000CC780000}"/>
    <cellStyle name="Título 3 13 3 2" xfId="30886" xr:uid="{00000000-0005-0000-0000-0000CD780000}"/>
    <cellStyle name="Título 3 13 4" xfId="30887" xr:uid="{00000000-0005-0000-0000-0000CE780000}"/>
    <cellStyle name="Título 3 13 4 2" xfId="30888" xr:uid="{00000000-0005-0000-0000-0000CF780000}"/>
    <cellStyle name="Título 3 13 5" xfId="30889" xr:uid="{00000000-0005-0000-0000-0000D0780000}"/>
    <cellStyle name="Título 3 13 6" xfId="30890" xr:uid="{00000000-0005-0000-0000-0000D1780000}"/>
    <cellStyle name="Título 3 13 7" xfId="30891" xr:uid="{00000000-0005-0000-0000-0000D2780000}"/>
    <cellStyle name="Título 3 13 8" xfId="30892" xr:uid="{00000000-0005-0000-0000-0000D3780000}"/>
    <cellStyle name="Título 3 13 9" xfId="30893" xr:uid="{00000000-0005-0000-0000-0000D4780000}"/>
    <cellStyle name="Título 3 14 10" xfId="30894" xr:uid="{00000000-0005-0000-0000-0000D5780000}"/>
    <cellStyle name="Título 3 14 11" xfId="30895" xr:uid="{00000000-0005-0000-0000-0000D6780000}"/>
    <cellStyle name="Título 3 14 12" xfId="30896" xr:uid="{00000000-0005-0000-0000-0000D7780000}"/>
    <cellStyle name="Título 3 14 13" xfId="30897" xr:uid="{00000000-0005-0000-0000-0000D8780000}"/>
    <cellStyle name="Título 3 14 14" xfId="30898" xr:uid="{00000000-0005-0000-0000-0000D9780000}"/>
    <cellStyle name="Título 3 14 15" xfId="30899" xr:uid="{00000000-0005-0000-0000-0000DA780000}"/>
    <cellStyle name="Título 3 14 16" xfId="30900" xr:uid="{00000000-0005-0000-0000-0000DB780000}"/>
    <cellStyle name="Título 3 14 17" xfId="30901" xr:uid="{00000000-0005-0000-0000-0000DC780000}"/>
    <cellStyle name="Título 3 14 18" xfId="30902" xr:uid="{00000000-0005-0000-0000-0000DD780000}"/>
    <cellStyle name="Título 3 14 19" xfId="30903" xr:uid="{00000000-0005-0000-0000-0000DE780000}"/>
    <cellStyle name="Título 3 14 2" xfId="30904" xr:uid="{00000000-0005-0000-0000-0000DF780000}"/>
    <cellStyle name="Título 3 14 2 2" xfId="30905" xr:uid="{00000000-0005-0000-0000-0000E0780000}"/>
    <cellStyle name="Título 3 14 3" xfId="30906" xr:uid="{00000000-0005-0000-0000-0000E1780000}"/>
    <cellStyle name="Título 3 14 3 2" xfId="30907" xr:uid="{00000000-0005-0000-0000-0000E2780000}"/>
    <cellStyle name="Título 3 14 4" xfId="30908" xr:uid="{00000000-0005-0000-0000-0000E3780000}"/>
    <cellStyle name="Título 3 14 4 2" xfId="30909" xr:uid="{00000000-0005-0000-0000-0000E4780000}"/>
    <cellStyle name="Título 3 14 5" xfId="30910" xr:uid="{00000000-0005-0000-0000-0000E5780000}"/>
    <cellStyle name="Título 3 14 6" xfId="30911" xr:uid="{00000000-0005-0000-0000-0000E6780000}"/>
    <cellStyle name="Título 3 14 7" xfId="30912" xr:uid="{00000000-0005-0000-0000-0000E7780000}"/>
    <cellStyle name="Título 3 14 8" xfId="30913" xr:uid="{00000000-0005-0000-0000-0000E8780000}"/>
    <cellStyle name="Título 3 14 9" xfId="30914" xr:uid="{00000000-0005-0000-0000-0000E9780000}"/>
    <cellStyle name="Título 3 15 10" xfId="30915" xr:uid="{00000000-0005-0000-0000-0000EA780000}"/>
    <cellStyle name="Título 3 15 11" xfId="30916" xr:uid="{00000000-0005-0000-0000-0000EB780000}"/>
    <cellStyle name="Título 3 15 12" xfId="30917" xr:uid="{00000000-0005-0000-0000-0000EC780000}"/>
    <cellStyle name="Título 3 15 13" xfId="30918" xr:uid="{00000000-0005-0000-0000-0000ED780000}"/>
    <cellStyle name="Título 3 15 14" xfId="30919" xr:uid="{00000000-0005-0000-0000-0000EE780000}"/>
    <cellStyle name="Título 3 15 15" xfId="30920" xr:uid="{00000000-0005-0000-0000-0000EF780000}"/>
    <cellStyle name="Título 3 15 16" xfId="30921" xr:uid="{00000000-0005-0000-0000-0000F0780000}"/>
    <cellStyle name="Título 3 15 17" xfId="30922" xr:uid="{00000000-0005-0000-0000-0000F1780000}"/>
    <cellStyle name="Título 3 15 18" xfId="30923" xr:uid="{00000000-0005-0000-0000-0000F2780000}"/>
    <cellStyle name="Título 3 15 19" xfId="30924" xr:uid="{00000000-0005-0000-0000-0000F3780000}"/>
    <cellStyle name="Título 3 15 2" xfId="30925" xr:uid="{00000000-0005-0000-0000-0000F4780000}"/>
    <cellStyle name="Título 3 15 2 2" xfId="30926" xr:uid="{00000000-0005-0000-0000-0000F5780000}"/>
    <cellStyle name="Título 3 15 3" xfId="30927" xr:uid="{00000000-0005-0000-0000-0000F6780000}"/>
    <cellStyle name="Título 3 15 3 2" xfId="30928" xr:uid="{00000000-0005-0000-0000-0000F7780000}"/>
    <cellStyle name="Título 3 15 4" xfId="30929" xr:uid="{00000000-0005-0000-0000-0000F8780000}"/>
    <cellStyle name="Título 3 15 4 2" xfId="30930" xr:uid="{00000000-0005-0000-0000-0000F9780000}"/>
    <cellStyle name="Título 3 15 5" xfId="30931" xr:uid="{00000000-0005-0000-0000-0000FA780000}"/>
    <cellStyle name="Título 3 15 6" xfId="30932" xr:uid="{00000000-0005-0000-0000-0000FB780000}"/>
    <cellStyle name="Título 3 15 7" xfId="30933" xr:uid="{00000000-0005-0000-0000-0000FC780000}"/>
    <cellStyle name="Título 3 15 8" xfId="30934" xr:uid="{00000000-0005-0000-0000-0000FD780000}"/>
    <cellStyle name="Título 3 15 9" xfId="30935" xr:uid="{00000000-0005-0000-0000-0000FE780000}"/>
    <cellStyle name="Título 3 16 10" xfId="30936" xr:uid="{00000000-0005-0000-0000-0000FF780000}"/>
    <cellStyle name="Título 3 16 11" xfId="30937" xr:uid="{00000000-0005-0000-0000-000000790000}"/>
    <cellStyle name="Título 3 16 12" xfId="30938" xr:uid="{00000000-0005-0000-0000-000001790000}"/>
    <cellStyle name="Título 3 16 13" xfId="30939" xr:uid="{00000000-0005-0000-0000-000002790000}"/>
    <cellStyle name="Título 3 16 14" xfId="30940" xr:uid="{00000000-0005-0000-0000-000003790000}"/>
    <cellStyle name="Título 3 16 15" xfId="30941" xr:uid="{00000000-0005-0000-0000-000004790000}"/>
    <cellStyle name="Título 3 16 16" xfId="30942" xr:uid="{00000000-0005-0000-0000-000005790000}"/>
    <cellStyle name="Título 3 16 17" xfId="30943" xr:uid="{00000000-0005-0000-0000-000006790000}"/>
    <cellStyle name="Título 3 16 18" xfId="30944" xr:uid="{00000000-0005-0000-0000-000007790000}"/>
    <cellStyle name="Título 3 16 19" xfId="30945" xr:uid="{00000000-0005-0000-0000-000008790000}"/>
    <cellStyle name="Título 3 16 2" xfId="30946" xr:uid="{00000000-0005-0000-0000-000009790000}"/>
    <cellStyle name="Título 3 16 2 2" xfId="30947" xr:uid="{00000000-0005-0000-0000-00000A790000}"/>
    <cellStyle name="Título 3 16 3" xfId="30948" xr:uid="{00000000-0005-0000-0000-00000B790000}"/>
    <cellStyle name="Título 3 16 3 2" xfId="30949" xr:uid="{00000000-0005-0000-0000-00000C790000}"/>
    <cellStyle name="Título 3 16 4" xfId="30950" xr:uid="{00000000-0005-0000-0000-00000D790000}"/>
    <cellStyle name="Título 3 16 4 2" xfId="30951" xr:uid="{00000000-0005-0000-0000-00000E790000}"/>
    <cellStyle name="Título 3 16 5" xfId="30952" xr:uid="{00000000-0005-0000-0000-00000F790000}"/>
    <cellStyle name="Título 3 16 6" xfId="30953" xr:uid="{00000000-0005-0000-0000-000010790000}"/>
    <cellStyle name="Título 3 16 7" xfId="30954" xr:uid="{00000000-0005-0000-0000-000011790000}"/>
    <cellStyle name="Título 3 16 8" xfId="30955" xr:uid="{00000000-0005-0000-0000-000012790000}"/>
    <cellStyle name="Título 3 16 9" xfId="30956" xr:uid="{00000000-0005-0000-0000-000013790000}"/>
    <cellStyle name="Título 3 17 10" xfId="30957" xr:uid="{00000000-0005-0000-0000-000014790000}"/>
    <cellStyle name="Título 3 17 11" xfId="30958" xr:uid="{00000000-0005-0000-0000-000015790000}"/>
    <cellStyle name="Título 3 17 12" xfId="30959" xr:uid="{00000000-0005-0000-0000-000016790000}"/>
    <cellStyle name="Título 3 17 13" xfId="30960" xr:uid="{00000000-0005-0000-0000-000017790000}"/>
    <cellStyle name="Título 3 17 14" xfId="30961" xr:uid="{00000000-0005-0000-0000-000018790000}"/>
    <cellStyle name="Título 3 17 15" xfId="30962" xr:uid="{00000000-0005-0000-0000-000019790000}"/>
    <cellStyle name="Título 3 17 16" xfId="30963" xr:uid="{00000000-0005-0000-0000-00001A790000}"/>
    <cellStyle name="Título 3 17 17" xfId="30964" xr:uid="{00000000-0005-0000-0000-00001B790000}"/>
    <cellStyle name="Título 3 17 18" xfId="30965" xr:uid="{00000000-0005-0000-0000-00001C790000}"/>
    <cellStyle name="Título 3 17 19" xfId="30966" xr:uid="{00000000-0005-0000-0000-00001D790000}"/>
    <cellStyle name="Título 3 17 2" xfId="30967" xr:uid="{00000000-0005-0000-0000-00001E790000}"/>
    <cellStyle name="Título 3 17 2 2" xfId="30968" xr:uid="{00000000-0005-0000-0000-00001F790000}"/>
    <cellStyle name="Título 3 17 3" xfId="30969" xr:uid="{00000000-0005-0000-0000-000020790000}"/>
    <cellStyle name="Título 3 17 3 2" xfId="30970" xr:uid="{00000000-0005-0000-0000-000021790000}"/>
    <cellStyle name="Título 3 17 4" xfId="30971" xr:uid="{00000000-0005-0000-0000-000022790000}"/>
    <cellStyle name="Título 3 17 4 2" xfId="30972" xr:uid="{00000000-0005-0000-0000-000023790000}"/>
    <cellStyle name="Título 3 17 5" xfId="30973" xr:uid="{00000000-0005-0000-0000-000024790000}"/>
    <cellStyle name="Título 3 17 6" xfId="30974" xr:uid="{00000000-0005-0000-0000-000025790000}"/>
    <cellStyle name="Título 3 17 7" xfId="30975" xr:uid="{00000000-0005-0000-0000-000026790000}"/>
    <cellStyle name="Título 3 17 8" xfId="30976" xr:uid="{00000000-0005-0000-0000-000027790000}"/>
    <cellStyle name="Título 3 17 9" xfId="30977" xr:uid="{00000000-0005-0000-0000-000028790000}"/>
    <cellStyle name="Título 3 18 10" xfId="30978" xr:uid="{00000000-0005-0000-0000-000029790000}"/>
    <cellStyle name="Título 3 18 11" xfId="30979" xr:uid="{00000000-0005-0000-0000-00002A790000}"/>
    <cellStyle name="Título 3 18 12" xfId="30980" xr:uid="{00000000-0005-0000-0000-00002B790000}"/>
    <cellStyle name="Título 3 18 13" xfId="30981" xr:uid="{00000000-0005-0000-0000-00002C790000}"/>
    <cellStyle name="Título 3 18 14" xfId="30982" xr:uid="{00000000-0005-0000-0000-00002D790000}"/>
    <cellStyle name="Título 3 18 15" xfId="30983" xr:uid="{00000000-0005-0000-0000-00002E790000}"/>
    <cellStyle name="Título 3 18 16" xfId="30984" xr:uid="{00000000-0005-0000-0000-00002F790000}"/>
    <cellStyle name="Título 3 18 17" xfId="30985" xr:uid="{00000000-0005-0000-0000-000030790000}"/>
    <cellStyle name="Título 3 18 18" xfId="30986" xr:uid="{00000000-0005-0000-0000-000031790000}"/>
    <cellStyle name="Título 3 18 19" xfId="30987" xr:uid="{00000000-0005-0000-0000-000032790000}"/>
    <cellStyle name="Título 3 18 2" xfId="30988" xr:uid="{00000000-0005-0000-0000-000033790000}"/>
    <cellStyle name="Título 3 18 2 2" xfId="30989" xr:uid="{00000000-0005-0000-0000-000034790000}"/>
    <cellStyle name="Título 3 18 3" xfId="30990" xr:uid="{00000000-0005-0000-0000-000035790000}"/>
    <cellStyle name="Título 3 18 3 2" xfId="30991" xr:uid="{00000000-0005-0000-0000-000036790000}"/>
    <cellStyle name="Título 3 18 4" xfId="30992" xr:uid="{00000000-0005-0000-0000-000037790000}"/>
    <cellStyle name="Título 3 18 4 2" xfId="30993" xr:uid="{00000000-0005-0000-0000-000038790000}"/>
    <cellStyle name="Título 3 18 5" xfId="30994" xr:uid="{00000000-0005-0000-0000-000039790000}"/>
    <cellStyle name="Título 3 18 6" xfId="30995" xr:uid="{00000000-0005-0000-0000-00003A790000}"/>
    <cellStyle name="Título 3 18 7" xfId="30996" xr:uid="{00000000-0005-0000-0000-00003B790000}"/>
    <cellStyle name="Título 3 18 8" xfId="30997" xr:uid="{00000000-0005-0000-0000-00003C790000}"/>
    <cellStyle name="Título 3 18 9" xfId="30998" xr:uid="{00000000-0005-0000-0000-00003D790000}"/>
    <cellStyle name="Título 3 19 10" xfId="30999" xr:uid="{00000000-0005-0000-0000-00003E790000}"/>
    <cellStyle name="Título 3 19 11" xfId="31000" xr:uid="{00000000-0005-0000-0000-00003F790000}"/>
    <cellStyle name="Título 3 19 12" xfId="31001" xr:uid="{00000000-0005-0000-0000-000040790000}"/>
    <cellStyle name="Título 3 19 13" xfId="31002" xr:uid="{00000000-0005-0000-0000-000041790000}"/>
    <cellStyle name="Título 3 19 14" xfId="31003" xr:uid="{00000000-0005-0000-0000-000042790000}"/>
    <cellStyle name="Título 3 19 15" xfId="31004" xr:uid="{00000000-0005-0000-0000-000043790000}"/>
    <cellStyle name="Título 3 19 16" xfId="31005" xr:uid="{00000000-0005-0000-0000-000044790000}"/>
    <cellStyle name="Título 3 19 17" xfId="31006" xr:uid="{00000000-0005-0000-0000-000045790000}"/>
    <cellStyle name="Título 3 19 18" xfId="31007" xr:uid="{00000000-0005-0000-0000-000046790000}"/>
    <cellStyle name="Título 3 19 19" xfId="31008" xr:uid="{00000000-0005-0000-0000-000047790000}"/>
    <cellStyle name="Título 3 19 2" xfId="31009" xr:uid="{00000000-0005-0000-0000-000048790000}"/>
    <cellStyle name="Título 3 19 2 2" xfId="31010" xr:uid="{00000000-0005-0000-0000-000049790000}"/>
    <cellStyle name="Título 3 19 3" xfId="31011" xr:uid="{00000000-0005-0000-0000-00004A790000}"/>
    <cellStyle name="Título 3 19 3 2" xfId="31012" xr:uid="{00000000-0005-0000-0000-00004B790000}"/>
    <cellStyle name="Título 3 19 4" xfId="31013" xr:uid="{00000000-0005-0000-0000-00004C790000}"/>
    <cellStyle name="Título 3 19 4 2" xfId="31014" xr:uid="{00000000-0005-0000-0000-00004D790000}"/>
    <cellStyle name="Título 3 19 5" xfId="31015" xr:uid="{00000000-0005-0000-0000-00004E790000}"/>
    <cellStyle name="Título 3 19 6" xfId="31016" xr:uid="{00000000-0005-0000-0000-00004F790000}"/>
    <cellStyle name="Título 3 19 7" xfId="31017" xr:uid="{00000000-0005-0000-0000-000050790000}"/>
    <cellStyle name="Título 3 19 8" xfId="31018" xr:uid="{00000000-0005-0000-0000-000051790000}"/>
    <cellStyle name="Título 3 19 9" xfId="31019" xr:uid="{00000000-0005-0000-0000-000052790000}"/>
    <cellStyle name="Título 3 2 10" xfId="31020" xr:uid="{00000000-0005-0000-0000-000053790000}"/>
    <cellStyle name="Título 3 2 11" xfId="31021" xr:uid="{00000000-0005-0000-0000-000054790000}"/>
    <cellStyle name="Título 3 2 12" xfId="31022" xr:uid="{00000000-0005-0000-0000-000055790000}"/>
    <cellStyle name="Título 3 2 13" xfId="31023" xr:uid="{00000000-0005-0000-0000-000056790000}"/>
    <cellStyle name="Título 3 2 14" xfId="31024" xr:uid="{00000000-0005-0000-0000-000057790000}"/>
    <cellStyle name="Título 3 2 15" xfId="31025" xr:uid="{00000000-0005-0000-0000-000058790000}"/>
    <cellStyle name="Título 3 2 16" xfId="31026" xr:uid="{00000000-0005-0000-0000-000059790000}"/>
    <cellStyle name="Título 3 2 17" xfId="31027" xr:uid="{00000000-0005-0000-0000-00005A790000}"/>
    <cellStyle name="Título 3 2 18" xfId="31028" xr:uid="{00000000-0005-0000-0000-00005B790000}"/>
    <cellStyle name="Título 3 2 19" xfId="31029" xr:uid="{00000000-0005-0000-0000-00005C790000}"/>
    <cellStyle name="Título 3 2 2" xfId="31030" xr:uid="{00000000-0005-0000-0000-00005D790000}"/>
    <cellStyle name="Título 3 2 2 2" xfId="31031" xr:uid="{00000000-0005-0000-0000-00005E790000}"/>
    <cellStyle name="Título 3 2 3" xfId="31032" xr:uid="{00000000-0005-0000-0000-00005F790000}"/>
    <cellStyle name="Título 3 2 3 2" xfId="31033" xr:uid="{00000000-0005-0000-0000-000060790000}"/>
    <cellStyle name="Título 3 2 4" xfId="31034" xr:uid="{00000000-0005-0000-0000-000061790000}"/>
    <cellStyle name="Título 3 2 4 2" xfId="31035" xr:uid="{00000000-0005-0000-0000-000062790000}"/>
    <cellStyle name="Título 3 2 5" xfId="31036" xr:uid="{00000000-0005-0000-0000-000063790000}"/>
    <cellStyle name="Título 3 2 6" xfId="31037" xr:uid="{00000000-0005-0000-0000-000064790000}"/>
    <cellStyle name="Título 3 2 7" xfId="31038" xr:uid="{00000000-0005-0000-0000-000065790000}"/>
    <cellStyle name="Título 3 2 8" xfId="31039" xr:uid="{00000000-0005-0000-0000-000066790000}"/>
    <cellStyle name="Título 3 2 9" xfId="31040" xr:uid="{00000000-0005-0000-0000-000067790000}"/>
    <cellStyle name="Título 3 20 10" xfId="31041" xr:uid="{00000000-0005-0000-0000-000068790000}"/>
    <cellStyle name="Título 3 20 11" xfId="31042" xr:uid="{00000000-0005-0000-0000-000069790000}"/>
    <cellStyle name="Título 3 20 12" xfId="31043" xr:uid="{00000000-0005-0000-0000-00006A790000}"/>
    <cellStyle name="Título 3 20 13" xfId="31044" xr:uid="{00000000-0005-0000-0000-00006B790000}"/>
    <cellStyle name="Título 3 20 14" xfId="31045" xr:uid="{00000000-0005-0000-0000-00006C790000}"/>
    <cellStyle name="Título 3 20 15" xfId="31046" xr:uid="{00000000-0005-0000-0000-00006D790000}"/>
    <cellStyle name="Título 3 20 16" xfId="31047" xr:uid="{00000000-0005-0000-0000-00006E790000}"/>
    <cellStyle name="Título 3 20 17" xfId="31048" xr:uid="{00000000-0005-0000-0000-00006F790000}"/>
    <cellStyle name="Título 3 20 18" xfId="31049" xr:uid="{00000000-0005-0000-0000-000070790000}"/>
    <cellStyle name="Título 3 20 19" xfId="31050" xr:uid="{00000000-0005-0000-0000-000071790000}"/>
    <cellStyle name="Título 3 20 2" xfId="31051" xr:uid="{00000000-0005-0000-0000-000072790000}"/>
    <cellStyle name="Título 3 20 2 2" xfId="31052" xr:uid="{00000000-0005-0000-0000-000073790000}"/>
    <cellStyle name="Título 3 20 3" xfId="31053" xr:uid="{00000000-0005-0000-0000-000074790000}"/>
    <cellStyle name="Título 3 20 3 2" xfId="31054" xr:uid="{00000000-0005-0000-0000-000075790000}"/>
    <cellStyle name="Título 3 20 4" xfId="31055" xr:uid="{00000000-0005-0000-0000-000076790000}"/>
    <cellStyle name="Título 3 20 4 2" xfId="31056" xr:uid="{00000000-0005-0000-0000-000077790000}"/>
    <cellStyle name="Título 3 20 5" xfId="31057" xr:uid="{00000000-0005-0000-0000-000078790000}"/>
    <cellStyle name="Título 3 20 6" xfId="31058" xr:uid="{00000000-0005-0000-0000-000079790000}"/>
    <cellStyle name="Título 3 20 7" xfId="31059" xr:uid="{00000000-0005-0000-0000-00007A790000}"/>
    <cellStyle name="Título 3 20 8" xfId="31060" xr:uid="{00000000-0005-0000-0000-00007B790000}"/>
    <cellStyle name="Título 3 20 9" xfId="31061" xr:uid="{00000000-0005-0000-0000-00007C790000}"/>
    <cellStyle name="Título 3 21 10" xfId="31062" xr:uid="{00000000-0005-0000-0000-00007D790000}"/>
    <cellStyle name="Título 3 21 11" xfId="31063" xr:uid="{00000000-0005-0000-0000-00007E790000}"/>
    <cellStyle name="Título 3 21 12" xfId="31064" xr:uid="{00000000-0005-0000-0000-00007F790000}"/>
    <cellStyle name="Título 3 21 13" xfId="31065" xr:uid="{00000000-0005-0000-0000-000080790000}"/>
    <cellStyle name="Título 3 21 14" xfId="31066" xr:uid="{00000000-0005-0000-0000-000081790000}"/>
    <cellStyle name="Título 3 21 15" xfId="31067" xr:uid="{00000000-0005-0000-0000-000082790000}"/>
    <cellStyle name="Título 3 21 16" xfId="31068" xr:uid="{00000000-0005-0000-0000-000083790000}"/>
    <cellStyle name="Título 3 21 17" xfId="31069" xr:uid="{00000000-0005-0000-0000-000084790000}"/>
    <cellStyle name="Título 3 21 18" xfId="31070" xr:uid="{00000000-0005-0000-0000-000085790000}"/>
    <cellStyle name="Título 3 21 19" xfId="31071" xr:uid="{00000000-0005-0000-0000-000086790000}"/>
    <cellStyle name="Título 3 21 2" xfId="31072" xr:uid="{00000000-0005-0000-0000-000087790000}"/>
    <cellStyle name="Título 3 21 2 2" xfId="31073" xr:uid="{00000000-0005-0000-0000-000088790000}"/>
    <cellStyle name="Título 3 21 3" xfId="31074" xr:uid="{00000000-0005-0000-0000-000089790000}"/>
    <cellStyle name="Título 3 21 3 2" xfId="31075" xr:uid="{00000000-0005-0000-0000-00008A790000}"/>
    <cellStyle name="Título 3 21 4" xfId="31076" xr:uid="{00000000-0005-0000-0000-00008B790000}"/>
    <cellStyle name="Título 3 21 4 2" xfId="31077" xr:uid="{00000000-0005-0000-0000-00008C790000}"/>
    <cellStyle name="Título 3 21 5" xfId="31078" xr:uid="{00000000-0005-0000-0000-00008D790000}"/>
    <cellStyle name="Título 3 21 6" xfId="31079" xr:uid="{00000000-0005-0000-0000-00008E790000}"/>
    <cellStyle name="Título 3 21 7" xfId="31080" xr:uid="{00000000-0005-0000-0000-00008F790000}"/>
    <cellStyle name="Título 3 21 8" xfId="31081" xr:uid="{00000000-0005-0000-0000-000090790000}"/>
    <cellStyle name="Título 3 21 9" xfId="31082" xr:uid="{00000000-0005-0000-0000-000091790000}"/>
    <cellStyle name="Título 3 22 10" xfId="31083" xr:uid="{00000000-0005-0000-0000-000092790000}"/>
    <cellStyle name="Título 3 22 11" xfId="31084" xr:uid="{00000000-0005-0000-0000-000093790000}"/>
    <cellStyle name="Título 3 22 12" xfId="31085" xr:uid="{00000000-0005-0000-0000-000094790000}"/>
    <cellStyle name="Título 3 22 13" xfId="31086" xr:uid="{00000000-0005-0000-0000-000095790000}"/>
    <cellStyle name="Título 3 22 14" xfId="31087" xr:uid="{00000000-0005-0000-0000-000096790000}"/>
    <cellStyle name="Título 3 22 15" xfId="31088" xr:uid="{00000000-0005-0000-0000-000097790000}"/>
    <cellStyle name="Título 3 22 16" xfId="31089" xr:uid="{00000000-0005-0000-0000-000098790000}"/>
    <cellStyle name="Título 3 22 17" xfId="31090" xr:uid="{00000000-0005-0000-0000-000099790000}"/>
    <cellStyle name="Título 3 22 18" xfId="31091" xr:uid="{00000000-0005-0000-0000-00009A790000}"/>
    <cellStyle name="Título 3 22 19" xfId="31092" xr:uid="{00000000-0005-0000-0000-00009B790000}"/>
    <cellStyle name="Título 3 22 2" xfId="31093" xr:uid="{00000000-0005-0000-0000-00009C790000}"/>
    <cellStyle name="Título 3 22 2 2" xfId="31094" xr:uid="{00000000-0005-0000-0000-00009D790000}"/>
    <cellStyle name="Título 3 22 3" xfId="31095" xr:uid="{00000000-0005-0000-0000-00009E790000}"/>
    <cellStyle name="Título 3 22 3 2" xfId="31096" xr:uid="{00000000-0005-0000-0000-00009F790000}"/>
    <cellStyle name="Título 3 22 4" xfId="31097" xr:uid="{00000000-0005-0000-0000-0000A0790000}"/>
    <cellStyle name="Título 3 22 4 2" xfId="31098" xr:uid="{00000000-0005-0000-0000-0000A1790000}"/>
    <cellStyle name="Título 3 22 5" xfId="31099" xr:uid="{00000000-0005-0000-0000-0000A2790000}"/>
    <cellStyle name="Título 3 22 6" xfId="31100" xr:uid="{00000000-0005-0000-0000-0000A3790000}"/>
    <cellStyle name="Título 3 22 7" xfId="31101" xr:uid="{00000000-0005-0000-0000-0000A4790000}"/>
    <cellStyle name="Título 3 22 8" xfId="31102" xr:uid="{00000000-0005-0000-0000-0000A5790000}"/>
    <cellStyle name="Título 3 22 9" xfId="31103" xr:uid="{00000000-0005-0000-0000-0000A6790000}"/>
    <cellStyle name="Título 3 23 10" xfId="31104" xr:uid="{00000000-0005-0000-0000-0000A7790000}"/>
    <cellStyle name="Título 3 23 11" xfId="31105" xr:uid="{00000000-0005-0000-0000-0000A8790000}"/>
    <cellStyle name="Título 3 23 12" xfId="31106" xr:uid="{00000000-0005-0000-0000-0000A9790000}"/>
    <cellStyle name="Título 3 23 13" xfId="31107" xr:uid="{00000000-0005-0000-0000-0000AA790000}"/>
    <cellStyle name="Título 3 23 14" xfId="31108" xr:uid="{00000000-0005-0000-0000-0000AB790000}"/>
    <cellStyle name="Título 3 23 15" xfId="31109" xr:uid="{00000000-0005-0000-0000-0000AC790000}"/>
    <cellStyle name="Título 3 23 16" xfId="31110" xr:uid="{00000000-0005-0000-0000-0000AD790000}"/>
    <cellStyle name="Título 3 23 17" xfId="31111" xr:uid="{00000000-0005-0000-0000-0000AE790000}"/>
    <cellStyle name="Título 3 23 18" xfId="31112" xr:uid="{00000000-0005-0000-0000-0000AF790000}"/>
    <cellStyle name="Título 3 23 19" xfId="31113" xr:uid="{00000000-0005-0000-0000-0000B0790000}"/>
    <cellStyle name="Título 3 23 2" xfId="31114" xr:uid="{00000000-0005-0000-0000-0000B1790000}"/>
    <cellStyle name="Título 3 23 2 2" xfId="31115" xr:uid="{00000000-0005-0000-0000-0000B2790000}"/>
    <cellStyle name="Título 3 23 3" xfId="31116" xr:uid="{00000000-0005-0000-0000-0000B3790000}"/>
    <cellStyle name="Título 3 23 3 2" xfId="31117" xr:uid="{00000000-0005-0000-0000-0000B4790000}"/>
    <cellStyle name="Título 3 23 4" xfId="31118" xr:uid="{00000000-0005-0000-0000-0000B5790000}"/>
    <cellStyle name="Título 3 23 4 2" xfId="31119" xr:uid="{00000000-0005-0000-0000-0000B6790000}"/>
    <cellStyle name="Título 3 23 5" xfId="31120" xr:uid="{00000000-0005-0000-0000-0000B7790000}"/>
    <cellStyle name="Título 3 23 6" xfId="31121" xr:uid="{00000000-0005-0000-0000-0000B8790000}"/>
    <cellStyle name="Título 3 23 7" xfId="31122" xr:uid="{00000000-0005-0000-0000-0000B9790000}"/>
    <cellStyle name="Título 3 23 8" xfId="31123" xr:uid="{00000000-0005-0000-0000-0000BA790000}"/>
    <cellStyle name="Título 3 23 9" xfId="31124" xr:uid="{00000000-0005-0000-0000-0000BB790000}"/>
    <cellStyle name="Título 3 24 10" xfId="31125" xr:uid="{00000000-0005-0000-0000-0000BC790000}"/>
    <cellStyle name="Título 3 24 11" xfId="31126" xr:uid="{00000000-0005-0000-0000-0000BD790000}"/>
    <cellStyle name="Título 3 24 12" xfId="31127" xr:uid="{00000000-0005-0000-0000-0000BE790000}"/>
    <cellStyle name="Título 3 24 13" xfId="31128" xr:uid="{00000000-0005-0000-0000-0000BF790000}"/>
    <cellStyle name="Título 3 24 14" xfId="31129" xr:uid="{00000000-0005-0000-0000-0000C0790000}"/>
    <cellStyle name="Título 3 24 15" xfId="31130" xr:uid="{00000000-0005-0000-0000-0000C1790000}"/>
    <cellStyle name="Título 3 24 16" xfId="31131" xr:uid="{00000000-0005-0000-0000-0000C2790000}"/>
    <cellStyle name="Título 3 24 17" xfId="31132" xr:uid="{00000000-0005-0000-0000-0000C3790000}"/>
    <cellStyle name="Título 3 24 18" xfId="31133" xr:uid="{00000000-0005-0000-0000-0000C4790000}"/>
    <cellStyle name="Título 3 24 19" xfId="31134" xr:uid="{00000000-0005-0000-0000-0000C5790000}"/>
    <cellStyle name="Título 3 24 2" xfId="31135" xr:uid="{00000000-0005-0000-0000-0000C6790000}"/>
    <cellStyle name="Título 3 24 2 2" xfId="31136" xr:uid="{00000000-0005-0000-0000-0000C7790000}"/>
    <cellStyle name="Título 3 24 3" xfId="31137" xr:uid="{00000000-0005-0000-0000-0000C8790000}"/>
    <cellStyle name="Título 3 24 3 2" xfId="31138" xr:uid="{00000000-0005-0000-0000-0000C9790000}"/>
    <cellStyle name="Título 3 24 4" xfId="31139" xr:uid="{00000000-0005-0000-0000-0000CA790000}"/>
    <cellStyle name="Título 3 24 4 2" xfId="31140" xr:uid="{00000000-0005-0000-0000-0000CB790000}"/>
    <cellStyle name="Título 3 24 5" xfId="31141" xr:uid="{00000000-0005-0000-0000-0000CC790000}"/>
    <cellStyle name="Título 3 24 6" xfId="31142" xr:uid="{00000000-0005-0000-0000-0000CD790000}"/>
    <cellStyle name="Título 3 24 7" xfId="31143" xr:uid="{00000000-0005-0000-0000-0000CE790000}"/>
    <cellStyle name="Título 3 24 8" xfId="31144" xr:uid="{00000000-0005-0000-0000-0000CF790000}"/>
    <cellStyle name="Título 3 24 9" xfId="31145" xr:uid="{00000000-0005-0000-0000-0000D0790000}"/>
    <cellStyle name="Título 3 25 10" xfId="31146" xr:uid="{00000000-0005-0000-0000-0000D1790000}"/>
    <cellStyle name="Título 3 25 11" xfId="31147" xr:uid="{00000000-0005-0000-0000-0000D2790000}"/>
    <cellStyle name="Título 3 25 12" xfId="31148" xr:uid="{00000000-0005-0000-0000-0000D3790000}"/>
    <cellStyle name="Título 3 25 13" xfId="31149" xr:uid="{00000000-0005-0000-0000-0000D4790000}"/>
    <cellStyle name="Título 3 25 14" xfId="31150" xr:uid="{00000000-0005-0000-0000-0000D5790000}"/>
    <cellStyle name="Título 3 25 15" xfId="31151" xr:uid="{00000000-0005-0000-0000-0000D6790000}"/>
    <cellStyle name="Título 3 25 16" xfId="31152" xr:uid="{00000000-0005-0000-0000-0000D7790000}"/>
    <cellStyle name="Título 3 25 17" xfId="31153" xr:uid="{00000000-0005-0000-0000-0000D8790000}"/>
    <cellStyle name="Título 3 25 18" xfId="31154" xr:uid="{00000000-0005-0000-0000-0000D9790000}"/>
    <cellStyle name="Título 3 25 19" xfId="31155" xr:uid="{00000000-0005-0000-0000-0000DA790000}"/>
    <cellStyle name="Título 3 25 2" xfId="31156" xr:uid="{00000000-0005-0000-0000-0000DB790000}"/>
    <cellStyle name="Título 3 25 2 2" xfId="31157" xr:uid="{00000000-0005-0000-0000-0000DC790000}"/>
    <cellStyle name="Título 3 25 3" xfId="31158" xr:uid="{00000000-0005-0000-0000-0000DD790000}"/>
    <cellStyle name="Título 3 25 3 2" xfId="31159" xr:uid="{00000000-0005-0000-0000-0000DE790000}"/>
    <cellStyle name="Título 3 25 4" xfId="31160" xr:uid="{00000000-0005-0000-0000-0000DF790000}"/>
    <cellStyle name="Título 3 25 4 2" xfId="31161" xr:uid="{00000000-0005-0000-0000-0000E0790000}"/>
    <cellStyle name="Título 3 25 5" xfId="31162" xr:uid="{00000000-0005-0000-0000-0000E1790000}"/>
    <cellStyle name="Título 3 25 6" xfId="31163" xr:uid="{00000000-0005-0000-0000-0000E2790000}"/>
    <cellStyle name="Título 3 25 7" xfId="31164" xr:uid="{00000000-0005-0000-0000-0000E3790000}"/>
    <cellStyle name="Título 3 25 8" xfId="31165" xr:uid="{00000000-0005-0000-0000-0000E4790000}"/>
    <cellStyle name="Título 3 25 9" xfId="31166" xr:uid="{00000000-0005-0000-0000-0000E5790000}"/>
    <cellStyle name="Título 3 26 10" xfId="31167" xr:uid="{00000000-0005-0000-0000-0000E6790000}"/>
    <cellStyle name="Título 3 26 11" xfId="31168" xr:uid="{00000000-0005-0000-0000-0000E7790000}"/>
    <cellStyle name="Título 3 26 12" xfId="31169" xr:uid="{00000000-0005-0000-0000-0000E8790000}"/>
    <cellStyle name="Título 3 26 13" xfId="31170" xr:uid="{00000000-0005-0000-0000-0000E9790000}"/>
    <cellStyle name="Título 3 26 14" xfId="31171" xr:uid="{00000000-0005-0000-0000-0000EA790000}"/>
    <cellStyle name="Título 3 26 15" xfId="31172" xr:uid="{00000000-0005-0000-0000-0000EB790000}"/>
    <cellStyle name="Título 3 26 16" xfId="31173" xr:uid="{00000000-0005-0000-0000-0000EC790000}"/>
    <cellStyle name="Título 3 26 17" xfId="31174" xr:uid="{00000000-0005-0000-0000-0000ED790000}"/>
    <cellStyle name="Título 3 26 18" xfId="31175" xr:uid="{00000000-0005-0000-0000-0000EE790000}"/>
    <cellStyle name="Título 3 26 19" xfId="31176" xr:uid="{00000000-0005-0000-0000-0000EF790000}"/>
    <cellStyle name="Título 3 26 2" xfId="31177" xr:uid="{00000000-0005-0000-0000-0000F0790000}"/>
    <cellStyle name="Título 3 26 2 2" xfId="31178" xr:uid="{00000000-0005-0000-0000-0000F1790000}"/>
    <cellStyle name="Título 3 26 3" xfId="31179" xr:uid="{00000000-0005-0000-0000-0000F2790000}"/>
    <cellStyle name="Título 3 26 3 2" xfId="31180" xr:uid="{00000000-0005-0000-0000-0000F3790000}"/>
    <cellStyle name="Título 3 26 4" xfId="31181" xr:uid="{00000000-0005-0000-0000-0000F4790000}"/>
    <cellStyle name="Título 3 26 4 2" xfId="31182" xr:uid="{00000000-0005-0000-0000-0000F5790000}"/>
    <cellStyle name="Título 3 26 5" xfId="31183" xr:uid="{00000000-0005-0000-0000-0000F6790000}"/>
    <cellStyle name="Título 3 26 6" xfId="31184" xr:uid="{00000000-0005-0000-0000-0000F7790000}"/>
    <cellStyle name="Título 3 26 7" xfId="31185" xr:uid="{00000000-0005-0000-0000-0000F8790000}"/>
    <cellStyle name="Título 3 26 8" xfId="31186" xr:uid="{00000000-0005-0000-0000-0000F9790000}"/>
    <cellStyle name="Título 3 26 9" xfId="31187" xr:uid="{00000000-0005-0000-0000-0000FA790000}"/>
    <cellStyle name="Título 3 27 10" xfId="31188" xr:uid="{00000000-0005-0000-0000-0000FB790000}"/>
    <cellStyle name="Título 3 27 11" xfId="31189" xr:uid="{00000000-0005-0000-0000-0000FC790000}"/>
    <cellStyle name="Título 3 27 12" xfId="31190" xr:uid="{00000000-0005-0000-0000-0000FD790000}"/>
    <cellStyle name="Título 3 27 13" xfId="31191" xr:uid="{00000000-0005-0000-0000-0000FE790000}"/>
    <cellStyle name="Título 3 27 14" xfId="31192" xr:uid="{00000000-0005-0000-0000-0000FF790000}"/>
    <cellStyle name="Título 3 27 15" xfId="31193" xr:uid="{00000000-0005-0000-0000-0000007A0000}"/>
    <cellStyle name="Título 3 27 16" xfId="31194" xr:uid="{00000000-0005-0000-0000-0000017A0000}"/>
    <cellStyle name="Título 3 27 17" xfId="31195" xr:uid="{00000000-0005-0000-0000-0000027A0000}"/>
    <cellStyle name="Título 3 27 18" xfId="31196" xr:uid="{00000000-0005-0000-0000-0000037A0000}"/>
    <cellStyle name="Título 3 27 19" xfId="31197" xr:uid="{00000000-0005-0000-0000-0000047A0000}"/>
    <cellStyle name="Título 3 27 2" xfId="31198" xr:uid="{00000000-0005-0000-0000-0000057A0000}"/>
    <cellStyle name="Título 3 27 2 2" xfId="31199" xr:uid="{00000000-0005-0000-0000-0000067A0000}"/>
    <cellStyle name="Título 3 27 3" xfId="31200" xr:uid="{00000000-0005-0000-0000-0000077A0000}"/>
    <cellStyle name="Título 3 27 3 2" xfId="31201" xr:uid="{00000000-0005-0000-0000-0000087A0000}"/>
    <cellStyle name="Título 3 27 4" xfId="31202" xr:uid="{00000000-0005-0000-0000-0000097A0000}"/>
    <cellStyle name="Título 3 27 4 2" xfId="31203" xr:uid="{00000000-0005-0000-0000-00000A7A0000}"/>
    <cellStyle name="Título 3 27 5" xfId="31204" xr:uid="{00000000-0005-0000-0000-00000B7A0000}"/>
    <cellStyle name="Título 3 27 6" xfId="31205" xr:uid="{00000000-0005-0000-0000-00000C7A0000}"/>
    <cellStyle name="Título 3 27 7" xfId="31206" xr:uid="{00000000-0005-0000-0000-00000D7A0000}"/>
    <cellStyle name="Título 3 27 8" xfId="31207" xr:uid="{00000000-0005-0000-0000-00000E7A0000}"/>
    <cellStyle name="Título 3 27 9" xfId="31208" xr:uid="{00000000-0005-0000-0000-00000F7A0000}"/>
    <cellStyle name="Título 3 28 10" xfId="31209" xr:uid="{00000000-0005-0000-0000-0000107A0000}"/>
    <cellStyle name="Título 3 28 11" xfId="31210" xr:uid="{00000000-0005-0000-0000-0000117A0000}"/>
    <cellStyle name="Título 3 28 12" xfId="31211" xr:uid="{00000000-0005-0000-0000-0000127A0000}"/>
    <cellStyle name="Título 3 28 13" xfId="31212" xr:uid="{00000000-0005-0000-0000-0000137A0000}"/>
    <cellStyle name="Título 3 28 14" xfId="31213" xr:uid="{00000000-0005-0000-0000-0000147A0000}"/>
    <cellStyle name="Título 3 28 15" xfId="31214" xr:uid="{00000000-0005-0000-0000-0000157A0000}"/>
    <cellStyle name="Título 3 28 16" xfId="31215" xr:uid="{00000000-0005-0000-0000-0000167A0000}"/>
    <cellStyle name="Título 3 28 17" xfId="31216" xr:uid="{00000000-0005-0000-0000-0000177A0000}"/>
    <cellStyle name="Título 3 28 18" xfId="31217" xr:uid="{00000000-0005-0000-0000-0000187A0000}"/>
    <cellStyle name="Título 3 28 19" xfId="31218" xr:uid="{00000000-0005-0000-0000-0000197A0000}"/>
    <cellStyle name="Título 3 28 2" xfId="31219" xr:uid="{00000000-0005-0000-0000-00001A7A0000}"/>
    <cellStyle name="Título 3 28 2 2" xfId="31220" xr:uid="{00000000-0005-0000-0000-00001B7A0000}"/>
    <cellStyle name="Título 3 28 3" xfId="31221" xr:uid="{00000000-0005-0000-0000-00001C7A0000}"/>
    <cellStyle name="Título 3 28 3 2" xfId="31222" xr:uid="{00000000-0005-0000-0000-00001D7A0000}"/>
    <cellStyle name="Título 3 28 4" xfId="31223" xr:uid="{00000000-0005-0000-0000-00001E7A0000}"/>
    <cellStyle name="Título 3 28 4 2" xfId="31224" xr:uid="{00000000-0005-0000-0000-00001F7A0000}"/>
    <cellStyle name="Título 3 28 5" xfId="31225" xr:uid="{00000000-0005-0000-0000-0000207A0000}"/>
    <cellStyle name="Título 3 28 6" xfId="31226" xr:uid="{00000000-0005-0000-0000-0000217A0000}"/>
    <cellStyle name="Título 3 28 7" xfId="31227" xr:uid="{00000000-0005-0000-0000-0000227A0000}"/>
    <cellStyle name="Título 3 28 8" xfId="31228" xr:uid="{00000000-0005-0000-0000-0000237A0000}"/>
    <cellStyle name="Título 3 28 9" xfId="31229" xr:uid="{00000000-0005-0000-0000-0000247A0000}"/>
    <cellStyle name="Título 3 29 10" xfId="31230" xr:uid="{00000000-0005-0000-0000-0000257A0000}"/>
    <cellStyle name="Título 3 29 11" xfId="31231" xr:uid="{00000000-0005-0000-0000-0000267A0000}"/>
    <cellStyle name="Título 3 29 12" xfId="31232" xr:uid="{00000000-0005-0000-0000-0000277A0000}"/>
    <cellStyle name="Título 3 29 13" xfId="31233" xr:uid="{00000000-0005-0000-0000-0000287A0000}"/>
    <cellStyle name="Título 3 29 14" xfId="31234" xr:uid="{00000000-0005-0000-0000-0000297A0000}"/>
    <cellStyle name="Título 3 29 15" xfId="31235" xr:uid="{00000000-0005-0000-0000-00002A7A0000}"/>
    <cellStyle name="Título 3 29 16" xfId="31236" xr:uid="{00000000-0005-0000-0000-00002B7A0000}"/>
    <cellStyle name="Título 3 29 17" xfId="31237" xr:uid="{00000000-0005-0000-0000-00002C7A0000}"/>
    <cellStyle name="Título 3 29 18" xfId="31238" xr:uid="{00000000-0005-0000-0000-00002D7A0000}"/>
    <cellStyle name="Título 3 29 19" xfId="31239" xr:uid="{00000000-0005-0000-0000-00002E7A0000}"/>
    <cellStyle name="Título 3 29 2" xfId="31240" xr:uid="{00000000-0005-0000-0000-00002F7A0000}"/>
    <cellStyle name="Título 3 29 2 2" xfId="31241" xr:uid="{00000000-0005-0000-0000-0000307A0000}"/>
    <cellStyle name="Título 3 29 3" xfId="31242" xr:uid="{00000000-0005-0000-0000-0000317A0000}"/>
    <cellStyle name="Título 3 29 3 2" xfId="31243" xr:uid="{00000000-0005-0000-0000-0000327A0000}"/>
    <cellStyle name="Título 3 29 4" xfId="31244" xr:uid="{00000000-0005-0000-0000-0000337A0000}"/>
    <cellStyle name="Título 3 29 4 2" xfId="31245" xr:uid="{00000000-0005-0000-0000-0000347A0000}"/>
    <cellStyle name="Título 3 29 5" xfId="31246" xr:uid="{00000000-0005-0000-0000-0000357A0000}"/>
    <cellStyle name="Título 3 29 6" xfId="31247" xr:uid="{00000000-0005-0000-0000-0000367A0000}"/>
    <cellStyle name="Título 3 29 7" xfId="31248" xr:uid="{00000000-0005-0000-0000-0000377A0000}"/>
    <cellStyle name="Título 3 29 8" xfId="31249" xr:uid="{00000000-0005-0000-0000-0000387A0000}"/>
    <cellStyle name="Título 3 29 9" xfId="31250" xr:uid="{00000000-0005-0000-0000-0000397A0000}"/>
    <cellStyle name="Título 3 3 10" xfId="31251" xr:uid="{00000000-0005-0000-0000-00003A7A0000}"/>
    <cellStyle name="Título 3 3 11" xfId="31252" xr:uid="{00000000-0005-0000-0000-00003B7A0000}"/>
    <cellStyle name="Título 3 3 12" xfId="31253" xr:uid="{00000000-0005-0000-0000-00003C7A0000}"/>
    <cellStyle name="Título 3 3 13" xfId="31254" xr:uid="{00000000-0005-0000-0000-00003D7A0000}"/>
    <cellStyle name="Título 3 3 14" xfId="31255" xr:uid="{00000000-0005-0000-0000-00003E7A0000}"/>
    <cellStyle name="Título 3 3 15" xfId="31256" xr:uid="{00000000-0005-0000-0000-00003F7A0000}"/>
    <cellStyle name="Título 3 3 16" xfId="31257" xr:uid="{00000000-0005-0000-0000-0000407A0000}"/>
    <cellStyle name="Título 3 3 17" xfId="31258" xr:uid="{00000000-0005-0000-0000-0000417A0000}"/>
    <cellStyle name="Título 3 3 18" xfId="31259" xr:uid="{00000000-0005-0000-0000-0000427A0000}"/>
    <cellStyle name="Título 3 3 19" xfId="31260" xr:uid="{00000000-0005-0000-0000-0000437A0000}"/>
    <cellStyle name="Título 3 3 2" xfId="31261" xr:uid="{00000000-0005-0000-0000-0000447A0000}"/>
    <cellStyle name="Título 3 3 2 2" xfId="31262" xr:uid="{00000000-0005-0000-0000-0000457A0000}"/>
    <cellStyle name="Título 3 3 3" xfId="31263" xr:uid="{00000000-0005-0000-0000-0000467A0000}"/>
    <cellStyle name="Título 3 3 3 2" xfId="31264" xr:uid="{00000000-0005-0000-0000-0000477A0000}"/>
    <cellStyle name="Título 3 3 4" xfId="31265" xr:uid="{00000000-0005-0000-0000-0000487A0000}"/>
    <cellStyle name="Título 3 3 4 2" xfId="31266" xr:uid="{00000000-0005-0000-0000-0000497A0000}"/>
    <cellStyle name="Título 3 3 5" xfId="31267" xr:uid="{00000000-0005-0000-0000-00004A7A0000}"/>
    <cellStyle name="Título 3 3 6" xfId="31268" xr:uid="{00000000-0005-0000-0000-00004B7A0000}"/>
    <cellStyle name="Título 3 3 7" xfId="31269" xr:uid="{00000000-0005-0000-0000-00004C7A0000}"/>
    <cellStyle name="Título 3 3 8" xfId="31270" xr:uid="{00000000-0005-0000-0000-00004D7A0000}"/>
    <cellStyle name="Título 3 3 9" xfId="31271" xr:uid="{00000000-0005-0000-0000-00004E7A0000}"/>
    <cellStyle name="Título 3 30 10" xfId="31272" xr:uid="{00000000-0005-0000-0000-00004F7A0000}"/>
    <cellStyle name="Título 3 30 11" xfId="31273" xr:uid="{00000000-0005-0000-0000-0000507A0000}"/>
    <cellStyle name="Título 3 30 12" xfId="31274" xr:uid="{00000000-0005-0000-0000-0000517A0000}"/>
    <cellStyle name="Título 3 30 13" xfId="31275" xr:uid="{00000000-0005-0000-0000-0000527A0000}"/>
    <cellStyle name="Título 3 30 14" xfId="31276" xr:uid="{00000000-0005-0000-0000-0000537A0000}"/>
    <cellStyle name="Título 3 30 15" xfId="31277" xr:uid="{00000000-0005-0000-0000-0000547A0000}"/>
    <cellStyle name="Título 3 30 16" xfId="31278" xr:uid="{00000000-0005-0000-0000-0000557A0000}"/>
    <cellStyle name="Título 3 30 17" xfId="31279" xr:uid="{00000000-0005-0000-0000-0000567A0000}"/>
    <cellStyle name="Título 3 30 18" xfId="31280" xr:uid="{00000000-0005-0000-0000-0000577A0000}"/>
    <cellStyle name="Título 3 30 19" xfId="31281" xr:uid="{00000000-0005-0000-0000-0000587A0000}"/>
    <cellStyle name="Título 3 30 2" xfId="31282" xr:uid="{00000000-0005-0000-0000-0000597A0000}"/>
    <cellStyle name="Título 3 30 2 2" xfId="31283" xr:uid="{00000000-0005-0000-0000-00005A7A0000}"/>
    <cellStyle name="Título 3 30 3" xfId="31284" xr:uid="{00000000-0005-0000-0000-00005B7A0000}"/>
    <cellStyle name="Título 3 30 3 2" xfId="31285" xr:uid="{00000000-0005-0000-0000-00005C7A0000}"/>
    <cellStyle name="Título 3 30 4" xfId="31286" xr:uid="{00000000-0005-0000-0000-00005D7A0000}"/>
    <cellStyle name="Título 3 30 4 2" xfId="31287" xr:uid="{00000000-0005-0000-0000-00005E7A0000}"/>
    <cellStyle name="Título 3 30 5" xfId="31288" xr:uid="{00000000-0005-0000-0000-00005F7A0000}"/>
    <cellStyle name="Título 3 30 6" xfId="31289" xr:uid="{00000000-0005-0000-0000-0000607A0000}"/>
    <cellStyle name="Título 3 30 7" xfId="31290" xr:uid="{00000000-0005-0000-0000-0000617A0000}"/>
    <cellStyle name="Título 3 30 8" xfId="31291" xr:uid="{00000000-0005-0000-0000-0000627A0000}"/>
    <cellStyle name="Título 3 30 9" xfId="31292" xr:uid="{00000000-0005-0000-0000-0000637A0000}"/>
    <cellStyle name="Título 3 31 10" xfId="31293" xr:uid="{00000000-0005-0000-0000-0000647A0000}"/>
    <cellStyle name="Título 3 31 11" xfId="31294" xr:uid="{00000000-0005-0000-0000-0000657A0000}"/>
    <cellStyle name="Título 3 31 12" xfId="31295" xr:uid="{00000000-0005-0000-0000-0000667A0000}"/>
    <cellStyle name="Título 3 31 13" xfId="31296" xr:uid="{00000000-0005-0000-0000-0000677A0000}"/>
    <cellStyle name="Título 3 31 14" xfId="31297" xr:uid="{00000000-0005-0000-0000-0000687A0000}"/>
    <cellStyle name="Título 3 31 15" xfId="31298" xr:uid="{00000000-0005-0000-0000-0000697A0000}"/>
    <cellStyle name="Título 3 31 16" xfId="31299" xr:uid="{00000000-0005-0000-0000-00006A7A0000}"/>
    <cellStyle name="Título 3 31 17" xfId="31300" xr:uid="{00000000-0005-0000-0000-00006B7A0000}"/>
    <cellStyle name="Título 3 31 18" xfId="31301" xr:uid="{00000000-0005-0000-0000-00006C7A0000}"/>
    <cellStyle name="Título 3 31 19" xfId="31302" xr:uid="{00000000-0005-0000-0000-00006D7A0000}"/>
    <cellStyle name="Título 3 31 2" xfId="31303" xr:uid="{00000000-0005-0000-0000-00006E7A0000}"/>
    <cellStyle name="Título 3 31 2 2" xfId="31304" xr:uid="{00000000-0005-0000-0000-00006F7A0000}"/>
    <cellStyle name="Título 3 31 3" xfId="31305" xr:uid="{00000000-0005-0000-0000-0000707A0000}"/>
    <cellStyle name="Título 3 31 3 2" xfId="31306" xr:uid="{00000000-0005-0000-0000-0000717A0000}"/>
    <cellStyle name="Título 3 31 4" xfId="31307" xr:uid="{00000000-0005-0000-0000-0000727A0000}"/>
    <cellStyle name="Título 3 31 4 2" xfId="31308" xr:uid="{00000000-0005-0000-0000-0000737A0000}"/>
    <cellStyle name="Título 3 31 5" xfId="31309" xr:uid="{00000000-0005-0000-0000-0000747A0000}"/>
    <cellStyle name="Título 3 31 6" xfId="31310" xr:uid="{00000000-0005-0000-0000-0000757A0000}"/>
    <cellStyle name="Título 3 31 7" xfId="31311" xr:uid="{00000000-0005-0000-0000-0000767A0000}"/>
    <cellStyle name="Título 3 31 8" xfId="31312" xr:uid="{00000000-0005-0000-0000-0000777A0000}"/>
    <cellStyle name="Título 3 31 9" xfId="31313" xr:uid="{00000000-0005-0000-0000-0000787A0000}"/>
    <cellStyle name="Título 3 32 10" xfId="31314" xr:uid="{00000000-0005-0000-0000-0000797A0000}"/>
    <cellStyle name="Título 3 32 11" xfId="31315" xr:uid="{00000000-0005-0000-0000-00007A7A0000}"/>
    <cellStyle name="Título 3 32 12" xfId="31316" xr:uid="{00000000-0005-0000-0000-00007B7A0000}"/>
    <cellStyle name="Título 3 32 13" xfId="31317" xr:uid="{00000000-0005-0000-0000-00007C7A0000}"/>
    <cellStyle name="Título 3 32 14" xfId="31318" xr:uid="{00000000-0005-0000-0000-00007D7A0000}"/>
    <cellStyle name="Título 3 32 15" xfId="31319" xr:uid="{00000000-0005-0000-0000-00007E7A0000}"/>
    <cellStyle name="Título 3 32 16" xfId="31320" xr:uid="{00000000-0005-0000-0000-00007F7A0000}"/>
    <cellStyle name="Título 3 32 17" xfId="31321" xr:uid="{00000000-0005-0000-0000-0000807A0000}"/>
    <cellStyle name="Título 3 32 18" xfId="31322" xr:uid="{00000000-0005-0000-0000-0000817A0000}"/>
    <cellStyle name="Título 3 32 19" xfId="31323" xr:uid="{00000000-0005-0000-0000-0000827A0000}"/>
    <cellStyle name="Título 3 32 2" xfId="31324" xr:uid="{00000000-0005-0000-0000-0000837A0000}"/>
    <cellStyle name="Título 3 32 2 2" xfId="31325" xr:uid="{00000000-0005-0000-0000-0000847A0000}"/>
    <cellStyle name="Título 3 32 3" xfId="31326" xr:uid="{00000000-0005-0000-0000-0000857A0000}"/>
    <cellStyle name="Título 3 32 3 2" xfId="31327" xr:uid="{00000000-0005-0000-0000-0000867A0000}"/>
    <cellStyle name="Título 3 32 4" xfId="31328" xr:uid="{00000000-0005-0000-0000-0000877A0000}"/>
    <cellStyle name="Título 3 32 4 2" xfId="31329" xr:uid="{00000000-0005-0000-0000-0000887A0000}"/>
    <cellStyle name="Título 3 32 5" xfId="31330" xr:uid="{00000000-0005-0000-0000-0000897A0000}"/>
    <cellStyle name="Título 3 32 6" xfId="31331" xr:uid="{00000000-0005-0000-0000-00008A7A0000}"/>
    <cellStyle name="Título 3 32 7" xfId="31332" xr:uid="{00000000-0005-0000-0000-00008B7A0000}"/>
    <cellStyle name="Título 3 32 8" xfId="31333" xr:uid="{00000000-0005-0000-0000-00008C7A0000}"/>
    <cellStyle name="Título 3 32 9" xfId="31334" xr:uid="{00000000-0005-0000-0000-00008D7A0000}"/>
    <cellStyle name="Título 3 33 10" xfId="31335" xr:uid="{00000000-0005-0000-0000-00008E7A0000}"/>
    <cellStyle name="Título 3 33 11" xfId="31336" xr:uid="{00000000-0005-0000-0000-00008F7A0000}"/>
    <cellStyle name="Título 3 33 12" xfId="31337" xr:uid="{00000000-0005-0000-0000-0000907A0000}"/>
    <cellStyle name="Título 3 33 13" xfId="31338" xr:uid="{00000000-0005-0000-0000-0000917A0000}"/>
    <cellStyle name="Título 3 33 14" xfId="31339" xr:uid="{00000000-0005-0000-0000-0000927A0000}"/>
    <cellStyle name="Título 3 33 15" xfId="31340" xr:uid="{00000000-0005-0000-0000-0000937A0000}"/>
    <cellStyle name="Título 3 33 16" xfId="31341" xr:uid="{00000000-0005-0000-0000-0000947A0000}"/>
    <cellStyle name="Título 3 33 17" xfId="31342" xr:uid="{00000000-0005-0000-0000-0000957A0000}"/>
    <cellStyle name="Título 3 33 18" xfId="31343" xr:uid="{00000000-0005-0000-0000-0000967A0000}"/>
    <cellStyle name="Título 3 33 19" xfId="31344" xr:uid="{00000000-0005-0000-0000-0000977A0000}"/>
    <cellStyle name="Título 3 33 2" xfId="31345" xr:uid="{00000000-0005-0000-0000-0000987A0000}"/>
    <cellStyle name="Título 3 33 2 2" xfId="31346" xr:uid="{00000000-0005-0000-0000-0000997A0000}"/>
    <cellStyle name="Título 3 33 3" xfId="31347" xr:uid="{00000000-0005-0000-0000-00009A7A0000}"/>
    <cellStyle name="Título 3 33 3 2" xfId="31348" xr:uid="{00000000-0005-0000-0000-00009B7A0000}"/>
    <cellStyle name="Título 3 33 4" xfId="31349" xr:uid="{00000000-0005-0000-0000-00009C7A0000}"/>
    <cellStyle name="Título 3 33 4 2" xfId="31350" xr:uid="{00000000-0005-0000-0000-00009D7A0000}"/>
    <cellStyle name="Título 3 33 5" xfId="31351" xr:uid="{00000000-0005-0000-0000-00009E7A0000}"/>
    <cellStyle name="Título 3 33 6" xfId="31352" xr:uid="{00000000-0005-0000-0000-00009F7A0000}"/>
    <cellStyle name="Título 3 33 7" xfId="31353" xr:uid="{00000000-0005-0000-0000-0000A07A0000}"/>
    <cellStyle name="Título 3 33 8" xfId="31354" xr:uid="{00000000-0005-0000-0000-0000A17A0000}"/>
    <cellStyle name="Título 3 33 9" xfId="31355" xr:uid="{00000000-0005-0000-0000-0000A27A0000}"/>
    <cellStyle name="Título 3 34 10" xfId="31356" xr:uid="{00000000-0005-0000-0000-0000A37A0000}"/>
    <cellStyle name="Título 3 34 11" xfId="31357" xr:uid="{00000000-0005-0000-0000-0000A47A0000}"/>
    <cellStyle name="Título 3 34 12" xfId="31358" xr:uid="{00000000-0005-0000-0000-0000A57A0000}"/>
    <cellStyle name="Título 3 34 13" xfId="31359" xr:uid="{00000000-0005-0000-0000-0000A67A0000}"/>
    <cellStyle name="Título 3 34 14" xfId="31360" xr:uid="{00000000-0005-0000-0000-0000A77A0000}"/>
    <cellStyle name="Título 3 34 15" xfId="31361" xr:uid="{00000000-0005-0000-0000-0000A87A0000}"/>
    <cellStyle name="Título 3 34 16" xfId="31362" xr:uid="{00000000-0005-0000-0000-0000A97A0000}"/>
    <cellStyle name="Título 3 34 17" xfId="31363" xr:uid="{00000000-0005-0000-0000-0000AA7A0000}"/>
    <cellStyle name="Título 3 34 18" xfId="31364" xr:uid="{00000000-0005-0000-0000-0000AB7A0000}"/>
    <cellStyle name="Título 3 34 19" xfId="31365" xr:uid="{00000000-0005-0000-0000-0000AC7A0000}"/>
    <cellStyle name="Título 3 34 2" xfId="31366" xr:uid="{00000000-0005-0000-0000-0000AD7A0000}"/>
    <cellStyle name="Título 3 34 2 2" xfId="31367" xr:uid="{00000000-0005-0000-0000-0000AE7A0000}"/>
    <cellStyle name="Título 3 34 3" xfId="31368" xr:uid="{00000000-0005-0000-0000-0000AF7A0000}"/>
    <cellStyle name="Título 3 34 3 2" xfId="31369" xr:uid="{00000000-0005-0000-0000-0000B07A0000}"/>
    <cellStyle name="Título 3 34 4" xfId="31370" xr:uid="{00000000-0005-0000-0000-0000B17A0000}"/>
    <cellStyle name="Título 3 34 4 2" xfId="31371" xr:uid="{00000000-0005-0000-0000-0000B27A0000}"/>
    <cellStyle name="Título 3 34 5" xfId="31372" xr:uid="{00000000-0005-0000-0000-0000B37A0000}"/>
    <cellStyle name="Título 3 34 6" xfId="31373" xr:uid="{00000000-0005-0000-0000-0000B47A0000}"/>
    <cellStyle name="Título 3 34 7" xfId="31374" xr:uid="{00000000-0005-0000-0000-0000B57A0000}"/>
    <cellStyle name="Título 3 34 8" xfId="31375" xr:uid="{00000000-0005-0000-0000-0000B67A0000}"/>
    <cellStyle name="Título 3 34 9" xfId="31376" xr:uid="{00000000-0005-0000-0000-0000B77A0000}"/>
    <cellStyle name="Título 3 35 10" xfId="31377" xr:uid="{00000000-0005-0000-0000-0000B87A0000}"/>
    <cellStyle name="Título 3 35 11" xfId="31378" xr:uid="{00000000-0005-0000-0000-0000B97A0000}"/>
    <cellStyle name="Título 3 35 12" xfId="31379" xr:uid="{00000000-0005-0000-0000-0000BA7A0000}"/>
    <cellStyle name="Título 3 35 13" xfId="31380" xr:uid="{00000000-0005-0000-0000-0000BB7A0000}"/>
    <cellStyle name="Título 3 35 14" xfId="31381" xr:uid="{00000000-0005-0000-0000-0000BC7A0000}"/>
    <cellStyle name="Título 3 35 15" xfId="31382" xr:uid="{00000000-0005-0000-0000-0000BD7A0000}"/>
    <cellStyle name="Título 3 35 16" xfId="31383" xr:uid="{00000000-0005-0000-0000-0000BE7A0000}"/>
    <cellStyle name="Título 3 35 17" xfId="31384" xr:uid="{00000000-0005-0000-0000-0000BF7A0000}"/>
    <cellStyle name="Título 3 35 18" xfId="31385" xr:uid="{00000000-0005-0000-0000-0000C07A0000}"/>
    <cellStyle name="Título 3 35 19" xfId="31386" xr:uid="{00000000-0005-0000-0000-0000C17A0000}"/>
    <cellStyle name="Título 3 35 2" xfId="31387" xr:uid="{00000000-0005-0000-0000-0000C27A0000}"/>
    <cellStyle name="Título 3 35 2 2" xfId="31388" xr:uid="{00000000-0005-0000-0000-0000C37A0000}"/>
    <cellStyle name="Título 3 35 3" xfId="31389" xr:uid="{00000000-0005-0000-0000-0000C47A0000}"/>
    <cellStyle name="Título 3 35 3 2" xfId="31390" xr:uid="{00000000-0005-0000-0000-0000C57A0000}"/>
    <cellStyle name="Título 3 35 4" xfId="31391" xr:uid="{00000000-0005-0000-0000-0000C67A0000}"/>
    <cellStyle name="Título 3 35 4 2" xfId="31392" xr:uid="{00000000-0005-0000-0000-0000C77A0000}"/>
    <cellStyle name="Título 3 35 5" xfId="31393" xr:uid="{00000000-0005-0000-0000-0000C87A0000}"/>
    <cellStyle name="Título 3 35 6" xfId="31394" xr:uid="{00000000-0005-0000-0000-0000C97A0000}"/>
    <cellStyle name="Título 3 35 7" xfId="31395" xr:uid="{00000000-0005-0000-0000-0000CA7A0000}"/>
    <cellStyle name="Título 3 35 8" xfId="31396" xr:uid="{00000000-0005-0000-0000-0000CB7A0000}"/>
    <cellStyle name="Título 3 35 9" xfId="31397" xr:uid="{00000000-0005-0000-0000-0000CC7A0000}"/>
    <cellStyle name="Título 3 36 10" xfId="31398" xr:uid="{00000000-0005-0000-0000-0000CD7A0000}"/>
    <cellStyle name="Título 3 36 11" xfId="31399" xr:uid="{00000000-0005-0000-0000-0000CE7A0000}"/>
    <cellStyle name="Título 3 36 12" xfId="31400" xr:uid="{00000000-0005-0000-0000-0000CF7A0000}"/>
    <cellStyle name="Título 3 36 13" xfId="31401" xr:uid="{00000000-0005-0000-0000-0000D07A0000}"/>
    <cellStyle name="Título 3 36 14" xfId="31402" xr:uid="{00000000-0005-0000-0000-0000D17A0000}"/>
    <cellStyle name="Título 3 36 15" xfId="31403" xr:uid="{00000000-0005-0000-0000-0000D27A0000}"/>
    <cellStyle name="Título 3 36 16" xfId="31404" xr:uid="{00000000-0005-0000-0000-0000D37A0000}"/>
    <cellStyle name="Título 3 36 17" xfId="31405" xr:uid="{00000000-0005-0000-0000-0000D47A0000}"/>
    <cellStyle name="Título 3 36 18" xfId="31406" xr:uid="{00000000-0005-0000-0000-0000D57A0000}"/>
    <cellStyle name="Título 3 36 19" xfId="31407" xr:uid="{00000000-0005-0000-0000-0000D67A0000}"/>
    <cellStyle name="Título 3 36 2" xfId="31408" xr:uid="{00000000-0005-0000-0000-0000D77A0000}"/>
    <cellStyle name="Título 3 36 2 2" xfId="31409" xr:uid="{00000000-0005-0000-0000-0000D87A0000}"/>
    <cellStyle name="Título 3 36 3" xfId="31410" xr:uid="{00000000-0005-0000-0000-0000D97A0000}"/>
    <cellStyle name="Título 3 36 3 2" xfId="31411" xr:uid="{00000000-0005-0000-0000-0000DA7A0000}"/>
    <cellStyle name="Título 3 36 4" xfId="31412" xr:uid="{00000000-0005-0000-0000-0000DB7A0000}"/>
    <cellStyle name="Título 3 36 4 2" xfId="31413" xr:uid="{00000000-0005-0000-0000-0000DC7A0000}"/>
    <cellStyle name="Título 3 36 5" xfId="31414" xr:uid="{00000000-0005-0000-0000-0000DD7A0000}"/>
    <cellStyle name="Título 3 36 6" xfId="31415" xr:uid="{00000000-0005-0000-0000-0000DE7A0000}"/>
    <cellStyle name="Título 3 36 7" xfId="31416" xr:uid="{00000000-0005-0000-0000-0000DF7A0000}"/>
    <cellStyle name="Título 3 36 8" xfId="31417" xr:uid="{00000000-0005-0000-0000-0000E07A0000}"/>
    <cellStyle name="Título 3 36 9" xfId="31418" xr:uid="{00000000-0005-0000-0000-0000E17A0000}"/>
    <cellStyle name="Título 3 37 10" xfId="31419" xr:uid="{00000000-0005-0000-0000-0000E27A0000}"/>
    <cellStyle name="Título 3 37 11" xfId="31420" xr:uid="{00000000-0005-0000-0000-0000E37A0000}"/>
    <cellStyle name="Título 3 37 12" xfId="31421" xr:uid="{00000000-0005-0000-0000-0000E47A0000}"/>
    <cellStyle name="Título 3 37 13" xfId="31422" xr:uid="{00000000-0005-0000-0000-0000E57A0000}"/>
    <cellStyle name="Título 3 37 14" xfId="31423" xr:uid="{00000000-0005-0000-0000-0000E67A0000}"/>
    <cellStyle name="Título 3 37 15" xfId="31424" xr:uid="{00000000-0005-0000-0000-0000E77A0000}"/>
    <cellStyle name="Título 3 37 16" xfId="31425" xr:uid="{00000000-0005-0000-0000-0000E87A0000}"/>
    <cellStyle name="Título 3 37 17" xfId="31426" xr:uid="{00000000-0005-0000-0000-0000E97A0000}"/>
    <cellStyle name="Título 3 37 18" xfId="31427" xr:uid="{00000000-0005-0000-0000-0000EA7A0000}"/>
    <cellStyle name="Título 3 37 19" xfId="31428" xr:uid="{00000000-0005-0000-0000-0000EB7A0000}"/>
    <cellStyle name="Título 3 37 2" xfId="31429" xr:uid="{00000000-0005-0000-0000-0000EC7A0000}"/>
    <cellStyle name="Título 3 37 2 2" xfId="31430" xr:uid="{00000000-0005-0000-0000-0000ED7A0000}"/>
    <cellStyle name="Título 3 37 3" xfId="31431" xr:uid="{00000000-0005-0000-0000-0000EE7A0000}"/>
    <cellStyle name="Título 3 37 3 2" xfId="31432" xr:uid="{00000000-0005-0000-0000-0000EF7A0000}"/>
    <cellStyle name="Título 3 37 4" xfId="31433" xr:uid="{00000000-0005-0000-0000-0000F07A0000}"/>
    <cellStyle name="Título 3 37 4 2" xfId="31434" xr:uid="{00000000-0005-0000-0000-0000F17A0000}"/>
    <cellStyle name="Título 3 37 5" xfId="31435" xr:uid="{00000000-0005-0000-0000-0000F27A0000}"/>
    <cellStyle name="Título 3 37 6" xfId="31436" xr:uid="{00000000-0005-0000-0000-0000F37A0000}"/>
    <cellStyle name="Título 3 37 7" xfId="31437" xr:uid="{00000000-0005-0000-0000-0000F47A0000}"/>
    <cellStyle name="Título 3 37 8" xfId="31438" xr:uid="{00000000-0005-0000-0000-0000F57A0000}"/>
    <cellStyle name="Título 3 37 9" xfId="31439" xr:uid="{00000000-0005-0000-0000-0000F67A0000}"/>
    <cellStyle name="Título 3 38 10" xfId="31440" xr:uid="{00000000-0005-0000-0000-0000F77A0000}"/>
    <cellStyle name="Título 3 38 11" xfId="31441" xr:uid="{00000000-0005-0000-0000-0000F87A0000}"/>
    <cellStyle name="Título 3 38 12" xfId="31442" xr:uid="{00000000-0005-0000-0000-0000F97A0000}"/>
    <cellStyle name="Título 3 38 13" xfId="31443" xr:uid="{00000000-0005-0000-0000-0000FA7A0000}"/>
    <cellStyle name="Título 3 38 14" xfId="31444" xr:uid="{00000000-0005-0000-0000-0000FB7A0000}"/>
    <cellStyle name="Título 3 38 15" xfId="31445" xr:uid="{00000000-0005-0000-0000-0000FC7A0000}"/>
    <cellStyle name="Título 3 38 16" xfId="31446" xr:uid="{00000000-0005-0000-0000-0000FD7A0000}"/>
    <cellStyle name="Título 3 38 17" xfId="31447" xr:uid="{00000000-0005-0000-0000-0000FE7A0000}"/>
    <cellStyle name="Título 3 38 18" xfId="31448" xr:uid="{00000000-0005-0000-0000-0000FF7A0000}"/>
    <cellStyle name="Título 3 38 19" xfId="31449" xr:uid="{00000000-0005-0000-0000-0000007B0000}"/>
    <cellStyle name="Título 3 38 2" xfId="31450" xr:uid="{00000000-0005-0000-0000-0000017B0000}"/>
    <cellStyle name="Título 3 38 2 2" xfId="31451" xr:uid="{00000000-0005-0000-0000-0000027B0000}"/>
    <cellStyle name="Título 3 38 3" xfId="31452" xr:uid="{00000000-0005-0000-0000-0000037B0000}"/>
    <cellStyle name="Título 3 38 3 2" xfId="31453" xr:uid="{00000000-0005-0000-0000-0000047B0000}"/>
    <cellStyle name="Título 3 38 4" xfId="31454" xr:uid="{00000000-0005-0000-0000-0000057B0000}"/>
    <cellStyle name="Título 3 38 4 2" xfId="31455" xr:uid="{00000000-0005-0000-0000-0000067B0000}"/>
    <cellStyle name="Título 3 38 5" xfId="31456" xr:uid="{00000000-0005-0000-0000-0000077B0000}"/>
    <cellStyle name="Título 3 38 6" xfId="31457" xr:uid="{00000000-0005-0000-0000-0000087B0000}"/>
    <cellStyle name="Título 3 38 7" xfId="31458" xr:uid="{00000000-0005-0000-0000-0000097B0000}"/>
    <cellStyle name="Título 3 38 8" xfId="31459" xr:uid="{00000000-0005-0000-0000-00000A7B0000}"/>
    <cellStyle name="Título 3 38 9" xfId="31460" xr:uid="{00000000-0005-0000-0000-00000B7B0000}"/>
    <cellStyle name="Título 3 39" xfId="31461" xr:uid="{00000000-0005-0000-0000-00000C7B0000}"/>
    <cellStyle name="Título 3 39 10" xfId="31462" xr:uid="{00000000-0005-0000-0000-00000D7B0000}"/>
    <cellStyle name="Título 3 39 11" xfId="31463" xr:uid="{00000000-0005-0000-0000-00000E7B0000}"/>
    <cellStyle name="Título 3 39 12" xfId="31464" xr:uid="{00000000-0005-0000-0000-00000F7B0000}"/>
    <cellStyle name="Título 3 39 13" xfId="31465" xr:uid="{00000000-0005-0000-0000-0000107B0000}"/>
    <cellStyle name="Título 3 39 14" xfId="31466" xr:uid="{00000000-0005-0000-0000-0000117B0000}"/>
    <cellStyle name="Título 3 39 15" xfId="31467" xr:uid="{00000000-0005-0000-0000-0000127B0000}"/>
    <cellStyle name="Título 3 39 16" xfId="31468" xr:uid="{00000000-0005-0000-0000-0000137B0000}"/>
    <cellStyle name="Título 3 39 2" xfId="31469" xr:uid="{00000000-0005-0000-0000-0000147B0000}"/>
    <cellStyle name="Título 3 39 3" xfId="31470" xr:uid="{00000000-0005-0000-0000-0000157B0000}"/>
    <cellStyle name="Título 3 39 4" xfId="31471" xr:uid="{00000000-0005-0000-0000-0000167B0000}"/>
    <cellStyle name="Título 3 39 5" xfId="31472" xr:uid="{00000000-0005-0000-0000-0000177B0000}"/>
    <cellStyle name="Título 3 39 6" xfId="31473" xr:uid="{00000000-0005-0000-0000-0000187B0000}"/>
    <cellStyle name="Título 3 39 7" xfId="31474" xr:uid="{00000000-0005-0000-0000-0000197B0000}"/>
    <cellStyle name="Título 3 39 8" xfId="31475" xr:uid="{00000000-0005-0000-0000-00001A7B0000}"/>
    <cellStyle name="Título 3 39 9" xfId="31476" xr:uid="{00000000-0005-0000-0000-00001B7B0000}"/>
    <cellStyle name="Título 3 4 10" xfId="31477" xr:uid="{00000000-0005-0000-0000-00001C7B0000}"/>
    <cellStyle name="Título 3 4 11" xfId="31478" xr:uid="{00000000-0005-0000-0000-00001D7B0000}"/>
    <cellStyle name="Título 3 4 12" xfId="31479" xr:uid="{00000000-0005-0000-0000-00001E7B0000}"/>
    <cellStyle name="Título 3 4 13" xfId="31480" xr:uid="{00000000-0005-0000-0000-00001F7B0000}"/>
    <cellStyle name="Título 3 4 14" xfId="31481" xr:uid="{00000000-0005-0000-0000-0000207B0000}"/>
    <cellStyle name="Título 3 4 15" xfId="31482" xr:uid="{00000000-0005-0000-0000-0000217B0000}"/>
    <cellStyle name="Título 3 4 16" xfId="31483" xr:uid="{00000000-0005-0000-0000-0000227B0000}"/>
    <cellStyle name="Título 3 4 17" xfId="31484" xr:uid="{00000000-0005-0000-0000-0000237B0000}"/>
    <cellStyle name="Título 3 4 18" xfId="31485" xr:uid="{00000000-0005-0000-0000-0000247B0000}"/>
    <cellStyle name="Título 3 4 19" xfId="31486" xr:uid="{00000000-0005-0000-0000-0000257B0000}"/>
    <cellStyle name="Título 3 4 2" xfId="31487" xr:uid="{00000000-0005-0000-0000-0000267B0000}"/>
    <cellStyle name="Título 3 4 2 2" xfId="31488" xr:uid="{00000000-0005-0000-0000-0000277B0000}"/>
    <cellStyle name="Título 3 4 3" xfId="31489" xr:uid="{00000000-0005-0000-0000-0000287B0000}"/>
    <cellStyle name="Título 3 4 3 2" xfId="31490" xr:uid="{00000000-0005-0000-0000-0000297B0000}"/>
    <cellStyle name="Título 3 4 4" xfId="31491" xr:uid="{00000000-0005-0000-0000-00002A7B0000}"/>
    <cellStyle name="Título 3 4 4 2" xfId="31492" xr:uid="{00000000-0005-0000-0000-00002B7B0000}"/>
    <cellStyle name="Título 3 4 5" xfId="31493" xr:uid="{00000000-0005-0000-0000-00002C7B0000}"/>
    <cellStyle name="Título 3 4 6" xfId="31494" xr:uid="{00000000-0005-0000-0000-00002D7B0000}"/>
    <cellStyle name="Título 3 4 7" xfId="31495" xr:uid="{00000000-0005-0000-0000-00002E7B0000}"/>
    <cellStyle name="Título 3 4 8" xfId="31496" xr:uid="{00000000-0005-0000-0000-00002F7B0000}"/>
    <cellStyle name="Título 3 4 9" xfId="31497" xr:uid="{00000000-0005-0000-0000-0000307B0000}"/>
    <cellStyle name="Título 3 40" xfId="31498" xr:uid="{00000000-0005-0000-0000-0000317B0000}"/>
    <cellStyle name="Título 3 40 10" xfId="31499" xr:uid="{00000000-0005-0000-0000-0000327B0000}"/>
    <cellStyle name="Título 3 40 11" xfId="31500" xr:uid="{00000000-0005-0000-0000-0000337B0000}"/>
    <cellStyle name="Título 3 40 12" xfId="31501" xr:uid="{00000000-0005-0000-0000-0000347B0000}"/>
    <cellStyle name="Título 3 40 13" xfId="31502" xr:uid="{00000000-0005-0000-0000-0000357B0000}"/>
    <cellStyle name="Título 3 40 14" xfId="31503" xr:uid="{00000000-0005-0000-0000-0000367B0000}"/>
    <cellStyle name="Título 3 40 15" xfId="31504" xr:uid="{00000000-0005-0000-0000-0000377B0000}"/>
    <cellStyle name="Título 3 40 16" xfId="31505" xr:uid="{00000000-0005-0000-0000-0000387B0000}"/>
    <cellStyle name="Título 3 40 2" xfId="31506" xr:uid="{00000000-0005-0000-0000-0000397B0000}"/>
    <cellStyle name="Título 3 40 3" xfId="31507" xr:uid="{00000000-0005-0000-0000-00003A7B0000}"/>
    <cellStyle name="Título 3 40 4" xfId="31508" xr:uid="{00000000-0005-0000-0000-00003B7B0000}"/>
    <cellStyle name="Título 3 40 5" xfId="31509" xr:uid="{00000000-0005-0000-0000-00003C7B0000}"/>
    <cellStyle name="Título 3 40 6" xfId="31510" xr:uid="{00000000-0005-0000-0000-00003D7B0000}"/>
    <cellStyle name="Título 3 40 7" xfId="31511" xr:uid="{00000000-0005-0000-0000-00003E7B0000}"/>
    <cellStyle name="Título 3 40 8" xfId="31512" xr:uid="{00000000-0005-0000-0000-00003F7B0000}"/>
    <cellStyle name="Título 3 40 9" xfId="31513" xr:uid="{00000000-0005-0000-0000-0000407B0000}"/>
    <cellStyle name="Título 3 41" xfId="31514" xr:uid="{00000000-0005-0000-0000-0000417B0000}"/>
    <cellStyle name="Título 3 41 10" xfId="31515" xr:uid="{00000000-0005-0000-0000-0000427B0000}"/>
    <cellStyle name="Título 3 41 11" xfId="31516" xr:uid="{00000000-0005-0000-0000-0000437B0000}"/>
    <cellStyle name="Título 3 41 12" xfId="31517" xr:uid="{00000000-0005-0000-0000-0000447B0000}"/>
    <cellStyle name="Título 3 41 13" xfId="31518" xr:uid="{00000000-0005-0000-0000-0000457B0000}"/>
    <cellStyle name="Título 3 41 14" xfId="31519" xr:uid="{00000000-0005-0000-0000-0000467B0000}"/>
    <cellStyle name="Título 3 41 15" xfId="31520" xr:uid="{00000000-0005-0000-0000-0000477B0000}"/>
    <cellStyle name="Título 3 41 16" xfId="31521" xr:uid="{00000000-0005-0000-0000-0000487B0000}"/>
    <cellStyle name="Título 3 41 2" xfId="31522" xr:uid="{00000000-0005-0000-0000-0000497B0000}"/>
    <cellStyle name="Título 3 41 3" xfId="31523" xr:uid="{00000000-0005-0000-0000-00004A7B0000}"/>
    <cellStyle name="Título 3 41 4" xfId="31524" xr:uid="{00000000-0005-0000-0000-00004B7B0000}"/>
    <cellStyle name="Título 3 41 5" xfId="31525" xr:uid="{00000000-0005-0000-0000-00004C7B0000}"/>
    <cellStyle name="Título 3 41 6" xfId="31526" xr:uid="{00000000-0005-0000-0000-00004D7B0000}"/>
    <cellStyle name="Título 3 41 7" xfId="31527" xr:uid="{00000000-0005-0000-0000-00004E7B0000}"/>
    <cellStyle name="Título 3 41 8" xfId="31528" xr:uid="{00000000-0005-0000-0000-00004F7B0000}"/>
    <cellStyle name="Título 3 41 9" xfId="31529" xr:uid="{00000000-0005-0000-0000-0000507B0000}"/>
    <cellStyle name="Título 3 42" xfId="31530" xr:uid="{00000000-0005-0000-0000-0000517B0000}"/>
    <cellStyle name="Título 3 43" xfId="31531" xr:uid="{00000000-0005-0000-0000-0000527B0000}"/>
    <cellStyle name="Título 3 44" xfId="31532" xr:uid="{00000000-0005-0000-0000-0000537B0000}"/>
    <cellStyle name="Título 3 45" xfId="31533" xr:uid="{00000000-0005-0000-0000-0000547B0000}"/>
    <cellStyle name="Título 3 46" xfId="31534" xr:uid="{00000000-0005-0000-0000-0000557B0000}"/>
    <cellStyle name="Título 3 47" xfId="31535" xr:uid="{00000000-0005-0000-0000-0000567B0000}"/>
    <cellStyle name="Título 3 48" xfId="31536" xr:uid="{00000000-0005-0000-0000-0000577B0000}"/>
    <cellStyle name="Título 3 49" xfId="31537" xr:uid="{00000000-0005-0000-0000-0000587B0000}"/>
    <cellStyle name="Título 3 5 10" xfId="31538" xr:uid="{00000000-0005-0000-0000-0000597B0000}"/>
    <cellStyle name="Título 3 5 11" xfId="31539" xr:uid="{00000000-0005-0000-0000-00005A7B0000}"/>
    <cellStyle name="Título 3 5 12" xfId="31540" xr:uid="{00000000-0005-0000-0000-00005B7B0000}"/>
    <cellStyle name="Título 3 5 13" xfId="31541" xr:uid="{00000000-0005-0000-0000-00005C7B0000}"/>
    <cellStyle name="Título 3 5 14" xfId="31542" xr:uid="{00000000-0005-0000-0000-00005D7B0000}"/>
    <cellStyle name="Título 3 5 15" xfId="31543" xr:uid="{00000000-0005-0000-0000-00005E7B0000}"/>
    <cellStyle name="Título 3 5 16" xfId="31544" xr:uid="{00000000-0005-0000-0000-00005F7B0000}"/>
    <cellStyle name="Título 3 5 17" xfId="31545" xr:uid="{00000000-0005-0000-0000-0000607B0000}"/>
    <cellStyle name="Título 3 5 18" xfId="31546" xr:uid="{00000000-0005-0000-0000-0000617B0000}"/>
    <cellStyle name="Título 3 5 19" xfId="31547" xr:uid="{00000000-0005-0000-0000-0000627B0000}"/>
    <cellStyle name="Título 3 5 2" xfId="31548" xr:uid="{00000000-0005-0000-0000-0000637B0000}"/>
    <cellStyle name="Título 3 5 2 2" xfId="31549" xr:uid="{00000000-0005-0000-0000-0000647B0000}"/>
    <cellStyle name="Título 3 5 3" xfId="31550" xr:uid="{00000000-0005-0000-0000-0000657B0000}"/>
    <cellStyle name="Título 3 5 3 2" xfId="31551" xr:uid="{00000000-0005-0000-0000-0000667B0000}"/>
    <cellStyle name="Título 3 5 4" xfId="31552" xr:uid="{00000000-0005-0000-0000-0000677B0000}"/>
    <cellStyle name="Título 3 5 4 2" xfId="31553" xr:uid="{00000000-0005-0000-0000-0000687B0000}"/>
    <cellStyle name="Título 3 5 5" xfId="31554" xr:uid="{00000000-0005-0000-0000-0000697B0000}"/>
    <cellStyle name="Título 3 5 6" xfId="31555" xr:uid="{00000000-0005-0000-0000-00006A7B0000}"/>
    <cellStyle name="Título 3 5 7" xfId="31556" xr:uid="{00000000-0005-0000-0000-00006B7B0000}"/>
    <cellStyle name="Título 3 5 8" xfId="31557" xr:uid="{00000000-0005-0000-0000-00006C7B0000}"/>
    <cellStyle name="Título 3 5 9" xfId="31558" xr:uid="{00000000-0005-0000-0000-00006D7B0000}"/>
    <cellStyle name="Título 3 50" xfId="31559" xr:uid="{00000000-0005-0000-0000-00006E7B0000}"/>
    <cellStyle name="Título 3 51" xfId="31560" xr:uid="{00000000-0005-0000-0000-00006F7B0000}"/>
    <cellStyle name="Título 3 52" xfId="31561" xr:uid="{00000000-0005-0000-0000-0000707B0000}"/>
    <cellStyle name="Título 3 53" xfId="31562" xr:uid="{00000000-0005-0000-0000-0000717B0000}"/>
    <cellStyle name="Título 3 54" xfId="31563" xr:uid="{00000000-0005-0000-0000-0000727B0000}"/>
    <cellStyle name="Título 3 55" xfId="31564" xr:uid="{00000000-0005-0000-0000-0000737B0000}"/>
    <cellStyle name="Título 3 56" xfId="31565" xr:uid="{00000000-0005-0000-0000-0000747B0000}"/>
    <cellStyle name="Título 3 57" xfId="31566" xr:uid="{00000000-0005-0000-0000-0000757B0000}"/>
    <cellStyle name="Título 3 58" xfId="31567" xr:uid="{00000000-0005-0000-0000-0000767B0000}"/>
    <cellStyle name="Título 3 59" xfId="31568" xr:uid="{00000000-0005-0000-0000-0000777B0000}"/>
    <cellStyle name="Título 3 6 10" xfId="31569" xr:uid="{00000000-0005-0000-0000-0000787B0000}"/>
    <cellStyle name="Título 3 6 11" xfId="31570" xr:uid="{00000000-0005-0000-0000-0000797B0000}"/>
    <cellStyle name="Título 3 6 12" xfId="31571" xr:uid="{00000000-0005-0000-0000-00007A7B0000}"/>
    <cellStyle name="Título 3 6 13" xfId="31572" xr:uid="{00000000-0005-0000-0000-00007B7B0000}"/>
    <cellStyle name="Título 3 6 14" xfId="31573" xr:uid="{00000000-0005-0000-0000-00007C7B0000}"/>
    <cellStyle name="Título 3 6 15" xfId="31574" xr:uid="{00000000-0005-0000-0000-00007D7B0000}"/>
    <cellStyle name="Título 3 6 16" xfId="31575" xr:uid="{00000000-0005-0000-0000-00007E7B0000}"/>
    <cellStyle name="Título 3 6 17" xfId="31576" xr:uid="{00000000-0005-0000-0000-00007F7B0000}"/>
    <cellStyle name="Título 3 6 18" xfId="31577" xr:uid="{00000000-0005-0000-0000-0000807B0000}"/>
    <cellStyle name="Título 3 6 19" xfId="31578" xr:uid="{00000000-0005-0000-0000-0000817B0000}"/>
    <cellStyle name="Título 3 6 2" xfId="31579" xr:uid="{00000000-0005-0000-0000-0000827B0000}"/>
    <cellStyle name="Título 3 6 2 2" xfId="31580" xr:uid="{00000000-0005-0000-0000-0000837B0000}"/>
    <cellStyle name="Título 3 6 3" xfId="31581" xr:uid="{00000000-0005-0000-0000-0000847B0000}"/>
    <cellStyle name="Título 3 6 3 2" xfId="31582" xr:uid="{00000000-0005-0000-0000-0000857B0000}"/>
    <cellStyle name="Título 3 6 4" xfId="31583" xr:uid="{00000000-0005-0000-0000-0000867B0000}"/>
    <cellStyle name="Título 3 6 4 2" xfId="31584" xr:uid="{00000000-0005-0000-0000-0000877B0000}"/>
    <cellStyle name="Título 3 6 5" xfId="31585" xr:uid="{00000000-0005-0000-0000-0000887B0000}"/>
    <cellStyle name="Título 3 6 6" xfId="31586" xr:uid="{00000000-0005-0000-0000-0000897B0000}"/>
    <cellStyle name="Título 3 6 7" xfId="31587" xr:uid="{00000000-0005-0000-0000-00008A7B0000}"/>
    <cellStyle name="Título 3 6 8" xfId="31588" xr:uid="{00000000-0005-0000-0000-00008B7B0000}"/>
    <cellStyle name="Título 3 6 9" xfId="31589" xr:uid="{00000000-0005-0000-0000-00008C7B0000}"/>
    <cellStyle name="Título 3 60" xfId="31590" xr:uid="{00000000-0005-0000-0000-00008D7B0000}"/>
    <cellStyle name="Título 3 61" xfId="31591" xr:uid="{00000000-0005-0000-0000-00008E7B0000}"/>
    <cellStyle name="Título 3 62" xfId="31592" xr:uid="{00000000-0005-0000-0000-00008F7B0000}"/>
    <cellStyle name="Título 3 63" xfId="31593" xr:uid="{00000000-0005-0000-0000-0000907B0000}"/>
    <cellStyle name="Título 3 64" xfId="31594" xr:uid="{00000000-0005-0000-0000-0000917B0000}"/>
    <cellStyle name="Título 3 7 10" xfId="31595" xr:uid="{00000000-0005-0000-0000-0000927B0000}"/>
    <cellStyle name="Título 3 7 11" xfId="31596" xr:uid="{00000000-0005-0000-0000-0000937B0000}"/>
    <cellStyle name="Título 3 7 12" xfId="31597" xr:uid="{00000000-0005-0000-0000-0000947B0000}"/>
    <cellStyle name="Título 3 7 13" xfId="31598" xr:uid="{00000000-0005-0000-0000-0000957B0000}"/>
    <cellStyle name="Título 3 7 14" xfId="31599" xr:uid="{00000000-0005-0000-0000-0000967B0000}"/>
    <cellStyle name="Título 3 7 15" xfId="31600" xr:uid="{00000000-0005-0000-0000-0000977B0000}"/>
    <cellStyle name="Título 3 7 16" xfId="31601" xr:uid="{00000000-0005-0000-0000-0000987B0000}"/>
    <cellStyle name="Título 3 7 17" xfId="31602" xr:uid="{00000000-0005-0000-0000-0000997B0000}"/>
    <cellStyle name="Título 3 7 18" xfId="31603" xr:uid="{00000000-0005-0000-0000-00009A7B0000}"/>
    <cellStyle name="Título 3 7 19" xfId="31604" xr:uid="{00000000-0005-0000-0000-00009B7B0000}"/>
    <cellStyle name="Título 3 7 2" xfId="31605" xr:uid="{00000000-0005-0000-0000-00009C7B0000}"/>
    <cellStyle name="Título 3 7 2 2" xfId="31606" xr:uid="{00000000-0005-0000-0000-00009D7B0000}"/>
    <cellStyle name="Título 3 7 3" xfId="31607" xr:uid="{00000000-0005-0000-0000-00009E7B0000}"/>
    <cellStyle name="Título 3 7 3 2" xfId="31608" xr:uid="{00000000-0005-0000-0000-00009F7B0000}"/>
    <cellStyle name="Título 3 7 4" xfId="31609" xr:uid="{00000000-0005-0000-0000-0000A07B0000}"/>
    <cellStyle name="Título 3 7 4 2" xfId="31610" xr:uid="{00000000-0005-0000-0000-0000A17B0000}"/>
    <cellStyle name="Título 3 7 5" xfId="31611" xr:uid="{00000000-0005-0000-0000-0000A27B0000}"/>
    <cellStyle name="Título 3 7 6" xfId="31612" xr:uid="{00000000-0005-0000-0000-0000A37B0000}"/>
    <cellStyle name="Título 3 7 7" xfId="31613" xr:uid="{00000000-0005-0000-0000-0000A47B0000}"/>
    <cellStyle name="Título 3 7 8" xfId="31614" xr:uid="{00000000-0005-0000-0000-0000A57B0000}"/>
    <cellStyle name="Título 3 7 9" xfId="31615" xr:uid="{00000000-0005-0000-0000-0000A67B0000}"/>
    <cellStyle name="Título 3 8 10" xfId="31616" xr:uid="{00000000-0005-0000-0000-0000A77B0000}"/>
    <cellStyle name="Título 3 8 11" xfId="31617" xr:uid="{00000000-0005-0000-0000-0000A87B0000}"/>
    <cellStyle name="Título 3 8 12" xfId="31618" xr:uid="{00000000-0005-0000-0000-0000A97B0000}"/>
    <cellStyle name="Título 3 8 13" xfId="31619" xr:uid="{00000000-0005-0000-0000-0000AA7B0000}"/>
    <cellStyle name="Título 3 8 14" xfId="31620" xr:uid="{00000000-0005-0000-0000-0000AB7B0000}"/>
    <cellStyle name="Título 3 8 15" xfId="31621" xr:uid="{00000000-0005-0000-0000-0000AC7B0000}"/>
    <cellStyle name="Título 3 8 16" xfId="31622" xr:uid="{00000000-0005-0000-0000-0000AD7B0000}"/>
    <cellStyle name="Título 3 8 17" xfId="31623" xr:uid="{00000000-0005-0000-0000-0000AE7B0000}"/>
    <cellStyle name="Título 3 8 18" xfId="31624" xr:uid="{00000000-0005-0000-0000-0000AF7B0000}"/>
    <cellStyle name="Título 3 8 19" xfId="31625" xr:uid="{00000000-0005-0000-0000-0000B07B0000}"/>
    <cellStyle name="Título 3 8 2" xfId="31626" xr:uid="{00000000-0005-0000-0000-0000B17B0000}"/>
    <cellStyle name="Título 3 8 2 2" xfId="31627" xr:uid="{00000000-0005-0000-0000-0000B27B0000}"/>
    <cellStyle name="Título 3 8 3" xfId="31628" xr:uid="{00000000-0005-0000-0000-0000B37B0000}"/>
    <cellStyle name="Título 3 8 3 2" xfId="31629" xr:uid="{00000000-0005-0000-0000-0000B47B0000}"/>
    <cellStyle name="Título 3 8 4" xfId="31630" xr:uid="{00000000-0005-0000-0000-0000B57B0000}"/>
    <cellStyle name="Título 3 8 4 2" xfId="31631" xr:uid="{00000000-0005-0000-0000-0000B67B0000}"/>
    <cellStyle name="Título 3 8 5" xfId="31632" xr:uid="{00000000-0005-0000-0000-0000B77B0000}"/>
    <cellStyle name="Título 3 8 6" xfId="31633" xr:uid="{00000000-0005-0000-0000-0000B87B0000}"/>
    <cellStyle name="Título 3 8 7" xfId="31634" xr:uid="{00000000-0005-0000-0000-0000B97B0000}"/>
    <cellStyle name="Título 3 8 8" xfId="31635" xr:uid="{00000000-0005-0000-0000-0000BA7B0000}"/>
    <cellStyle name="Título 3 8 9" xfId="31636" xr:uid="{00000000-0005-0000-0000-0000BB7B0000}"/>
    <cellStyle name="Título 3 9 10" xfId="31637" xr:uid="{00000000-0005-0000-0000-0000BC7B0000}"/>
    <cellStyle name="Título 3 9 11" xfId="31638" xr:uid="{00000000-0005-0000-0000-0000BD7B0000}"/>
    <cellStyle name="Título 3 9 12" xfId="31639" xr:uid="{00000000-0005-0000-0000-0000BE7B0000}"/>
    <cellStyle name="Título 3 9 13" xfId="31640" xr:uid="{00000000-0005-0000-0000-0000BF7B0000}"/>
    <cellStyle name="Título 3 9 14" xfId="31641" xr:uid="{00000000-0005-0000-0000-0000C07B0000}"/>
    <cellStyle name="Título 3 9 15" xfId="31642" xr:uid="{00000000-0005-0000-0000-0000C17B0000}"/>
    <cellStyle name="Título 3 9 16" xfId="31643" xr:uid="{00000000-0005-0000-0000-0000C27B0000}"/>
    <cellStyle name="Título 3 9 17" xfId="31644" xr:uid="{00000000-0005-0000-0000-0000C37B0000}"/>
    <cellStyle name="Título 3 9 18" xfId="31645" xr:uid="{00000000-0005-0000-0000-0000C47B0000}"/>
    <cellStyle name="Título 3 9 19" xfId="31646" xr:uid="{00000000-0005-0000-0000-0000C57B0000}"/>
    <cellStyle name="Título 3 9 2" xfId="31647" xr:uid="{00000000-0005-0000-0000-0000C67B0000}"/>
    <cellStyle name="Título 3 9 2 2" xfId="31648" xr:uid="{00000000-0005-0000-0000-0000C77B0000}"/>
    <cellStyle name="Título 3 9 3" xfId="31649" xr:uid="{00000000-0005-0000-0000-0000C87B0000}"/>
    <cellStyle name="Título 3 9 3 2" xfId="31650" xr:uid="{00000000-0005-0000-0000-0000C97B0000}"/>
    <cellStyle name="Título 3 9 4" xfId="31651" xr:uid="{00000000-0005-0000-0000-0000CA7B0000}"/>
    <cellStyle name="Título 3 9 4 2" xfId="31652" xr:uid="{00000000-0005-0000-0000-0000CB7B0000}"/>
    <cellStyle name="Título 3 9 5" xfId="31653" xr:uid="{00000000-0005-0000-0000-0000CC7B0000}"/>
    <cellStyle name="Título 3 9 6" xfId="31654" xr:uid="{00000000-0005-0000-0000-0000CD7B0000}"/>
    <cellStyle name="Título 3 9 7" xfId="31655" xr:uid="{00000000-0005-0000-0000-0000CE7B0000}"/>
    <cellStyle name="Título 3 9 8" xfId="31656" xr:uid="{00000000-0005-0000-0000-0000CF7B0000}"/>
    <cellStyle name="Título 3 9 9" xfId="31657" xr:uid="{00000000-0005-0000-0000-0000D07B0000}"/>
    <cellStyle name="Título 4" xfId="31658" xr:uid="{00000000-0005-0000-0000-0000D17B0000}"/>
    <cellStyle name="Título 5" xfId="31659" xr:uid="{00000000-0005-0000-0000-0000D27B0000}"/>
    <cellStyle name="Título 6" xfId="31660" xr:uid="{00000000-0005-0000-0000-0000D37B0000}"/>
    <cellStyle name="Título 7" xfId="31661" xr:uid="{00000000-0005-0000-0000-0000D47B0000}"/>
    <cellStyle name="Título 8" xfId="31662" xr:uid="{00000000-0005-0000-0000-0000D57B0000}"/>
    <cellStyle name="Título 9" xfId="31663" xr:uid="{00000000-0005-0000-0000-0000D67B0000}"/>
    <cellStyle name="Total" xfId="32528" builtinId="25" customBuiltin="1"/>
    <cellStyle name="Total 10 10" xfId="31664" xr:uid="{00000000-0005-0000-0000-0000D87B0000}"/>
    <cellStyle name="Total 10 11" xfId="31665" xr:uid="{00000000-0005-0000-0000-0000D97B0000}"/>
    <cellStyle name="Total 10 12" xfId="31666" xr:uid="{00000000-0005-0000-0000-0000DA7B0000}"/>
    <cellStyle name="Total 10 13" xfId="31667" xr:uid="{00000000-0005-0000-0000-0000DB7B0000}"/>
    <cellStyle name="Total 10 14" xfId="31668" xr:uid="{00000000-0005-0000-0000-0000DC7B0000}"/>
    <cellStyle name="Total 10 15" xfId="31669" xr:uid="{00000000-0005-0000-0000-0000DD7B0000}"/>
    <cellStyle name="Total 10 16" xfId="31670" xr:uid="{00000000-0005-0000-0000-0000DE7B0000}"/>
    <cellStyle name="Total 10 17" xfId="31671" xr:uid="{00000000-0005-0000-0000-0000DF7B0000}"/>
    <cellStyle name="Total 10 18" xfId="31672" xr:uid="{00000000-0005-0000-0000-0000E07B0000}"/>
    <cellStyle name="Total 10 19" xfId="31673" xr:uid="{00000000-0005-0000-0000-0000E17B0000}"/>
    <cellStyle name="Total 10 2" xfId="31674" xr:uid="{00000000-0005-0000-0000-0000E27B0000}"/>
    <cellStyle name="Total 10 2 2" xfId="31675" xr:uid="{00000000-0005-0000-0000-0000E37B0000}"/>
    <cellStyle name="Total 10 3" xfId="31676" xr:uid="{00000000-0005-0000-0000-0000E47B0000}"/>
    <cellStyle name="Total 10 3 2" xfId="31677" xr:uid="{00000000-0005-0000-0000-0000E57B0000}"/>
    <cellStyle name="Total 10 4" xfId="31678" xr:uid="{00000000-0005-0000-0000-0000E67B0000}"/>
    <cellStyle name="Total 10 4 2" xfId="31679" xr:uid="{00000000-0005-0000-0000-0000E77B0000}"/>
    <cellStyle name="Total 10 5" xfId="31680" xr:uid="{00000000-0005-0000-0000-0000E87B0000}"/>
    <cellStyle name="Total 10 6" xfId="31681" xr:uid="{00000000-0005-0000-0000-0000E97B0000}"/>
    <cellStyle name="Total 10 7" xfId="31682" xr:uid="{00000000-0005-0000-0000-0000EA7B0000}"/>
    <cellStyle name="Total 10 8" xfId="31683" xr:uid="{00000000-0005-0000-0000-0000EB7B0000}"/>
    <cellStyle name="Total 10 9" xfId="31684" xr:uid="{00000000-0005-0000-0000-0000EC7B0000}"/>
    <cellStyle name="Total 11 10" xfId="31685" xr:uid="{00000000-0005-0000-0000-0000ED7B0000}"/>
    <cellStyle name="Total 11 11" xfId="31686" xr:uid="{00000000-0005-0000-0000-0000EE7B0000}"/>
    <cellStyle name="Total 11 12" xfId="31687" xr:uid="{00000000-0005-0000-0000-0000EF7B0000}"/>
    <cellStyle name="Total 11 13" xfId="31688" xr:uid="{00000000-0005-0000-0000-0000F07B0000}"/>
    <cellStyle name="Total 11 14" xfId="31689" xr:uid="{00000000-0005-0000-0000-0000F17B0000}"/>
    <cellStyle name="Total 11 15" xfId="31690" xr:uid="{00000000-0005-0000-0000-0000F27B0000}"/>
    <cellStyle name="Total 11 16" xfId="31691" xr:uid="{00000000-0005-0000-0000-0000F37B0000}"/>
    <cellStyle name="Total 11 17" xfId="31692" xr:uid="{00000000-0005-0000-0000-0000F47B0000}"/>
    <cellStyle name="Total 11 18" xfId="31693" xr:uid="{00000000-0005-0000-0000-0000F57B0000}"/>
    <cellStyle name="Total 11 19" xfId="31694" xr:uid="{00000000-0005-0000-0000-0000F67B0000}"/>
    <cellStyle name="Total 11 2" xfId="31695" xr:uid="{00000000-0005-0000-0000-0000F77B0000}"/>
    <cellStyle name="Total 11 2 2" xfId="31696" xr:uid="{00000000-0005-0000-0000-0000F87B0000}"/>
    <cellStyle name="Total 11 3" xfId="31697" xr:uid="{00000000-0005-0000-0000-0000F97B0000}"/>
    <cellStyle name="Total 11 3 2" xfId="31698" xr:uid="{00000000-0005-0000-0000-0000FA7B0000}"/>
    <cellStyle name="Total 11 4" xfId="31699" xr:uid="{00000000-0005-0000-0000-0000FB7B0000}"/>
    <cellStyle name="Total 11 4 2" xfId="31700" xr:uid="{00000000-0005-0000-0000-0000FC7B0000}"/>
    <cellStyle name="Total 11 5" xfId="31701" xr:uid="{00000000-0005-0000-0000-0000FD7B0000}"/>
    <cellStyle name="Total 11 6" xfId="31702" xr:uid="{00000000-0005-0000-0000-0000FE7B0000}"/>
    <cellStyle name="Total 11 7" xfId="31703" xr:uid="{00000000-0005-0000-0000-0000FF7B0000}"/>
    <cellStyle name="Total 11 8" xfId="31704" xr:uid="{00000000-0005-0000-0000-0000007C0000}"/>
    <cellStyle name="Total 11 9" xfId="31705" xr:uid="{00000000-0005-0000-0000-0000017C0000}"/>
    <cellStyle name="Total 12 10" xfId="31706" xr:uid="{00000000-0005-0000-0000-0000027C0000}"/>
    <cellStyle name="Total 12 11" xfId="31707" xr:uid="{00000000-0005-0000-0000-0000037C0000}"/>
    <cellStyle name="Total 12 12" xfId="31708" xr:uid="{00000000-0005-0000-0000-0000047C0000}"/>
    <cellStyle name="Total 12 13" xfId="31709" xr:uid="{00000000-0005-0000-0000-0000057C0000}"/>
    <cellStyle name="Total 12 14" xfId="31710" xr:uid="{00000000-0005-0000-0000-0000067C0000}"/>
    <cellStyle name="Total 12 15" xfId="31711" xr:uid="{00000000-0005-0000-0000-0000077C0000}"/>
    <cellStyle name="Total 12 16" xfId="31712" xr:uid="{00000000-0005-0000-0000-0000087C0000}"/>
    <cellStyle name="Total 12 17" xfId="31713" xr:uid="{00000000-0005-0000-0000-0000097C0000}"/>
    <cellStyle name="Total 12 18" xfId="31714" xr:uid="{00000000-0005-0000-0000-00000A7C0000}"/>
    <cellStyle name="Total 12 19" xfId="31715" xr:uid="{00000000-0005-0000-0000-00000B7C0000}"/>
    <cellStyle name="Total 12 2" xfId="31716" xr:uid="{00000000-0005-0000-0000-00000C7C0000}"/>
    <cellStyle name="Total 12 2 2" xfId="31717" xr:uid="{00000000-0005-0000-0000-00000D7C0000}"/>
    <cellStyle name="Total 12 3" xfId="31718" xr:uid="{00000000-0005-0000-0000-00000E7C0000}"/>
    <cellStyle name="Total 12 3 2" xfId="31719" xr:uid="{00000000-0005-0000-0000-00000F7C0000}"/>
    <cellStyle name="Total 12 4" xfId="31720" xr:uid="{00000000-0005-0000-0000-0000107C0000}"/>
    <cellStyle name="Total 12 4 2" xfId="31721" xr:uid="{00000000-0005-0000-0000-0000117C0000}"/>
    <cellStyle name="Total 12 5" xfId="31722" xr:uid="{00000000-0005-0000-0000-0000127C0000}"/>
    <cellStyle name="Total 12 6" xfId="31723" xr:uid="{00000000-0005-0000-0000-0000137C0000}"/>
    <cellStyle name="Total 12 7" xfId="31724" xr:uid="{00000000-0005-0000-0000-0000147C0000}"/>
    <cellStyle name="Total 12 8" xfId="31725" xr:uid="{00000000-0005-0000-0000-0000157C0000}"/>
    <cellStyle name="Total 12 9" xfId="31726" xr:uid="{00000000-0005-0000-0000-0000167C0000}"/>
    <cellStyle name="Total 13 10" xfId="31727" xr:uid="{00000000-0005-0000-0000-0000177C0000}"/>
    <cellStyle name="Total 13 11" xfId="31728" xr:uid="{00000000-0005-0000-0000-0000187C0000}"/>
    <cellStyle name="Total 13 12" xfId="31729" xr:uid="{00000000-0005-0000-0000-0000197C0000}"/>
    <cellStyle name="Total 13 13" xfId="31730" xr:uid="{00000000-0005-0000-0000-00001A7C0000}"/>
    <cellStyle name="Total 13 14" xfId="31731" xr:uid="{00000000-0005-0000-0000-00001B7C0000}"/>
    <cellStyle name="Total 13 15" xfId="31732" xr:uid="{00000000-0005-0000-0000-00001C7C0000}"/>
    <cellStyle name="Total 13 16" xfId="31733" xr:uid="{00000000-0005-0000-0000-00001D7C0000}"/>
    <cellStyle name="Total 13 17" xfId="31734" xr:uid="{00000000-0005-0000-0000-00001E7C0000}"/>
    <cellStyle name="Total 13 18" xfId="31735" xr:uid="{00000000-0005-0000-0000-00001F7C0000}"/>
    <cellStyle name="Total 13 19" xfId="31736" xr:uid="{00000000-0005-0000-0000-0000207C0000}"/>
    <cellStyle name="Total 13 2" xfId="31737" xr:uid="{00000000-0005-0000-0000-0000217C0000}"/>
    <cellStyle name="Total 13 2 2" xfId="31738" xr:uid="{00000000-0005-0000-0000-0000227C0000}"/>
    <cellStyle name="Total 13 3" xfId="31739" xr:uid="{00000000-0005-0000-0000-0000237C0000}"/>
    <cellStyle name="Total 13 3 2" xfId="31740" xr:uid="{00000000-0005-0000-0000-0000247C0000}"/>
    <cellStyle name="Total 13 4" xfId="31741" xr:uid="{00000000-0005-0000-0000-0000257C0000}"/>
    <cellStyle name="Total 13 4 2" xfId="31742" xr:uid="{00000000-0005-0000-0000-0000267C0000}"/>
    <cellStyle name="Total 13 5" xfId="31743" xr:uid="{00000000-0005-0000-0000-0000277C0000}"/>
    <cellStyle name="Total 13 6" xfId="31744" xr:uid="{00000000-0005-0000-0000-0000287C0000}"/>
    <cellStyle name="Total 13 7" xfId="31745" xr:uid="{00000000-0005-0000-0000-0000297C0000}"/>
    <cellStyle name="Total 13 8" xfId="31746" xr:uid="{00000000-0005-0000-0000-00002A7C0000}"/>
    <cellStyle name="Total 13 9" xfId="31747" xr:uid="{00000000-0005-0000-0000-00002B7C0000}"/>
    <cellStyle name="Total 14 10" xfId="31748" xr:uid="{00000000-0005-0000-0000-00002C7C0000}"/>
    <cellStyle name="Total 14 11" xfId="31749" xr:uid="{00000000-0005-0000-0000-00002D7C0000}"/>
    <cellStyle name="Total 14 12" xfId="31750" xr:uid="{00000000-0005-0000-0000-00002E7C0000}"/>
    <cellStyle name="Total 14 13" xfId="31751" xr:uid="{00000000-0005-0000-0000-00002F7C0000}"/>
    <cellStyle name="Total 14 14" xfId="31752" xr:uid="{00000000-0005-0000-0000-0000307C0000}"/>
    <cellStyle name="Total 14 15" xfId="31753" xr:uid="{00000000-0005-0000-0000-0000317C0000}"/>
    <cellStyle name="Total 14 16" xfId="31754" xr:uid="{00000000-0005-0000-0000-0000327C0000}"/>
    <cellStyle name="Total 14 17" xfId="31755" xr:uid="{00000000-0005-0000-0000-0000337C0000}"/>
    <cellStyle name="Total 14 18" xfId="31756" xr:uid="{00000000-0005-0000-0000-0000347C0000}"/>
    <cellStyle name="Total 14 19" xfId="31757" xr:uid="{00000000-0005-0000-0000-0000357C0000}"/>
    <cellStyle name="Total 14 2" xfId="31758" xr:uid="{00000000-0005-0000-0000-0000367C0000}"/>
    <cellStyle name="Total 14 2 2" xfId="31759" xr:uid="{00000000-0005-0000-0000-0000377C0000}"/>
    <cellStyle name="Total 14 3" xfId="31760" xr:uid="{00000000-0005-0000-0000-0000387C0000}"/>
    <cellStyle name="Total 14 3 2" xfId="31761" xr:uid="{00000000-0005-0000-0000-0000397C0000}"/>
    <cellStyle name="Total 14 4" xfId="31762" xr:uid="{00000000-0005-0000-0000-00003A7C0000}"/>
    <cellStyle name="Total 14 4 2" xfId="31763" xr:uid="{00000000-0005-0000-0000-00003B7C0000}"/>
    <cellStyle name="Total 14 5" xfId="31764" xr:uid="{00000000-0005-0000-0000-00003C7C0000}"/>
    <cellStyle name="Total 14 6" xfId="31765" xr:uid="{00000000-0005-0000-0000-00003D7C0000}"/>
    <cellStyle name="Total 14 7" xfId="31766" xr:uid="{00000000-0005-0000-0000-00003E7C0000}"/>
    <cellStyle name="Total 14 8" xfId="31767" xr:uid="{00000000-0005-0000-0000-00003F7C0000}"/>
    <cellStyle name="Total 14 9" xfId="31768" xr:uid="{00000000-0005-0000-0000-0000407C0000}"/>
    <cellStyle name="Total 15 10" xfId="31769" xr:uid="{00000000-0005-0000-0000-0000417C0000}"/>
    <cellStyle name="Total 15 11" xfId="31770" xr:uid="{00000000-0005-0000-0000-0000427C0000}"/>
    <cellStyle name="Total 15 12" xfId="31771" xr:uid="{00000000-0005-0000-0000-0000437C0000}"/>
    <cellStyle name="Total 15 13" xfId="31772" xr:uid="{00000000-0005-0000-0000-0000447C0000}"/>
    <cellStyle name="Total 15 14" xfId="31773" xr:uid="{00000000-0005-0000-0000-0000457C0000}"/>
    <cellStyle name="Total 15 15" xfId="31774" xr:uid="{00000000-0005-0000-0000-0000467C0000}"/>
    <cellStyle name="Total 15 16" xfId="31775" xr:uid="{00000000-0005-0000-0000-0000477C0000}"/>
    <cellStyle name="Total 15 17" xfId="31776" xr:uid="{00000000-0005-0000-0000-0000487C0000}"/>
    <cellStyle name="Total 15 18" xfId="31777" xr:uid="{00000000-0005-0000-0000-0000497C0000}"/>
    <cellStyle name="Total 15 19" xfId="31778" xr:uid="{00000000-0005-0000-0000-00004A7C0000}"/>
    <cellStyle name="Total 15 2" xfId="31779" xr:uid="{00000000-0005-0000-0000-00004B7C0000}"/>
    <cellStyle name="Total 15 2 2" xfId="31780" xr:uid="{00000000-0005-0000-0000-00004C7C0000}"/>
    <cellStyle name="Total 15 3" xfId="31781" xr:uid="{00000000-0005-0000-0000-00004D7C0000}"/>
    <cellStyle name="Total 15 3 2" xfId="31782" xr:uid="{00000000-0005-0000-0000-00004E7C0000}"/>
    <cellStyle name="Total 15 4" xfId="31783" xr:uid="{00000000-0005-0000-0000-00004F7C0000}"/>
    <cellStyle name="Total 15 4 2" xfId="31784" xr:uid="{00000000-0005-0000-0000-0000507C0000}"/>
    <cellStyle name="Total 15 5" xfId="31785" xr:uid="{00000000-0005-0000-0000-0000517C0000}"/>
    <cellStyle name="Total 15 6" xfId="31786" xr:uid="{00000000-0005-0000-0000-0000527C0000}"/>
    <cellStyle name="Total 15 7" xfId="31787" xr:uid="{00000000-0005-0000-0000-0000537C0000}"/>
    <cellStyle name="Total 15 8" xfId="31788" xr:uid="{00000000-0005-0000-0000-0000547C0000}"/>
    <cellStyle name="Total 15 9" xfId="31789" xr:uid="{00000000-0005-0000-0000-0000557C0000}"/>
    <cellStyle name="Total 16 10" xfId="31790" xr:uid="{00000000-0005-0000-0000-0000567C0000}"/>
    <cellStyle name="Total 16 11" xfId="31791" xr:uid="{00000000-0005-0000-0000-0000577C0000}"/>
    <cellStyle name="Total 16 12" xfId="31792" xr:uid="{00000000-0005-0000-0000-0000587C0000}"/>
    <cellStyle name="Total 16 13" xfId="31793" xr:uid="{00000000-0005-0000-0000-0000597C0000}"/>
    <cellStyle name="Total 16 14" xfId="31794" xr:uid="{00000000-0005-0000-0000-00005A7C0000}"/>
    <cellStyle name="Total 16 15" xfId="31795" xr:uid="{00000000-0005-0000-0000-00005B7C0000}"/>
    <cellStyle name="Total 16 16" xfId="31796" xr:uid="{00000000-0005-0000-0000-00005C7C0000}"/>
    <cellStyle name="Total 16 17" xfId="31797" xr:uid="{00000000-0005-0000-0000-00005D7C0000}"/>
    <cellStyle name="Total 16 18" xfId="31798" xr:uid="{00000000-0005-0000-0000-00005E7C0000}"/>
    <cellStyle name="Total 16 19" xfId="31799" xr:uid="{00000000-0005-0000-0000-00005F7C0000}"/>
    <cellStyle name="Total 16 2" xfId="31800" xr:uid="{00000000-0005-0000-0000-0000607C0000}"/>
    <cellStyle name="Total 16 2 2" xfId="31801" xr:uid="{00000000-0005-0000-0000-0000617C0000}"/>
    <cellStyle name="Total 16 3" xfId="31802" xr:uid="{00000000-0005-0000-0000-0000627C0000}"/>
    <cellStyle name="Total 16 3 2" xfId="31803" xr:uid="{00000000-0005-0000-0000-0000637C0000}"/>
    <cellStyle name="Total 16 4" xfId="31804" xr:uid="{00000000-0005-0000-0000-0000647C0000}"/>
    <cellStyle name="Total 16 4 2" xfId="31805" xr:uid="{00000000-0005-0000-0000-0000657C0000}"/>
    <cellStyle name="Total 16 5" xfId="31806" xr:uid="{00000000-0005-0000-0000-0000667C0000}"/>
    <cellStyle name="Total 16 6" xfId="31807" xr:uid="{00000000-0005-0000-0000-0000677C0000}"/>
    <cellStyle name="Total 16 7" xfId="31808" xr:uid="{00000000-0005-0000-0000-0000687C0000}"/>
    <cellStyle name="Total 16 8" xfId="31809" xr:uid="{00000000-0005-0000-0000-0000697C0000}"/>
    <cellStyle name="Total 16 9" xfId="31810" xr:uid="{00000000-0005-0000-0000-00006A7C0000}"/>
    <cellStyle name="Total 17 10" xfId="31811" xr:uid="{00000000-0005-0000-0000-00006B7C0000}"/>
    <cellStyle name="Total 17 11" xfId="31812" xr:uid="{00000000-0005-0000-0000-00006C7C0000}"/>
    <cellStyle name="Total 17 12" xfId="31813" xr:uid="{00000000-0005-0000-0000-00006D7C0000}"/>
    <cellStyle name="Total 17 13" xfId="31814" xr:uid="{00000000-0005-0000-0000-00006E7C0000}"/>
    <cellStyle name="Total 17 14" xfId="31815" xr:uid="{00000000-0005-0000-0000-00006F7C0000}"/>
    <cellStyle name="Total 17 15" xfId="31816" xr:uid="{00000000-0005-0000-0000-0000707C0000}"/>
    <cellStyle name="Total 17 16" xfId="31817" xr:uid="{00000000-0005-0000-0000-0000717C0000}"/>
    <cellStyle name="Total 17 17" xfId="31818" xr:uid="{00000000-0005-0000-0000-0000727C0000}"/>
    <cellStyle name="Total 17 18" xfId="31819" xr:uid="{00000000-0005-0000-0000-0000737C0000}"/>
    <cellStyle name="Total 17 19" xfId="31820" xr:uid="{00000000-0005-0000-0000-0000747C0000}"/>
    <cellStyle name="Total 17 2" xfId="31821" xr:uid="{00000000-0005-0000-0000-0000757C0000}"/>
    <cellStyle name="Total 17 2 2" xfId="31822" xr:uid="{00000000-0005-0000-0000-0000767C0000}"/>
    <cellStyle name="Total 17 3" xfId="31823" xr:uid="{00000000-0005-0000-0000-0000777C0000}"/>
    <cellStyle name="Total 17 3 2" xfId="31824" xr:uid="{00000000-0005-0000-0000-0000787C0000}"/>
    <cellStyle name="Total 17 4" xfId="31825" xr:uid="{00000000-0005-0000-0000-0000797C0000}"/>
    <cellStyle name="Total 17 4 2" xfId="31826" xr:uid="{00000000-0005-0000-0000-00007A7C0000}"/>
    <cellStyle name="Total 17 5" xfId="31827" xr:uid="{00000000-0005-0000-0000-00007B7C0000}"/>
    <cellStyle name="Total 17 6" xfId="31828" xr:uid="{00000000-0005-0000-0000-00007C7C0000}"/>
    <cellStyle name="Total 17 7" xfId="31829" xr:uid="{00000000-0005-0000-0000-00007D7C0000}"/>
    <cellStyle name="Total 17 8" xfId="31830" xr:uid="{00000000-0005-0000-0000-00007E7C0000}"/>
    <cellStyle name="Total 17 9" xfId="31831" xr:uid="{00000000-0005-0000-0000-00007F7C0000}"/>
    <cellStyle name="Total 18 10" xfId="31832" xr:uid="{00000000-0005-0000-0000-0000807C0000}"/>
    <cellStyle name="Total 18 11" xfId="31833" xr:uid="{00000000-0005-0000-0000-0000817C0000}"/>
    <cellStyle name="Total 18 12" xfId="31834" xr:uid="{00000000-0005-0000-0000-0000827C0000}"/>
    <cellStyle name="Total 18 13" xfId="31835" xr:uid="{00000000-0005-0000-0000-0000837C0000}"/>
    <cellStyle name="Total 18 14" xfId="31836" xr:uid="{00000000-0005-0000-0000-0000847C0000}"/>
    <cellStyle name="Total 18 15" xfId="31837" xr:uid="{00000000-0005-0000-0000-0000857C0000}"/>
    <cellStyle name="Total 18 16" xfId="31838" xr:uid="{00000000-0005-0000-0000-0000867C0000}"/>
    <cellStyle name="Total 18 17" xfId="31839" xr:uid="{00000000-0005-0000-0000-0000877C0000}"/>
    <cellStyle name="Total 18 18" xfId="31840" xr:uid="{00000000-0005-0000-0000-0000887C0000}"/>
    <cellStyle name="Total 18 19" xfId="31841" xr:uid="{00000000-0005-0000-0000-0000897C0000}"/>
    <cellStyle name="Total 18 2" xfId="31842" xr:uid="{00000000-0005-0000-0000-00008A7C0000}"/>
    <cellStyle name="Total 18 2 2" xfId="31843" xr:uid="{00000000-0005-0000-0000-00008B7C0000}"/>
    <cellStyle name="Total 18 3" xfId="31844" xr:uid="{00000000-0005-0000-0000-00008C7C0000}"/>
    <cellStyle name="Total 18 3 2" xfId="31845" xr:uid="{00000000-0005-0000-0000-00008D7C0000}"/>
    <cellStyle name="Total 18 4" xfId="31846" xr:uid="{00000000-0005-0000-0000-00008E7C0000}"/>
    <cellStyle name="Total 18 4 2" xfId="31847" xr:uid="{00000000-0005-0000-0000-00008F7C0000}"/>
    <cellStyle name="Total 18 5" xfId="31848" xr:uid="{00000000-0005-0000-0000-0000907C0000}"/>
    <cellStyle name="Total 18 6" xfId="31849" xr:uid="{00000000-0005-0000-0000-0000917C0000}"/>
    <cellStyle name="Total 18 7" xfId="31850" xr:uid="{00000000-0005-0000-0000-0000927C0000}"/>
    <cellStyle name="Total 18 8" xfId="31851" xr:uid="{00000000-0005-0000-0000-0000937C0000}"/>
    <cellStyle name="Total 18 9" xfId="31852" xr:uid="{00000000-0005-0000-0000-0000947C0000}"/>
    <cellStyle name="Total 19 10" xfId="31853" xr:uid="{00000000-0005-0000-0000-0000957C0000}"/>
    <cellStyle name="Total 19 11" xfId="31854" xr:uid="{00000000-0005-0000-0000-0000967C0000}"/>
    <cellStyle name="Total 19 12" xfId="31855" xr:uid="{00000000-0005-0000-0000-0000977C0000}"/>
    <cellStyle name="Total 19 13" xfId="31856" xr:uid="{00000000-0005-0000-0000-0000987C0000}"/>
    <cellStyle name="Total 19 14" xfId="31857" xr:uid="{00000000-0005-0000-0000-0000997C0000}"/>
    <cellStyle name="Total 19 15" xfId="31858" xr:uid="{00000000-0005-0000-0000-00009A7C0000}"/>
    <cellStyle name="Total 19 16" xfId="31859" xr:uid="{00000000-0005-0000-0000-00009B7C0000}"/>
    <cellStyle name="Total 19 17" xfId="31860" xr:uid="{00000000-0005-0000-0000-00009C7C0000}"/>
    <cellStyle name="Total 19 18" xfId="31861" xr:uid="{00000000-0005-0000-0000-00009D7C0000}"/>
    <cellStyle name="Total 19 19" xfId="31862" xr:uid="{00000000-0005-0000-0000-00009E7C0000}"/>
    <cellStyle name="Total 19 2" xfId="31863" xr:uid="{00000000-0005-0000-0000-00009F7C0000}"/>
    <cellStyle name="Total 19 2 2" xfId="31864" xr:uid="{00000000-0005-0000-0000-0000A07C0000}"/>
    <cellStyle name="Total 19 3" xfId="31865" xr:uid="{00000000-0005-0000-0000-0000A17C0000}"/>
    <cellStyle name="Total 19 3 2" xfId="31866" xr:uid="{00000000-0005-0000-0000-0000A27C0000}"/>
    <cellStyle name="Total 19 4" xfId="31867" xr:uid="{00000000-0005-0000-0000-0000A37C0000}"/>
    <cellStyle name="Total 19 4 2" xfId="31868" xr:uid="{00000000-0005-0000-0000-0000A47C0000}"/>
    <cellStyle name="Total 19 5" xfId="31869" xr:uid="{00000000-0005-0000-0000-0000A57C0000}"/>
    <cellStyle name="Total 19 6" xfId="31870" xr:uid="{00000000-0005-0000-0000-0000A67C0000}"/>
    <cellStyle name="Total 19 7" xfId="31871" xr:uid="{00000000-0005-0000-0000-0000A77C0000}"/>
    <cellStyle name="Total 19 8" xfId="31872" xr:uid="{00000000-0005-0000-0000-0000A87C0000}"/>
    <cellStyle name="Total 19 9" xfId="31873" xr:uid="{00000000-0005-0000-0000-0000A97C0000}"/>
    <cellStyle name="Total 2 10" xfId="31874" xr:uid="{00000000-0005-0000-0000-0000AA7C0000}"/>
    <cellStyle name="Total 2 11" xfId="31875" xr:uid="{00000000-0005-0000-0000-0000AB7C0000}"/>
    <cellStyle name="Total 2 12" xfId="31876" xr:uid="{00000000-0005-0000-0000-0000AC7C0000}"/>
    <cellStyle name="Total 2 13" xfId="31877" xr:uid="{00000000-0005-0000-0000-0000AD7C0000}"/>
    <cellStyle name="Total 2 14" xfId="31878" xr:uid="{00000000-0005-0000-0000-0000AE7C0000}"/>
    <cellStyle name="Total 2 15" xfId="31879" xr:uid="{00000000-0005-0000-0000-0000AF7C0000}"/>
    <cellStyle name="Total 2 16" xfId="31880" xr:uid="{00000000-0005-0000-0000-0000B07C0000}"/>
    <cellStyle name="Total 2 17" xfId="31881" xr:uid="{00000000-0005-0000-0000-0000B17C0000}"/>
    <cellStyle name="Total 2 18" xfId="31882" xr:uid="{00000000-0005-0000-0000-0000B27C0000}"/>
    <cellStyle name="Total 2 19" xfId="31883" xr:uid="{00000000-0005-0000-0000-0000B37C0000}"/>
    <cellStyle name="Total 2 2" xfId="31884" xr:uid="{00000000-0005-0000-0000-0000B47C0000}"/>
    <cellStyle name="Total 2 2 2" xfId="31885" xr:uid="{00000000-0005-0000-0000-0000B57C0000}"/>
    <cellStyle name="Total 2 3" xfId="31886" xr:uid="{00000000-0005-0000-0000-0000B67C0000}"/>
    <cellStyle name="Total 2 3 2" xfId="31887" xr:uid="{00000000-0005-0000-0000-0000B77C0000}"/>
    <cellStyle name="Total 2 4" xfId="31888" xr:uid="{00000000-0005-0000-0000-0000B87C0000}"/>
    <cellStyle name="Total 2 4 2" xfId="31889" xr:uid="{00000000-0005-0000-0000-0000B97C0000}"/>
    <cellStyle name="Total 2 5" xfId="31890" xr:uid="{00000000-0005-0000-0000-0000BA7C0000}"/>
    <cellStyle name="Total 2 6" xfId="31891" xr:uid="{00000000-0005-0000-0000-0000BB7C0000}"/>
    <cellStyle name="Total 2 7" xfId="31892" xr:uid="{00000000-0005-0000-0000-0000BC7C0000}"/>
    <cellStyle name="Total 2 8" xfId="31893" xr:uid="{00000000-0005-0000-0000-0000BD7C0000}"/>
    <cellStyle name="Total 2 9" xfId="31894" xr:uid="{00000000-0005-0000-0000-0000BE7C0000}"/>
    <cellStyle name="Total 20 10" xfId="31895" xr:uid="{00000000-0005-0000-0000-0000BF7C0000}"/>
    <cellStyle name="Total 20 11" xfId="31896" xr:uid="{00000000-0005-0000-0000-0000C07C0000}"/>
    <cellStyle name="Total 20 12" xfId="31897" xr:uid="{00000000-0005-0000-0000-0000C17C0000}"/>
    <cellStyle name="Total 20 13" xfId="31898" xr:uid="{00000000-0005-0000-0000-0000C27C0000}"/>
    <cellStyle name="Total 20 14" xfId="31899" xr:uid="{00000000-0005-0000-0000-0000C37C0000}"/>
    <cellStyle name="Total 20 15" xfId="31900" xr:uid="{00000000-0005-0000-0000-0000C47C0000}"/>
    <cellStyle name="Total 20 16" xfId="31901" xr:uid="{00000000-0005-0000-0000-0000C57C0000}"/>
    <cellStyle name="Total 20 17" xfId="31902" xr:uid="{00000000-0005-0000-0000-0000C67C0000}"/>
    <cellStyle name="Total 20 18" xfId="31903" xr:uid="{00000000-0005-0000-0000-0000C77C0000}"/>
    <cellStyle name="Total 20 19" xfId="31904" xr:uid="{00000000-0005-0000-0000-0000C87C0000}"/>
    <cellStyle name="Total 20 2" xfId="31905" xr:uid="{00000000-0005-0000-0000-0000C97C0000}"/>
    <cellStyle name="Total 20 2 2" xfId="31906" xr:uid="{00000000-0005-0000-0000-0000CA7C0000}"/>
    <cellStyle name="Total 20 3" xfId="31907" xr:uid="{00000000-0005-0000-0000-0000CB7C0000}"/>
    <cellStyle name="Total 20 3 2" xfId="31908" xr:uid="{00000000-0005-0000-0000-0000CC7C0000}"/>
    <cellStyle name="Total 20 4" xfId="31909" xr:uid="{00000000-0005-0000-0000-0000CD7C0000}"/>
    <cellStyle name="Total 20 4 2" xfId="31910" xr:uid="{00000000-0005-0000-0000-0000CE7C0000}"/>
    <cellStyle name="Total 20 5" xfId="31911" xr:uid="{00000000-0005-0000-0000-0000CF7C0000}"/>
    <cellStyle name="Total 20 6" xfId="31912" xr:uid="{00000000-0005-0000-0000-0000D07C0000}"/>
    <cellStyle name="Total 20 7" xfId="31913" xr:uid="{00000000-0005-0000-0000-0000D17C0000}"/>
    <cellStyle name="Total 20 8" xfId="31914" xr:uid="{00000000-0005-0000-0000-0000D27C0000}"/>
    <cellStyle name="Total 20 9" xfId="31915" xr:uid="{00000000-0005-0000-0000-0000D37C0000}"/>
    <cellStyle name="Total 21 10" xfId="31916" xr:uid="{00000000-0005-0000-0000-0000D47C0000}"/>
    <cellStyle name="Total 21 11" xfId="31917" xr:uid="{00000000-0005-0000-0000-0000D57C0000}"/>
    <cellStyle name="Total 21 12" xfId="31918" xr:uid="{00000000-0005-0000-0000-0000D67C0000}"/>
    <cellStyle name="Total 21 13" xfId="31919" xr:uid="{00000000-0005-0000-0000-0000D77C0000}"/>
    <cellStyle name="Total 21 14" xfId="31920" xr:uid="{00000000-0005-0000-0000-0000D87C0000}"/>
    <cellStyle name="Total 21 15" xfId="31921" xr:uid="{00000000-0005-0000-0000-0000D97C0000}"/>
    <cellStyle name="Total 21 16" xfId="31922" xr:uid="{00000000-0005-0000-0000-0000DA7C0000}"/>
    <cellStyle name="Total 21 17" xfId="31923" xr:uid="{00000000-0005-0000-0000-0000DB7C0000}"/>
    <cellStyle name="Total 21 18" xfId="31924" xr:uid="{00000000-0005-0000-0000-0000DC7C0000}"/>
    <cellStyle name="Total 21 19" xfId="31925" xr:uid="{00000000-0005-0000-0000-0000DD7C0000}"/>
    <cellStyle name="Total 21 2" xfId="31926" xr:uid="{00000000-0005-0000-0000-0000DE7C0000}"/>
    <cellStyle name="Total 21 2 2" xfId="31927" xr:uid="{00000000-0005-0000-0000-0000DF7C0000}"/>
    <cellStyle name="Total 21 3" xfId="31928" xr:uid="{00000000-0005-0000-0000-0000E07C0000}"/>
    <cellStyle name="Total 21 3 2" xfId="31929" xr:uid="{00000000-0005-0000-0000-0000E17C0000}"/>
    <cellStyle name="Total 21 4" xfId="31930" xr:uid="{00000000-0005-0000-0000-0000E27C0000}"/>
    <cellStyle name="Total 21 4 2" xfId="31931" xr:uid="{00000000-0005-0000-0000-0000E37C0000}"/>
    <cellStyle name="Total 21 5" xfId="31932" xr:uid="{00000000-0005-0000-0000-0000E47C0000}"/>
    <cellStyle name="Total 21 6" xfId="31933" xr:uid="{00000000-0005-0000-0000-0000E57C0000}"/>
    <cellStyle name="Total 21 7" xfId="31934" xr:uid="{00000000-0005-0000-0000-0000E67C0000}"/>
    <cellStyle name="Total 21 8" xfId="31935" xr:uid="{00000000-0005-0000-0000-0000E77C0000}"/>
    <cellStyle name="Total 21 9" xfId="31936" xr:uid="{00000000-0005-0000-0000-0000E87C0000}"/>
    <cellStyle name="Total 22 10" xfId="31937" xr:uid="{00000000-0005-0000-0000-0000E97C0000}"/>
    <cellStyle name="Total 22 11" xfId="31938" xr:uid="{00000000-0005-0000-0000-0000EA7C0000}"/>
    <cellStyle name="Total 22 12" xfId="31939" xr:uid="{00000000-0005-0000-0000-0000EB7C0000}"/>
    <cellStyle name="Total 22 13" xfId="31940" xr:uid="{00000000-0005-0000-0000-0000EC7C0000}"/>
    <cellStyle name="Total 22 14" xfId="31941" xr:uid="{00000000-0005-0000-0000-0000ED7C0000}"/>
    <cellStyle name="Total 22 15" xfId="31942" xr:uid="{00000000-0005-0000-0000-0000EE7C0000}"/>
    <cellStyle name="Total 22 16" xfId="31943" xr:uid="{00000000-0005-0000-0000-0000EF7C0000}"/>
    <cellStyle name="Total 22 17" xfId="31944" xr:uid="{00000000-0005-0000-0000-0000F07C0000}"/>
    <cellStyle name="Total 22 18" xfId="31945" xr:uid="{00000000-0005-0000-0000-0000F17C0000}"/>
    <cellStyle name="Total 22 19" xfId="31946" xr:uid="{00000000-0005-0000-0000-0000F27C0000}"/>
    <cellStyle name="Total 22 2" xfId="31947" xr:uid="{00000000-0005-0000-0000-0000F37C0000}"/>
    <cellStyle name="Total 22 2 2" xfId="31948" xr:uid="{00000000-0005-0000-0000-0000F47C0000}"/>
    <cellStyle name="Total 22 3" xfId="31949" xr:uid="{00000000-0005-0000-0000-0000F57C0000}"/>
    <cellStyle name="Total 22 3 2" xfId="31950" xr:uid="{00000000-0005-0000-0000-0000F67C0000}"/>
    <cellStyle name="Total 22 4" xfId="31951" xr:uid="{00000000-0005-0000-0000-0000F77C0000}"/>
    <cellStyle name="Total 22 4 2" xfId="31952" xr:uid="{00000000-0005-0000-0000-0000F87C0000}"/>
    <cellStyle name="Total 22 5" xfId="31953" xr:uid="{00000000-0005-0000-0000-0000F97C0000}"/>
    <cellStyle name="Total 22 6" xfId="31954" xr:uid="{00000000-0005-0000-0000-0000FA7C0000}"/>
    <cellStyle name="Total 22 7" xfId="31955" xr:uid="{00000000-0005-0000-0000-0000FB7C0000}"/>
    <cellStyle name="Total 22 8" xfId="31956" xr:uid="{00000000-0005-0000-0000-0000FC7C0000}"/>
    <cellStyle name="Total 22 9" xfId="31957" xr:uid="{00000000-0005-0000-0000-0000FD7C0000}"/>
    <cellStyle name="Total 23 10" xfId="31958" xr:uid="{00000000-0005-0000-0000-0000FE7C0000}"/>
    <cellStyle name="Total 23 11" xfId="31959" xr:uid="{00000000-0005-0000-0000-0000FF7C0000}"/>
    <cellStyle name="Total 23 12" xfId="31960" xr:uid="{00000000-0005-0000-0000-0000007D0000}"/>
    <cellStyle name="Total 23 13" xfId="31961" xr:uid="{00000000-0005-0000-0000-0000017D0000}"/>
    <cellStyle name="Total 23 14" xfId="31962" xr:uid="{00000000-0005-0000-0000-0000027D0000}"/>
    <cellStyle name="Total 23 15" xfId="31963" xr:uid="{00000000-0005-0000-0000-0000037D0000}"/>
    <cellStyle name="Total 23 16" xfId="31964" xr:uid="{00000000-0005-0000-0000-0000047D0000}"/>
    <cellStyle name="Total 23 17" xfId="31965" xr:uid="{00000000-0005-0000-0000-0000057D0000}"/>
    <cellStyle name="Total 23 18" xfId="31966" xr:uid="{00000000-0005-0000-0000-0000067D0000}"/>
    <cellStyle name="Total 23 19" xfId="31967" xr:uid="{00000000-0005-0000-0000-0000077D0000}"/>
    <cellStyle name="Total 23 2" xfId="31968" xr:uid="{00000000-0005-0000-0000-0000087D0000}"/>
    <cellStyle name="Total 23 2 2" xfId="31969" xr:uid="{00000000-0005-0000-0000-0000097D0000}"/>
    <cellStyle name="Total 23 3" xfId="31970" xr:uid="{00000000-0005-0000-0000-00000A7D0000}"/>
    <cellStyle name="Total 23 3 2" xfId="31971" xr:uid="{00000000-0005-0000-0000-00000B7D0000}"/>
    <cellStyle name="Total 23 4" xfId="31972" xr:uid="{00000000-0005-0000-0000-00000C7D0000}"/>
    <cellStyle name="Total 23 4 2" xfId="31973" xr:uid="{00000000-0005-0000-0000-00000D7D0000}"/>
    <cellStyle name="Total 23 5" xfId="31974" xr:uid="{00000000-0005-0000-0000-00000E7D0000}"/>
    <cellStyle name="Total 23 6" xfId="31975" xr:uid="{00000000-0005-0000-0000-00000F7D0000}"/>
    <cellStyle name="Total 23 7" xfId="31976" xr:uid="{00000000-0005-0000-0000-0000107D0000}"/>
    <cellStyle name="Total 23 8" xfId="31977" xr:uid="{00000000-0005-0000-0000-0000117D0000}"/>
    <cellStyle name="Total 23 9" xfId="31978" xr:uid="{00000000-0005-0000-0000-0000127D0000}"/>
    <cellStyle name="Total 24 10" xfId="31979" xr:uid="{00000000-0005-0000-0000-0000137D0000}"/>
    <cellStyle name="Total 24 11" xfId="31980" xr:uid="{00000000-0005-0000-0000-0000147D0000}"/>
    <cellStyle name="Total 24 12" xfId="31981" xr:uid="{00000000-0005-0000-0000-0000157D0000}"/>
    <cellStyle name="Total 24 13" xfId="31982" xr:uid="{00000000-0005-0000-0000-0000167D0000}"/>
    <cellStyle name="Total 24 14" xfId="31983" xr:uid="{00000000-0005-0000-0000-0000177D0000}"/>
    <cellStyle name="Total 24 15" xfId="31984" xr:uid="{00000000-0005-0000-0000-0000187D0000}"/>
    <cellStyle name="Total 24 16" xfId="31985" xr:uid="{00000000-0005-0000-0000-0000197D0000}"/>
    <cellStyle name="Total 24 17" xfId="31986" xr:uid="{00000000-0005-0000-0000-00001A7D0000}"/>
    <cellStyle name="Total 24 18" xfId="31987" xr:uid="{00000000-0005-0000-0000-00001B7D0000}"/>
    <cellStyle name="Total 24 19" xfId="31988" xr:uid="{00000000-0005-0000-0000-00001C7D0000}"/>
    <cellStyle name="Total 24 2" xfId="31989" xr:uid="{00000000-0005-0000-0000-00001D7D0000}"/>
    <cellStyle name="Total 24 2 2" xfId="31990" xr:uid="{00000000-0005-0000-0000-00001E7D0000}"/>
    <cellStyle name="Total 24 3" xfId="31991" xr:uid="{00000000-0005-0000-0000-00001F7D0000}"/>
    <cellStyle name="Total 24 3 2" xfId="31992" xr:uid="{00000000-0005-0000-0000-0000207D0000}"/>
    <cellStyle name="Total 24 4" xfId="31993" xr:uid="{00000000-0005-0000-0000-0000217D0000}"/>
    <cellStyle name="Total 24 4 2" xfId="31994" xr:uid="{00000000-0005-0000-0000-0000227D0000}"/>
    <cellStyle name="Total 24 5" xfId="31995" xr:uid="{00000000-0005-0000-0000-0000237D0000}"/>
    <cellStyle name="Total 24 6" xfId="31996" xr:uid="{00000000-0005-0000-0000-0000247D0000}"/>
    <cellStyle name="Total 24 7" xfId="31997" xr:uid="{00000000-0005-0000-0000-0000257D0000}"/>
    <cellStyle name="Total 24 8" xfId="31998" xr:uid="{00000000-0005-0000-0000-0000267D0000}"/>
    <cellStyle name="Total 24 9" xfId="31999" xr:uid="{00000000-0005-0000-0000-0000277D0000}"/>
    <cellStyle name="Total 25 10" xfId="32000" xr:uid="{00000000-0005-0000-0000-0000287D0000}"/>
    <cellStyle name="Total 25 11" xfId="32001" xr:uid="{00000000-0005-0000-0000-0000297D0000}"/>
    <cellStyle name="Total 25 12" xfId="32002" xr:uid="{00000000-0005-0000-0000-00002A7D0000}"/>
    <cellStyle name="Total 25 13" xfId="32003" xr:uid="{00000000-0005-0000-0000-00002B7D0000}"/>
    <cellStyle name="Total 25 14" xfId="32004" xr:uid="{00000000-0005-0000-0000-00002C7D0000}"/>
    <cellStyle name="Total 25 15" xfId="32005" xr:uid="{00000000-0005-0000-0000-00002D7D0000}"/>
    <cellStyle name="Total 25 16" xfId="32006" xr:uid="{00000000-0005-0000-0000-00002E7D0000}"/>
    <cellStyle name="Total 25 17" xfId="32007" xr:uid="{00000000-0005-0000-0000-00002F7D0000}"/>
    <cellStyle name="Total 25 18" xfId="32008" xr:uid="{00000000-0005-0000-0000-0000307D0000}"/>
    <cellStyle name="Total 25 19" xfId="32009" xr:uid="{00000000-0005-0000-0000-0000317D0000}"/>
    <cellStyle name="Total 25 2" xfId="32010" xr:uid="{00000000-0005-0000-0000-0000327D0000}"/>
    <cellStyle name="Total 25 2 2" xfId="32011" xr:uid="{00000000-0005-0000-0000-0000337D0000}"/>
    <cellStyle name="Total 25 3" xfId="32012" xr:uid="{00000000-0005-0000-0000-0000347D0000}"/>
    <cellStyle name="Total 25 3 2" xfId="32013" xr:uid="{00000000-0005-0000-0000-0000357D0000}"/>
    <cellStyle name="Total 25 4" xfId="32014" xr:uid="{00000000-0005-0000-0000-0000367D0000}"/>
    <cellStyle name="Total 25 4 2" xfId="32015" xr:uid="{00000000-0005-0000-0000-0000377D0000}"/>
    <cellStyle name="Total 25 5" xfId="32016" xr:uid="{00000000-0005-0000-0000-0000387D0000}"/>
    <cellStyle name="Total 25 6" xfId="32017" xr:uid="{00000000-0005-0000-0000-0000397D0000}"/>
    <cellStyle name="Total 25 7" xfId="32018" xr:uid="{00000000-0005-0000-0000-00003A7D0000}"/>
    <cellStyle name="Total 25 8" xfId="32019" xr:uid="{00000000-0005-0000-0000-00003B7D0000}"/>
    <cellStyle name="Total 25 9" xfId="32020" xr:uid="{00000000-0005-0000-0000-00003C7D0000}"/>
    <cellStyle name="Total 26 10" xfId="32021" xr:uid="{00000000-0005-0000-0000-00003D7D0000}"/>
    <cellStyle name="Total 26 11" xfId="32022" xr:uid="{00000000-0005-0000-0000-00003E7D0000}"/>
    <cellStyle name="Total 26 12" xfId="32023" xr:uid="{00000000-0005-0000-0000-00003F7D0000}"/>
    <cellStyle name="Total 26 13" xfId="32024" xr:uid="{00000000-0005-0000-0000-0000407D0000}"/>
    <cellStyle name="Total 26 14" xfId="32025" xr:uid="{00000000-0005-0000-0000-0000417D0000}"/>
    <cellStyle name="Total 26 15" xfId="32026" xr:uid="{00000000-0005-0000-0000-0000427D0000}"/>
    <cellStyle name="Total 26 16" xfId="32027" xr:uid="{00000000-0005-0000-0000-0000437D0000}"/>
    <cellStyle name="Total 26 17" xfId="32028" xr:uid="{00000000-0005-0000-0000-0000447D0000}"/>
    <cellStyle name="Total 26 18" xfId="32029" xr:uid="{00000000-0005-0000-0000-0000457D0000}"/>
    <cellStyle name="Total 26 19" xfId="32030" xr:uid="{00000000-0005-0000-0000-0000467D0000}"/>
    <cellStyle name="Total 26 2" xfId="32031" xr:uid="{00000000-0005-0000-0000-0000477D0000}"/>
    <cellStyle name="Total 26 2 2" xfId="32032" xr:uid="{00000000-0005-0000-0000-0000487D0000}"/>
    <cellStyle name="Total 26 3" xfId="32033" xr:uid="{00000000-0005-0000-0000-0000497D0000}"/>
    <cellStyle name="Total 26 3 2" xfId="32034" xr:uid="{00000000-0005-0000-0000-00004A7D0000}"/>
    <cellStyle name="Total 26 4" xfId="32035" xr:uid="{00000000-0005-0000-0000-00004B7D0000}"/>
    <cellStyle name="Total 26 4 2" xfId="32036" xr:uid="{00000000-0005-0000-0000-00004C7D0000}"/>
    <cellStyle name="Total 26 5" xfId="32037" xr:uid="{00000000-0005-0000-0000-00004D7D0000}"/>
    <cellStyle name="Total 26 6" xfId="32038" xr:uid="{00000000-0005-0000-0000-00004E7D0000}"/>
    <cellStyle name="Total 26 7" xfId="32039" xr:uid="{00000000-0005-0000-0000-00004F7D0000}"/>
    <cellStyle name="Total 26 8" xfId="32040" xr:uid="{00000000-0005-0000-0000-0000507D0000}"/>
    <cellStyle name="Total 26 9" xfId="32041" xr:uid="{00000000-0005-0000-0000-0000517D0000}"/>
    <cellStyle name="Total 27 10" xfId="32042" xr:uid="{00000000-0005-0000-0000-0000527D0000}"/>
    <cellStyle name="Total 27 11" xfId="32043" xr:uid="{00000000-0005-0000-0000-0000537D0000}"/>
    <cellStyle name="Total 27 12" xfId="32044" xr:uid="{00000000-0005-0000-0000-0000547D0000}"/>
    <cellStyle name="Total 27 13" xfId="32045" xr:uid="{00000000-0005-0000-0000-0000557D0000}"/>
    <cellStyle name="Total 27 14" xfId="32046" xr:uid="{00000000-0005-0000-0000-0000567D0000}"/>
    <cellStyle name="Total 27 15" xfId="32047" xr:uid="{00000000-0005-0000-0000-0000577D0000}"/>
    <cellStyle name="Total 27 16" xfId="32048" xr:uid="{00000000-0005-0000-0000-0000587D0000}"/>
    <cellStyle name="Total 27 17" xfId="32049" xr:uid="{00000000-0005-0000-0000-0000597D0000}"/>
    <cellStyle name="Total 27 18" xfId="32050" xr:uid="{00000000-0005-0000-0000-00005A7D0000}"/>
    <cellStyle name="Total 27 19" xfId="32051" xr:uid="{00000000-0005-0000-0000-00005B7D0000}"/>
    <cellStyle name="Total 27 2" xfId="32052" xr:uid="{00000000-0005-0000-0000-00005C7D0000}"/>
    <cellStyle name="Total 27 2 2" xfId="32053" xr:uid="{00000000-0005-0000-0000-00005D7D0000}"/>
    <cellStyle name="Total 27 3" xfId="32054" xr:uid="{00000000-0005-0000-0000-00005E7D0000}"/>
    <cellStyle name="Total 27 3 2" xfId="32055" xr:uid="{00000000-0005-0000-0000-00005F7D0000}"/>
    <cellStyle name="Total 27 4" xfId="32056" xr:uid="{00000000-0005-0000-0000-0000607D0000}"/>
    <cellStyle name="Total 27 4 2" xfId="32057" xr:uid="{00000000-0005-0000-0000-0000617D0000}"/>
    <cellStyle name="Total 27 5" xfId="32058" xr:uid="{00000000-0005-0000-0000-0000627D0000}"/>
    <cellStyle name="Total 27 6" xfId="32059" xr:uid="{00000000-0005-0000-0000-0000637D0000}"/>
    <cellStyle name="Total 27 7" xfId="32060" xr:uid="{00000000-0005-0000-0000-0000647D0000}"/>
    <cellStyle name="Total 27 8" xfId="32061" xr:uid="{00000000-0005-0000-0000-0000657D0000}"/>
    <cellStyle name="Total 27 9" xfId="32062" xr:uid="{00000000-0005-0000-0000-0000667D0000}"/>
    <cellStyle name="Total 28 10" xfId="32063" xr:uid="{00000000-0005-0000-0000-0000677D0000}"/>
    <cellStyle name="Total 28 11" xfId="32064" xr:uid="{00000000-0005-0000-0000-0000687D0000}"/>
    <cellStyle name="Total 28 12" xfId="32065" xr:uid="{00000000-0005-0000-0000-0000697D0000}"/>
    <cellStyle name="Total 28 13" xfId="32066" xr:uid="{00000000-0005-0000-0000-00006A7D0000}"/>
    <cellStyle name="Total 28 14" xfId="32067" xr:uid="{00000000-0005-0000-0000-00006B7D0000}"/>
    <cellStyle name="Total 28 15" xfId="32068" xr:uid="{00000000-0005-0000-0000-00006C7D0000}"/>
    <cellStyle name="Total 28 16" xfId="32069" xr:uid="{00000000-0005-0000-0000-00006D7D0000}"/>
    <cellStyle name="Total 28 17" xfId="32070" xr:uid="{00000000-0005-0000-0000-00006E7D0000}"/>
    <cellStyle name="Total 28 18" xfId="32071" xr:uid="{00000000-0005-0000-0000-00006F7D0000}"/>
    <cellStyle name="Total 28 19" xfId="32072" xr:uid="{00000000-0005-0000-0000-0000707D0000}"/>
    <cellStyle name="Total 28 2" xfId="32073" xr:uid="{00000000-0005-0000-0000-0000717D0000}"/>
    <cellStyle name="Total 28 2 2" xfId="32074" xr:uid="{00000000-0005-0000-0000-0000727D0000}"/>
    <cellStyle name="Total 28 3" xfId="32075" xr:uid="{00000000-0005-0000-0000-0000737D0000}"/>
    <cellStyle name="Total 28 3 2" xfId="32076" xr:uid="{00000000-0005-0000-0000-0000747D0000}"/>
    <cellStyle name="Total 28 4" xfId="32077" xr:uid="{00000000-0005-0000-0000-0000757D0000}"/>
    <cellStyle name="Total 28 4 2" xfId="32078" xr:uid="{00000000-0005-0000-0000-0000767D0000}"/>
    <cellStyle name="Total 28 5" xfId="32079" xr:uid="{00000000-0005-0000-0000-0000777D0000}"/>
    <cellStyle name="Total 28 6" xfId="32080" xr:uid="{00000000-0005-0000-0000-0000787D0000}"/>
    <cellStyle name="Total 28 7" xfId="32081" xr:uid="{00000000-0005-0000-0000-0000797D0000}"/>
    <cellStyle name="Total 28 8" xfId="32082" xr:uid="{00000000-0005-0000-0000-00007A7D0000}"/>
    <cellStyle name="Total 28 9" xfId="32083" xr:uid="{00000000-0005-0000-0000-00007B7D0000}"/>
    <cellStyle name="Total 29 10" xfId="32084" xr:uid="{00000000-0005-0000-0000-00007C7D0000}"/>
    <cellStyle name="Total 29 11" xfId="32085" xr:uid="{00000000-0005-0000-0000-00007D7D0000}"/>
    <cellStyle name="Total 29 12" xfId="32086" xr:uid="{00000000-0005-0000-0000-00007E7D0000}"/>
    <cellStyle name="Total 29 13" xfId="32087" xr:uid="{00000000-0005-0000-0000-00007F7D0000}"/>
    <cellStyle name="Total 29 14" xfId="32088" xr:uid="{00000000-0005-0000-0000-0000807D0000}"/>
    <cellStyle name="Total 29 15" xfId="32089" xr:uid="{00000000-0005-0000-0000-0000817D0000}"/>
    <cellStyle name="Total 29 16" xfId="32090" xr:uid="{00000000-0005-0000-0000-0000827D0000}"/>
    <cellStyle name="Total 29 17" xfId="32091" xr:uid="{00000000-0005-0000-0000-0000837D0000}"/>
    <cellStyle name="Total 29 18" xfId="32092" xr:uid="{00000000-0005-0000-0000-0000847D0000}"/>
    <cellStyle name="Total 29 19" xfId="32093" xr:uid="{00000000-0005-0000-0000-0000857D0000}"/>
    <cellStyle name="Total 29 2" xfId="32094" xr:uid="{00000000-0005-0000-0000-0000867D0000}"/>
    <cellStyle name="Total 29 2 2" xfId="32095" xr:uid="{00000000-0005-0000-0000-0000877D0000}"/>
    <cellStyle name="Total 29 3" xfId="32096" xr:uid="{00000000-0005-0000-0000-0000887D0000}"/>
    <cellStyle name="Total 29 3 2" xfId="32097" xr:uid="{00000000-0005-0000-0000-0000897D0000}"/>
    <cellStyle name="Total 29 4" xfId="32098" xr:uid="{00000000-0005-0000-0000-00008A7D0000}"/>
    <cellStyle name="Total 29 4 2" xfId="32099" xr:uid="{00000000-0005-0000-0000-00008B7D0000}"/>
    <cellStyle name="Total 29 5" xfId="32100" xr:uid="{00000000-0005-0000-0000-00008C7D0000}"/>
    <cellStyle name="Total 29 6" xfId="32101" xr:uid="{00000000-0005-0000-0000-00008D7D0000}"/>
    <cellStyle name="Total 29 7" xfId="32102" xr:uid="{00000000-0005-0000-0000-00008E7D0000}"/>
    <cellStyle name="Total 29 8" xfId="32103" xr:uid="{00000000-0005-0000-0000-00008F7D0000}"/>
    <cellStyle name="Total 29 9" xfId="32104" xr:uid="{00000000-0005-0000-0000-0000907D0000}"/>
    <cellStyle name="Total 3 10" xfId="32105" xr:uid="{00000000-0005-0000-0000-0000917D0000}"/>
    <cellStyle name="Total 3 11" xfId="32106" xr:uid="{00000000-0005-0000-0000-0000927D0000}"/>
    <cellStyle name="Total 3 12" xfId="32107" xr:uid="{00000000-0005-0000-0000-0000937D0000}"/>
    <cellStyle name="Total 3 13" xfId="32108" xr:uid="{00000000-0005-0000-0000-0000947D0000}"/>
    <cellStyle name="Total 3 14" xfId="32109" xr:uid="{00000000-0005-0000-0000-0000957D0000}"/>
    <cellStyle name="Total 3 15" xfId="32110" xr:uid="{00000000-0005-0000-0000-0000967D0000}"/>
    <cellStyle name="Total 3 16" xfId="32111" xr:uid="{00000000-0005-0000-0000-0000977D0000}"/>
    <cellStyle name="Total 3 17" xfId="32112" xr:uid="{00000000-0005-0000-0000-0000987D0000}"/>
    <cellStyle name="Total 3 18" xfId="32113" xr:uid="{00000000-0005-0000-0000-0000997D0000}"/>
    <cellStyle name="Total 3 19" xfId="32114" xr:uid="{00000000-0005-0000-0000-00009A7D0000}"/>
    <cellStyle name="Total 3 2" xfId="32115" xr:uid="{00000000-0005-0000-0000-00009B7D0000}"/>
    <cellStyle name="Total 3 2 2" xfId="32116" xr:uid="{00000000-0005-0000-0000-00009C7D0000}"/>
    <cellStyle name="Total 3 3" xfId="32117" xr:uid="{00000000-0005-0000-0000-00009D7D0000}"/>
    <cellStyle name="Total 3 3 2" xfId="32118" xr:uid="{00000000-0005-0000-0000-00009E7D0000}"/>
    <cellStyle name="Total 3 4" xfId="32119" xr:uid="{00000000-0005-0000-0000-00009F7D0000}"/>
    <cellStyle name="Total 3 4 2" xfId="32120" xr:uid="{00000000-0005-0000-0000-0000A07D0000}"/>
    <cellStyle name="Total 3 5" xfId="32121" xr:uid="{00000000-0005-0000-0000-0000A17D0000}"/>
    <cellStyle name="Total 3 6" xfId="32122" xr:uid="{00000000-0005-0000-0000-0000A27D0000}"/>
    <cellStyle name="Total 3 7" xfId="32123" xr:uid="{00000000-0005-0000-0000-0000A37D0000}"/>
    <cellStyle name="Total 3 8" xfId="32124" xr:uid="{00000000-0005-0000-0000-0000A47D0000}"/>
    <cellStyle name="Total 3 9" xfId="32125" xr:uid="{00000000-0005-0000-0000-0000A57D0000}"/>
    <cellStyle name="Total 30 10" xfId="32126" xr:uid="{00000000-0005-0000-0000-0000A67D0000}"/>
    <cellStyle name="Total 30 11" xfId="32127" xr:uid="{00000000-0005-0000-0000-0000A77D0000}"/>
    <cellStyle name="Total 30 12" xfId="32128" xr:uid="{00000000-0005-0000-0000-0000A87D0000}"/>
    <cellStyle name="Total 30 13" xfId="32129" xr:uid="{00000000-0005-0000-0000-0000A97D0000}"/>
    <cellStyle name="Total 30 14" xfId="32130" xr:uid="{00000000-0005-0000-0000-0000AA7D0000}"/>
    <cellStyle name="Total 30 15" xfId="32131" xr:uid="{00000000-0005-0000-0000-0000AB7D0000}"/>
    <cellStyle name="Total 30 16" xfId="32132" xr:uid="{00000000-0005-0000-0000-0000AC7D0000}"/>
    <cellStyle name="Total 30 17" xfId="32133" xr:uid="{00000000-0005-0000-0000-0000AD7D0000}"/>
    <cellStyle name="Total 30 18" xfId="32134" xr:uid="{00000000-0005-0000-0000-0000AE7D0000}"/>
    <cellStyle name="Total 30 19" xfId="32135" xr:uid="{00000000-0005-0000-0000-0000AF7D0000}"/>
    <cellStyle name="Total 30 2" xfId="32136" xr:uid="{00000000-0005-0000-0000-0000B07D0000}"/>
    <cellStyle name="Total 30 2 2" xfId="32137" xr:uid="{00000000-0005-0000-0000-0000B17D0000}"/>
    <cellStyle name="Total 30 3" xfId="32138" xr:uid="{00000000-0005-0000-0000-0000B27D0000}"/>
    <cellStyle name="Total 30 3 2" xfId="32139" xr:uid="{00000000-0005-0000-0000-0000B37D0000}"/>
    <cellStyle name="Total 30 4" xfId="32140" xr:uid="{00000000-0005-0000-0000-0000B47D0000}"/>
    <cellStyle name="Total 30 4 2" xfId="32141" xr:uid="{00000000-0005-0000-0000-0000B57D0000}"/>
    <cellStyle name="Total 30 5" xfId="32142" xr:uid="{00000000-0005-0000-0000-0000B67D0000}"/>
    <cellStyle name="Total 30 6" xfId="32143" xr:uid="{00000000-0005-0000-0000-0000B77D0000}"/>
    <cellStyle name="Total 30 7" xfId="32144" xr:uid="{00000000-0005-0000-0000-0000B87D0000}"/>
    <cellStyle name="Total 30 8" xfId="32145" xr:uid="{00000000-0005-0000-0000-0000B97D0000}"/>
    <cellStyle name="Total 30 9" xfId="32146" xr:uid="{00000000-0005-0000-0000-0000BA7D0000}"/>
    <cellStyle name="Total 31 10" xfId="32147" xr:uid="{00000000-0005-0000-0000-0000BB7D0000}"/>
    <cellStyle name="Total 31 11" xfId="32148" xr:uid="{00000000-0005-0000-0000-0000BC7D0000}"/>
    <cellStyle name="Total 31 12" xfId="32149" xr:uid="{00000000-0005-0000-0000-0000BD7D0000}"/>
    <cellStyle name="Total 31 13" xfId="32150" xr:uid="{00000000-0005-0000-0000-0000BE7D0000}"/>
    <cellStyle name="Total 31 14" xfId="32151" xr:uid="{00000000-0005-0000-0000-0000BF7D0000}"/>
    <cellStyle name="Total 31 15" xfId="32152" xr:uid="{00000000-0005-0000-0000-0000C07D0000}"/>
    <cellStyle name="Total 31 16" xfId="32153" xr:uid="{00000000-0005-0000-0000-0000C17D0000}"/>
    <cellStyle name="Total 31 17" xfId="32154" xr:uid="{00000000-0005-0000-0000-0000C27D0000}"/>
    <cellStyle name="Total 31 18" xfId="32155" xr:uid="{00000000-0005-0000-0000-0000C37D0000}"/>
    <cellStyle name="Total 31 19" xfId="32156" xr:uid="{00000000-0005-0000-0000-0000C47D0000}"/>
    <cellStyle name="Total 31 2" xfId="32157" xr:uid="{00000000-0005-0000-0000-0000C57D0000}"/>
    <cellStyle name="Total 31 2 2" xfId="32158" xr:uid="{00000000-0005-0000-0000-0000C67D0000}"/>
    <cellStyle name="Total 31 3" xfId="32159" xr:uid="{00000000-0005-0000-0000-0000C77D0000}"/>
    <cellStyle name="Total 31 3 2" xfId="32160" xr:uid="{00000000-0005-0000-0000-0000C87D0000}"/>
    <cellStyle name="Total 31 4" xfId="32161" xr:uid="{00000000-0005-0000-0000-0000C97D0000}"/>
    <cellStyle name="Total 31 4 2" xfId="32162" xr:uid="{00000000-0005-0000-0000-0000CA7D0000}"/>
    <cellStyle name="Total 31 5" xfId="32163" xr:uid="{00000000-0005-0000-0000-0000CB7D0000}"/>
    <cellStyle name="Total 31 6" xfId="32164" xr:uid="{00000000-0005-0000-0000-0000CC7D0000}"/>
    <cellStyle name="Total 31 7" xfId="32165" xr:uid="{00000000-0005-0000-0000-0000CD7D0000}"/>
    <cellStyle name="Total 31 8" xfId="32166" xr:uid="{00000000-0005-0000-0000-0000CE7D0000}"/>
    <cellStyle name="Total 31 9" xfId="32167" xr:uid="{00000000-0005-0000-0000-0000CF7D0000}"/>
    <cellStyle name="Total 32 10" xfId="32168" xr:uid="{00000000-0005-0000-0000-0000D07D0000}"/>
    <cellStyle name="Total 32 11" xfId="32169" xr:uid="{00000000-0005-0000-0000-0000D17D0000}"/>
    <cellStyle name="Total 32 12" xfId="32170" xr:uid="{00000000-0005-0000-0000-0000D27D0000}"/>
    <cellStyle name="Total 32 13" xfId="32171" xr:uid="{00000000-0005-0000-0000-0000D37D0000}"/>
    <cellStyle name="Total 32 14" xfId="32172" xr:uid="{00000000-0005-0000-0000-0000D47D0000}"/>
    <cellStyle name="Total 32 15" xfId="32173" xr:uid="{00000000-0005-0000-0000-0000D57D0000}"/>
    <cellStyle name="Total 32 16" xfId="32174" xr:uid="{00000000-0005-0000-0000-0000D67D0000}"/>
    <cellStyle name="Total 32 17" xfId="32175" xr:uid="{00000000-0005-0000-0000-0000D77D0000}"/>
    <cellStyle name="Total 32 18" xfId="32176" xr:uid="{00000000-0005-0000-0000-0000D87D0000}"/>
    <cellStyle name="Total 32 19" xfId="32177" xr:uid="{00000000-0005-0000-0000-0000D97D0000}"/>
    <cellStyle name="Total 32 2" xfId="32178" xr:uid="{00000000-0005-0000-0000-0000DA7D0000}"/>
    <cellStyle name="Total 32 2 2" xfId="32179" xr:uid="{00000000-0005-0000-0000-0000DB7D0000}"/>
    <cellStyle name="Total 32 3" xfId="32180" xr:uid="{00000000-0005-0000-0000-0000DC7D0000}"/>
    <cellStyle name="Total 32 3 2" xfId="32181" xr:uid="{00000000-0005-0000-0000-0000DD7D0000}"/>
    <cellStyle name="Total 32 4" xfId="32182" xr:uid="{00000000-0005-0000-0000-0000DE7D0000}"/>
    <cellStyle name="Total 32 4 2" xfId="32183" xr:uid="{00000000-0005-0000-0000-0000DF7D0000}"/>
    <cellStyle name="Total 32 5" xfId="32184" xr:uid="{00000000-0005-0000-0000-0000E07D0000}"/>
    <cellStyle name="Total 32 6" xfId="32185" xr:uid="{00000000-0005-0000-0000-0000E17D0000}"/>
    <cellStyle name="Total 32 7" xfId="32186" xr:uid="{00000000-0005-0000-0000-0000E27D0000}"/>
    <cellStyle name="Total 32 8" xfId="32187" xr:uid="{00000000-0005-0000-0000-0000E37D0000}"/>
    <cellStyle name="Total 32 9" xfId="32188" xr:uid="{00000000-0005-0000-0000-0000E47D0000}"/>
    <cellStyle name="Total 33 10" xfId="32189" xr:uid="{00000000-0005-0000-0000-0000E57D0000}"/>
    <cellStyle name="Total 33 11" xfId="32190" xr:uid="{00000000-0005-0000-0000-0000E67D0000}"/>
    <cellStyle name="Total 33 12" xfId="32191" xr:uid="{00000000-0005-0000-0000-0000E77D0000}"/>
    <cellStyle name="Total 33 13" xfId="32192" xr:uid="{00000000-0005-0000-0000-0000E87D0000}"/>
    <cellStyle name="Total 33 14" xfId="32193" xr:uid="{00000000-0005-0000-0000-0000E97D0000}"/>
    <cellStyle name="Total 33 15" xfId="32194" xr:uid="{00000000-0005-0000-0000-0000EA7D0000}"/>
    <cellStyle name="Total 33 16" xfId="32195" xr:uid="{00000000-0005-0000-0000-0000EB7D0000}"/>
    <cellStyle name="Total 33 17" xfId="32196" xr:uid="{00000000-0005-0000-0000-0000EC7D0000}"/>
    <cellStyle name="Total 33 18" xfId="32197" xr:uid="{00000000-0005-0000-0000-0000ED7D0000}"/>
    <cellStyle name="Total 33 19" xfId="32198" xr:uid="{00000000-0005-0000-0000-0000EE7D0000}"/>
    <cellStyle name="Total 33 2" xfId="32199" xr:uid="{00000000-0005-0000-0000-0000EF7D0000}"/>
    <cellStyle name="Total 33 2 2" xfId="32200" xr:uid="{00000000-0005-0000-0000-0000F07D0000}"/>
    <cellStyle name="Total 33 3" xfId="32201" xr:uid="{00000000-0005-0000-0000-0000F17D0000}"/>
    <cellStyle name="Total 33 3 2" xfId="32202" xr:uid="{00000000-0005-0000-0000-0000F27D0000}"/>
    <cellStyle name="Total 33 4" xfId="32203" xr:uid="{00000000-0005-0000-0000-0000F37D0000}"/>
    <cellStyle name="Total 33 4 2" xfId="32204" xr:uid="{00000000-0005-0000-0000-0000F47D0000}"/>
    <cellStyle name="Total 33 5" xfId="32205" xr:uid="{00000000-0005-0000-0000-0000F57D0000}"/>
    <cellStyle name="Total 33 6" xfId="32206" xr:uid="{00000000-0005-0000-0000-0000F67D0000}"/>
    <cellStyle name="Total 33 7" xfId="32207" xr:uid="{00000000-0005-0000-0000-0000F77D0000}"/>
    <cellStyle name="Total 33 8" xfId="32208" xr:uid="{00000000-0005-0000-0000-0000F87D0000}"/>
    <cellStyle name="Total 33 9" xfId="32209" xr:uid="{00000000-0005-0000-0000-0000F97D0000}"/>
    <cellStyle name="Total 34 10" xfId="32210" xr:uid="{00000000-0005-0000-0000-0000FA7D0000}"/>
    <cellStyle name="Total 34 11" xfId="32211" xr:uid="{00000000-0005-0000-0000-0000FB7D0000}"/>
    <cellStyle name="Total 34 12" xfId="32212" xr:uid="{00000000-0005-0000-0000-0000FC7D0000}"/>
    <cellStyle name="Total 34 13" xfId="32213" xr:uid="{00000000-0005-0000-0000-0000FD7D0000}"/>
    <cellStyle name="Total 34 14" xfId="32214" xr:uid="{00000000-0005-0000-0000-0000FE7D0000}"/>
    <cellStyle name="Total 34 15" xfId="32215" xr:uid="{00000000-0005-0000-0000-0000FF7D0000}"/>
    <cellStyle name="Total 34 16" xfId="32216" xr:uid="{00000000-0005-0000-0000-0000007E0000}"/>
    <cellStyle name="Total 34 17" xfId="32217" xr:uid="{00000000-0005-0000-0000-0000017E0000}"/>
    <cellStyle name="Total 34 18" xfId="32218" xr:uid="{00000000-0005-0000-0000-0000027E0000}"/>
    <cellStyle name="Total 34 19" xfId="32219" xr:uid="{00000000-0005-0000-0000-0000037E0000}"/>
    <cellStyle name="Total 34 2" xfId="32220" xr:uid="{00000000-0005-0000-0000-0000047E0000}"/>
    <cellStyle name="Total 34 2 2" xfId="32221" xr:uid="{00000000-0005-0000-0000-0000057E0000}"/>
    <cellStyle name="Total 34 3" xfId="32222" xr:uid="{00000000-0005-0000-0000-0000067E0000}"/>
    <cellStyle name="Total 34 3 2" xfId="32223" xr:uid="{00000000-0005-0000-0000-0000077E0000}"/>
    <cellStyle name="Total 34 4" xfId="32224" xr:uid="{00000000-0005-0000-0000-0000087E0000}"/>
    <cellStyle name="Total 34 4 2" xfId="32225" xr:uid="{00000000-0005-0000-0000-0000097E0000}"/>
    <cellStyle name="Total 34 5" xfId="32226" xr:uid="{00000000-0005-0000-0000-00000A7E0000}"/>
    <cellStyle name="Total 34 6" xfId="32227" xr:uid="{00000000-0005-0000-0000-00000B7E0000}"/>
    <cellStyle name="Total 34 7" xfId="32228" xr:uid="{00000000-0005-0000-0000-00000C7E0000}"/>
    <cellStyle name="Total 34 8" xfId="32229" xr:uid="{00000000-0005-0000-0000-00000D7E0000}"/>
    <cellStyle name="Total 34 9" xfId="32230" xr:uid="{00000000-0005-0000-0000-00000E7E0000}"/>
    <cellStyle name="Total 35 10" xfId="32231" xr:uid="{00000000-0005-0000-0000-00000F7E0000}"/>
    <cellStyle name="Total 35 11" xfId="32232" xr:uid="{00000000-0005-0000-0000-0000107E0000}"/>
    <cellStyle name="Total 35 12" xfId="32233" xr:uid="{00000000-0005-0000-0000-0000117E0000}"/>
    <cellStyle name="Total 35 13" xfId="32234" xr:uid="{00000000-0005-0000-0000-0000127E0000}"/>
    <cellStyle name="Total 35 14" xfId="32235" xr:uid="{00000000-0005-0000-0000-0000137E0000}"/>
    <cellStyle name="Total 35 15" xfId="32236" xr:uid="{00000000-0005-0000-0000-0000147E0000}"/>
    <cellStyle name="Total 35 16" xfId="32237" xr:uid="{00000000-0005-0000-0000-0000157E0000}"/>
    <cellStyle name="Total 35 17" xfId="32238" xr:uid="{00000000-0005-0000-0000-0000167E0000}"/>
    <cellStyle name="Total 35 18" xfId="32239" xr:uid="{00000000-0005-0000-0000-0000177E0000}"/>
    <cellStyle name="Total 35 19" xfId="32240" xr:uid="{00000000-0005-0000-0000-0000187E0000}"/>
    <cellStyle name="Total 35 2" xfId="32241" xr:uid="{00000000-0005-0000-0000-0000197E0000}"/>
    <cellStyle name="Total 35 2 2" xfId="32242" xr:uid="{00000000-0005-0000-0000-00001A7E0000}"/>
    <cellStyle name="Total 35 3" xfId="32243" xr:uid="{00000000-0005-0000-0000-00001B7E0000}"/>
    <cellStyle name="Total 35 3 2" xfId="32244" xr:uid="{00000000-0005-0000-0000-00001C7E0000}"/>
    <cellStyle name="Total 35 4" xfId="32245" xr:uid="{00000000-0005-0000-0000-00001D7E0000}"/>
    <cellStyle name="Total 35 4 2" xfId="32246" xr:uid="{00000000-0005-0000-0000-00001E7E0000}"/>
    <cellStyle name="Total 35 5" xfId="32247" xr:uid="{00000000-0005-0000-0000-00001F7E0000}"/>
    <cellStyle name="Total 35 6" xfId="32248" xr:uid="{00000000-0005-0000-0000-0000207E0000}"/>
    <cellStyle name="Total 35 7" xfId="32249" xr:uid="{00000000-0005-0000-0000-0000217E0000}"/>
    <cellStyle name="Total 35 8" xfId="32250" xr:uid="{00000000-0005-0000-0000-0000227E0000}"/>
    <cellStyle name="Total 35 9" xfId="32251" xr:uid="{00000000-0005-0000-0000-0000237E0000}"/>
    <cellStyle name="Total 36 10" xfId="32252" xr:uid="{00000000-0005-0000-0000-0000247E0000}"/>
    <cellStyle name="Total 36 11" xfId="32253" xr:uid="{00000000-0005-0000-0000-0000257E0000}"/>
    <cellStyle name="Total 36 12" xfId="32254" xr:uid="{00000000-0005-0000-0000-0000267E0000}"/>
    <cellStyle name="Total 36 13" xfId="32255" xr:uid="{00000000-0005-0000-0000-0000277E0000}"/>
    <cellStyle name="Total 36 14" xfId="32256" xr:uid="{00000000-0005-0000-0000-0000287E0000}"/>
    <cellStyle name="Total 36 15" xfId="32257" xr:uid="{00000000-0005-0000-0000-0000297E0000}"/>
    <cellStyle name="Total 36 16" xfId="32258" xr:uid="{00000000-0005-0000-0000-00002A7E0000}"/>
    <cellStyle name="Total 36 17" xfId="32259" xr:uid="{00000000-0005-0000-0000-00002B7E0000}"/>
    <cellStyle name="Total 36 18" xfId="32260" xr:uid="{00000000-0005-0000-0000-00002C7E0000}"/>
    <cellStyle name="Total 36 19" xfId="32261" xr:uid="{00000000-0005-0000-0000-00002D7E0000}"/>
    <cellStyle name="Total 36 2" xfId="32262" xr:uid="{00000000-0005-0000-0000-00002E7E0000}"/>
    <cellStyle name="Total 36 2 2" xfId="32263" xr:uid="{00000000-0005-0000-0000-00002F7E0000}"/>
    <cellStyle name="Total 36 3" xfId="32264" xr:uid="{00000000-0005-0000-0000-0000307E0000}"/>
    <cellStyle name="Total 36 3 2" xfId="32265" xr:uid="{00000000-0005-0000-0000-0000317E0000}"/>
    <cellStyle name="Total 36 4" xfId="32266" xr:uid="{00000000-0005-0000-0000-0000327E0000}"/>
    <cellStyle name="Total 36 4 2" xfId="32267" xr:uid="{00000000-0005-0000-0000-0000337E0000}"/>
    <cellStyle name="Total 36 5" xfId="32268" xr:uid="{00000000-0005-0000-0000-0000347E0000}"/>
    <cellStyle name="Total 36 6" xfId="32269" xr:uid="{00000000-0005-0000-0000-0000357E0000}"/>
    <cellStyle name="Total 36 7" xfId="32270" xr:uid="{00000000-0005-0000-0000-0000367E0000}"/>
    <cellStyle name="Total 36 8" xfId="32271" xr:uid="{00000000-0005-0000-0000-0000377E0000}"/>
    <cellStyle name="Total 36 9" xfId="32272" xr:uid="{00000000-0005-0000-0000-0000387E0000}"/>
    <cellStyle name="Total 37 10" xfId="32273" xr:uid="{00000000-0005-0000-0000-0000397E0000}"/>
    <cellStyle name="Total 37 11" xfId="32274" xr:uid="{00000000-0005-0000-0000-00003A7E0000}"/>
    <cellStyle name="Total 37 12" xfId="32275" xr:uid="{00000000-0005-0000-0000-00003B7E0000}"/>
    <cellStyle name="Total 37 13" xfId="32276" xr:uid="{00000000-0005-0000-0000-00003C7E0000}"/>
    <cellStyle name="Total 37 14" xfId="32277" xr:uid="{00000000-0005-0000-0000-00003D7E0000}"/>
    <cellStyle name="Total 37 15" xfId="32278" xr:uid="{00000000-0005-0000-0000-00003E7E0000}"/>
    <cellStyle name="Total 37 16" xfId="32279" xr:uid="{00000000-0005-0000-0000-00003F7E0000}"/>
    <cellStyle name="Total 37 17" xfId="32280" xr:uid="{00000000-0005-0000-0000-0000407E0000}"/>
    <cellStyle name="Total 37 18" xfId="32281" xr:uid="{00000000-0005-0000-0000-0000417E0000}"/>
    <cellStyle name="Total 37 19" xfId="32282" xr:uid="{00000000-0005-0000-0000-0000427E0000}"/>
    <cellStyle name="Total 37 2" xfId="32283" xr:uid="{00000000-0005-0000-0000-0000437E0000}"/>
    <cellStyle name="Total 37 2 2" xfId="32284" xr:uid="{00000000-0005-0000-0000-0000447E0000}"/>
    <cellStyle name="Total 37 3" xfId="32285" xr:uid="{00000000-0005-0000-0000-0000457E0000}"/>
    <cellStyle name="Total 37 3 2" xfId="32286" xr:uid="{00000000-0005-0000-0000-0000467E0000}"/>
    <cellStyle name="Total 37 4" xfId="32287" xr:uid="{00000000-0005-0000-0000-0000477E0000}"/>
    <cellStyle name="Total 37 4 2" xfId="32288" xr:uid="{00000000-0005-0000-0000-0000487E0000}"/>
    <cellStyle name="Total 37 5" xfId="32289" xr:uid="{00000000-0005-0000-0000-0000497E0000}"/>
    <cellStyle name="Total 37 6" xfId="32290" xr:uid="{00000000-0005-0000-0000-00004A7E0000}"/>
    <cellStyle name="Total 37 7" xfId="32291" xr:uid="{00000000-0005-0000-0000-00004B7E0000}"/>
    <cellStyle name="Total 37 8" xfId="32292" xr:uid="{00000000-0005-0000-0000-00004C7E0000}"/>
    <cellStyle name="Total 37 9" xfId="32293" xr:uid="{00000000-0005-0000-0000-00004D7E0000}"/>
    <cellStyle name="Total 38 10" xfId="32294" xr:uid="{00000000-0005-0000-0000-00004E7E0000}"/>
    <cellStyle name="Total 38 11" xfId="32295" xr:uid="{00000000-0005-0000-0000-00004F7E0000}"/>
    <cellStyle name="Total 38 12" xfId="32296" xr:uid="{00000000-0005-0000-0000-0000507E0000}"/>
    <cellStyle name="Total 38 13" xfId="32297" xr:uid="{00000000-0005-0000-0000-0000517E0000}"/>
    <cellStyle name="Total 38 14" xfId="32298" xr:uid="{00000000-0005-0000-0000-0000527E0000}"/>
    <cellStyle name="Total 38 15" xfId="32299" xr:uid="{00000000-0005-0000-0000-0000537E0000}"/>
    <cellStyle name="Total 38 16" xfId="32300" xr:uid="{00000000-0005-0000-0000-0000547E0000}"/>
    <cellStyle name="Total 38 17" xfId="32301" xr:uid="{00000000-0005-0000-0000-0000557E0000}"/>
    <cellStyle name="Total 38 18" xfId="32302" xr:uid="{00000000-0005-0000-0000-0000567E0000}"/>
    <cellStyle name="Total 38 19" xfId="32303" xr:uid="{00000000-0005-0000-0000-0000577E0000}"/>
    <cellStyle name="Total 38 2" xfId="32304" xr:uid="{00000000-0005-0000-0000-0000587E0000}"/>
    <cellStyle name="Total 38 2 2" xfId="32305" xr:uid="{00000000-0005-0000-0000-0000597E0000}"/>
    <cellStyle name="Total 38 3" xfId="32306" xr:uid="{00000000-0005-0000-0000-00005A7E0000}"/>
    <cellStyle name="Total 38 3 2" xfId="32307" xr:uid="{00000000-0005-0000-0000-00005B7E0000}"/>
    <cellStyle name="Total 38 4" xfId="32308" xr:uid="{00000000-0005-0000-0000-00005C7E0000}"/>
    <cellStyle name="Total 38 4 2" xfId="32309" xr:uid="{00000000-0005-0000-0000-00005D7E0000}"/>
    <cellStyle name="Total 38 5" xfId="32310" xr:uid="{00000000-0005-0000-0000-00005E7E0000}"/>
    <cellStyle name="Total 38 6" xfId="32311" xr:uid="{00000000-0005-0000-0000-00005F7E0000}"/>
    <cellStyle name="Total 38 7" xfId="32312" xr:uid="{00000000-0005-0000-0000-0000607E0000}"/>
    <cellStyle name="Total 38 8" xfId="32313" xr:uid="{00000000-0005-0000-0000-0000617E0000}"/>
    <cellStyle name="Total 38 9" xfId="32314" xr:uid="{00000000-0005-0000-0000-0000627E0000}"/>
    <cellStyle name="Total 39" xfId="32315" xr:uid="{00000000-0005-0000-0000-0000637E0000}"/>
    <cellStyle name="Total 39 10" xfId="32316" xr:uid="{00000000-0005-0000-0000-0000647E0000}"/>
    <cellStyle name="Total 39 11" xfId="32317" xr:uid="{00000000-0005-0000-0000-0000657E0000}"/>
    <cellStyle name="Total 39 12" xfId="32318" xr:uid="{00000000-0005-0000-0000-0000667E0000}"/>
    <cellStyle name="Total 39 13" xfId="32319" xr:uid="{00000000-0005-0000-0000-0000677E0000}"/>
    <cellStyle name="Total 39 14" xfId="32320" xr:uid="{00000000-0005-0000-0000-0000687E0000}"/>
    <cellStyle name="Total 39 15" xfId="32321" xr:uid="{00000000-0005-0000-0000-0000697E0000}"/>
    <cellStyle name="Total 39 16" xfId="32322" xr:uid="{00000000-0005-0000-0000-00006A7E0000}"/>
    <cellStyle name="Total 39 2" xfId="32323" xr:uid="{00000000-0005-0000-0000-00006B7E0000}"/>
    <cellStyle name="Total 39 3" xfId="32324" xr:uid="{00000000-0005-0000-0000-00006C7E0000}"/>
    <cellStyle name="Total 39 4" xfId="32325" xr:uid="{00000000-0005-0000-0000-00006D7E0000}"/>
    <cellStyle name="Total 39 5" xfId="32326" xr:uid="{00000000-0005-0000-0000-00006E7E0000}"/>
    <cellStyle name="Total 39 6" xfId="32327" xr:uid="{00000000-0005-0000-0000-00006F7E0000}"/>
    <cellStyle name="Total 39 7" xfId="32328" xr:uid="{00000000-0005-0000-0000-0000707E0000}"/>
    <cellStyle name="Total 39 8" xfId="32329" xr:uid="{00000000-0005-0000-0000-0000717E0000}"/>
    <cellStyle name="Total 39 9" xfId="32330" xr:uid="{00000000-0005-0000-0000-0000727E0000}"/>
    <cellStyle name="Total 4 10" xfId="32331" xr:uid="{00000000-0005-0000-0000-0000737E0000}"/>
    <cellStyle name="Total 4 11" xfId="32332" xr:uid="{00000000-0005-0000-0000-0000747E0000}"/>
    <cellStyle name="Total 4 12" xfId="32333" xr:uid="{00000000-0005-0000-0000-0000757E0000}"/>
    <cellStyle name="Total 4 13" xfId="32334" xr:uid="{00000000-0005-0000-0000-0000767E0000}"/>
    <cellStyle name="Total 4 14" xfId="32335" xr:uid="{00000000-0005-0000-0000-0000777E0000}"/>
    <cellStyle name="Total 4 15" xfId="32336" xr:uid="{00000000-0005-0000-0000-0000787E0000}"/>
    <cellStyle name="Total 4 16" xfId="32337" xr:uid="{00000000-0005-0000-0000-0000797E0000}"/>
    <cellStyle name="Total 4 17" xfId="32338" xr:uid="{00000000-0005-0000-0000-00007A7E0000}"/>
    <cellStyle name="Total 4 18" xfId="32339" xr:uid="{00000000-0005-0000-0000-00007B7E0000}"/>
    <cellStyle name="Total 4 19" xfId="32340" xr:uid="{00000000-0005-0000-0000-00007C7E0000}"/>
    <cellStyle name="Total 4 2" xfId="32341" xr:uid="{00000000-0005-0000-0000-00007D7E0000}"/>
    <cellStyle name="Total 4 2 2" xfId="32342" xr:uid="{00000000-0005-0000-0000-00007E7E0000}"/>
    <cellStyle name="Total 4 3" xfId="32343" xr:uid="{00000000-0005-0000-0000-00007F7E0000}"/>
    <cellStyle name="Total 4 3 2" xfId="32344" xr:uid="{00000000-0005-0000-0000-0000807E0000}"/>
    <cellStyle name="Total 4 4" xfId="32345" xr:uid="{00000000-0005-0000-0000-0000817E0000}"/>
    <cellStyle name="Total 4 4 2" xfId="32346" xr:uid="{00000000-0005-0000-0000-0000827E0000}"/>
    <cellStyle name="Total 4 5" xfId="32347" xr:uid="{00000000-0005-0000-0000-0000837E0000}"/>
    <cellStyle name="Total 4 6" xfId="32348" xr:uid="{00000000-0005-0000-0000-0000847E0000}"/>
    <cellStyle name="Total 4 7" xfId="32349" xr:uid="{00000000-0005-0000-0000-0000857E0000}"/>
    <cellStyle name="Total 4 8" xfId="32350" xr:uid="{00000000-0005-0000-0000-0000867E0000}"/>
    <cellStyle name="Total 4 9" xfId="32351" xr:uid="{00000000-0005-0000-0000-0000877E0000}"/>
    <cellStyle name="Total 40" xfId="32352" xr:uid="{00000000-0005-0000-0000-0000887E0000}"/>
    <cellStyle name="Total 40 10" xfId="32353" xr:uid="{00000000-0005-0000-0000-0000897E0000}"/>
    <cellStyle name="Total 40 11" xfId="32354" xr:uid="{00000000-0005-0000-0000-00008A7E0000}"/>
    <cellStyle name="Total 40 12" xfId="32355" xr:uid="{00000000-0005-0000-0000-00008B7E0000}"/>
    <cellStyle name="Total 40 13" xfId="32356" xr:uid="{00000000-0005-0000-0000-00008C7E0000}"/>
    <cellStyle name="Total 40 14" xfId="32357" xr:uid="{00000000-0005-0000-0000-00008D7E0000}"/>
    <cellStyle name="Total 40 15" xfId="32358" xr:uid="{00000000-0005-0000-0000-00008E7E0000}"/>
    <cellStyle name="Total 40 16" xfId="32359" xr:uid="{00000000-0005-0000-0000-00008F7E0000}"/>
    <cellStyle name="Total 40 2" xfId="32360" xr:uid="{00000000-0005-0000-0000-0000907E0000}"/>
    <cellStyle name="Total 40 3" xfId="32361" xr:uid="{00000000-0005-0000-0000-0000917E0000}"/>
    <cellStyle name="Total 40 4" xfId="32362" xr:uid="{00000000-0005-0000-0000-0000927E0000}"/>
    <cellStyle name="Total 40 5" xfId="32363" xr:uid="{00000000-0005-0000-0000-0000937E0000}"/>
    <cellStyle name="Total 40 6" xfId="32364" xr:uid="{00000000-0005-0000-0000-0000947E0000}"/>
    <cellStyle name="Total 40 7" xfId="32365" xr:uid="{00000000-0005-0000-0000-0000957E0000}"/>
    <cellStyle name="Total 40 8" xfId="32366" xr:uid="{00000000-0005-0000-0000-0000967E0000}"/>
    <cellStyle name="Total 40 9" xfId="32367" xr:uid="{00000000-0005-0000-0000-0000977E0000}"/>
    <cellStyle name="Total 41" xfId="32368" xr:uid="{00000000-0005-0000-0000-0000987E0000}"/>
    <cellStyle name="Total 41 10" xfId="32369" xr:uid="{00000000-0005-0000-0000-0000997E0000}"/>
    <cellStyle name="Total 41 11" xfId="32370" xr:uid="{00000000-0005-0000-0000-00009A7E0000}"/>
    <cellStyle name="Total 41 12" xfId="32371" xr:uid="{00000000-0005-0000-0000-00009B7E0000}"/>
    <cellStyle name="Total 41 13" xfId="32372" xr:uid="{00000000-0005-0000-0000-00009C7E0000}"/>
    <cellStyle name="Total 41 14" xfId="32373" xr:uid="{00000000-0005-0000-0000-00009D7E0000}"/>
    <cellStyle name="Total 41 15" xfId="32374" xr:uid="{00000000-0005-0000-0000-00009E7E0000}"/>
    <cellStyle name="Total 41 16" xfId="32375" xr:uid="{00000000-0005-0000-0000-00009F7E0000}"/>
    <cellStyle name="Total 41 2" xfId="32376" xr:uid="{00000000-0005-0000-0000-0000A07E0000}"/>
    <cellStyle name="Total 41 3" xfId="32377" xr:uid="{00000000-0005-0000-0000-0000A17E0000}"/>
    <cellStyle name="Total 41 4" xfId="32378" xr:uid="{00000000-0005-0000-0000-0000A27E0000}"/>
    <cellStyle name="Total 41 5" xfId="32379" xr:uid="{00000000-0005-0000-0000-0000A37E0000}"/>
    <cellStyle name="Total 41 6" xfId="32380" xr:uid="{00000000-0005-0000-0000-0000A47E0000}"/>
    <cellStyle name="Total 41 7" xfId="32381" xr:uid="{00000000-0005-0000-0000-0000A57E0000}"/>
    <cellStyle name="Total 41 8" xfId="32382" xr:uid="{00000000-0005-0000-0000-0000A67E0000}"/>
    <cellStyle name="Total 41 9" xfId="32383" xr:uid="{00000000-0005-0000-0000-0000A77E0000}"/>
    <cellStyle name="Total 42" xfId="32384" xr:uid="{00000000-0005-0000-0000-0000A87E0000}"/>
    <cellStyle name="Total 43" xfId="32385" xr:uid="{00000000-0005-0000-0000-0000A97E0000}"/>
    <cellStyle name="Total 44" xfId="32386" xr:uid="{00000000-0005-0000-0000-0000AA7E0000}"/>
    <cellStyle name="Total 45" xfId="32387" xr:uid="{00000000-0005-0000-0000-0000AB7E0000}"/>
    <cellStyle name="Total 46" xfId="32388" xr:uid="{00000000-0005-0000-0000-0000AC7E0000}"/>
    <cellStyle name="Total 47" xfId="32389" xr:uid="{00000000-0005-0000-0000-0000AD7E0000}"/>
    <cellStyle name="Total 48" xfId="32390" xr:uid="{00000000-0005-0000-0000-0000AE7E0000}"/>
    <cellStyle name="Total 49" xfId="32391" xr:uid="{00000000-0005-0000-0000-0000AF7E0000}"/>
    <cellStyle name="Total 5 10" xfId="32392" xr:uid="{00000000-0005-0000-0000-0000B07E0000}"/>
    <cellStyle name="Total 5 11" xfId="32393" xr:uid="{00000000-0005-0000-0000-0000B17E0000}"/>
    <cellStyle name="Total 5 12" xfId="32394" xr:uid="{00000000-0005-0000-0000-0000B27E0000}"/>
    <cellStyle name="Total 5 13" xfId="32395" xr:uid="{00000000-0005-0000-0000-0000B37E0000}"/>
    <cellStyle name="Total 5 14" xfId="32396" xr:uid="{00000000-0005-0000-0000-0000B47E0000}"/>
    <cellStyle name="Total 5 15" xfId="32397" xr:uid="{00000000-0005-0000-0000-0000B57E0000}"/>
    <cellStyle name="Total 5 16" xfId="32398" xr:uid="{00000000-0005-0000-0000-0000B67E0000}"/>
    <cellStyle name="Total 5 17" xfId="32399" xr:uid="{00000000-0005-0000-0000-0000B77E0000}"/>
    <cellStyle name="Total 5 18" xfId="32400" xr:uid="{00000000-0005-0000-0000-0000B87E0000}"/>
    <cellStyle name="Total 5 19" xfId="32401" xr:uid="{00000000-0005-0000-0000-0000B97E0000}"/>
    <cellStyle name="Total 5 2" xfId="32402" xr:uid="{00000000-0005-0000-0000-0000BA7E0000}"/>
    <cellStyle name="Total 5 2 2" xfId="32403" xr:uid="{00000000-0005-0000-0000-0000BB7E0000}"/>
    <cellStyle name="Total 5 3" xfId="32404" xr:uid="{00000000-0005-0000-0000-0000BC7E0000}"/>
    <cellStyle name="Total 5 3 2" xfId="32405" xr:uid="{00000000-0005-0000-0000-0000BD7E0000}"/>
    <cellStyle name="Total 5 4" xfId="32406" xr:uid="{00000000-0005-0000-0000-0000BE7E0000}"/>
    <cellStyle name="Total 5 4 2" xfId="32407" xr:uid="{00000000-0005-0000-0000-0000BF7E0000}"/>
    <cellStyle name="Total 5 5" xfId="32408" xr:uid="{00000000-0005-0000-0000-0000C07E0000}"/>
    <cellStyle name="Total 5 6" xfId="32409" xr:uid="{00000000-0005-0000-0000-0000C17E0000}"/>
    <cellStyle name="Total 5 7" xfId="32410" xr:uid="{00000000-0005-0000-0000-0000C27E0000}"/>
    <cellStyle name="Total 5 8" xfId="32411" xr:uid="{00000000-0005-0000-0000-0000C37E0000}"/>
    <cellStyle name="Total 5 9" xfId="32412" xr:uid="{00000000-0005-0000-0000-0000C47E0000}"/>
    <cellStyle name="Total 50" xfId="32413" xr:uid="{00000000-0005-0000-0000-0000C57E0000}"/>
    <cellStyle name="Total 51" xfId="32414" xr:uid="{00000000-0005-0000-0000-0000C67E0000}"/>
    <cellStyle name="Total 52" xfId="32415" xr:uid="{00000000-0005-0000-0000-0000C77E0000}"/>
    <cellStyle name="Total 53" xfId="32416" xr:uid="{00000000-0005-0000-0000-0000C87E0000}"/>
    <cellStyle name="Total 54" xfId="32417" xr:uid="{00000000-0005-0000-0000-0000C97E0000}"/>
    <cellStyle name="Total 55" xfId="32418" xr:uid="{00000000-0005-0000-0000-0000CA7E0000}"/>
    <cellStyle name="Total 56" xfId="32419" xr:uid="{00000000-0005-0000-0000-0000CB7E0000}"/>
    <cellStyle name="Total 57" xfId="32420" xr:uid="{00000000-0005-0000-0000-0000CC7E0000}"/>
    <cellStyle name="Total 58" xfId="32421" xr:uid="{00000000-0005-0000-0000-0000CD7E0000}"/>
    <cellStyle name="Total 59" xfId="32422" xr:uid="{00000000-0005-0000-0000-0000CE7E0000}"/>
    <cellStyle name="Total 6 10" xfId="32423" xr:uid="{00000000-0005-0000-0000-0000CF7E0000}"/>
    <cellStyle name="Total 6 11" xfId="32424" xr:uid="{00000000-0005-0000-0000-0000D07E0000}"/>
    <cellStyle name="Total 6 12" xfId="32425" xr:uid="{00000000-0005-0000-0000-0000D17E0000}"/>
    <cellStyle name="Total 6 13" xfId="32426" xr:uid="{00000000-0005-0000-0000-0000D27E0000}"/>
    <cellStyle name="Total 6 14" xfId="32427" xr:uid="{00000000-0005-0000-0000-0000D37E0000}"/>
    <cellStyle name="Total 6 15" xfId="32428" xr:uid="{00000000-0005-0000-0000-0000D47E0000}"/>
    <cellStyle name="Total 6 16" xfId="32429" xr:uid="{00000000-0005-0000-0000-0000D57E0000}"/>
    <cellStyle name="Total 6 17" xfId="32430" xr:uid="{00000000-0005-0000-0000-0000D67E0000}"/>
    <cellStyle name="Total 6 18" xfId="32431" xr:uid="{00000000-0005-0000-0000-0000D77E0000}"/>
    <cellStyle name="Total 6 19" xfId="32432" xr:uid="{00000000-0005-0000-0000-0000D87E0000}"/>
    <cellStyle name="Total 6 2" xfId="32433" xr:uid="{00000000-0005-0000-0000-0000D97E0000}"/>
    <cellStyle name="Total 6 2 2" xfId="32434" xr:uid="{00000000-0005-0000-0000-0000DA7E0000}"/>
    <cellStyle name="Total 6 3" xfId="32435" xr:uid="{00000000-0005-0000-0000-0000DB7E0000}"/>
    <cellStyle name="Total 6 3 2" xfId="32436" xr:uid="{00000000-0005-0000-0000-0000DC7E0000}"/>
    <cellStyle name="Total 6 4" xfId="32437" xr:uid="{00000000-0005-0000-0000-0000DD7E0000}"/>
    <cellStyle name="Total 6 4 2" xfId="32438" xr:uid="{00000000-0005-0000-0000-0000DE7E0000}"/>
    <cellStyle name="Total 6 5" xfId="32439" xr:uid="{00000000-0005-0000-0000-0000DF7E0000}"/>
    <cellStyle name="Total 6 6" xfId="32440" xr:uid="{00000000-0005-0000-0000-0000E07E0000}"/>
    <cellStyle name="Total 6 7" xfId="32441" xr:uid="{00000000-0005-0000-0000-0000E17E0000}"/>
    <cellStyle name="Total 6 8" xfId="32442" xr:uid="{00000000-0005-0000-0000-0000E27E0000}"/>
    <cellStyle name="Total 6 9" xfId="32443" xr:uid="{00000000-0005-0000-0000-0000E37E0000}"/>
    <cellStyle name="Total 60" xfId="32444" xr:uid="{00000000-0005-0000-0000-0000E47E0000}"/>
    <cellStyle name="Total 61" xfId="32445" xr:uid="{00000000-0005-0000-0000-0000E57E0000}"/>
    <cellStyle name="Total 62" xfId="32446" xr:uid="{00000000-0005-0000-0000-0000E67E0000}"/>
    <cellStyle name="Total 63" xfId="32447" xr:uid="{00000000-0005-0000-0000-0000E77E0000}"/>
    <cellStyle name="Total 64" xfId="32448" xr:uid="{00000000-0005-0000-0000-0000E87E0000}"/>
    <cellStyle name="Total 7 10" xfId="32449" xr:uid="{00000000-0005-0000-0000-0000E97E0000}"/>
    <cellStyle name="Total 7 11" xfId="32450" xr:uid="{00000000-0005-0000-0000-0000EA7E0000}"/>
    <cellStyle name="Total 7 12" xfId="32451" xr:uid="{00000000-0005-0000-0000-0000EB7E0000}"/>
    <cellStyle name="Total 7 13" xfId="32452" xr:uid="{00000000-0005-0000-0000-0000EC7E0000}"/>
    <cellStyle name="Total 7 14" xfId="32453" xr:uid="{00000000-0005-0000-0000-0000ED7E0000}"/>
    <cellStyle name="Total 7 15" xfId="32454" xr:uid="{00000000-0005-0000-0000-0000EE7E0000}"/>
    <cellStyle name="Total 7 16" xfId="32455" xr:uid="{00000000-0005-0000-0000-0000EF7E0000}"/>
    <cellStyle name="Total 7 17" xfId="32456" xr:uid="{00000000-0005-0000-0000-0000F07E0000}"/>
    <cellStyle name="Total 7 18" xfId="32457" xr:uid="{00000000-0005-0000-0000-0000F17E0000}"/>
    <cellStyle name="Total 7 19" xfId="32458" xr:uid="{00000000-0005-0000-0000-0000F27E0000}"/>
    <cellStyle name="Total 7 2" xfId="32459" xr:uid="{00000000-0005-0000-0000-0000F37E0000}"/>
    <cellStyle name="Total 7 2 2" xfId="32460" xr:uid="{00000000-0005-0000-0000-0000F47E0000}"/>
    <cellStyle name="Total 7 3" xfId="32461" xr:uid="{00000000-0005-0000-0000-0000F57E0000}"/>
    <cellStyle name="Total 7 3 2" xfId="32462" xr:uid="{00000000-0005-0000-0000-0000F67E0000}"/>
    <cellStyle name="Total 7 4" xfId="32463" xr:uid="{00000000-0005-0000-0000-0000F77E0000}"/>
    <cellStyle name="Total 7 4 2" xfId="32464" xr:uid="{00000000-0005-0000-0000-0000F87E0000}"/>
    <cellStyle name="Total 7 5" xfId="32465" xr:uid="{00000000-0005-0000-0000-0000F97E0000}"/>
    <cellStyle name="Total 7 6" xfId="32466" xr:uid="{00000000-0005-0000-0000-0000FA7E0000}"/>
    <cellStyle name="Total 7 7" xfId="32467" xr:uid="{00000000-0005-0000-0000-0000FB7E0000}"/>
    <cellStyle name="Total 7 8" xfId="32468" xr:uid="{00000000-0005-0000-0000-0000FC7E0000}"/>
    <cellStyle name="Total 7 9" xfId="32469" xr:uid="{00000000-0005-0000-0000-0000FD7E0000}"/>
    <cellStyle name="Total 8 10" xfId="32470" xr:uid="{00000000-0005-0000-0000-0000FE7E0000}"/>
    <cellStyle name="Total 8 11" xfId="32471" xr:uid="{00000000-0005-0000-0000-0000FF7E0000}"/>
    <cellStyle name="Total 8 12" xfId="32472" xr:uid="{00000000-0005-0000-0000-0000007F0000}"/>
    <cellStyle name="Total 8 13" xfId="32473" xr:uid="{00000000-0005-0000-0000-0000017F0000}"/>
    <cellStyle name="Total 8 14" xfId="32474" xr:uid="{00000000-0005-0000-0000-0000027F0000}"/>
    <cellStyle name="Total 8 15" xfId="32475" xr:uid="{00000000-0005-0000-0000-0000037F0000}"/>
    <cellStyle name="Total 8 16" xfId="32476" xr:uid="{00000000-0005-0000-0000-0000047F0000}"/>
    <cellStyle name="Total 8 17" xfId="32477" xr:uid="{00000000-0005-0000-0000-0000057F0000}"/>
    <cellStyle name="Total 8 18" xfId="32478" xr:uid="{00000000-0005-0000-0000-0000067F0000}"/>
    <cellStyle name="Total 8 19" xfId="32479" xr:uid="{00000000-0005-0000-0000-0000077F0000}"/>
    <cellStyle name="Total 8 2" xfId="32480" xr:uid="{00000000-0005-0000-0000-0000087F0000}"/>
    <cellStyle name="Total 8 2 2" xfId="32481" xr:uid="{00000000-0005-0000-0000-0000097F0000}"/>
    <cellStyle name="Total 8 3" xfId="32482" xr:uid="{00000000-0005-0000-0000-00000A7F0000}"/>
    <cellStyle name="Total 8 3 2" xfId="32483" xr:uid="{00000000-0005-0000-0000-00000B7F0000}"/>
    <cellStyle name="Total 8 4" xfId="32484" xr:uid="{00000000-0005-0000-0000-00000C7F0000}"/>
    <cellStyle name="Total 8 4 2" xfId="32485" xr:uid="{00000000-0005-0000-0000-00000D7F0000}"/>
    <cellStyle name="Total 8 5" xfId="32486" xr:uid="{00000000-0005-0000-0000-00000E7F0000}"/>
    <cellStyle name="Total 8 6" xfId="32487" xr:uid="{00000000-0005-0000-0000-00000F7F0000}"/>
    <cellStyle name="Total 8 7" xfId="32488" xr:uid="{00000000-0005-0000-0000-0000107F0000}"/>
    <cellStyle name="Total 8 8" xfId="32489" xr:uid="{00000000-0005-0000-0000-0000117F0000}"/>
    <cellStyle name="Total 8 9" xfId="32490" xr:uid="{00000000-0005-0000-0000-0000127F0000}"/>
    <cellStyle name="Total 9 10" xfId="32491" xr:uid="{00000000-0005-0000-0000-0000137F0000}"/>
    <cellStyle name="Total 9 11" xfId="32492" xr:uid="{00000000-0005-0000-0000-0000147F0000}"/>
    <cellStyle name="Total 9 12" xfId="32493" xr:uid="{00000000-0005-0000-0000-0000157F0000}"/>
    <cellStyle name="Total 9 13" xfId="32494" xr:uid="{00000000-0005-0000-0000-0000167F0000}"/>
    <cellStyle name="Total 9 14" xfId="32495" xr:uid="{00000000-0005-0000-0000-0000177F0000}"/>
    <cellStyle name="Total 9 15" xfId="32496" xr:uid="{00000000-0005-0000-0000-0000187F0000}"/>
    <cellStyle name="Total 9 16" xfId="32497" xr:uid="{00000000-0005-0000-0000-0000197F0000}"/>
    <cellStyle name="Total 9 17" xfId="32498" xr:uid="{00000000-0005-0000-0000-00001A7F0000}"/>
    <cellStyle name="Total 9 18" xfId="32499" xr:uid="{00000000-0005-0000-0000-00001B7F0000}"/>
    <cellStyle name="Total 9 19" xfId="32500" xr:uid="{00000000-0005-0000-0000-00001C7F0000}"/>
    <cellStyle name="Total 9 2" xfId="32501" xr:uid="{00000000-0005-0000-0000-00001D7F0000}"/>
    <cellStyle name="Total 9 2 2" xfId="32502" xr:uid="{00000000-0005-0000-0000-00001E7F0000}"/>
    <cellStyle name="Total 9 3" xfId="32503" xr:uid="{00000000-0005-0000-0000-00001F7F0000}"/>
    <cellStyle name="Total 9 3 2" xfId="32504" xr:uid="{00000000-0005-0000-0000-0000207F0000}"/>
    <cellStyle name="Total 9 4" xfId="32505" xr:uid="{00000000-0005-0000-0000-0000217F0000}"/>
    <cellStyle name="Total 9 4 2" xfId="32506" xr:uid="{00000000-0005-0000-0000-0000227F0000}"/>
    <cellStyle name="Total 9 5" xfId="32507" xr:uid="{00000000-0005-0000-0000-0000237F0000}"/>
    <cellStyle name="Total 9 6" xfId="32508" xr:uid="{00000000-0005-0000-0000-0000247F0000}"/>
    <cellStyle name="Total 9 7" xfId="32509" xr:uid="{00000000-0005-0000-0000-0000257F0000}"/>
    <cellStyle name="Total 9 8" xfId="32510" xr:uid="{00000000-0005-0000-0000-0000267F0000}"/>
    <cellStyle name="Total 9 9" xfId="32511" xr:uid="{00000000-0005-0000-0000-0000277F0000}"/>
  </cellStyles>
  <dxfs count="148">
    <dxf>
      <numFmt numFmtId="168" formatCode="0.0%"/>
    </dxf>
    <dxf>
      <numFmt numFmtId="168" formatCode="0.0%"/>
    </dxf>
    <dxf>
      <numFmt numFmtId="168" formatCode="0.0%"/>
    </dxf>
    <dxf>
      <numFmt numFmtId="168" formatCode="0.0%"/>
    </dxf>
    <dxf>
      <numFmt numFmtId="168" formatCode="0.0%"/>
    </dxf>
    <dxf>
      <numFmt numFmtId="168" formatCode="0.0%"/>
    </dxf>
    <dxf>
      <numFmt numFmtId="168" formatCode="0.0%"/>
    </dxf>
    <dxf>
      <numFmt numFmtId="168" formatCode="0.0%"/>
    </dxf>
    <dxf>
      <numFmt numFmtId="14" formatCode="0.00%"/>
    </dxf>
    <dxf>
      <numFmt numFmtId="168" formatCode="0.0%"/>
    </dxf>
    <dxf>
      <numFmt numFmtId="14" formatCode="0.00%"/>
    </dxf>
    <dxf>
      <numFmt numFmtId="170" formatCode="0.000%"/>
    </dxf>
    <dxf>
      <numFmt numFmtId="14" formatCode="0.00%"/>
    </dxf>
    <dxf>
      <numFmt numFmtId="168" formatCode="0.0%"/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8" formatCode="0.0%"/>
      <fill>
        <patternFill>
          <bgColor rgb="FFFF0000"/>
        </patternFill>
      </fill>
    </dxf>
    <dxf>
      <font>
        <b/>
        <i val="0"/>
      </font>
      <numFmt numFmtId="168" formatCode="0.0%"/>
      <fill>
        <patternFill>
          <bgColor theme="9" tint="0.39994506668294322"/>
        </patternFill>
      </fill>
    </dxf>
    <dxf>
      <font>
        <b/>
        <i val="0"/>
      </font>
      <numFmt numFmtId="168" formatCode="0.0%"/>
      <fill>
        <patternFill>
          <bgColor theme="8" tint="0.39994506668294322"/>
        </patternFill>
      </fill>
    </dxf>
    <dxf>
      <font>
        <b/>
        <i val="0"/>
      </font>
      <numFmt numFmtId="168" formatCode="0.0%"/>
      <fill>
        <patternFill>
          <bgColor theme="6" tint="0.3999450666829432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EK2712934</v>
        <stp/>
        <stp>##V3_BDPV12</stp>
        <stp>UCNO-G0414 Corp</stp>
        <stp>ID_CUSIP</stp>
        <stp>[GestionvXs.xlsm]Spreads!R281C2</stp>
        <tr r="B281" s="35"/>
      </tp>
      <tp t="s">
        <v>QZ8961653</v>
        <stp/>
        <stp>##V3_BDPV12</stp>
        <stp>BBIC640116 Corp</stp>
        <stp>ID_CUSIP</stp>
        <stp>[GestionvXs.xlsm]Spreads!R59C2</stp>
        <tr r="B59" s="35"/>
      </tp>
      <tp t="s">
        <v>EJ7236247</v>
        <stp/>
        <stp>##V3_BDPV12</stp>
        <stp>BHER-C0413 Corp</stp>
        <stp>ID_CUSIP</stp>
        <stp>[GestionvXs.xlsm]Spreads!R239C2</stp>
        <tr r="B239" s="35"/>
      </tp>
      <tp t="s">
        <v>EH3101571</v>
        <stp/>
        <stp>##V3_BDPV12</stp>
        <stp>UFAL-A0607 Corp</stp>
        <stp>ID_CUSIP</stp>
        <stp>[GestionvXs.xlsm]Spreads!R151C2</stp>
        <tr r="B151" s="35"/>
      </tp>
      <tp t="s">
        <v>EK6605902</v>
        <stp/>
        <stp>##V3_BDPV12</stp>
        <stp>BSECU-L3 Corp</stp>
        <stp>ID_CUSIP</stp>
        <stp>[GestionvXs.xlsm]Spreads!R270C2</stp>
        <tr r="B270" s="35"/>
      </tp>
      <tp>
        <v>0.44079397672826831</v>
        <stp/>
        <stp>##V3_BDPV12</stp>
        <stp>BCP0600518@RIAY Govt</stp>
        <stp>MTY_YEARS</stp>
        <stp>[GestionvXs.xlsm]Curva Gobierno!R5C9</stp>
        <tr r="I5" s="34"/>
      </tp>
      <tp>
        <v>2.2751540041067764</v>
        <stp/>
        <stp>##V3_BDPV12</stp>
        <stp>UV3639738 Corp</stp>
        <stp>MTY_YEARS</stp>
        <stp>[GestionvXs.xlsm]Spreads!R93C3</stp>
        <tr r="C93" s="35"/>
      </tp>
      <tp t="s">
        <v>EI7698992</v>
        <stp/>
        <stp>##V3_BDPV12</stp>
        <stp>UCORBF0710 Corp</stp>
        <stp>ID_CUSIP</stp>
        <stp>[GestionvXs.xlsm]Spreads!R205C2</stp>
        <tr r="B205" s="35"/>
      </tp>
      <tp t="s">
        <v>QJ0605056</v>
        <stp/>
        <stp>##V3_BDPV12</stp>
        <stp>BBNSAB0515 Corp</stp>
        <stp>ID_CUSIP</stp>
        <stp>[GestionvXs.xlsm]Spreads!R175C2</stp>
        <tr r="B175" s="35"/>
      </tp>
      <tp>
        <v>3.1129363449691994</v>
        <stp/>
        <stp>##V3_BDPV12</stp>
        <stp>QZ8961653 Corp</stp>
        <stp>MTY_YEARS</stp>
        <stp>[GestionvXs.xlsm]Spreads!R59C3</stp>
        <tr r="C59" s="35"/>
      </tp>
      <tp t="s">
        <v>EI5580564</v>
        <stp/>
        <stp>##V3_BDPV12</stp>
        <stp>BCHI-O0704 Corp</stp>
        <stp>ID_CUSIP</stp>
        <stp>[GestionvXs.xlsm]Spreads!R198C2</stp>
        <tr r="B198" s="35"/>
      </tp>
      <tp t="s">
        <v>EK7534101</v>
        <stp/>
        <stp>##V3_BDPV12</stp>
        <stp>BFAL-B0510 Corp</stp>
        <stp>ID_CUSIP</stp>
        <stp>[GestionvXs.xlsm]Spreads!R214C2</stp>
        <tr r="B214" s="35"/>
      </tp>
      <tp>
        <v>0.27378507871321012</v>
        <stp/>
        <stp>##V3_BDPV12</stp>
        <stp>BTP0600318@RIAY Govt</stp>
        <stp>MTY_YEARS</stp>
        <stp>[GestionvXs.xlsm]Curva Gobierno!R4C9</stp>
        <tr r="I4" s="34"/>
      </tp>
      <tp t="s">
        <v>EI7361377</v>
        <stp/>
        <stp>##V3_BDPV12</stp>
        <stp>BBIC480510 Corp</stp>
        <stp>ID_CUSIP</stp>
        <stp>[GestionvXs.xlsm]Spreads!R99C2</stp>
        <tr r="B99" s="35"/>
      </tp>
      <tp t="s">
        <v>EK7531164</v>
        <stp/>
        <stp>##V3_BDPV12</stp>
        <stp>UITA-C0408 Corp</stp>
        <stp>ID_CUSIP</stp>
        <stp>[GestionvXs.xlsm]Spreads!R171C2</stp>
        <tr r="B171" s="35"/>
      </tp>
      <tp>
        <v>1.1115674195756331</v>
        <stp/>
        <stp>##V3_BDPV12</stp>
        <stp>BTP0600119@RIAY Govt</stp>
        <stp>MTY_YEARS</stp>
        <stp>[GestionvXs.xlsm]Curva Gobierno!R7C9</stp>
        <tr r="I7" s="34"/>
      </tp>
      <tp>
        <v>2.1957563312799451</v>
        <stp/>
        <stp>##V3_BDPV12</stp>
        <stp>QZ6735554 Corp</stp>
        <stp>MTY_YEARS</stp>
        <stp>[GestionvXs.xlsm]Spreads!R39C3</stp>
        <tr r="C39" s="35"/>
      </tp>
      <tp>
        <v>0.44079397672826831</v>
        <stp/>
        <stp>##V3_BDPV12</stp>
        <stp>UV4487111 Corp</stp>
        <stp>MTY_YEARS</stp>
        <stp>[GestionvXs.xlsm]Spreads!R73C3</stp>
        <tr r="C73" s="35"/>
      </tp>
      <tp t="s">
        <v>EC4281563</v>
        <stp/>
        <stp>##V3_BDPV12</stp>
        <stp>BMGAS-D2 Corp</stp>
        <stp>ID_CUSIP</stp>
        <stp>[GestionvXs.xlsm]Spreads!R260C2</stp>
        <tr r="B260" s="35"/>
      </tp>
      <tp t="s">
        <v>ED2418322</v>
        <stp/>
        <stp>##V3_BDPV12</stp>
        <stp>BACEN-A1 Corp</stp>
        <stp>ID_CUSIP</stp>
        <stp>[GestionvXs.xlsm]Spreads!R137C2</stp>
        <tr r="B137" s="35"/>
      </tp>
      <tp>
        <v>8.2737850787132103</v>
        <stp/>
        <stp>##V3_BDPV12</stp>
        <stp>BTP0450326@RIAY Govt</stp>
        <stp>MTY_YEARS</stp>
        <stp>[GestionvXs.xlsm]Curva Gobierno!R18C9</stp>
        <tr r="I18" s="34"/>
      </tp>
      <tp>
        <v>14.11088295687885</v>
        <stp/>
        <stp>##V3_BDPV12</stp>
        <stp>BTP0600132@RIAY Govt</stp>
        <stp>MTY_YEARS</stp>
        <stp>[GestionvXs.xlsm]Curva Gobierno!R19C9</stp>
        <tr r="I19" s="34"/>
      </tp>
      <tp>
        <v>0.52566735112936347</v>
        <stp/>
        <stp>##V3_BDPV12</stp>
        <stp>BCP0600618@RIAY Govt</stp>
        <stp>MTY_YEARS</stp>
        <stp>[GestionvXs.xlsm]Curva Gobierno!R6C9</stp>
        <tr r="I6" s="34"/>
      </tp>
      <tp t="s">
        <v>QJ1897850</v>
        <stp/>
        <stp>##V3_BDPV12</stp>
        <stp>BFORU-AZ Corp</stp>
        <stp>ID_CUSIP</stp>
        <stp>[GestionvXs.xlsm]Spreads!R58C2</stp>
        <tr r="B58" s="35"/>
      </tp>
      <tp t="s">
        <v>ED4952815</v>
        <stp/>
        <stp>##V3_BDPV12</stp>
        <stp>UBBV-A1203 Corp</stp>
        <stp>ID_CUSIP</stp>
        <stp>[GestionvXs.xlsm]Spreads!R135C2</stp>
        <tr r="B135" s="35"/>
      </tp>
      <tp t="s">
        <v>EG3363314</v>
        <stp/>
        <stp>##V3_BDPV12</stp>
        <stp>UEST-C0405 Corp</stp>
        <stp>ID_CUSIP</stp>
        <stp>[GestionvXs.xlsm]Spreads!R136C2</stp>
        <tr r="B136" s="35"/>
      </tp>
      <tp t="s">
        <v>EJ7096914</v>
        <stp/>
        <stp>##V3_BDPV12</stp>
        <stp>BCCA-C0912 Corp</stp>
        <stp>ID_CUSIP</stp>
        <stp>[GestionvXs.xlsm]Spreads!R236C2</stp>
        <tr r="B236" s="35"/>
      </tp>
      <tp t="s">
        <v>EK7663009</v>
        <stp/>
        <stp>##V3_BDPV12</stp>
        <stp>UCNO-A1011 Corp</stp>
        <stp>ID_CUSIP</stp>
        <stp>[GestionvXs.xlsm]Spreads!R204C2</stp>
        <tr r="B204" s="35"/>
      </tp>
      <tp t="s">
        <v>EK8151269</v>
        <stp/>
        <stp>##V3_BDPV12</stp>
        <stp>BCCA-E0115 Corp</stp>
        <stp>ID_CUSIP</stp>
        <stp>[GestionvXs.xlsm]Spreads!R234C2</stp>
        <tr r="B234" s="35"/>
      </tp>
      <tp t="s">
        <v>EK0172701</v>
        <stp/>
        <stp>##V3_BDPV12</stp>
        <stp>BCCA-D1113 Corp</stp>
        <stp>ID_CUSIP</stp>
        <stp>[GestionvXs.xlsm]Spreads!R233C2</stp>
        <tr r="B233" s="35"/>
      </tp>
      <tp t="s">
        <v>LW5609380</v>
        <stp/>
        <stp>##V3_BDPV12</stp>
        <stp>BFAL-F0615 Corp</stp>
        <stp>ID_CUSIP</stp>
        <stp>[GestionvXs.xlsm]Spreads!R102C2</stp>
        <tr r="B102" s="35"/>
      </tp>
      <tp t="s">
        <v>UV8171448</v>
        <stp/>
        <stp>##V3_BDPV12</stp>
        <stp>BFAL-E0615 Corp</stp>
        <stp>ID_CUSIP</stp>
        <stp>[GestionvXs.xlsm]Spreads!R211C2</stp>
        <tr r="B211" s="35"/>
      </tp>
      <tp>
        <v>0.11225188227241616</v>
        <stp/>
        <stp>##V3_BDPV12</stp>
        <stp>BTP0600118@RIAY Govt</stp>
        <stp>MTY_YEARS</stp>
        <stp>[GestionvXs.xlsm]Curva Gobierno!R3C9</stp>
        <tr r="I3" s="34"/>
      </tp>
      <tp>
        <v>33.514000000000003</v>
        <stp/>
        <stp>##V3_BDPV12</stp>
        <stp>MXNCLP Curncy</stp>
        <stp>PX_LAST</stp>
        <stp>[GestionvXs.xlsm]Resumen!R36C4</stp>
        <tr r="D36" s="33"/>
      </tp>
      <tp t="s">
        <v>EK7533988</v>
        <stp/>
        <stp>##V3_BDPV12</stp>
        <stp>BFAL-A0510 Corp</stp>
        <stp>ID_CUSIP</stp>
        <stp>[GestionvXs.xlsm]Spreads!R101C2</stp>
        <tr r="B101" s="35"/>
      </tp>
      <tp t="s">
        <v>EJ2868895</v>
        <stp/>
        <stp>##V3_BDPV12</stp>
        <stp>BITA-K0911 Corp</stp>
        <stp>ID_CUSIP</stp>
        <stp>[GestionvXs.xlsm]Spreads!R125C2</stp>
        <tr r="B125" s="35"/>
      </tp>
      <tp t="s">
        <v>#N/A Field Not Applicable</v>
        <stp/>
        <stp>##V3_BDPV12</stp>
        <stp>BCP0600617@RIAY Govt</stp>
        <stp>MTY_YEARS</stp>
        <stp>[GestionvXs.xlsm]Curva Gobierno!R2C9</stp>
        <tr r="I2" s="34"/>
      </tp>
      <tp t="s">
        <v>EI7700277</v>
        <stp/>
        <stp>##V3_BDPV12</stp>
        <stp>UCORBJ0710 Corp</stp>
        <stp>ID_CUSIP</stp>
        <stp>[GestionvXs.xlsm]Spreads!R280C2</stp>
        <tr r="B280" s="35"/>
      </tp>
      <tp t="s">
        <v>EK5008579</v>
        <stp/>
        <stp>##V3_BDPV12</stp>
        <stp>BHER-G0914 Corp</stp>
        <stp>ID_CUSIP</stp>
        <stp>[GestionvXs.xlsm]Spreads!R242C2</stp>
        <tr r="B242" s="35"/>
      </tp>
      <tp>
        <v>637.46</v>
        <stp/>
        <stp>##V3_BDPV12</stp>
        <stp>USDCLP Curncy</stp>
        <stp>PX_LAST</stp>
        <stp>[GestionvXs.xlsm]Resumen!R33C4</stp>
        <tr r="D33" s="33"/>
      </tp>
      <tp>
        <v>0.89801505817932925</v>
        <stp/>
        <stp>##V3_BDPV12</stp>
        <stp>QZ9214680 Corp</stp>
        <stp>MTY_YEARS</stp>
        <stp>[GestionvXs.xlsm]Spreads!R35C3</stp>
        <tr r="C35" s="35"/>
      </tp>
      <tp t="s">
        <v>EI7217694</v>
        <stp/>
        <stp>##V3_BDPV12</stp>
        <stp>BBNS-L0511 Corp</stp>
        <stp>ID_CUSIP</stp>
        <stp>[GestionvXs.xlsm]Spreads!R117C2</stp>
        <tr r="B117" s="35"/>
      </tp>
      <tp t="s">
        <v>EC1758878</v>
        <stp/>
        <stp>##V3_BDPV12</stp>
        <stp>UEST-A0799 Corp</stp>
        <stp>ID_CUSIP</stp>
        <stp>[GestionvXs.xlsm]Spreads!R115C2</stp>
        <tr r="B115" s="35"/>
      </tp>
      <tp>
        <v>25.111567419575632</v>
        <stp/>
        <stp>##V3_BDPV12</stp>
        <stp>BTP0600143@RIAY Govt</stp>
        <stp>MTY_YEARS</stp>
        <stp>[GestionvXs.xlsm]Curva Gobierno!R22C9</stp>
        <tr r="I22" s="34"/>
      </tp>
      <tp>
        <v>749.13</v>
        <stp/>
        <stp>##V3_BDPV12</stp>
        <stp>EURCLP Curncy</stp>
        <stp>PX_LAST</stp>
        <stp>[GestionvXs.xlsm]Resumen!R34C4</stp>
        <tr r="D34" s="33"/>
      </tp>
      <tp t="s">
        <v>EI7623537</v>
        <stp/>
        <stp>##V3_BDPV12</stp>
        <stp>BCORAJ0710 Corp</stp>
        <stp>ID_CUSIP</stp>
        <stp>[GestionvXs.xlsm]Spreads!R122C2</stp>
        <tr r="B122" s="35"/>
      </tp>
      <tp t="s">
        <v>EJ5333459</v>
        <stp/>
        <stp>##V3_BDPV12</stp>
        <stp>BHER-A1212 Corp</stp>
        <stp>ID_CUSIP</stp>
        <stp>[GestionvXs.xlsm]Spreads!R240C2</stp>
        <tr r="B240" s="35"/>
      </tp>
      <tp t="s">
        <v>JV6956033</v>
        <stp/>
        <stp>##V3_BDPV12</stp>
        <stp>BCAJ-L1215 Corp</stp>
        <stp>ID_CUSIP</stp>
        <stp>[GestionvXs.xlsm]Spreads!R111C2</stp>
        <tr r="B111" s="35"/>
      </tp>
      <tp t="s">
        <v>EJ6691442</v>
        <stp/>
        <stp>##V3_BDPV12</stp>
        <stp>BBNS-O0812 Corp</stp>
        <stp>ID_CUSIP</stp>
        <stp>[GestionvXs.xlsm]Spreads!R8C2</stp>
        <tr r="B8" s="35"/>
      </tp>
      <tp t="s">
        <v>EH8370429</v>
        <stp/>
        <stp>##V3_BDPV12</stp>
        <stp>BCOR-L0707 Corp</stp>
        <stp>ID_CUSIP</stp>
        <stp>[GestionvXs.xlsm]Spreads!R6C2</stp>
        <tr r="B6" s="35"/>
      </tp>
      <tp t="s">
        <v>EJ8070744</v>
        <stp/>
        <stp>##V3_BDPV12</stp>
        <stp>BCOO-C0713 Corp</stp>
        <stp>ID_CUSIP</stp>
        <stp>[GestionvXs.xlsm]Spreads!R179C2</stp>
        <tr r="B179" s="35"/>
      </tp>
      <tp t="s">
        <v>EI7699354</v>
        <stp/>
        <stp>##V3_BDPV12</stp>
        <stp>UCORBI0710 Corp</stp>
        <stp>ID_CUSIP</stp>
        <stp>[GestionvXs.xlsm]Spreads!R210C2</stp>
        <tr r="B210" s="35"/>
      </tp>
      <tp t="s">
        <v>EK7479810</v>
        <stp/>
        <stp>##V3_BDPV12</stp>
        <stp>BBBVJ31011 Corp</stp>
        <stp>ID_CUSIP</stp>
        <stp>[GestionvXs.xlsm]Spreads!R4C2</stp>
        <tr r="B4" s="35"/>
      </tp>
      <tp t="s">
        <v>EJ7097268</v>
        <stp/>
        <stp>##V3_BDPV12</stp>
        <stp>BCORAF0710 Corp</stp>
        <stp>ID_CUSIP</stp>
        <stp>[GestionvXs.xlsm]Spreads!R7C2</stp>
        <tr r="B7" s="35"/>
      </tp>
      <tp t="s">
        <v>EK6671672</v>
        <stp/>
        <stp>##V3_BDPV12</stp>
        <stp>BANOR-B2 Corp</stp>
        <stp>ID_CUSIP</stp>
        <stp>[GestionvXs.xlsm]Spreads!R126C2</stp>
        <tr r="B126" s="35"/>
      </tp>
      <tp>
        <v>6.1108829568788501</v>
        <stp/>
        <stp>##V3_BDPV12</stp>
        <stp>BTP0600124@RIAY Govt</stp>
        <stp>MTY_YEARS</stp>
        <stp>[GestionvXs.xlsm]Curva Gobierno!R17C9</stp>
        <tr r="I17" s="34"/>
      </tp>
      <tp t="s">
        <v>EI5580614</v>
        <stp/>
        <stp>##V3_BDPV12</stp>
        <stp>UCHI-F1108 Corp</stp>
        <stp>ID_CUSIP</stp>
        <stp>[GestionvXs.xlsm]Spreads!R230C2</stp>
        <tr r="B230" s="35"/>
      </tp>
      <tp t="s">
        <v>EK9931313</v>
        <stp/>
        <stp>##V3_BDPV12</stp>
        <stp>BCHIAM0413 Corp</stp>
        <stp>ID_CUSIP</stp>
        <stp>[GestionvXs.xlsm]Spreads!R110C2</stp>
        <tr r="B110" s="35"/>
      </tp>
      <tp>
        <v>2.3600273785078714</v>
        <stp/>
        <stp>##V3_BDPV12</stp>
        <stp>UV8774381 Corp</stp>
        <stp>MTY_YEARS</stp>
        <stp>[GestionvXs.xlsm]Spreads!R53C3</stp>
        <tr r="C53" s="35"/>
      </tp>
      <tp t="s">
        <v>EI8484467</v>
        <stp/>
        <stp>##V3_BDPV12</stp>
        <stp>BFAL-C0711 Corp</stp>
        <stp>ID_CUSIP</stp>
        <stp>[GestionvXs.xlsm]Spreads!R269C2</stp>
        <tr r="B269" s="35"/>
      </tp>
      <tp>
        <v>2.6940451745379876</v>
        <stp/>
        <stp>##V3_BDPV12</stp>
        <stp>QJ1897850 Corp</stp>
        <stp>MTY_YEARS</stp>
        <stp>[GestionvXs.xlsm]Spreads!R58C3</stp>
        <tr r="C58" s="35"/>
      </tp>
      <tp t="s">
        <v>EC4898648</v>
        <stp/>
        <stp>##V3_BDPV12</stp>
        <stp>BJUMB-B2 Corp</stp>
        <stp>ID_CUSIP</stp>
        <stp>[GestionvXs.xlsm]Spreads!R133C2</stp>
        <tr r="B133" s="35"/>
      </tp>
      <tp>
        <v>17.273100616016428</v>
        <stp/>
        <stp>##V3_BDPV12</stp>
        <stp>BTP0500335@RIAY Govt</stp>
        <stp>MTY_YEARS</stp>
        <stp>[GestionvXs.xlsm]Curva Gobierno!R21C9</stp>
        <tr r="I21" s="34"/>
      </tp>
      <tp>
        <v>16.112251882272417</v>
        <stp/>
        <stp>##V3_BDPV12</stp>
        <stp>BTP0600134@RIAY Govt</stp>
        <stp>MTY_YEARS</stp>
        <stp>[GestionvXs.xlsm]Curva Gobierno!R20C9</stp>
        <tr r="I20" s="34"/>
      </tp>
      <tp t="s">
        <v>EJ8020905</v>
        <stp/>
        <stp>##V3_BDPV12</stp>
        <stp>BFORU-AQ Corp</stp>
        <stp>ID_CUSIP</stp>
        <stp>[GestionvXs.xlsm]Spreads!R71C2</stp>
        <tr r="B71" s="35"/>
      </tp>
      <tp t="s">
        <v>EJ6691293</v>
        <stp/>
        <stp>##V3_BDPV12</stp>
        <stp>BBNS-M0412 Corp</stp>
        <stp>ID_CUSIP</stp>
        <stp>[GestionvXs.xlsm]Spreads!R131C2</stp>
        <tr r="B131" s="35"/>
      </tp>
      <tp t="s">
        <v>EK8626633</v>
        <stp/>
        <stp>##V3_BDPV12</stp>
        <stp>BFORU-AX Corp</stp>
        <stp>ID_CUSIP</stp>
        <stp>[GestionvXs.xlsm]Spreads!R51C2</stp>
        <tr r="B51" s="35"/>
      </tp>
      <tp>
        <v>2.3600273785078714</v>
        <stp/>
        <stp>##V3_BDPV12</stp>
        <stp>BCP0450420@RIAY Govt</stp>
        <stp>MTY_YEARS</stp>
        <stp>[GestionvXs.xlsm]Curva Gobierno!R9C9</stp>
        <tr r="I9" s="34"/>
      </tp>
      <tp t="s">
        <v>EK8255433</v>
        <stp/>
        <stp>##V3_BDPV12</stp>
        <stp>UCNO-K1114 Corp</stp>
        <stp>ID_CUSIP</stp>
        <stp>[GestionvXs.xlsm]Spreads!R283C2</stp>
        <tr r="B283" s="35"/>
      </tp>
      <tp t="s">
        <v>EJ8198784</v>
        <stp/>
        <stp>##V3_BDPV12</stp>
        <stp>BHER-E0813 Corp</stp>
        <stp>ID_CUSIP</stp>
        <stp>[GestionvXs.xlsm]Spreads!R241C2</stp>
        <tr r="B241" s="35"/>
      </tp>
      <tp t="s">
        <v>EF7573621</v>
        <stp/>
        <stp>##V3_BDPV12</stp>
        <stp>UDES-F1004 Corp</stp>
        <stp>ID_CUSIP</stp>
        <stp>[GestionvXs.xlsm]Spreads!R199C2</stp>
        <tr r="B199" s="35"/>
      </tp>
      <tp t="s">
        <v>EK4875432</v>
        <stp/>
        <stp>##V3_BDPV12</stp>
        <stp>BITAAF0614 Corp</stp>
        <stp>ID_CUSIP</stp>
        <stp>[GestionvXs.xlsm]Spreads!R134C2</stp>
        <tr r="B134" s="35"/>
      </tp>
      <tp>
        <v>3.2717316906228611</v>
        <stp/>
        <stp>##V3_BDPV12</stp>
        <stp>BTP0450221@RIAY Govt</stp>
        <stp>MTY_YEARS</stp>
        <stp>[GestionvXs.xlsm]Curva Gobierno!R12C9</stp>
        <tr r="I12" s="34"/>
      </tp>
      <tp>
        <v>4.1122518822724166</v>
        <stp/>
        <stp>##V3_BDPV12</stp>
        <stp>BTP0600122@RIAY Govt</stp>
        <stp>MTY_YEARS</stp>
        <stp>[GestionvXs.xlsm]Curva Gobierno!R14C9</stp>
        <tr r="I14" s="34"/>
      </tp>
      <tp>
        <v>26677.88</v>
        <stp/>
        <stp>##V3_BDPV12</stp>
        <stp>CLF Curncy</stp>
        <stp>PX_LAST</stp>
        <stp>[GestionvXs.xlsm]Cambio Posicion!R9C12</stp>
        <tr r="L9" s="38"/>
      </tp>
      <tp>
        <v>26677.88</v>
        <stp/>
        <stp>##V3_BDPV12</stp>
        <stp>CLF Curncy</stp>
        <stp>PX_LAST</stp>
        <stp>[GestionvXs.xlsm]Cambio Posicion!R8C12</stp>
        <tr r="L8" s="38"/>
      </tp>
      <tp>
        <v>26677.88</v>
        <stp/>
        <stp>##V3_BDPV12</stp>
        <stp>CLF Curncy</stp>
        <stp>PX_LAST</stp>
        <stp>[GestionvXs.xlsm]Cambio Posicion!R7C12</stp>
        <tr r="L7" s="38"/>
      </tp>
      <tp>
        <v>26677.88</v>
        <stp/>
        <stp>##V3_BDPV12</stp>
        <stp>CLF Curncy</stp>
        <stp>PX_LAST</stp>
        <stp>[GestionvXs.xlsm]Cambio Posicion!R6C12</stp>
        <tr r="L6" s="38"/>
      </tp>
      <tp>
        <v>26677.88</v>
        <stp/>
        <stp>##V3_BDPV12</stp>
        <stp>CLF Curncy</stp>
        <stp>PX_LAST</stp>
        <stp>[GestionvXs.xlsm]Cambio Posicion!R9C16</stp>
        <tr r="P9" s="38"/>
      </tp>
      <tp>
        <v>26677.88</v>
        <stp/>
        <stp>##V3_BDPV12</stp>
        <stp>CLF Curncy</stp>
        <stp>PX_LAST</stp>
        <stp>[GestionvXs.xlsm]Cambio Posicion!R8C16</stp>
        <tr r="P8" s="38"/>
      </tp>
      <tp>
        <v>26677.88</v>
        <stp/>
        <stp>##V3_BDPV12</stp>
        <stp>CLF Curncy</stp>
        <stp>PX_LAST</stp>
        <stp>[GestionvXs.xlsm]Cambio Posicion!R7C16</stp>
        <tr r="P7" s="38"/>
      </tp>
      <tp>
        <v>26677.88</v>
        <stp/>
        <stp>##V3_BDPV12</stp>
        <stp>CLF Curncy</stp>
        <stp>PX_LAST</stp>
        <stp>[GestionvXs.xlsm]Cambio Posicion!R6C16</stp>
        <tr r="P6" s="38"/>
      </tp>
      <tp>
        <v>26677.88</v>
        <stp/>
        <stp>##V3_BDPV12</stp>
        <stp>CLF Curncy</stp>
        <stp>PX_LAST</stp>
        <stp>[GestionvXs.xlsm]Cambio Posicion!R9C17</stp>
        <tr r="Q9" s="38"/>
      </tp>
      <tp>
        <v>26677.88</v>
        <stp/>
        <stp>##V3_BDPV12</stp>
        <stp>CLF Curncy</stp>
        <stp>PX_LAST</stp>
        <stp>[GestionvXs.xlsm]Cambio Posicion!R8C17</stp>
        <tr r="Q8" s="38"/>
      </tp>
      <tp>
        <v>26677.88</v>
        <stp/>
        <stp>##V3_BDPV12</stp>
        <stp>CLF Curncy</stp>
        <stp>PX_LAST</stp>
        <stp>[GestionvXs.xlsm]Cambio Posicion!R7C17</stp>
        <tr r="Q7" s="38"/>
      </tp>
      <tp>
        <v>26677.88</v>
        <stp/>
        <stp>##V3_BDPV12</stp>
        <stp>CLF Curncy</stp>
        <stp>PX_LAST</stp>
        <stp>[GestionvXs.xlsm]Cambio Posicion!R6C17</stp>
        <tr r="Q6" s="38"/>
      </tp>
      <tp>
        <v>2.1108829568788501</v>
        <stp/>
        <stp>##V3_BDPV12</stp>
        <stp>BTP0600120@RIAY Govt</stp>
        <stp>MTY_YEARS</stp>
        <stp>[GestionvXs.xlsm]Curva Gobierno!R8C9</stp>
        <tr r="I8" s="34"/>
      </tp>
      <tp t="s">
        <v>JV1894742</v>
        <stp/>
        <stp>##V3_BDPV12</stp>
        <stp>BCHIAO0713 Corp</stp>
        <stp>ID_CUSIP</stp>
        <stp>[GestionvXs.xlsm]Spreads!R121C2</stp>
        <tr r="B121" s="35"/>
      </tp>
      <tp t="s">
        <v>LW2641915</v>
        <stp/>
        <stp>##V3_BDPV12</stp>
        <stp>BFORU-BD Corp</stp>
        <stp>ID_CUSIP</stp>
        <stp>[GestionvXs.xlsm]Spreads!R60C2</stp>
        <tr r="B60" s="35"/>
      </tp>
      <tp t="s">
        <v>EG5269147</v>
        <stp/>
        <stp>##V3_BDPV12</stp>
        <stp>BAVNO-A1 Corp</stp>
        <stp>ID_CUSIP</stp>
        <stp>[GestionvXs.xlsm]Spreads!R200C2</stp>
        <tr r="B200" s="35"/>
      </tp>
      <tp>
        <v>3.2744695414099931</v>
        <stp/>
        <stp>##V3_BDPV12</stp>
        <stp>BTP0450321@RIAY Govt</stp>
        <stp>MTY_YEARS</stp>
        <stp>[GestionvXs.xlsm]Curva Gobierno!R13C9</stp>
        <tr r="I13" s="34"/>
      </tp>
      <tp>
        <v>195.28229999999999</v>
        <stp/>
        <stp>##V3_BDPV12</stp>
        <stp>BRLCLP Curncy</stp>
        <stp>PX_LAST</stp>
        <stp>[GestionvXs.xlsm]Resumen!R35C4</stp>
        <tr r="D35" s="33"/>
      </tp>
      <tp t="s">
        <v>EK7226427</v>
        <stp/>
        <stp>##V3_BDPV12</stp>
        <stp>BCHIUQ1011 Corp</stp>
        <stp>ID_CUSIP</stp>
        <stp>[GestionvXs.xlsm]Spreads!R142C2</stp>
        <tr r="B142" s="35"/>
      </tp>
      <tp>
        <v>4.0273785078713207</v>
        <stp/>
        <stp>##V3_BDPV12</stp>
        <stp>EK6751458 Corp</stp>
        <stp>MTY_YEARS</stp>
        <stp>[GestionvXs.xlsm]Spreads!R94C3</stp>
        <tr r="C94" s="35"/>
      </tp>
      <tp>
        <v>3.6057494866529773</v>
        <stp/>
        <stp>##V3_BDPV12</stp>
        <stp>EK7691497 Corp</stp>
        <stp>MTY_YEARS</stp>
        <stp>[GestionvXs.xlsm]Spreads!R47C3</stp>
        <tr r="C47" s="35"/>
      </tp>
      <tp>
        <v>0.52566735112936347</v>
        <stp/>
        <stp>##V3_BDPV12</stp>
        <stp>EK7218200 Corp</stp>
        <stp>MTY_YEARS</stp>
        <stp>[GestionvXs.xlsm]Spreads!R28C3</stp>
        <tr r="C28" s="35"/>
      </tp>
      <tp t="s">
        <v>EK7218267</v>
        <stp/>
        <stp>##V3_BDPV12</stp>
        <stp>BBNS-V0514 Corp</stp>
        <stp>ID_CUSIP</stp>
        <stp>[GestionvXs.xlsm]Spreads!R92C2</stp>
        <tr r="B92" s="35"/>
      </tp>
      <tp t="s">
        <v>EK7217905</v>
        <stp/>
        <stp>##V3_BDPV12</stp>
        <stp>BBNS-P0413 Corp</stp>
        <stp>ID_CUSIP</stp>
        <stp>[GestionvXs.xlsm]Spreads!R22C2</stp>
        <tr r="B22" s="35"/>
      </tp>
      <tp>
        <v>0.21149999999999999</v>
        <stp/>
        <stp>##V3_BDPV12</stp>
        <stp>COPCLP Curncy</stp>
        <stp>PX_LAST</stp>
        <stp>[GestionvXs.xlsm]Resumen!R37C4</stp>
        <tr r="D37" s="33"/>
      </tp>
      <tp t="s">
        <v>EK3109288</v>
        <stp/>
        <stp>##V3_BDPV12</stp>
        <stp>BRPL-A0414 Corp</stp>
        <stp>ID_CUSIP</stp>
        <stp>[GestionvXs.xlsm]Spreads!R42C2</stp>
        <tr r="B42" s="35"/>
      </tp>
      <tp t="s">
        <v>EK5181152</v>
        <stp/>
        <stp>##V3_BDPV12</stp>
        <stp>BRPL-K0315 Corp</stp>
        <stp>ID_CUSIP</stp>
        <stp>[GestionvXs.xlsm]Spreads!R52C2</stp>
        <tr r="B52" s="35"/>
      </tp>
      <tp>
        <v>3.2744695414099931</v>
        <stp/>
        <stp>##V3_BDPV12</stp>
        <stp>LW2641915 Corp</stp>
        <stp>MTY_YEARS</stp>
        <stp>[GestionvXs.xlsm]Spreads!R60C3</stp>
        <tr r="C60" s="35"/>
      </tp>
      <tp t="s">
        <v>#N/A Field Not Applicable</v>
        <stp/>
        <stp>##V3_BDPV12</stp>
        <stp>EI7555135 Corp</stp>
        <stp>MTY_YEARS</stp>
        <stp>[GestionvXs.xlsm]Spreads!R68C3</stp>
        <tr r="C68" s="35"/>
      </tp>
      <tp>
        <v>2.6940451745379876</v>
        <stp/>
        <stp>##V3_BDPV12</stp>
        <stp>EC2388311 Corp</stp>
        <stp>MTY_YEARS</stp>
        <stp>[GestionvXs.xlsm]Spreads!R81C3</stp>
        <tr r="C81" s="35"/>
      </tp>
      <tp>
        <v>2.2751540041067764</v>
        <stp/>
        <stp>##V3_BDPV12</stp>
        <stp>EK5181152 Corp</stp>
        <stp>MTY_YEARS</stp>
        <stp>[GestionvXs.xlsm]Spreads!R52C3</stp>
        <tr r="C52" s="35"/>
      </tp>
      <tp>
        <v>1.5249828884325805</v>
        <stp/>
        <stp>##V3_BDPV12</stp>
        <stp>EJ6693695 Corp</stp>
        <stp>MTY_YEARS</stp>
        <stp>[GestionvXs.xlsm]Spreads!R84C3</stp>
        <tr r="C84" s="35"/>
      </tp>
      <tp>
        <v>2.4421629021218343</v>
        <stp/>
        <stp>##V3_BDPV12</stp>
        <stp>EI7361377 Corp</stp>
        <stp>MTY_YEARS</stp>
        <stp>[GestionvXs.xlsm]Spreads!R99C3</stp>
        <tr r="C99" s="35"/>
      </tp>
      <tp t="s">
        <v>#N/A Field Not Applicable</v>
        <stp/>
        <stp>##V3_BDPV12</stp>
        <stp>EI6171686 Corp</stp>
        <stp>MTY_YEARS</stp>
        <stp>[GestionvXs.xlsm]Spreads!R69C3</stp>
        <tr r="C69" s="35"/>
      </tp>
      <tp t="s">
        <v>EK5072971</v>
        <stp/>
        <stp>##V3_BDPV12</stp>
        <stp>BSTDED0114 Corp</stp>
        <stp>ID_CUSIP</stp>
        <stp>[GestionvXs.xlsm]Spreads!R113C2</stp>
        <tr r="B113" s="35"/>
      </tp>
      <tp t="s">
        <v>EK2711373</v>
        <stp/>
        <stp>##V3_BDPV12</stp>
        <stp>BCNO-I0414 Corp</stp>
        <stp>ID_CUSIP</stp>
        <stp>[GestionvXs.xlsm]Spreads!R3C2</stp>
        <tr r="B3" s="35"/>
      </tp>
      <tp t="s">
        <v>UV4487111</v>
        <stp/>
        <stp>##V3_BDPV12</stp>
        <stp>BCNO-L1114 Corp</stp>
        <stp>ID_CUSIP</stp>
        <stp>[GestionvXs.xlsm]Spreads!R73C2</stp>
        <tr r="B73" s="35"/>
      </tp>
      <tp t="s">
        <v>EK2711191</v>
        <stp/>
        <stp>##V3_BDPV12</stp>
        <stp>BCNO-H0414 Corp</stp>
        <stp>ID_CUSIP</stp>
        <stp>[GestionvXs.xlsm]Spreads!R83C2</stp>
        <tr r="B83" s="35"/>
      </tp>
      <tp>
        <v>0.11225188227241616</v>
        <stp/>
        <stp>##V3_BDPV12</stp>
        <stp>EH7794645 Corp</stp>
        <stp>MTY_YEARS</stp>
        <stp>[GestionvXs.xlsm]Spreads!R17C3</stp>
        <tr r="C17" s="35"/>
      </tp>
      <tp>
        <v>3.4798083504449009</v>
        <stp/>
        <stp>##V3_BDPV12</stp>
        <stp>EK4363975 Corp</stp>
        <stp>MTY_YEARS</stp>
        <stp>[GestionvXs.xlsm]Spreads!R48C3</stp>
        <tr r="C48" s="35"/>
      </tp>
      <tp>
        <v>4.1122518822724166</v>
        <stp/>
        <stp>##V3_BDPV12</stp>
        <stp>EC2386232 Corp</stp>
        <stp>MTY_YEARS</stp>
        <stp>[GestionvXs.xlsm]Spreads!R91C3</stp>
        <tr r="C91" s="35"/>
      </tp>
      <tp t="s">
        <v>EJ7137932</v>
        <stp/>
        <stp>##V3_BDPV12</stp>
        <stp>BITA-X0613 Corp</stp>
        <stp>ID_CUSIP</stp>
        <stp>[GestionvXs.xlsm]Spreads!R161C2</stp>
        <tr r="B161" s="35"/>
      </tp>
      <tp>
        <v>1.1115674195756331</v>
        <stp/>
        <stp>##V3_BDPV12</stp>
        <stp>EK7248116 Corp</stp>
        <stp>MTY_YEARS</stp>
        <stp>[GestionvXs.xlsm]Spreads!R79C3</stp>
        <tr r="C79" s="35"/>
      </tp>
      <tp t="s">
        <v>#N/A Field Not Applicable</v>
        <stp/>
        <stp>##V3_BDPV12</stp>
        <stp>EJ6691442 Corp</stp>
        <stp>MTY_YEARS</stp>
        <stp>[GestionvXs.xlsm]Spreads!R8C3</stp>
        <tr r="C8" s="35"/>
      </tp>
      <tp>
        <v>1.5249828884325805</v>
        <stp/>
        <stp>##V3_BDPV12</stp>
        <stp>JV6955779 Corp</stp>
        <stp>MTY_YEARS</stp>
        <stp>[GestionvXs.xlsm]Spreads!R29C3</stp>
        <tr r="C29" s="35"/>
      </tp>
      <tp>
        <v>0.35865845311430528</v>
        <stp/>
        <stp>##V3_BDPV12</stp>
        <stp>EJ7884210 Corp</stp>
        <stp>MTY_YEARS</stp>
        <stp>[GestionvXs.xlsm]Spreads!R72C3</stp>
        <tr r="C72" s="35"/>
      </tp>
      <tp>
        <v>0.85968514715947986</v>
        <stp/>
        <stp>##V3_BDPV12</stp>
        <stp>EK7226120 Corp</stp>
        <stp>MTY_YEARS</stp>
        <stp>[GestionvXs.xlsm]Spreads!R78C3</stp>
        <tr r="C78" s="35"/>
      </tp>
      <tp>
        <v>1.7768651608487338</v>
        <stp/>
        <stp>##V3_BDPV12</stp>
        <stp>EK4836350 Corp</stp>
        <stp>MTY_YEARS</stp>
        <stp>[GestionvXs.xlsm]Spreads!R49C3</stp>
        <tr r="C49" s="35"/>
      </tp>
      <tp>
        <v>2.647501711156742</v>
        <stp/>
        <stp>##V3_BDPV12</stp>
        <stp>EH8635821 Corp</stp>
        <stp>MTY_YEARS</stp>
        <stp>[GestionvXs.xlsm]Spreads!R38C3</stp>
        <tr r="C38" s="35"/>
      </tp>
      <tp t="s">
        <v>#N/A Field Not Applicable</v>
        <stp/>
        <stp>##V3_BDPV12</stp>
        <stp>EI1792734 Corp</stp>
        <stp>MTY_YEARS</stp>
        <stp>[GestionvXs.xlsm]Spreads!R67C3</stp>
        <tr r="C67" s="35"/>
      </tp>
      <tp>
        <v>0.1971252566735113</v>
        <stp/>
        <stp>##V3_BDPV12</stp>
        <stp>EI8263325 Corp</stp>
        <stp>MTY_YEARS</stp>
        <stp>[GestionvXs.xlsm]Spreads!R19C3</stp>
        <tr r="C19" s="35"/>
      </tp>
      <tp t="s">
        <v>EI7166370</v>
        <stp/>
        <stp>##V3_BDPV12</stp>
        <stp>BCHIUH0611 Corp</stp>
        <stp>ID_CUSIP</stp>
        <stp>[GestionvXs.xlsm]Spreads!R5C2</stp>
        <tr r="B5" s="35"/>
      </tp>
      <tp>
        <v>1.6071184120465434</v>
        <stp/>
        <stp>##V3_BDPV12</stp>
        <stp>EK7248298 Corp</stp>
        <stp>MTY_YEARS</stp>
        <stp>[GestionvXs.xlsm]Spreads!R86C3</stp>
        <tr r="C86" s="35"/>
      </tp>
      <tp>
        <v>1.3579739904175223</v>
        <stp/>
        <stp>##V3_BDPV12</stp>
        <stp>EK3109288 Corp</stp>
        <stp>MTY_YEARS</stp>
        <stp>[GestionvXs.xlsm]Spreads!R42C3</stp>
        <tr r="C42" s="35"/>
      </tp>
      <tp>
        <v>33.514000000000003</v>
        <stp/>
        <stp>##V3_BDHV12</stp>
        <stp>MXNCLP Curncy</stp>
        <stp>PX_LAST</stp>
        <stp>20-11-2017</stp>
        <stp>20-11-2017</stp>
        <stp>[GestionvXs.xlsm]Inicio!R10C19</stp>
        <tr r="S10" s="12"/>
      </tp>
      <tp>
        <v>33.514000000000003</v>
        <stp/>
        <stp>##V3_BDHV12</stp>
        <stp>MXNCLP Curncy</stp>
        <stp>PX_LAST</stp>
        <stp>20-11-2017</stp>
        <stp>20-11-2017</stp>
        <stp>[GestionvXs.xlsm]Inicio!R11C19</stp>
        <tr r="S11" s="12"/>
      </tp>
      <tp t="s">
        <v>#N/A Field Not Applicable</v>
        <stp/>
        <stp>##V3_BDPV12</stp>
        <stp>EJ6690741 Corp</stp>
        <stp>MTY_YEARS</stp>
        <stp>[GestionvXs.xlsm]Spreads!R9C3</stp>
        <tr r="C9" s="35"/>
      </tp>
      <tp t="s">
        <v>EH8369983</v>
        <stp/>
        <stp>##V3_BDPV12</stp>
        <stp>BSTD-W1007 Corp</stp>
        <stp>ID_CUSIP</stp>
        <stp>[GestionvXs.xlsm]Spreads!R10C2</stp>
        <tr r="B10" s="35"/>
      </tp>
      <tp t="s">
        <v>EK4921376</v>
        <stp/>
        <stp>##V3_BDPV12</stp>
        <stp>BCORBW0914 Corp</stp>
        <stp>ID_CUSIP</stp>
        <stp>[GestionvXs.xlsm]Spreads!R105C2</stp>
        <tr r="B105" s="35"/>
      </tp>
      <tp t="s">
        <v>EI3813082</v>
        <stp/>
        <stp>##V3_BDPV12</stp>
        <stp>UCOR-V0808 Corp</stp>
        <stp>ID_CUSIP</stp>
        <stp>[GestionvXs.xlsm]Spreads!R208C2</stp>
        <tr r="B208" s="35"/>
      </tp>
      <tp>
        <v>4.3969883641341543</v>
        <stp/>
        <stp>##V3_BDPV12</stp>
        <stp>LW7939686 Corp</stp>
        <stp>MTY_YEARS</stp>
        <stp>[GestionvXs.xlsm]Spreads!R61C3</stp>
        <tr r="C61" s="35"/>
      </tp>
      <tp t="s">
        <v>EK7226666</v>
        <stp/>
        <stp>##V3_BDPV12</stp>
        <stp>BCHIUR1011 Corp</stp>
        <stp>ID_CUSIP</stp>
        <stp>[GestionvXs.xlsm]Spreads!R155C2</stp>
        <tr r="B155" s="35"/>
      </tp>
      <tp>
        <v>0.6078028747433265</v>
        <stp/>
        <stp>##V3_BDPV12</stp>
        <stp>EK7384150 Corp</stp>
        <stp>MTY_YEARS</stp>
        <stp>[GestionvXs.xlsm]Spreads!R75C3</stp>
        <tr r="C75" s="35"/>
      </tp>
      <tp>
        <v>4.9609856262833674</v>
        <stp/>
        <stp>##V3_BDPV12</stp>
        <stp>AL1493314 Corp</stp>
        <stp>MTY_YEARS</stp>
        <stp>[GestionvXs.xlsm]Spreads!R64C3</stp>
        <tr r="C64" s="35"/>
      </tp>
      <tp>
        <v>3.9452429842573578</v>
        <stp/>
        <stp>##V3_BDPV12</stp>
        <stp>EJ6696797 Corp</stp>
        <stp>MTY_YEARS</stp>
        <stp>[GestionvXs.xlsm]Spreads!R63C3</stp>
        <tr r="C63" s="35"/>
      </tp>
      <tp>
        <v>0.3805612594113621</v>
        <stp/>
        <stp>##V3_BDPV12</stp>
        <stp>EK4688231 Corp</stp>
        <stp>MTY_YEARS</stp>
        <stp>[GestionvXs.xlsm]Spreads!R24C3</stp>
        <tr r="C24" s="35"/>
      </tp>
      <tp t="s">
        <v>EI1792734</v>
        <stp/>
        <stp>##V3_BDPV12</stp>
        <stp>BBNS-F1109 Corp</stp>
        <stp>ID_CUSIP</stp>
        <stp>[GestionvXs.xlsm]Spreads!R67C2</stp>
        <tr r="B67" s="35"/>
      </tp>
      <tp t="s">
        <v>EK3266963</v>
        <stp/>
        <stp>##V3_BDPV12</stp>
        <stp>BBNS-W0414 Corp</stp>
        <stp>ID_CUSIP</stp>
        <stp>[GestionvXs.xlsm]Spreads!R225C2</stp>
        <tr r="B225" s="35"/>
      </tp>
      <tp t="s">
        <v>EK7217962</v>
        <stp/>
        <stp>##V3_BDPV12</stp>
        <stp>BBNS-Q0513 Corp</stp>
        <stp>ID_CUSIP</stp>
        <stp>[GestionvXs.xlsm]Spreads!R224C2</stp>
        <tr r="B224" s="35"/>
      </tp>
      <tp t="s">
        <v>UV4492202</v>
        <stp/>
        <stp>##V3_BDPV12</stp>
        <stp>BCHIAP0213 Corp</stp>
        <stp>ID_CUSIP</stp>
        <stp>[GestionvXs.xlsm]Spreads!R124C2</stp>
        <tr r="B124" s="35"/>
      </tp>
      <tp>
        <v>0.81587953456536622</v>
        <stp/>
        <stp>##V3_BDPV12</stp>
        <stp>EH8394353 Corp</stp>
        <stp>MTY_YEARS</stp>
        <stp>[GestionvXs.xlsm]Spreads!R16C3</stp>
        <tr r="C16" s="35"/>
      </tp>
      <tp>
        <v>0.69267624914442161</v>
        <stp/>
        <stp>##V3_BDPV12</stp>
        <stp>EK7227508 Corp</stp>
        <stp>MTY_YEARS</stp>
        <stp>[GestionvXs.xlsm]Spreads!R76C3</stp>
        <tr r="C76" s="35"/>
      </tp>
      <tp t="s">
        <v>#N/A Field Not Applicable</v>
        <stp/>
        <stp>##V3_BDPV12</stp>
        <stp>EK7480776 Corp</stp>
        <stp>MTY_YEARS</stp>
        <stp>[GestionvXs.xlsm]Spreads!R12C3</stp>
        <tr r="C12" s="35"/>
      </tp>
      <tp>
        <v>1.6919917864476386</v>
        <stp/>
        <stp>##V3_BDPV12</stp>
        <stp>EI7119825 Corp</stp>
        <stp>MTY_YEARS</stp>
        <stp>[GestionvXs.xlsm]Spreads!R88C3</stp>
        <tr r="C88" s="35"/>
      </tp>
      <tp t="s">
        <v>EC3169579</v>
        <stp/>
        <stp>##V3_BDPV12</stp>
        <stp>BGASC-F2 Corp</stp>
        <stp>ID_CUSIP</stp>
        <stp>[GestionvXs.xlsm]Spreads!R254C2</stp>
        <tr r="B254" s="35"/>
      </tp>
      <tp t="s">
        <v>#N/A Field Not Applicable</v>
        <stp/>
        <stp>##V3_BDPV12</stp>
        <stp>EI0602397 Corp</stp>
        <stp>MTY_YEARS</stp>
        <stp>[GestionvXs.xlsm]Spreads!R2C3</stp>
        <tr r="C2" s="35"/>
      </tp>
      <tp t="s">
        <v>EH8291179</v>
        <stp/>
        <stp>##V3_BDPV12</stp>
        <stp>BEST-D0807 Corp</stp>
        <stp>ID_CUSIP</stp>
        <stp>[GestionvXs.xlsm]Spreads!R66C2</stp>
        <tr r="B66" s="35"/>
      </tp>
      <tp t="s">
        <v>EK6751755</v>
        <stp/>
        <stp>##V3_BDPV12</stp>
        <stp>BCNO-O1114 Corp</stp>
        <stp>ID_CUSIP</stp>
        <stp>[GestionvXs.xlsm]Spreads!R97C2</stp>
        <tr r="B97" s="35"/>
      </tp>
      <tp>
        <v>2.2751540041067764</v>
        <stp/>
        <stp>##V3_BDPV12</stp>
        <stp>LW3161095 Corp</stp>
        <stp>MTY_YEARS</stp>
        <stp>[GestionvXs.xlsm]Spreads!R95C3</stp>
        <tr r="C95" s="35"/>
      </tp>
      <tp>
        <v>5.9822039698836411</v>
        <stp/>
        <stp>##V3_BDPV12</stp>
        <stp>EK0687450 Corp</stp>
        <stp>MTY_YEARS</stp>
        <stp>[GestionvXs.xlsm]Spreads!R57C3</stp>
        <tr r="C57" s="35"/>
      </tp>
      <tp>
        <v>3.3593429158110881</v>
        <stp/>
        <stp>##V3_BDPV12</stp>
        <stp>EK1693960 Corp</stp>
        <stp>MTY_YEARS</stp>
        <stp>[GestionvXs.xlsm]Spreads!R46C3</stp>
        <tr r="C46" s="35"/>
      </tp>
      <tp t="s">
        <v>EK4748993</v>
        <stp/>
        <stp>##V3_BDPV12</stp>
        <stp>BCNO-C0613 Corp</stp>
        <stp>ID_CUSIP</stp>
        <stp>[GestionvXs.xlsm]Spreads!R74C2</stp>
        <tr r="B74" s="35"/>
      </tp>
      <tp>
        <v>26677.88</v>
        <stp/>
        <stp>##V3_BDPV12</stp>
        <stp>CLFCLP Curncy</stp>
        <stp>PX_LAST</stp>
        <stp>[GestionvXs.xlsm]Resumen!R32C4</stp>
        <tr r="D32" s="33"/>
      </tp>
      <tp t="s">
        <v>EG6230783</v>
        <stp/>
        <stp>##V3_BDPV12</stp>
        <stp>BDES-G0607 Corp</stp>
        <stp>ID_CUSIP</stp>
        <stp>[GestionvXs.xlsm]Spreads!R65C2</stp>
        <tr r="B65" s="35"/>
      </tp>
      <tp t="s">
        <v>EJ6693695</v>
        <stp/>
        <stp>##V3_BDPV12</stp>
        <stp>BITA-N0612 Corp</stp>
        <stp>ID_CUSIP</stp>
        <stp>[GestionvXs.xlsm]Spreads!R84C2</stp>
        <tr r="B84" s="35"/>
      </tp>
      <tp>
        <v>1.1115674195756331</v>
        <stp/>
        <stp>##V3_BDPV12</stp>
        <stp>EJ1017569 Corp</stp>
        <stp>MTY_YEARS</stp>
        <stp>[GestionvXs.xlsm]Spreads!R36C3</stp>
        <tr r="C36" s="35"/>
      </tp>
      <tp t="s">
        <v>EI3825623</v>
        <stp/>
        <stp>##V3_BDPV12</stp>
        <stp>BCOR-R0110 Corp</stp>
        <stp>ID_CUSIP</stp>
        <stp>[GestionvXs.xlsm]Spreads!R55C2</stp>
        <tr r="B55" s="35"/>
      </tp>
      <tp t="s">
        <v>AL9559181</v>
        <stp/>
        <stp>##V3_BDPV12</stp>
        <stp>BCAJ-Q0117 Corp</stp>
        <stp>ID_CUSIP</stp>
        <stp>[GestionvXs.xlsm]Spreads!R85C2</stp>
        <tr r="B85" s="35"/>
      </tp>
      <tp t="s">
        <v>EI5956970</v>
        <stp/>
        <stp>##V3_BDPV12</stp>
        <stp>BEST-H1207 Corp</stp>
        <stp>ID_CUSIP</stp>
        <stp>[GestionvXs.xlsm]Spreads!R14C2</stp>
        <tr r="B14" s="35"/>
      </tp>
      <tp t="s">
        <v>EK8658107</v>
        <stp/>
        <stp>##V3_BDPV12</stp>
        <stp>BCAJ-I0315 Corp</stp>
        <stp>ID_CUSIP</stp>
        <stp>[GestionvXs.xlsm]Spreads!R15C2</stp>
        <tr r="B15" s="35"/>
      </tp>
      <tp>
        <v>2.7378507871321012E-2</v>
        <stp/>
        <stp>##V3_BDPV12</stp>
        <stp>EI5956970 Corp</stp>
        <stp>MTY_YEARS</stp>
        <stp>[GestionvXs.xlsm]Spreads!R14C3</stp>
        <tr r="C14" s="35"/>
      </tp>
      <tp>
        <v>1.5249828884325805</v>
        <stp/>
        <stp>##V3_BDPV12</stp>
        <stp>EK6155650 Corp</stp>
        <stp>MTY_YEARS</stp>
        <stp>[GestionvXs.xlsm]Spreads!R44C3</stp>
        <tr r="C44" s="35"/>
      </tp>
      <tp>
        <v>0.35865845311430528</v>
        <stp/>
        <stp>##V3_BDPV12</stp>
        <stp>EJ6212751 Corp</stp>
        <stp>MTY_YEARS</stp>
        <stp>[GestionvXs.xlsm]Spreads!R21C3</stp>
        <tr r="C21" s="35"/>
      </tp>
      <tp>
        <v>2.732375085557837</v>
        <stp/>
        <stp>##V3_BDPV12</stp>
        <stp>EK3838712 Corp</stp>
        <stp>MTY_YEARS</stp>
        <stp>[GestionvXs.xlsm]Spreads!R40C3</stp>
        <tr r="C40" s="35"/>
      </tp>
      <tp>
        <v>1.4401095140314852</v>
        <stp/>
        <stp>##V3_BDPV12</stp>
        <stp>EK7479935 Corp</stp>
        <stp>MTY_YEARS</stp>
        <stp>[GestionvXs.xlsm]Spreads!R43C3</stp>
        <tr r="C43" s="35"/>
      </tp>
      <tp>
        <v>4.2737850787132103</v>
        <stp/>
        <stp>##V3_BDPV12</stp>
        <stp>BCP0600322@RIAY Govt</stp>
        <stp>MTY_YEARS</stp>
        <stp>[GestionvXs.xlsm]Curva Gobierno!R15C9</stp>
        <tr r="I15" s="34"/>
      </tp>
      <tp t="s">
        <v>EK9932931</v>
        <stp/>
        <stp>##V3_BDPV12</stp>
        <stp>BBNS-X0814 Corp</stp>
        <stp>ID_CUSIP</stp>
        <stp>[GestionvXs.xlsm]Spreads!R166C2</stp>
        <tr r="B166" s="35"/>
      </tp>
      <tp>
        <v>2.3600273785078714</v>
        <stp/>
        <stp>##V3_BDPV12</stp>
        <stp>EK8626633 Corp</stp>
        <stp>MTY_YEARS</stp>
        <stp>[GestionvXs.xlsm]Spreads!R51C3</stp>
        <tr r="C51" s="35"/>
      </tp>
      <tp t="s">
        <v>#N/A Field Not Applicable</v>
        <stp/>
        <stp>##V3_BDPV12</stp>
        <stp>EK7507883 Corp</stp>
        <stp>MTY_YEARS</stp>
        <stp>[GestionvXs.xlsm]Spreads!R13C3</stp>
        <tr r="C13" s="35"/>
      </tp>
      <tp>
        <v>2.3600273785078714</v>
        <stp/>
        <stp>##V3_BDPV12</stp>
        <stp>EK9451817 Corp</stp>
        <stp>MTY_YEARS</stp>
        <stp>[GestionvXs.xlsm]Spreads!R82C3</stp>
        <tr r="C82" s="35"/>
      </tp>
      <tp>
        <v>1.0266940451745379</v>
        <stp/>
        <stp>##V3_BDPV12</stp>
        <stp>EJ0979017 Corp</stp>
        <stp>MTY_YEARS</stp>
        <stp>[GestionvXs.xlsm]Spreads!R30C3</stp>
        <tr r="C30" s="35"/>
      </tp>
      <tp>
        <v>0.52566735112936347</v>
        <stp/>
        <stp>##V3_BDPV12</stp>
        <stp>EJ7138534 Corp</stp>
        <stp>MTY_YEARS</stp>
        <stp>[GestionvXs.xlsm]Spreads!R27C3</stp>
        <tr r="C27" s="35"/>
      </tp>
      <tp>
        <v>0.6461327857631759</v>
        <stp/>
        <stp>##V3_BDPV12</stp>
        <stp>EK5289690 Corp</stp>
        <stp>MTY_YEARS</stp>
        <stp>[GestionvXs.xlsm]Spreads!R18C3</stp>
        <tr r="C18" s="35"/>
      </tp>
      <tp>
        <v>1.1416837782340863</v>
        <stp/>
        <stp>##V3_BDPV12</stp>
        <stp>EH8618736 Corp</stp>
        <stp>MTY_YEARS</stp>
        <stp>[GestionvXs.xlsm]Spreads!R37C3</stp>
        <tr r="C37" s="35"/>
      </tp>
      <tp t="s">
        <v>#N/A Field Not Applicable</v>
        <stp/>
        <stp>##V3_BDPV12</stp>
        <stp>EJ7097268 Corp</stp>
        <stp>MTY_YEARS</stp>
        <stp>[GestionvXs.xlsm]Spreads!R7C3</stp>
        <tr r="C7" s="35"/>
      </tp>
      <tp t="s">
        <v>#N/A Field Not Applicable</v>
        <stp/>
        <stp>##V3_BDPV12</stp>
        <stp>EK7479810 Corp</stp>
        <stp>MTY_YEARS</stp>
        <stp>[GestionvXs.xlsm]Spreads!R4C3</stp>
        <tr r="C4" s="35"/>
      </tp>
      <tp>
        <v>3.5263518138261465</v>
        <stp/>
        <stp>##V3_BDPV12</stp>
        <stp>EJ7641883 Corp</stp>
        <stp>MTY_YEARS</stp>
        <stp>[GestionvXs.xlsm]Spreads!R54C3</stp>
        <tr r="C54" s="35"/>
      </tp>
      <tp>
        <v>1.3579739904175223</v>
        <stp/>
        <stp>##V3_BDPV12</stp>
        <stp>EK2711191 Corp</stp>
        <stp>MTY_YEARS</stp>
        <stp>[GestionvXs.xlsm]Spreads!R83C3</stp>
        <tr r="C83" s="35"/>
      </tp>
      <tp>
        <v>0.95550992470910334</v>
        <stp/>
        <stp>##V3_BDPV12</stp>
        <stp>EJ4532820 Corp</stp>
        <stp>MTY_YEARS</stp>
        <stp>[GestionvXs.xlsm]Spreads!R20C3</stp>
        <tr r="C20" s="35"/>
      </tp>
      <tp>
        <v>0.56399726214921286</v>
        <stp/>
        <stp>##V3_BDPV12</stp>
        <stp>EK4748993 Corp</stp>
        <stp>MTY_YEARS</stp>
        <stp>[GestionvXs.xlsm]Spreads!R74C3</stp>
        <tr r="C74" s="35"/>
      </tp>
      <tp>
        <v>2.2751540041067764</v>
        <stp/>
        <stp>##V3_BDPV12</stp>
        <stp>EK9959710 Corp</stp>
        <stp>MTY_YEARS</stp>
        <stp>[GestionvXs.xlsm]Spreads!R96C3</stp>
        <tr r="C96" s="35"/>
      </tp>
      <tp t="s">
        <v>#N/A N/A</v>
        <stp/>
        <stp>##V3_BDHV12</stp>
        <stp>MXNCLP Curncy</stp>
        <stp>PX_LAST</stp>
        <stp>19-11-2017</stp>
        <stp>19-11-2017</stp>
        <stp>[GestionvXs.xlsm]Inicio!R10C19</stp>
        <tr r="S10" s="12"/>
        <tr r="S10" s="12"/>
      </tp>
      <tp t="s">
        <v>#N/A N/A</v>
        <stp/>
        <stp>##V3_BDHV12</stp>
        <stp>MXNCLP Curncy</stp>
        <stp>PX_LAST</stp>
        <stp>19-11-2017</stp>
        <stp>19-11-2017</stp>
        <stp>[GestionvXs.xlsm]Inicio!R11C19</stp>
        <tr r="S11" s="12"/>
        <tr r="S11" s="12"/>
      </tp>
      <tp>
        <v>2.5270362765229293</v>
        <stp/>
        <stp>##V3_BDPV12</stp>
        <stp>BCP0450620@RIAY Govt</stp>
        <stp>MTY_YEARS</stp>
        <stp>[GestionvXs.xlsm]Curva Gobierno!R10C9</stp>
        <tr r="I10" s="34"/>
      </tp>
      <tp>
        <v>5.2731006160164275</v>
        <stp/>
        <stp>##V3_BDPV12</stp>
        <stp>BCP0600323@RIAY Govt</stp>
        <stp>MTY_YEARS</stp>
        <stp>[GestionvXs.xlsm]Curva Gobierno!R16C9</stp>
        <tr r="I16" s="34"/>
      </tp>
      <tp t="s">
        <v>EK7218200</v>
        <stp/>
        <stp>##V3_BDPV12</stp>
        <stp>BBNS-R0613 Corp</stp>
        <stp>ID_CUSIP</stp>
        <stp>[GestionvXs.xlsm]Spreads!R28C2</stp>
        <tr r="B28" s="35"/>
      </tp>
      <tp t="s">
        <v>QZ5198499</v>
        <stp/>
        <stp>##V3_BDPV12</stp>
        <stp>BCHIS-P18A Corp</stp>
        <stp>ID_CUSIP</stp>
        <stp>[GestionvXs.xlsm]Spreads!R114C2</stp>
        <tr r="B114" s="35"/>
      </tp>
      <tp t="s">
        <v>EI6171686</v>
        <stp/>
        <stp>##V3_BDPV12</stp>
        <stp>BITA-B1007 Corp</stp>
        <stp>ID_CUSIP</stp>
        <stp>[GestionvXs.xlsm]Spreads!R69C2</stp>
        <tr r="B69" s="35"/>
      </tp>
      <tp t="s">
        <v>LW2641899</v>
        <stp/>
        <stp>##V3_BDPV12</stp>
        <stp>BCNO-U0915 Corp</stp>
        <stp>ID_CUSIP</stp>
        <stp>[GestionvXs.xlsm]Spreads!R109C2</stp>
        <tr r="B109" s="35"/>
      </tp>
      <tp t="s">
        <v>EK7227144</v>
        <stp/>
        <stp>##V3_BDPV12</stp>
        <stp>BCHIUS0212 Corp</stp>
        <stp>ID_CUSIP</stp>
        <stp>[GestionvXs.xlsm]Spreads!R148C2</stp>
        <tr r="B148" s="35"/>
      </tp>
      <tp>
        <v>3.2854209445585217E-2</v>
        <stp/>
        <stp>##V3_BDPV12</stp>
        <stp>EJ4922310 Corp</stp>
        <stp>MTY_YEARS</stp>
        <stp>[GestionvXs.xlsm]Spreads!R70C3</stp>
        <tr r="C70" s="35"/>
      </tp>
      <tp>
        <v>2.1108829568788501</v>
        <stp/>
        <stp>##V3_BDPV12</stp>
        <stp>EK5463204 Corp</stp>
        <stp>MTY_YEARS</stp>
        <stp>[GestionvXs.xlsm]Spreads!R50C3</stp>
        <tr r="C50" s="35"/>
      </tp>
      <tp>
        <v>1.6071184120465434</v>
        <stp/>
        <stp>##V3_BDPV12</stp>
        <stp>EK7508600 Corp</stp>
        <stp>MTY_YEARS</stp>
        <stp>[GestionvXs.xlsm]Spreads!R32C3</stp>
        <tr r="C32" s="35"/>
      </tp>
      <tp t="s">
        <v>#N/A Field Not Applicable</v>
        <stp/>
        <stp>##V3_BDPV12</stp>
        <stp>EK2711373 Corp</stp>
        <stp>MTY_YEARS</stp>
        <stp>[GestionvXs.xlsm]Spreads!R3C3</stp>
        <tr r="C3" s="35"/>
      </tp>
      <tp t="s">
        <v>#N/A Field Not Applicable</v>
        <stp/>
        <stp>##V3_BDPV12</stp>
        <stp>EI7166370 Corp</stp>
        <stp>MTY_YEARS</stp>
        <stp>[GestionvXs.xlsm]Spreads!R5C3</stp>
        <tr r="C5" s="35"/>
      </tp>
      <tp t="s">
        <v>QZ6735554</v>
        <stp/>
        <stp>##V3_BDPV12</stp>
        <stp>BCAJ-O0816 Corp</stp>
        <stp>ID_CUSIP</stp>
        <stp>[GestionvXs.xlsm]Spreads!R39C2</stp>
        <tr r="B39" s="35"/>
      </tp>
      <tp t="s">
        <v>JV6955779</v>
        <stp/>
        <stp>##V3_BDPV12</stp>
        <stp>BCAJ-J1215 Corp</stp>
        <stp>ID_CUSIP</stp>
        <stp>[GestionvXs.xlsm]Spreads!R29C2</stp>
        <tr r="B29" s="35"/>
      </tp>
      <tp t="s">
        <v>EK7241335</v>
        <stp/>
        <stp>##V3_BDPV12</stp>
        <stp>BCHIAY0213 Corp</stp>
        <stp>ID_CUSIP</stp>
        <stp>[GestionvXs.xlsm]Spreads!R184C2</stp>
        <tr r="B184" s="35"/>
      </tp>
      <tp>
        <v>1.3579739904175223</v>
        <stp/>
        <stp>##V3_BDPV12</stp>
        <stp>EJ5574151 Corp</stp>
        <stp>MTY_YEARS</stp>
        <stp>[GestionvXs.xlsm]Spreads!R23C3</stp>
        <tr r="C23" s="35"/>
      </tp>
      <tp>
        <v>3.5263518138261465</v>
        <stp/>
        <stp>##V3_BDPV12</stp>
        <stp>EJ6697449 Corp</stp>
        <stp>MTY_YEARS</stp>
        <stp>[GestionvXs.xlsm]Spreads!R45C3</stp>
        <tr r="C45" s="35"/>
      </tp>
      <tp>
        <v>1.8590006844626967</v>
        <stp/>
        <stp>##V3_BDPV12</stp>
        <stp>EK7653380 Corp</stp>
        <stp>MTY_YEARS</stp>
        <stp>[GestionvXs.xlsm]Spreads!R90C3</stp>
        <tr r="C90" s="35"/>
      </tp>
      <tp t="s">
        <v>#N/A Field Not Applicable</v>
        <stp/>
        <stp>##V3_BDPV12</stp>
        <stp>EG6230783 Corp</stp>
        <stp>MTY_YEARS</stp>
        <stp>[GestionvXs.xlsm]Spreads!R65C3</stp>
        <tr r="C65" s="35"/>
      </tp>
      <tp>
        <v>2.6119096509240247</v>
        <stp/>
        <stp>##V3_BDPV12</stp>
        <stp>AL9559181 Corp</stp>
        <stp>MTY_YEARS</stp>
        <stp>[GestionvXs.xlsm]Spreads!R85C3</stp>
        <tr r="C85" s="35"/>
      </tp>
      <tp>
        <v>0.44079397672826831</v>
        <stp/>
        <stp>##V3_BDPV12</stp>
        <stp>EJ7839123 Corp</stp>
        <stp>MTY_YEARS</stp>
        <stp>[GestionvXs.xlsm]Spreads!R25C3</stp>
        <tr r="C25" s="35"/>
      </tp>
      <tp>
        <v>1.6071184120465434</v>
        <stp/>
        <stp>##V3_BDPV12</stp>
        <stp>EK7508782 Corp</stp>
        <stp>MTY_YEARS</stp>
        <stp>[GestionvXs.xlsm]Spreads!R87C3</stp>
        <tr r="C87" s="35"/>
      </tp>
      <tp t="s">
        <v>#N/A Field Not Applicable</v>
        <stp/>
        <stp>##V3_BDPV12</stp>
        <stp>EH8369983 Corp</stp>
        <stp>MTY_YEARS</stp>
        <stp>[GestionvXs.xlsm]Spreads!R10C3</stp>
        <tr r="C10" s="35"/>
      </tp>
      <tp>
        <v>2.6091718001368926</v>
        <stp/>
        <stp>##V3_BDPV12</stp>
        <stp>EI6727891 Corp</stp>
        <stp>MTY_YEARS</stp>
        <stp>[GestionvXs.xlsm]Spreads!R77C3</stp>
        <tr r="C77" s="35"/>
      </tp>
      <tp>
        <v>2.7351129363449691</v>
        <stp/>
        <stp>##V3_BDPV12</stp>
        <stp>EK3035616 Corp</stp>
        <stp>MTY_YEARS</stp>
        <stp>[GestionvXs.xlsm]Spreads!R41C3</stp>
        <tr r="C41" s="35"/>
      </tp>
      <tp>
        <v>1.9438740588637919</v>
        <stp/>
        <stp>##V3_BDPV12</stp>
        <stp>EK6287115 Corp</stp>
        <stp>MTY_YEARS</stp>
        <stp>[GestionvXs.xlsm]Spreads!R89C3</stp>
        <tr r="C89" s="35"/>
      </tp>
      <tp>
        <v>3.6933607118412048</v>
        <stp/>
        <stp>##V3_BDPV12</stp>
        <stp>EJ5476241 Corp</stp>
        <stp>MTY_YEARS</stp>
        <stp>[GestionvXs.xlsm]Spreads!R62C3</stp>
        <tr r="C62" s="35"/>
      </tp>
      <tp>
        <v>2.6310746064339492</v>
        <stp/>
        <stp>##V3_BDPV12</stp>
        <stp>EI3825623 Corp</stp>
        <stp>MTY_YEARS</stp>
        <stp>[GestionvXs.xlsm]Spreads!R55C3</stp>
        <tr r="C55" s="35"/>
      </tp>
      <tp>
        <v>2.3600273785078714</v>
        <stp/>
        <stp>##V3_BDPV12</stp>
        <stp>EK6751219 Corp</stp>
        <stp>MTY_YEARS</stp>
        <stp>[GestionvXs.xlsm]Spreads!R98C3</stp>
        <tr r="C98" s="35"/>
      </tp>
      <tp>
        <v>1.3086926762491444</v>
        <stp/>
        <stp>##V3_BDPV12</stp>
        <stp>EK1543900 Corp</stp>
        <stp>MTY_YEARS</stp>
        <stp>[GestionvXs.xlsm]Spreads!R80C3</stp>
        <tr r="C80" s="35"/>
      </tp>
      <tp>
        <v>1.9438740588637919</v>
        <stp/>
        <stp>##V3_BDPV12</stp>
        <stp>EK7218267 Corp</stp>
        <stp>MTY_YEARS</stp>
        <stp>[GestionvXs.xlsm]Spreads!R92C3</stp>
        <tr r="C92" s="35"/>
      </tp>
      <tp>
        <v>0.45722108145106094</v>
        <stp/>
        <stp>##V3_BDPV12</stp>
        <stp>EH7827973 Corp</stp>
        <stp>MTY_YEARS</stp>
        <stp>[GestionvXs.xlsm]Spreads!R26C3</stp>
        <tr r="C26" s="35"/>
      </tp>
      <tp>
        <v>0.6078028747433265</v>
        <stp/>
        <stp>##V3_BDPV12</stp>
        <stp>EI6705376 Corp</stp>
        <stp>MTY_YEARS</stp>
        <stp>[GestionvXs.xlsm]Spreads!R31C3</stp>
        <tr r="C31" s="35"/>
      </tp>
      <tp>
        <v>2.6091718001368926</v>
        <stp/>
        <stp>##V3_BDPV12</stp>
        <stp>EI7622653 Corp</stp>
        <stp>MTY_YEARS</stp>
        <stp>[GestionvXs.xlsm]Spreads!R56C3</stp>
        <tr r="C56" s="35"/>
      </tp>
      <tp t="s">
        <v>#N/A Field Not Applicable</v>
        <stp/>
        <stp>##V3_BDPV12</stp>
        <stp>EJ5250133 Corp</stp>
        <stp>MTY_YEARS</stp>
        <stp>[GestionvXs.xlsm]Spreads!R11C3</stp>
        <tr r="C11" s="35"/>
      </tp>
      <tp>
        <v>2.4421629021218343</v>
        <stp/>
        <stp>##V3_BDPV12</stp>
        <stp>EK6751755 Corp</stp>
        <stp>MTY_YEARS</stp>
        <stp>[GestionvXs.xlsm]Spreads!R97C3</stp>
        <tr r="C97" s="35"/>
      </tp>
      <tp t="s">
        <v>EJ4927418</v>
        <stp/>
        <stp>##V3_BDPV12</stp>
        <stp>BITA-V1212 Corp</stp>
        <stp>ID_CUSIP</stp>
        <stp>[GestionvXs.xlsm]Spreads!R202C2</stp>
        <tr r="B202" s="35"/>
      </tp>
      <tp t="s">
        <v>EC3850442</v>
        <stp/>
        <stp>##V3_BDPV12</stp>
        <stp>USTD-M0301 Corp</stp>
        <stp>ID_CUSIP</stp>
        <stp>[GestionvXs.xlsm]Spreads!R180C2</stp>
        <tr r="B180" s="35"/>
      </tp>
      <tp>
        <v>0.81587953456536622</v>
        <stp/>
        <stp>##V3_BDPV12</stp>
        <stp>EK8658107 Corp</stp>
        <stp>MTY_YEARS</stp>
        <stp>[GestionvXs.xlsm]Spreads!R15C3</stp>
        <tr r="C15" s="35"/>
      </tp>
      <tp>
        <v>2.3846680355920604</v>
        <stp/>
        <stp>##V3_BDPV12</stp>
        <stp>EJ6558591 Corp</stp>
        <stp>MTY_YEARS</stp>
        <stp>[GestionvXs.xlsm]Spreads!R33C3</stp>
        <tr r="C33" s="35"/>
      </tp>
      <tp t="s">
        <v>EI3570393</v>
        <stp/>
        <stp>##V3_BDPV12</stp>
        <stp>BESVA-D1 Corp</stp>
        <stp>ID_CUSIP</stp>
        <stp>[GestionvXs.xlsm]Spreads!R139C2</stp>
        <tr r="B139" s="35"/>
      </tp>
      <tp>
        <v>0.85968514715947986</v>
        <stp/>
        <stp>##V3_BDPV12</stp>
        <stp>EI5957937 Corp</stp>
        <stp>MTY_YEARS</stp>
        <stp>[GestionvXs.xlsm]Spreads!R34C3</stp>
        <tr r="C34" s="35"/>
      </tp>
      <tp>
        <v>0.35865845311430528</v>
        <stp/>
        <stp>##V3_BDPV12</stp>
        <stp>EK7217905 Corp</stp>
        <stp>MTY_YEARS</stp>
        <stp>[GestionvXs.xlsm]Spreads!R22C3</stp>
        <tr r="C22" s="35"/>
      </tp>
      <tp>
        <v>0.70362765229294999</v>
        <stp/>
        <stp>##V3_BDPV12</stp>
        <stp>EJ8020905 Corp</stp>
        <stp>MTY_YEARS</stp>
        <stp>[GestionvXs.xlsm]Spreads!R71C3</stp>
        <tr r="C71" s="35"/>
      </tp>
      <tp t="s">
        <v>#N/A Field Not Applicable</v>
        <stp/>
        <stp>##V3_BDPV12</stp>
        <stp>EH8291179 Corp</stp>
        <stp>MTY_YEARS</stp>
        <stp>[GestionvXs.xlsm]Spreads!R66C3</stp>
        <tr r="C66" s="35"/>
      </tp>
      <tp>
        <v>3.1978097193702943</v>
        <stp/>
        <stp>##V3_BDPV12</stp>
        <stp>BCP0600221@RIAY Govt</stp>
        <stp>MTY_YEARS</stp>
        <stp>[GestionvXs.xlsm]Curva Gobierno!R11C9</stp>
        <tr r="I11" s="34"/>
      </tp>
      <tp t="s">
        <v>#N/A Field Not Applicable</v>
        <stp/>
        <stp>##V3_BDPV12</stp>
        <stp>EH8370429 Corp</stp>
        <stp>MTY_YEARS</stp>
        <stp>[GestionvXs.xlsm]Spreads!R6C3</stp>
        <tr r="C6" s="35"/>
      </tp>
    </main>
    <main first="bloomberg.rtd">
      <tp t="s">
        <v>EJ4922310</v>
        <stp/>
        <stp>##V3_BDPV12</stp>
        <stp>BSODI-H Corp</stp>
        <stp>ID_CUSIP</stp>
        <stp>[GestionvXs.xlsm]Spreads!R70C2</stp>
        <tr r="B70" s="35"/>
      </tp>
      <tp t="s">
        <v>#N/A Real Time</v>
        <stp/>
        <stp>##V3_BDPV12</stp>
        <stp>AH007788@RIAY Corp</stp>
        <stp>BID_YIELD</stp>
        <stp>[GestionvXs.xlsm]Spreads!R178C5</stp>
        <tr r="E178" s="35"/>
      </tp>
      <tp t="s">
        <v>#N/A Real Time</v>
        <stp/>
        <stp>##V3_BDPV12</stp>
        <stp>EJ286889@RIAY Corp</stp>
        <stp>BID_YIELD</stp>
        <stp>[GestionvXs.xlsm]Spreads!R125C5</stp>
        <tr r="E125" s="35"/>
      </tp>
      <tp t="s">
        <v>#N/A Real Time</v>
        <stp/>
        <stp>##V3_BDPV12</stp>
        <stp>AL955948@RIAY Corp</stp>
        <stp>BID_YIELD</stp>
        <stp>[GestionvXs.xlsm]Spreads!R132C5</stp>
        <tr r="E132" s="35"/>
      </tp>
      <tp t="s">
        <v>#N/A Real Time</v>
        <stp/>
        <stp>##V3_BDPV12</stp>
        <stp>AL955945@RIAY Corp</stp>
        <stp>BID_YIELD</stp>
        <stp>[GestionvXs.xlsm]Spreads!R282C5</stp>
        <tr r="E282" s="35"/>
      </tp>
      <tp t="s">
        <v>#N/A Real Time</v>
        <stp/>
        <stp>##V3_BDPV12</stp>
        <stp>EH861765@RIAY Corp</stp>
        <stp>BID_YIELD</stp>
        <stp>[GestionvXs.xlsm]Spreads!R158C5</stp>
        <tr r="E158" s="35"/>
      </tp>
      <tp t="s">
        <v>#N/A Real Time</v>
        <stp/>
        <stp>##V3_BDPV12</stp>
        <stp>EG741791@RIAY Corp</stp>
        <stp>BID_YIELD</stp>
        <stp>[GestionvXs.xlsm]Spreads!R147C5</stp>
        <tr r="E147" s="35"/>
      </tp>
      <tp t="s">
        <v>#N/A Real Time</v>
        <stp/>
        <stp>##V3_BDPV12</stp>
        <stp>EH860760@RIAY Corp</stp>
        <stp>BID_YIELD</stp>
        <stp>[GestionvXs.xlsm]Spreads!R168C5</stp>
        <tr r="E168" s="35"/>
      </tp>
      <tp t="s">
        <v>#N/A Real Time</v>
        <stp/>
        <stp>##V3_BDPV12</stp>
        <stp>EH851891@RIAY Corp</stp>
        <stp>BID_YIELD</stp>
        <stp>[GestionvXs.xlsm]Spreads!R157C5</stp>
        <tr r="E157" s="35"/>
      </tp>
      <tp t="s">
        <v>#N/A Real Time</v>
        <stp/>
        <stp>##V3_BDPV12</stp>
        <stp>EJ514572@RIAY Corp</stp>
        <stp>BID_YIELD</stp>
        <stp>[GestionvXs.xlsm]Spreads!R238C5</stp>
        <tr r="E238" s="35"/>
      </tp>
      <tp t="s">
        <v>#N/A Real Time</v>
        <stp/>
        <stp>##V3_BDPV12</stp>
        <stp>EG204053@RIAY Corp</stp>
        <stp>BID_YIELD</stp>
        <stp>[GestionvXs.xlsm]Spreads!R190C5</stp>
        <tr r="E190" s="35"/>
      </tp>
      <tp t="s">
        <v>EJ6690741</v>
        <stp/>
        <stp>##V3_BDPV12</stp>
        <stp>BAGRS-E Corp</stp>
        <stp>ID_CUSIP</stp>
        <stp>[GestionvXs.xlsm]Spreads!R9C2</stp>
        <tr r="B9" s="35"/>
      </tp>
      <tp t="s">
        <v>#N/A N/A</v>
        <stp/>
        <stp>##V3_BDPV12</stp>
        <stp>EJ1017569@RIAY Corp</stp>
        <stp>DUR_BID</stp>
        <stp>[GestionvXs.xlsm]Spreads!R36C4</stp>
        <tr r="D36" s="35"/>
      </tp>
      <tp t="s">
        <v>#N/A N/A</v>
        <stp/>
        <stp>##V3_BDPV12</stp>
        <stp>EH8394353@RIAY Corp</stp>
        <stp>DUR_BID</stp>
        <stp>[GestionvXs.xlsm]Spreads!R16C4</stp>
        <tr r="D16" s="35"/>
      </tp>
      <tp t="s">
        <v>#N/A N/A</v>
        <stp/>
        <stp>##V3_BDPV12</stp>
        <stp>LW7939686@RIAY Corp</stp>
        <stp>DUR_BID</stp>
        <stp>[GestionvXs.xlsm]Spreads!R61C4</stp>
        <tr r="D61" s="35"/>
      </tp>
      <tp t="s">
        <v>#N/A Real Time</v>
        <stp/>
        <stp>##V3_BDPV12</stp>
        <stp>EK628711@RIAY Corp</stp>
        <stp>BID_YIELD</stp>
        <stp>[GestionvXs.xlsm]Spreads!R89C5</stp>
        <tr r="E89" s="35"/>
      </tp>
      <tp t="s">
        <v>#N/A Real Time</v>
        <stp/>
        <stp>##V3_BDPV12</stp>
        <stp>EI670537@RIAY Corp</stp>
        <stp>BID_YIELD</stp>
        <stp>[GestionvXs.xlsm]Spreads!R31C5</stp>
        <tr r="E31" s="35"/>
      </tp>
      <tp t="s">
        <v>#N/A N/A</v>
        <stp/>
        <stp>##V3_BDPV12</stp>
        <stp>EI6171686@RIAY Corp</stp>
        <stp>DUR_BID</stp>
        <stp>[GestionvXs.xlsm]Spreads!R69C4</stp>
        <tr r="D69" s="35"/>
      </tp>
      <tp t="s">
        <v>#N/A Real Time</v>
        <stp/>
        <stp>##V3_BDPV12</stp>
        <stp>EI595793@RIAY Corp</stp>
        <stp>BID_YIELD</stp>
        <stp>[GestionvXs.xlsm]Spreads!R34C5</stp>
        <tr r="E34" s="35"/>
      </tp>
      <tp t="s">
        <v>#N/A Real Time</v>
        <stp/>
        <stp>##V3_BDPV12</stp>
        <stp>EK615565@RIAY Corp</stp>
        <stp>BID_YIELD</stp>
        <stp>[GestionvXs.xlsm]Spreads!R44C5</stp>
        <tr r="E44" s="35"/>
      </tp>
      <tp t="s">
        <v>#N/A Real Time</v>
        <stp/>
        <stp>##V3_BDPV12</stp>
        <stp>EI595697@RIAY Corp</stp>
        <stp>BID_YIELD</stp>
        <stp>[GestionvXs.xlsm]Spreads!R14C5</stp>
        <tr r="E14" s="35"/>
      </tp>
      <tp t="s">
        <v>#N/A N/A</v>
        <stp/>
        <stp>##V3_BDPV12</stp>
        <stp>EK7217905@RIAY Corp</stp>
        <stp>DUR_BID</stp>
        <stp>[GestionvXs.xlsm]Spreads!R22C4</stp>
        <tr r="D22" s="35"/>
      </tp>
      <tp t="s">
        <v>#N/A N/A</v>
        <stp/>
        <stp>##V3_BDPV12</stp>
        <stp>EK3035616@RIAY Corp</stp>
        <stp>DUR_BID</stp>
        <stp>[GestionvXs.xlsm]Spreads!R41C4</stp>
        <tr r="D41" s="35"/>
      </tp>
      <tp t="s">
        <v>#N/A N/A</v>
        <stp/>
        <stp>##V3_BDPV12</stp>
        <stp>EK6155650@RIAY Corp</stp>
        <stp>DUR_BID</stp>
        <stp>[GestionvXs.xlsm]Spreads!R44C4</stp>
        <tr r="D44" s="35"/>
      </tp>
      <tp t="s">
        <v>#N/A N/A</v>
        <stp/>
        <stp>##V3_BDPV12</stp>
        <stp>EJ5250133@RIAY Corp</stp>
        <stp>DUR_BID</stp>
        <stp>[GestionvXs.xlsm]Spreads!R11C4</stp>
        <tr r="D11" s="35"/>
      </tp>
      <tp t="s">
        <v>#N/A Real Time</v>
        <stp/>
        <stp>##V3_BDPV12</stp>
        <stp>EK675145@RIAY Corp</stp>
        <stp>BID_YIELD</stp>
        <stp>[GestionvXs.xlsm]Spreads!R94C5</stp>
        <tr r="E94" s="35"/>
      </tp>
      <tp t="s">
        <v>#N/A N/A</v>
        <stp/>
        <stp>##V3_BDPV12</stp>
        <stp>EC4281563@RIAY Corp</stp>
        <stp>DUR_BID</stp>
        <stp>[GestionvXs.xlsm]Spreads!R260C4</stp>
        <tr r="D260" s="35"/>
      </tp>
      <tp t="s">
        <v>#N/A N/A</v>
        <stp/>
        <stp>##V3_BDPV12</stp>
        <stp>EK6719422@RIAY Corp</stp>
        <stp>DUR_BID</stp>
        <stp>[GestionvXs.xlsm]Spreads!R128C4</stp>
        <tr r="D128" s="35"/>
      </tp>
      <tp t="s">
        <v>#N/A N/A</v>
        <stp/>
        <stp>##V3_BDPV12</stp>
        <stp>EK5008579@RIAY Corp</stp>
        <stp>DUR_BID</stp>
        <stp>[GestionvXs.xlsm]Spreads!R242C4</stp>
        <tr r="D242" s="35"/>
      </tp>
      <tp t="s">
        <v>#N/A N/A</v>
        <stp/>
        <stp>##V3_BDPV12</stp>
        <stp>EH8618298@RIAY Corp</stp>
        <stp>DUR_BID</stp>
        <stp>[GestionvXs.xlsm]Spreads!R182C4</stp>
        <tr r="D182" s="35"/>
      </tp>
      <tp t="s">
        <v>#N/A N/A</v>
        <stp/>
        <stp>##V3_BDPV12</stp>
        <stp>AL9559488@RIAY Corp</stp>
        <stp>DUR_BID</stp>
        <stp>[GestionvXs.xlsm]Spreads!R132C4</stp>
        <tr r="D132" s="35"/>
      </tp>
      <tp t="s">
        <v>#N/A N/A</v>
        <stp/>
        <stp>##V3_BDPV12</stp>
        <stp>EC1366359@RIAY Corp</stp>
        <stp>DUR_BID</stp>
        <stp>[GestionvXs.xlsm]Spreads!R264C4</stp>
        <tr r="D264" s="35"/>
      </tp>
      <tp t="s">
        <v>#N/A N/A</v>
        <stp/>
        <stp>##V3_BDPV12</stp>
        <stp>EC3169579@RIAY Corp</stp>
        <stp>DUR_BID</stp>
        <stp>[GestionvXs.xlsm]Spreads!R254C4</stp>
        <tr r="D254" s="35"/>
      </tp>
      <tp t="s">
        <v>#N/A N/A</v>
        <stp/>
        <stp>##V3_BDPV12</stp>
        <stp>EI3813082@RIAY Corp</stp>
        <stp>DUR_BID</stp>
        <stp>[GestionvXs.xlsm]Spreads!R208C4</stp>
        <tr r="D208" s="35"/>
      </tp>
      <tp t="s">
        <v>#N/A N/A</v>
        <stp/>
        <stp>##V3_BDPV12</stp>
        <stp>EI4902082@RIAY Corp</stp>
        <stp>DUR_BID</stp>
        <stp>[GestionvXs.xlsm]Spreads!R249C4</stp>
        <tr r="D249" s="35"/>
      </tp>
      <tp t="s">
        <v>#N/A N/A</v>
        <stp/>
        <stp>##V3_BDPV12</stp>
        <stp>EJ6691293@RIAY Corp</stp>
        <stp>DUR_BID</stp>
        <stp>[GestionvXs.xlsm]Spreads!R131C4</stp>
        <tr r="D131" s="35"/>
      </tp>
      <tp t="s">
        <v>#N/A N/A</v>
        <stp/>
        <stp>##V3_BDPV12</stp>
        <stp>EK7663009@RIAY Corp</stp>
        <stp>DUR_BID</stp>
        <stp>[GestionvXs.xlsm]Spreads!R204C4</stp>
        <tr r="D204" s="35"/>
      </tp>
      <tp t="s">
        <v>#N/A N/A</v>
        <stp/>
        <stp>##V3_BDPV12</stp>
        <stp>EJ7096914@RIAY Corp</stp>
        <stp>DUR_BID</stp>
        <stp>[GestionvXs.xlsm]Spreads!R236C4</stp>
        <tr r="D236" s="35"/>
      </tp>
      <tp t="s">
        <v>#N/A N/A</v>
        <stp/>
        <stp>##V3_BDPV12</stp>
        <stp>JK3526734@RIAY Corp</stp>
        <stp>DUR_BID</stp>
        <stp>[GestionvXs.xlsm]Spreads!R112C4</stp>
        <tr r="D112" s="35"/>
      </tp>
      <tp t="s">
        <v>#N/A N/A</v>
        <stp/>
        <stp>##V3_BDPV12</stp>
        <stp>LW5609380@RIAY Corp</stp>
        <stp>DUR_BID</stp>
        <stp>[GestionvXs.xlsm]Spreads!R102C4</stp>
        <tr r="D102" s="35"/>
      </tp>
      <tp t="s">
        <v>#N/A N/A</v>
        <stp/>
        <stp>##V3_BDPV12</stp>
        <stp>BTP0450321 Govt</stp>
        <stp>DUR_ADJ_MID</stp>
        <stp>[GestionvXs.xlsm]Cambio Posicion!R3C14</stp>
        <tr r="N3" s="38"/>
      </tp>
      <tp>
        <v>6.9881201956675882</v>
        <stp/>
        <stp>##V3_BDPV12</stp>
        <stp>BTP0450326 Govt</stp>
        <stp>DUR_ADJ_MID</stp>
        <stp>[GestionvXs.xlsm]Cambio Posicion!R3C15</stp>
        <tr r="O3" s="38"/>
      </tp>
      <tp t="s">
        <v>#N/A N/A</v>
        <stp/>
        <stp>##V3_BDPV12</stp>
        <stp>BTU0150321 Govt</stp>
        <stp>DUR_ADJ_MID</stp>
        <stp>[GestionvXs.xlsm]Cambio Posicion!R3C16</stp>
        <tr r="P3" s="38"/>
      </tp>
      <tp>
        <v>7.6483974095334508</v>
        <stp/>
        <stp>##V3_BDPV12</stp>
        <stp>BTU0150326 Govt</stp>
        <stp>DUR_ADJ_MID</stp>
        <stp>[GestionvXs.xlsm]Cambio Posicion!R3C17</stp>
        <tr r="Q3" s="38"/>
      </tp>
      <tp t="s">
        <v>#N/A Real Time</v>
        <stp/>
        <stp>##V3_BDPV12</stp>
        <stp>EK459457@RIAY Corp</stp>
        <stp>BID_YIELD</stp>
        <stp>[GestionvXs.xlsm]Spreads!R279C5</stp>
        <tr r="E279" s="35"/>
      </tp>
      <tp t="s">
        <v>#N/A Real Time</v>
        <stp/>
        <stp>##V3_BDPV12</stp>
        <stp>EK062510@RIAY Corp</stp>
        <stp>BID_YIELD</stp>
        <stp>[GestionvXs.xlsm]Spreads!R218C5</stp>
        <tr r="E218" s="35"/>
      </tp>
      <tp t="s">
        <v>#N/A Real Time</v>
        <stp/>
        <stp>##V3_BDPV12</stp>
        <stp>AL158336@RIAY Corp</stp>
        <stp>BID_YIELD</stp>
        <stp>[GestionvXs.xlsm]Spreads!R119C5</stp>
        <tr r="E119" s="35"/>
      </tp>
      <tp t="s">
        <v>#N/A Real Time</v>
        <stp/>
        <stp>##V3_BDPV12</stp>
        <stp>EK402808@RIAY Corp</stp>
        <stp>BID_YIELD</stp>
        <stp>[GestionvXs.xlsm]Spreads!R235C5</stp>
        <tr r="E235" s="35"/>
      </tp>
      <tp t="s">
        <v>#N/A N/A</v>
        <stp/>
        <stp>##V3_BDPV12</stp>
        <stp>EK4688231@RIAY Corp</stp>
        <stp>DUR_BID</stp>
        <stp>[GestionvXs.xlsm]Spreads!R24C4</stp>
        <tr r="D24" s="35"/>
      </tp>
      <tp t="s">
        <v>#N/A N/A</v>
        <stp/>
        <stp>##V3_BDPV12</stp>
        <stp>AL1493314@RIAY Corp</stp>
        <stp>DUR_BID</stp>
        <stp>[GestionvXs.xlsm]Spreads!R64C4</stp>
        <tr r="D64" s="35"/>
      </tp>
      <tp t="s">
        <v>#N/A N/A</v>
        <stp/>
        <stp>##V3_BDPV12</stp>
        <stp>EC2386232@RIAY Corp</stp>
        <stp>DUR_BID</stp>
        <stp>[GestionvXs.xlsm]Spreads!R91C4</stp>
        <tr r="D91" s="35"/>
      </tp>
      <tp t="s">
        <v>#N/A N/A</v>
        <stp/>
        <stp>##V3_BDPV12</stp>
        <stp>EK7480776@RIAY Corp</stp>
        <stp>DUR_BID</stp>
        <stp>[GestionvXs.xlsm]Spreads!R12C4</stp>
        <tr r="D12" s="35"/>
      </tp>
      <tp t="s">
        <v>#N/A Real Time</v>
        <stp/>
        <stp>##V3_BDPV12</stp>
        <stp>EK528969@RIAY Corp</stp>
        <stp>BID_YIELD</stp>
        <stp>[GestionvXs.xlsm]Spreads!R18C5</stp>
        <tr r="E18" s="35"/>
      </tp>
      <tp t="s">
        <v>#N/A Real Time</v>
        <stp/>
        <stp>##V3_BDPV12</stp>
        <stp>EK474899@RIAY Corp</stp>
        <stp>BID_YIELD</stp>
        <stp>[GestionvXs.xlsm]Spreads!R74C5</stp>
        <tr r="E74" s="35"/>
      </tp>
      <tp t="s">
        <v>#N/A Real Time</v>
        <stp/>
        <stp>##V3_BDPV12</stp>
        <stp>EK865810@RIAY Corp</stp>
        <stp>BID_YIELD</stp>
        <stp>[GestionvXs.xlsm]Spreads!R15C5</stp>
        <tr r="E15" s="35"/>
      </tp>
      <tp t="s">
        <v>#N/A Real Time</v>
        <stp/>
        <stp>##V3_BDPV12</stp>
        <stp>EJ621275@RIAY Corp</stp>
        <stp>BID_YIELD</stp>
        <stp>[GestionvXs.xlsm]Spreads!R21C5</stp>
        <tr r="E21" s="35"/>
      </tp>
      <tp t="s">
        <v>#N/A N/A</v>
        <stp/>
        <stp>##V3_BDPV12</stp>
        <stp>EI6705376@RIAY Corp</stp>
        <stp>DUR_BID</stp>
        <stp>[GestionvXs.xlsm]Spreads!R31C4</stp>
        <tr r="D31" s="35"/>
      </tp>
      <tp t="s">
        <v>#N/A N/A</v>
        <stp/>
        <stp>##V3_BDPV12</stp>
        <stp>EJ8020905@RIAY Corp</stp>
        <stp>DUR_BID</stp>
        <stp>[GestionvXs.xlsm]Spreads!R71C4</stp>
        <tr r="D71" s="35"/>
      </tp>
      <tp t="s">
        <v>#N/A Real Time</v>
        <stp/>
        <stp>##V3_BDPV12</stp>
        <stp>EJ764188@RIAY Corp</stp>
        <stp>BID_YIELD</stp>
        <stp>[GestionvXs.xlsm]Spreads!R54C5</stp>
        <tr r="E54" s="35"/>
      </tp>
      <tp t="s">
        <v>#N/A N/A</v>
        <stp/>
        <stp>##V3_BDPV12</stp>
        <stp>EJ9488465@RIAY Corp</stp>
        <stp>DUR_BID</stp>
        <stp>[GestionvXs.xlsm]Spreads!R277C4</stp>
        <tr r="D277" s="35"/>
      </tp>
      <tp t="s">
        <v>#N/A N/A</v>
        <stp/>
        <stp>##V3_BDPV12</stp>
        <stp>EG3260809@RIAY Corp</stp>
        <stp>DUR_BID</stp>
        <stp>[GestionvXs.xlsm]Spreads!R145C4</stp>
        <tr r="D145" s="35"/>
      </tp>
      <tp t="s">
        <v>#N/A N/A</v>
        <stp/>
        <stp>##V3_BDPV12</stp>
        <stp>EJ8070744@RIAY Corp</stp>
        <stp>DUR_BID</stp>
        <stp>[GestionvXs.xlsm]Spreads!R179C4</stp>
        <tr r="D179" s="35"/>
      </tp>
      <tp t="s">
        <v>#N/A N/A</v>
        <stp/>
        <stp>##V3_BDPV12</stp>
        <stp>EK7480115@RIAY Corp</stp>
        <stp>DUR_BID</stp>
        <stp>[GestionvXs.xlsm]Spreads!R197C4</stp>
        <tr r="D197" s="35"/>
      </tp>
      <tp t="s">
        <v>#N/A N/A</v>
        <stp/>
        <stp>##V3_BDPV12</stp>
        <stp>EK7533988@RIAY Corp</stp>
        <stp>DUR_BID</stp>
        <stp>[GestionvXs.xlsm]Spreads!R101C4</stp>
        <tr r="D101" s="35"/>
      </tp>
      <tp t="s">
        <v>#N/A N/A</v>
        <stp/>
        <stp>##V3_BDPV12</stp>
        <stp>EI9661725@RIAY Corp</stp>
        <stp>DUR_BID</stp>
        <stp>[GestionvXs.xlsm]Spreads!R229C4</stp>
        <tr r="D229" s="35"/>
      </tp>
      <tp t="s">
        <v>#N/A N/A</v>
        <stp/>
        <stp>##V3_BDPV12</stp>
        <stp>AL6314366@RIAY Corp</stp>
        <stp>DUR_BID</stp>
        <stp>[GestionvXs.xlsm]Spreads!R129C4</stp>
        <tr r="D129" s="35"/>
      </tp>
      <tp t="s">
        <v>#N/A N/A</v>
        <stp/>
        <stp>##V3_BDPV12</stp>
        <stp>EJ5333459@RIAY Corp</stp>
        <stp>DUR_BID</stp>
        <stp>[GestionvXs.xlsm]Spreads!R240C4</stp>
        <tr r="D240" s="35"/>
      </tp>
      <tp t="s">
        <v>#N/A N/A</v>
        <stp/>
        <stp>##V3_BDPV12</stp>
        <stp>LW3904031@RIAY Corp</stp>
        <stp>DUR_BID</stp>
        <stp>[GestionvXs.xlsm]Spreads!R212C4</stp>
        <tr r="D212" s="35"/>
      </tp>
      <tp t="s">
        <v>EJ0979017</v>
        <stp/>
        <stp>##V3_BDPV12</stp>
        <stp>BQUIN-G Corp</stp>
        <stp>ID_CUSIP</stp>
        <stp>[GestionvXs.xlsm]Spreads!R30C2</stp>
        <tr r="B30" s="35"/>
      </tp>
      <tp t="s">
        <v>#N/A Real Time</v>
        <stp/>
        <stp>##V3_BDPV12</stp>
        <stp>EJ948846@RIAY Corp</stp>
        <stp>BID_YIELD</stp>
        <stp>[GestionvXs.xlsm]Spreads!R277C5</stp>
        <tr r="E277" s="35"/>
      </tp>
      <tp t="s">
        <v>#N/A Real Time</v>
        <stp/>
        <stp>##V3_BDPV12</stp>
        <stp>EJ723624@RIAY Corp</stp>
        <stp>BID_YIELD</stp>
        <stp>[GestionvXs.xlsm]Spreads!R239C5</stp>
        <tr r="E239" s="35"/>
      </tp>
      <tp t="s">
        <v>#N/A Real Time</v>
        <stp/>
        <stp>##V3_BDPV12</stp>
        <stp>JV695577@RIAY Corp</stp>
        <stp>BID_YIELD</stp>
        <stp>[GestionvXs.xlsm]Spreads!R29C5</stp>
        <tr r="E29" s="35"/>
      </tp>
      <tp t="s">
        <v>#N/A Real Time</v>
        <stp/>
        <stp>##V3_BDPV12</stp>
        <stp>EK995971@RIAY Corp</stp>
        <stp>BID_YIELD</stp>
        <stp>[GestionvXs.xlsm]Spreads!R96C5</stp>
        <tr r="E96" s="35"/>
      </tp>
      <tp t="s">
        <v>#N/A Real Time</v>
        <stp/>
        <stp>##V3_BDPV12</stp>
        <stp>EK721826@RIAY Corp</stp>
        <stp>BID_YIELD</stp>
        <stp>[GestionvXs.xlsm]Spreads!R92C5</stp>
        <tr r="E92" s="35"/>
      </tp>
      <tp t="s">
        <v>#N/A Real Time</v>
        <stp/>
        <stp>##V3_BDPV12</stp>
        <stp>EK383871@RIAY Corp</stp>
        <stp>BID_YIELD</stp>
        <stp>[GestionvXs.xlsm]Spreads!R40C5</stp>
        <tr r="E40" s="35"/>
      </tp>
      <tp t="s">
        <v>#N/A Real Time</v>
        <stp/>
        <stp>##V3_BDPV12</stp>
        <stp>EK750788@RIAY Corp</stp>
        <stp>BID_YIELD</stp>
        <stp>[GestionvXs.xlsm]Spreads!R13C5</stp>
        <tr r="E13" s="35"/>
      </tp>
      <tp t="s">
        <v>#N/A Real Time</v>
        <stp/>
        <stp>##V3_BDPV12</stp>
        <stp>EK721790@RIAY Corp</stp>
        <stp>BID_YIELD</stp>
        <stp>[GestionvXs.xlsm]Spreads!R22C5</stp>
        <tr r="E22" s="35"/>
      </tp>
      <tp t="s">
        <v>#N/A Real Time</v>
        <stp/>
        <stp>##V3_BDPV12</stp>
        <stp>EK862663@RIAY Corp</stp>
        <stp>BID_YIELD</stp>
        <stp>[GestionvXs.xlsm]Spreads!R51C5</stp>
        <tr r="E51" s="35"/>
      </tp>
      <tp t="s">
        <v>#N/A Real Time</v>
        <stp/>
        <stp>##V3_BDPV12</stp>
        <stp>EJ453282@RIAY Corp</stp>
        <stp>BID_YIELD</stp>
        <stp>[GestionvXs.xlsm]Spreads!R20C5</stp>
        <tr r="E20" s="35"/>
      </tp>
      <tp t="s">
        <v>#N/A N/A</v>
        <stp/>
        <stp>##V3_BDPV12</stp>
        <stp>EJ5476241@RIAY Corp</stp>
        <stp>DUR_BID</stp>
        <stp>[GestionvXs.xlsm]Spreads!R62C4</stp>
        <tr r="D62" s="35"/>
      </tp>
      <tp t="s">
        <v>#N/A Real Time</v>
        <stp/>
        <stp>##V3_BDPV12</stp>
        <stp>EJ802090@RIAY Corp</stp>
        <stp>BID_YIELD</stp>
        <stp>[GestionvXs.xlsm]Spreads!R71C5</stp>
        <tr r="E71" s="35"/>
      </tp>
      <tp t="s">
        <v>#N/A N/A</v>
        <stp/>
        <stp>##V3_BDPV12</stp>
        <stp>EH8618736@RIAY Corp</stp>
        <stp>DUR_BID</stp>
        <stp>[GestionvXs.xlsm]Spreads!R37C4</stp>
        <tr r="D37" s="35"/>
      </tp>
      <tp t="s">
        <v>#N/A N/A</v>
        <stp/>
        <stp>##V3_BDPV12</stp>
        <stp>EK7479638@RIAY Corp</stp>
        <stp>DUR_BID</stp>
        <stp>[GestionvXs.xlsm]Spreads!R276C4</stp>
        <tr r="D276" s="35"/>
      </tp>
      <tp t="s">
        <v>#N/A N/A</v>
        <stp/>
        <stp>##V3_BDPV12</stp>
        <stp>EI0902300@RIAY Corp</stp>
        <stp>DUR_BID</stp>
        <stp>[GestionvXs.xlsm]Spreads!R259C4</stp>
        <tr r="D259" s="35"/>
      </tp>
      <tp t="s">
        <v>#N/A N/A</v>
        <stp/>
        <stp>##V3_BDPV12</stp>
        <stp>EI4901951@RIAY Corp</stp>
        <stp>DUR_BID</stp>
        <stp>[GestionvXs.xlsm]Spreads!R248C4</stp>
        <tr r="D248" s="35"/>
      </tp>
      <tp t="s">
        <v>#N/A N/A</v>
        <stp/>
        <stp>##V3_BDPV12</stp>
        <stp>EK4594579@RIAY Corp</stp>
        <stp>DUR_BID</stp>
        <stp>[GestionvXs.xlsm]Spreads!R279C4</stp>
        <tr r="D279" s="35"/>
      </tp>
      <tp t="s">
        <v>#N/A N/A</v>
        <stp/>
        <stp>##V3_BDPV12</stp>
        <stp>EH8394916@RIAY Corp</stp>
        <stp>DUR_BID</stp>
        <stp>[GestionvXs.xlsm]Spreads!R266C4</stp>
        <tr r="D266" s="35"/>
      </tp>
      <tp t="s">
        <v>EK3838712</v>
        <stp/>
        <stp>##V3_BDPV12</stp>
        <stp>BPLZA-M Corp</stp>
        <stp>ID_CUSIP</stp>
        <stp>[GestionvXs.xlsm]Spreads!R40C2</stp>
        <tr r="B40" s="35"/>
      </tp>
      <tp t="s">
        <v>#N/A Real Time</v>
        <stp/>
        <stp>##V3_BDPV12</stp>
        <stp>EI848446@RIAY Corp</stp>
        <stp>BID_YIELD</stp>
        <stp>[GestionvXs.xlsm]Spreads!R269C5</stp>
        <tr r="E269" s="35"/>
      </tp>
      <tp t="s">
        <v>#N/A Real Time</v>
        <stp/>
        <stp>##V3_BDPV12</stp>
        <stp>EI769899@RIAY Corp</stp>
        <stp>BID_YIELD</stp>
        <stp>[GestionvXs.xlsm]Spreads!R205C5</stp>
        <tr r="E205" s="35"/>
      </tp>
      <tp t="s">
        <v>#N/A Real Time</v>
        <stp/>
        <stp>##V3_BDPV12</stp>
        <stp>EG462754@RIAY Corp</stp>
        <stp>BID_YIELD</stp>
        <stp>[GestionvXs.xlsm]Spreads!R144C5</stp>
        <tr r="E144" s="35"/>
      </tp>
      <tp t="s">
        <v>#N/A Real Time</v>
        <stp/>
        <stp>##V3_BDPV12</stp>
        <stp>EK747963@RIAY Corp</stp>
        <stp>BID_YIELD</stp>
        <stp>[GestionvXs.xlsm]Spreads!R276C5</stp>
        <tr r="E276" s="35"/>
      </tp>
      <tp t="s">
        <v>#N/A Real Time</v>
        <stp/>
        <stp>##V3_BDPV12</stp>
        <stp>EI071936@RIAY Corp</stp>
        <stp>BID_YIELD</stp>
        <stp>[GestionvXs.xlsm]Spreads!R174C5</stp>
        <tr r="E174" s="35"/>
      </tp>
      <tp t="s">
        <v>#N/A Real Time</v>
        <stp/>
        <stp>##V3_BDPV12</stp>
        <stp>EK722714@RIAY Corp</stp>
        <stp>BID_YIELD</stp>
        <stp>[GestionvXs.xlsm]Spreads!R148C5</stp>
        <tr r="E148" s="35"/>
      </tp>
      <tp t="s">
        <v>EK0010109</v>
        <stp/>
        <stp>##V3_BDPV12</stp>
        <stp>BUDC-A Corp</stp>
        <stp>ID_CUSIP</stp>
        <stp>[GestionvXs.xlsm]Spreads!R246C2</stp>
        <tr r="B246" s="35"/>
      </tp>
      <tp t="s">
        <v>#N/A N/A</v>
        <stp/>
        <stp>##V3_BDPV12</stp>
        <stp>EK5289690@RIAY Corp</stp>
        <stp>DUR_BID</stp>
        <stp>[GestionvXs.xlsm]Spreads!R18C4</stp>
        <tr r="D18" s="35"/>
      </tp>
      <tp t="s">
        <v>#N/A N/A</v>
        <stp/>
        <stp>##V3_BDPV12</stp>
        <stp>EK7384150@RIAY Corp</stp>
        <stp>DUR_BID</stp>
        <stp>[GestionvXs.xlsm]Spreads!R75C4</stp>
        <tr r="D75" s="35"/>
      </tp>
      <tp t="s">
        <v>#N/A N/A</v>
        <stp/>
        <stp>##V3_BDPV12</stp>
        <stp>EC2388311@RIAY Corp</stp>
        <stp>DUR_BID</stp>
        <stp>[GestionvXs.xlsm]Spreads!R81C4</stp>
        <tr r="D81" s="35"/>
      </tp>
      <tp t="s">
        <v>#N/A N/A</v>
        <stp/>
        <stp>##V3_BDPV12</stp>
        <stp>EI1792734@RIAY Corp</stp>
        <stp>DUR_BID</stp>
        <stp>[GestionvXs.xlsm]Spreads!R67C4</stp>
        <tr r="D67" s="35"/>
      </tp>
      <tp t="s">
        <v>#N/A Real Time</v>
        <stp/>
        <stp>##V3_BDPV12</stp>
        <stp>EK310928@RIAY Corp</stp>
        <stp>BID_YIELD</stp>
        <stp>[GestionvXs.xlsm]Spreads!R42C5</stp>
        <tr r="E42" s="35"/>
      </tp>
      <tp t="s">
        <v>#N/A Real Time</v>
        <stp/>
        <stp>##V3_BDPV12</stp>
        <stp>EK724829@RIAY Corp</stp>
        <stp>BID_YIELD</stp>
        <stp>[GestionvXs.xlsm]Spreads!R86C5</stp>
        <tr r="E86" s="35"/>
      </tp>
      <tp t="s">
        <v>#N/A Real Time</v>
        <stp/>
        <stp>##V3_BDPV12</stp>
        <stp>EK750860@RIAY Corp</stp>
        <stp>BID_YIELD</stp>
        <stp>[GestionvXs.xlsm]Spreads!R32C5</stp>
        <tr r="E32" s="35"/>
      </tp>
      <tp t="s">
        <v>#N/A N/A</v>
        <stp/>
        <stp>##V3_BDPV12</stp>
        <stp>EH8291179@RIAY Corp</stp>
        <stp>DUR_BID</stp>
        <stp>[GestionvXs.xlsm]Spreads!R66C4</stp>
        <tr r="D66" s="35"/>
      </tp>
      <tp t="s">
        <v>#N/A N/A</v>
        <stp/>
        <stp>##V3_BDPV12</stp>
        <stp>EK8658107@RIAY Corp</stp>
        <stp>DUR_BID</stp>
        <stp>[GestionvXs.xlsm]Spreads!R15C4</stp>
        <tr r="D15" s="35"/>
      </tp>
      <tp t="s">
        <v>#N/A Real Time</v>
        <stp/>
        <stp>##V3_BDPV12</stp>
        <stp>EK303561@RIAY Corp</stp>
        <stp>BID_YIELD</stp>
        <stp>[GestionvXs.xlsm]Spreads!R41C5</stp>
        <tr r="E41" s="35"/>
      </tp>
      <tp t="s">
        <v>#N/A Real Time</v>
        <stp/>
        <stp>##V3_BDPV12</stp>
        <stp>EJ492231@RIAY Corp</stp>
        <stp>BID_YIELD</stp>
        <stp>[GestionvXs.xlsm]Spreads!R70C5</stp>
        <tr r="E70" s="35"/>
      </tp>
      <tp t="s">
        <v>#N/A N/A</v>
        <stp/>
        <stp>##V3_BDPV12</stp>
        <stp>EJ5574151@RIAY Corp</stp>
        <stp>DUR_BID</stp>
        <stp>[GestionvXs.xlsm]Spreads!R23C4</stp>
        <tr r="D23" s="35"/>
      </tp>
      <tp t="s">
        <v>#N/A Real Time</v>
        <stp/>
        <stp>##V3_BDPV12</stp>
        <stp>EK271119@RIAY Corp</stp>
        <stp>BID_YIELD</stp>
        <stp>[GestionvXs.xlsm]Spreads!R83C5</stp>
        <tr r="E83" s="35"/>
      </tp>
      <tp t="s">
        <v>#N/A Real Time</v>
        <stp/>
        <stp>##V3_BDPV12</stp>
        <stp>EK675175@RIAY Corp</stp>
        <stp>BID_YIELD</stp>
        <stp>[GestionvXs.xlsm]Spreads!R97C5</stp>
        <tr r="E97" s="35"/>
      </tp>
      <tp t="s">
        <v>#N/A N/A</v>
        <stp/>
        <stp>##V3_BDPV12</stp>
        <stp>AM1829457@RIAY Corp</stp>
        <stp>DUR_BID</stp>
        <stp>[GestionvXs.xlsm]Spreads!R209C4</stp>
        <tr r="D209" s="35"/>
      </tp>
      <tp t="s">
        <v>#N/A N/A</v>
        <stp/>
        <stp>##V3_BDPV12</stp>
        <stp>EK8151269@RIAY Corp</stp>
        <stp>DUR_BID</stp>
        <stp>[GestionvXs.xlsm]Spreads!R234C4</stp>
        <tr r="D234" s="35"/>
      </tp>
      <tp t="s">
        <v>#N/A N/A</v>
        <stp/>
        <stp>##V3_BDPV12</stp>
        <stp>EC1758878@RIAY Corp</stp>
        <stp>DUR_BID</stp>
        <stp>[GestionvXs.xlsm]Spreads!R115C4</stp>
        <tr r="D115" s="35"/>
      </tp>
      <tp t="s">
        <v>#N/A N/A</v>
        <stp/>
        <stp>##V3_BDPV12</stp>
        <stp>EK8223613@RIAY Corp</stp>
        <stp>DUR_BID</stp>
        <stp>[GestionvXs.xlsm]Spreads!R169C4</stp>
        <tr r="D169" s="35"/>
      </tp>
      <tp t="s">
        <v>#N/A N/A</v>
        <stp/>
        <stp>##V3_BDPV12</stp>
        <stp>EK7532428@RIAY Corp</stp>
        <stp>DUR_BID</stp>
        <stp>[GestionvXs.xlsm]Spreads!R213C4</stp>
        <tr r="D213" s="35"/>
      </tp>
      <tp t="s">
        <v>#N/A N/A</v>
        <stp/>
        <stp>##V3_BDPV12</stp>
        <stp>JK3455884@RIAY Corp</stp>
        <stp>DUR_BID</stp>
        <stp>[GestionvXs.xlsm]Spreads!R116C4</stp>
        <tr r="D116" s="35"/>
      </tp>
      <tp t="s">
        <v>#N/A N/A</v>
        <stp/>
        <stp>##V3_BDPV12</stp>
        <stp>EK7384390@RIAY Corp</stp>
        <stp>DUR_BID</stp>
        <stp>[GestionvXs.xlsm]Spreads!R140C4</stp>
        <tr r="D140" s="35"/>
      </tp>
      <tp t="s">
        <v>#N/A N/A</v>
        <stp/>
        <stp>##V3_BDPV12</stp>
        <stp>EI6724179@RIAY Corp</stp>
        <stp>DUR_BID</stp>
        <stp>[GestionvXs.xlsm]Spreads!R183C4</stp>
        <tr r="D183" s="35"/>
      </tp>
      <tp t="s">
        <v>#N/A N/A</v>
        <stp/>
        <stp>##V3_BDPV12</stp>
        <stp>EJ4927418@RIAY Corp</stp>
        <stp>DUR_BID</stp>
        <stp>[GestionvXs.xlsm]Spreads!R202C4</stp>
        <tr r="D202" s="35"/>
      </tp>
      <tp t="s">
        <v>#N/A N/A</v>
        <stp/>
        <stp>##V3_BDPV12</stp>
        <stp>JV6956033@RIAY Corp</stp>
        <stp>DUR_BID</stp>
        <stp>[GestionvXs.xlsm]Spreads!R111C4</stp>
        <tr r="D111" s="35"/>
      </tp>
      <tp t="s">
        <v>#N/A N/A</v>
        <stp/>
        <stp>##V3_BDPV12</stp>
        <stp>JV4333557@RIAY Corp</stp>
        <stp>DUR_BID</stp>
        <stp>[GestionvXs.xlsm]Spreads!R103C4</stp>
        <tr r="D103" s="35"/>
      </tp>
      <tp t="s">
        <v>EK6751458</v>
        <stp/>
        <stp>##V3_BDPV12</stp>
        <stp>BSONA-C Corp</stp>
        <stp>ID_CUSIP</stp>
        <stp>[GestionvXs.xlsm]Spreads!R94C2</stp>
        <tr r="B94" s="35"/>
      </tp>
      <tp t="s">
        <v>#N/A Real Time</v>
        <stp/>
        <stp>##V3_BDPV12</stp>
        <stp>EI323998@RIAY Corp</stp>
        <stp>BID_YIELD</stp>
        <stp>[GestionvXs.xlsm]Spreads!R263C5</stp>
        <tr r="E263" s="35"/>
      </tp>
      <tp t="s">
        <v>#N/A Real Time</v>
        <stp/>
        <stp>##V3_BDPV12</stp>
        <stp>EK373097@RIAY Corp</stp>
        <stp>BID_YIELD</stp>
        <stp>[GestionvXs.xlsm]Spreads!R278C5</stp>
        <tr r="E278" s="35"/>
      </tp>
      <tp t="s">
        <v>#N/A Real Time</v>
        <stp/>
        <stp>##V3_BDPV12</stp>
        <stp>ED495281@RIAY Corp</stp>
        <stp>BID_YIELD</stp>
        <stp>[GestionvXs.xlsm]Spreads!R135C5</stp>
        <tr r="E135" s="35"/>
      </tp>
      <tp t="s">
        <v>#N/A Real Time</v>
        <stp/>
        <stp>##V3_BDPV12</stp>
        <stp>EJ819878@RIAY Corp</stp>
        <stp>BID_YIELD</stp>
        <stp>[GestionvXs.xlsm]Spreads!R241C5</stp>
        <tr r="E241" s="35"/>
      </tp>
      <tp t="s">
        <v>#N/A Real Time</v>
        <stp/>
        <stp>##V3_BDPV12</stp>
        <stp>EJ807074@RIAY Corp</stp>
        <stp>BID_YIELD</stp>
        <stp>[GestionvXs.xlsm]Spreads!R179C5</stp>
        <tr r="E179" s="35"/>
      </tp>
      <tp t="s">
        <v>#N/A Real Time</v>
        <stp/>
        <stp>##V3_BDPV12</stp>
        <stp>EH874394@RIAY Corp</stp>
        <stp>BID_YIELD</stp>
        <stp>[GestionvXs.xlsm]Spreads!R258C5</stp>
        <tr r="E258" s="35"/>
      </tp>
      <tp t="s">
        <v>#N/A Real Time</v>
        <stp/>
        <stp>##V3_BDPV12</stp>
        <stp>EJ655864@RIAY Corp</stp>
        <stp>BID_YIELD</stp>
        <stp>[GestionvXs.xlsm]Spreads!R271C5</stp>
        <tr r="E271" s="35"/>
      </tp>
      <tp t="s">
        <v>#N/A Real Time</v>
        <stp/>
        <stp>##V3_BDPV12</stp>
        <stp>ED091635@RIAY Corp</stp>
        <stp>BID_YIELD</stp>
        <stp>[GestionvXs.xlsm]Spreads!R141C5</stp>
        <tr r="E141" s="35"/>
      </tp>
      <tp t="s">
        <v>#N/A Real Time</v>
        <stp/>
        <stp>##V3_BDPV12</stp>
        <stp>EF790026@RIAY Corp</stp>
        <stp>BID_YIELD</stp>
        <stp>[GestionvXs.xlsm]Spreads!R255C5</stp>
        <tr r="E255" s="35"/>
      </tp>
      <tp t="s">
        <v>#N/A Real Time</v>
        <stp/>
        <stp>##V3_BDPV12</stp>
        <stp>EK329876@RIAY Corp</stp>
        <stp>BID_YIELD</stp>
        <stp>[GestionvXs.xlsm]Spreads!R160C5</stp>
        <tr r="E160" s="35"/>
      </tp>
      <tp t="s">
        <v>#N/A Real Time</v>
        <stp/>
        <stp>##V3_BDPV12</stp>
        <stp>EC385044@RIAY Corp</stp>
        <stp>BID_YIELD</stp>
        <stp>[GestionvXs.xlsm]Spreads!R180C5</stp>
        <tr r="E180" s="35"/>
      </tp>
      <tp t="s">
        <v>#N/A Real Time</v>
        <stp/>
        <stp>##V3_BDPV12</stp>
        <stp>EK397153@RIAY Corp</stp>
        <stp>BID_YIELD</stp>
        <stp>[GestionvXs.xlsm]Spreads!R189C5</stp>
        <tr r="E189" s="35"/>
      </tp>
      <tp t="s">
        <v>#N/A N/A</v>
        <stp/>
        <stp>##V3_BDPV12</stp>
        <stp>EK0687450@RIAY Corp</stp>
        <stp>DUR_BID</stp>
        <stp>[GestionvXs.xlsm]Spreads!R57C4</stp>
        <tr r="D57" s="35"/>
      </tp>
      <tp t="s">
        <v>#N/A N/A</v>
        <stp/>
        <stp>##V3_BDPV12</stp>
        <stp>EK7227508@RIAY Corp</stp>
        <stp>DUR_BID</stp>
        <stp>[GestionvXs.xlsm]Spreads!R76C4</stp>
        <tr r="D76" s="35"/>
      </tp>
      <tp t="s">
        <v>#N/A N/A</v>
        <stp/>
        <stp>##V3_BDPV12</stp>
        <stp>EH7794645@RIAY Corp</stp>
        <stp>DUR_BID</stp>
        <stp>[GestionvXs.xlsm]Spreads!R17C4</stp>
        <tr r="D17" s="35"/>
      </tp>
      <tp t="s">
        <v>#N/A Real Time</v>
        <stp/>
        <stp>##V3_BDPV12</stp>
        <stp>EJ547624@RIAY Corp</stp>
        <stp>BID_YIELD</stp>
        <stp>[GestionvXs.xlsm]Spreads!R62C5</stp>
        <tr r="E62" s="35"/>
      </tp>
      <tp t="s">
        <v>#N/A N/A</v>
        <stp/>
        <stp>##V3_BDPV12</stp>
        <stp>EK8626633@RIAY Corp</stp>
        <stp>DUR_BID</stp>
        <stp>[GestionvXs.xlsm]Spreads!R51C4</stp>
        <tr r="D51" s="35"/>
      </tp>
      <tp t="s">
        <v>#N/A N/A</v>
        <stp/>
        <stp>##V3_BDPV12</stp>
        <stp>EK7479935@RIAY Corp</stp>
        <stp>DUR_BID</stp>
        <stp>[GestionvXs.xlsm]Spreads!R43C4</stp>
        <tr r="D43" s="35"/>
      </tp>
      <tp t="s">
        <v>#N/A N/A</v>
        <stp/>
        <stp>##V3_BDPV12</stp>
        <stp>EK5463204@RIAY Corp</stp>
        <stp>DUR_BID</stp>
        <stp>[GestionvXs.xlsm]Spreads!R50C4</stp>
        <tr r="D50" s="35"/>
      </tp>
      <tp t="s">
        <v>#N/A Real Time</v>
        <stp/>
        <stp>##V3_BDPV12</stp>
        <stp>EI672789@RIAY Corp</stp>
        <stp>BID_YIELD</stp>
        <stp>[GestionvXs.xlsm]Spreads!R77C5</stp>
        <tr r="E77" s="35"/>
      </tp>
      <tp t="s">
        <v>#N/A N/A</v>
        <stp/>
        <stp>##V3_BDPV12</stp>
        <stp>EK4836350@RIAY Corp</stp>
        <stp>DUR_BID</stp>
        <stp>[GestionvXs.xlsm]Spreads!R49C4</stp>
        <tr r="D49" s="35"/>
      </tp>
      <tp t="s">
        <v>#N/A Real Time</v>
        <stp/>
        <stp>##V3_BDPV12</stp>
        <stp>EK765338@RIAY Corp</stp>
        <stp>BID_YIELD</stp>
        <stp>[GestionvXs.xlsm]Spreads!R90C5</stp>
        <tr r="E90" s="35"/>
      </tp>
      <tp t="s">
        <v>#N/A N/A</v>
        <stp/>
        <stp>##V3_BDPV12</stp>
        <stp>EF7573621@RIAY Corp</stp>
        <stp>DUR_BID</stp>
        <stp>[GestionvXs.xlsm]Spreads!R199C4</stp>
        <tr r="D199" s="35"/>
      </tp>
      <tp t="s">
        <v>#N/A N/A</v>
        <stp/>
        <stp>##V3_BDPV12</stp>
        <stp>EK2472430@RIAY Corp</stp>
        <stp>DUR_BID</stp>
        <stp>[GestionvXs.xlsm]Spreads!R268C4</stp>
        <tr r="D268" s="35"/>
      </tp>
      <tp t="s">
        <v>#N/A N/A</v>
        <stp/>
        <stp>##V3_BDPV12</stp>
        <stp>EI8485746@RIAY Corp</stp>
        <stp>DUR_BID</stp>
        <stp>[GestionvXs.xlsm]Spreads!R191C4</stp>
        <tr r="D191" s="35"/>
      </tp>
      <tp t="s">
        <v>#N/A N/A</v>
        <stp/>
        <stp>##V3_BDPV12</stp>
        <stp>EH8584672@RIAY Corp</stp>
        <stp>DUR_BID</stp>
        <stp>[GestionvXs.xlsm]Spreads!R265C4</stp>
        <tr r="D265" s="35"/>
      </tp>
      <tp t="s">
        <v>EK9959710</v>
        <stp/>
        <stp>##V3_BDPV12</stp>
        <stp>BPARC-L Corp</stp>
        <stp>ID_CUSIP</stp>
        <stp>[GestionvXs.xlsm]Spreads!R96C2</stp>
        <tr r="B96" s="35"/>
      </tp>
      <tp t="s">
        <v>QZ9214680</v>
        <stp/>
        <stp>##V3_BDPV12</stp>
        <stp>BSCCH-B Corp</stp>
        <stp>ID_CUSIP</stp>
        <stp>[GestionvXs.xlsm]Spreads!R35C2</stp>
        <tr r="B35" s="35"/>
      </tp>
      <tp t="s">
        <v>#N/A Real Time</v>
        <stp/>
        <stp>##V3_BDPV12</stp>
        <stp>EG326080@RIAY Corp</stp>
        <stp>BID_YIELD</stp>
        <stp>[GestionvXs.xlsm]Spreads!R145C5</stp>
        <tr r="E145" s="35"/>
      </tp>
      <tp t="s">
        <v>#N/A Real Time</v>
        <stp/>
        <stp>##V3_BDPV12</stp>
        <stp>EH861829@RIAY Corp</stp>
        <stp>BID_YIELD</stp>
        <stp>[GestionvXs.xlsm]Spreads!R182C5</stp>
        <tr r="E182" s="35"/>
      </tp>
      <tp t="s">
        <v>#N/A Real Time</v>
        <stp/>
        <stp>##V3_BDPV12</stp>
        <stp>EC428156@RIAY Corp</stp>
        <stp>BID_YIELD</stp>
        <stp>[GestionvXs.xlsm]Spreads!R260C5</stp>
        <tr r="E260" s="35"/>
      </tp>
      <tp t="s">
        <v>#N/A Real Time</v>
        <stp/>
        <stp>##V3_BDPV12</stp>
        <stp>EG336331@RIAY Corp</stp>
        <stp>BID_YIELD</stp>
        <stp>[GestionvXs.xlsm]Spreads!R136C5</stp>
        <tr r="E136" s="35"/>
      </tp>
      <tp t="s">
        <v>#N/A Real Time</v>
        <stp/>
        <stp>##V3_BDPV12</stp>
        <stp>ED198623@RIAY Corp</stp>
        <stp>BID_YIELD</stp>
        <stp>[GestionvXs.xlsm]Spreads!R250C5</stp>
        <tr r="E250" s="35"/>
      </tp>
      <tp t="s">
        <v>#N/A Real Time</v>
        <stp/>
        <stp>##V3_BDPV12</stp>
        <stp>EI090230@RIAY Corp</stp>
        <stp>BID_YIELD</stp>
        <stp>[GestionvXs.xlsm]Spreads!R259C5</stp>
        <tr r="E259" s="35"/>
      </tp>
      <tp t="s">
        <v>#N/A Real Time</v>
        <stp/>
        <stp>##V3_BDPV12</stp>
        <stp>EI381308@RIAY Corp</stp>
        <stp>BID_YIELD</stp>
        <stp>[GestionvXs.xlsm]Spreads!R208C5</stp>
        <tr r="E208" s="35"/>
      </tp>
      <tp t="s">
        <v>#N/A Real Time</v>
        <stp/>
        <stp>##V3_BDPV12</stp>
        <stp>EK748023@RIAY Corp</stp>
        <stp>BID_YIELD</stp>
        <stp>[GestionvXs.xlsm]Spreads!R149C5</stp>
        <tr r="E149" s="35"/>
      </tp>
      <tp t="s">
        <v>#N/A Real Time</v>
        <stp/>
        <stp>##V3_BDPV12</stp>
        <stp>EI490208@RIAY Corp</stp>
        <stp>BID_YIELD</stp>
        <stp>[GestionvXs.xlsm]Spreads!R249C5</stp>
        <tr r="E249" s="35"/>
      </tp>
      <tp t="s">
        <v>#N/A Real Time</v>
        <stp/>
        <stp>##V3_BDPV12</stp>
        <stp>EG426405@RIAY Corp</stp>
        <stp>BID_YIELD</stp>
        <stp>[GestionvXs.xlsm]Spreads!R201C5</stp>
        <tr r="E201" s="35"/>
      </tp>
      <tp t="s">
        <v>#N/A N/A</v>
        <stp/>
        <stp>##V3_BDPV12</stp>
        <stp>QJ1897850@RIAY Corp</stp>
        <stp>DUR_BID</stp>
        <stp>[GestionvXs.xlsm]Spreads!R58C4</stp>
        <tr r="D58" s="35"/>
      </tp>
      <tp t="s">
        <v>#N/A N/A</v>
        <stp/>
        <stp>##V3_BDPV12</stp>
        <stp>QZ8961653@RIAY Corp</stp>
        <stp>DUR_BID</stp>
        <stp>[GestionvXs.xlsm]Spreads!R59C4</stp>
        <tr r="D59" s="35"/>
      </tp>
      <tp t="s">
        <v>#N/A Real Time</v>
        <stp/>
        <stp>##V3_BDPV12</stp>
        <stp>AL955918@RIAY Corp</stp>
        <stp>BID_YIELD</stp>
        <stp>[GestionvXs.xlsm]Spreads!R85C5</stp>
        <tr r="E85" s="35"/>
      </tp>
      <tp t="s">
        <v>#N/A Real Time</v>
        <stp/>
        <stp>##V3_BDPV12</stp>
        <stp>EK747993@RIAY Corp</stp>
        <stp>BID_YIELD</stp>
        <stp>[GestionvXs.xlsm]Spreads!R43C5</stp>
        <tr r="E43" s="35"/>
      </tp>
      <tp t="s">
        <v>#N/A Real Time</v>
        <stp/>
        <stp>##V3_BDPV12</stp>
        <stp>EJ713853@RIAY Corp</stp>
        <stp>BID_YIELD</stp>
        <stp>[GestionvXs.xlsm]Spreads!R27C5</stp>
        <tr r="E27" s="35"/>
      </tp>
      <tp t="s">
        <v>#N/A N/A</v>
        <stp/>
        <stp>##V3_BDPV12</stp>
        <stp>EK6751755@RIAY Corp</stp>
        <stp>DUR_BID</stp>
        <stp>[GestionvXs.xlsm]Spreads!R97C4</stp>
        <tr r="D97" s="35"/>
      </tp>
      <tp t="s">
        <v>#N/A Real Time</v>
        <stp/>
        <stp>##V3_BDPV12</stp>
        <stp>EK722750@RIAY Corp</stp>
        <stp>BID_YIELD</stp>
        <stp>[GestionvXs.xlsm]Spreads!R76C5</stp>
        <tr r="E76" s="35"/>
      </tp>
      <tp t="s">
        <v>#N/A N/A</v>
        <stp/>
        <stp>##V3_BDPV12</stp>
        <stp>EI7622653@RIAY Corp</stp>
        <stp>DUR_BID</stp>
        <stp>[GestionvXs.xlsm]Spreads!R56C4</stp>
        <tr r="D56" s="35"/>
      </tp>
      <tp t="s">
        <v>#N/A Real Time</v>
        <stp/>
        <stp>##V3_BDPV12</stp>
        <stp>EJ557415@RIAY Corp</stp>
        <stp>BID_YIELD</stp>
        <stp>[GestionvXs.xlsm]Spreads!R23C5</stp>
        <tr r="E23" s="35"/>
      </tp>
      <tp t="s">
        <v>#N/A Real Time</v>
        <stp/>
        <stp>##V3_BDPV12</stp>
        <stp>EH782797@RIAY Corp</stp>
        <stp>BID_YIELD</stp>
        <stp>[GestionvXs.xlsm]Spreads!R26C5</stp>
        <tr r="E26" s="35"/>
      </tp>
      <tp t="s">
        <v>#N/A N/A</v>
        <stp/>
        <stp>##V3_BDPV12</stp>
        <stp>EK1543900@RIAY Corp</stp>
        <stp>DUR_BID</stp>
        <stp>[GestionvXs.xlsm]Spreads!R80C4</stp>
        <tr r="D80" s="35"/>
      </tp>
      <tp t="s">
        <v>#N/A Real Time</v>
        <stp/>
        <stp>##V3_BDPV12</stp>
        <stp>EK154390@RIAY Corp</stp>
        <stp>BID_YIELD</stp>
        <stp>[GestionvXs.xlsm]Spreads!R80C5</stp>
        <tr r="E80" s="35"/>
      </tp>
      <tp t="s">
        <v>#N/A Real Time</v>
        <stp/>
        <stp>##V3_BDPV12</stp>
        <stp>EJ525013@RIAY Corp</stp>
        <stp>BID_YIELD</stp>
        <stp>[GestionvXs.xlsm]Spreads!R11C5</stp>
        <tr r="E11" s="35"/>
      </tp>
      <tp t="s">
        <v>#N/A N/A</v>
        <stp/>
        <stp>##V3_BDPV12</stp>
        <stp>EJ7138534@RIAY Corp</stp>
        <stp>DUR_BID</stp>
        <stp>[GestionvXs.xlsm]Spreads!R27C4</stp>
        <tr r="D27" s="35"/>
      </tp>
      <tp t="s">
        <v>#N/A Real Time</v>
        <stp/>
        <stp>##V3_BDPV12</stp>
        <stp>EI762265@RIAY Corp</stp>
        <stp>BID_YIELD</stp>
        <stp>[GestionvXs.xlsm]Spreads!R56C5</stp>
        <tr r="E56" s="35"/>
      </tp>
      <tp t="s">
        <v>#N/A N/A</v>
        <stp/>
        <stp>##V3_BDPV12</stp>
        <stp>EG7417918@RIAY Corp</stp>
        <stp>DUR_BID</stp>
        <stp>[GestionvXs.xlsm]Spreads!R147C4</stp>
        <tr r="D147" s="35"/>
      </tp>
      <tp t="s">
        <v>#N/A N/A</v>
        <stp/>
        <stp>##V3_BDPV12</stp>
        <stp>EI7698992@RIAY Corp</stp>
        <stp>DUR_BID</stp>
        <stp>[GestionvXs.xlsm]Spreads!R205C4</stp>
        <tr r="D205" s="35"/>
      </tp>
      <tp t="s">
        <v>#N/A N/A</v>
        <stp/>
        <stp>##V3_BDPV12</stp>
        <stp>EI7502418@RIAY Corp</stp>
        <stp>DUR_BID</stp>
        <stp>[GestionvXs.xlsm]Spreads!R106C4</stp>
        <tr r="D106" s="35"/>
      </tp>
      <tp t="s">
        <v>#N/A N/A</v>
        <stp/>
        <stp>##V3_BDPV12</stp>
        <stp>EK0010109@RIAY Corp</stp>
        <stp>DUR_BID</stp>
        <stp>[GestionvXs.xlsm]Spreads!R246C4</stp>
        <tr r="D246" s="35"/>
      </tp>
      <tp t="s">
        <v>#N/A N/A</v>
        <stp/>
        <stp>##V3_BDPV12</stp>
        <stp>EK0625104@RIAY Corp</stp>
        <stp>DUR_BID</stp>
        <stp>[GestionvXs.xlsm]Spreads!R218C4</stp>
        <tr r="D218" s="35"/>
      </tp>
      <tp t="s">
        <v>#N/A N/A</v>
        <stp/>
        <stp>##V3_BDPV12</stp>
        <stp>EH8607606@RIAY Corp</stp>
        <stp>DUR_BID</stp>
        <stp>[GestionvXs.xlsm]Spreads!R168C4</stp>
        <tr r="D168" s="35"/>
      </tp>
      <tp t="s">
        <v>#N/A N/A</v>
        <stp/>
        <stp>##V3_BDPV12</stp>
        <stp>AH0077885@RIAY Corp</stp>
        <stp>DUR_BID</stp>
        <stp>[GestionvXs.xlsm]Spreads!R178C4</stp>
        <tr r="D178" s="35"/>
      </tp>
      <tp t="s">
        <v>#N/A N/A</v>
        <stp/>
        <stp>##V3_BDPV12</stp>
        <stp>EK7227144@RIAY Corp</stp>
        <stp>DUR_BID</stp>
        <stp>[GestionvXs.xlsm]Spreads!R148C4</stp>
        <tr r="D148" s="35"/>
      </tp>
      <tp t="s">
        <v>#N/A N/A</v>
        <stp/>
        <stp>##V3_BDPV12</stp>
        <stp>JV9360324@RIAY Corp</stp>
        <stp>DUR_BID</stp>
        <stp>[GestionvXs.xlsm]Spreads!R123C4</stp>
        <tr r="D123" s="35"/>
      </tp>
      <tp t="s">
        <v>EJ7641883</v>
        <stp/>
        <stp>##V3_BDPV12</stp>
        <stp>BQUIN-I Corp</stp>
        <stp>ID_CUSIP</stp>
        <stp>[GestionvXs.xlsm]Spreads!R54C2</stp>
        <tr r="B54" s="35"/>
      </tp>
      <tp t="s">
        <v>EH8394353</v>
        <stp/>
        <stp>##V3_BDPV12</stp>
        <stp>BSKSA-B Corp</stp>
        <stp>ID_CUSIP</stp>
        <stp>[GestionvXs.xlsm]Spreads!R16C2</stp>
        <tr r="B16" s="35"/>
      </tp>
      <tp t="s">
        <v>#N/A Real Time</v>
        <stp/>
        <stp>##V3_BDPV12</stp>
        <stp>EF067789@RIAY Corp</stp>
        <stp>BID_YIELD</stp>
        <stp>[GestionvXs.xlsm]Spreads!R170C5</stp>
        <tr r="E170" s="35"/>
      </tp>
      <tp t="s">
        <v>#N/A Real Time</v>
        <stp/>
        <stp>##V3_BDPV12</stp>
        <stp>EK383895@RIAY Corp</stp>
        <stp>BID_YIELD</stp>
        <stp>[GestionvXs.xlsm]Spreads!R232C5</stp>
        <tr r="E232" s="35"/>
      </tp>
      <tp t="s">
        <v>#N/A Real Time</v>
        <stp/>
        <stp>##V3_BDPV12</stp>
        <stp>EK822361@RIAY Corp</stp>
        <stp>BID_YIELD</stp>
        <stp>[GestionvXs.xlsm]Spreads!R169C5</stp>
        <tr r="E169" s="35"/>
      </tp>
      <tp t="s">
        <v>#N/A Real Time</v>
        <stp/>
        <stp>##V3_BDPV12</stp>
        <stp>EI966172@RIAY Corp</stp>
        <stp>BID_YIELD</stp>
        <stp>[GestionvXs.xlsm]Spreads!R229C5</stp>
        <tr r="E229" s="35"/>
      </tp>
      <tp t="s">
        <v>#N/A Real Time</v>
        <stp/>
        <stp>##V3_BDPV12</stp>
        <stp>EH341926@RIAY Corp</stp>
        <stp>BID_YIELD</stp>
        <stp>[GestionvXs.xlsm]Spreads!R150C5</stp>
        <tr r="E150" s="35"/>
      </tp>
      <tp t="s">
        <v>#N/A Real Time</v>
        <stp/>
        <stp>##V3_BDPV12</stp>
        <stp>EI558056@RIAY Corp</stp>
        <stp>BID_YIELD</stp>
        <stp>[GestionvXs.xlsm]Spreads!R198C5</stp>
        <tr r="E198" s="35"/>
      </tp>
      <tp t="s">
        <v>#N/A Real Time</v>
        <stp/>
        <stp>##V3_BDPV12</stp>
        <stp>EK500857@RIAY Corp</stp>
        <stp>BID_YIELD</stp>
        <stp>[GestionvXs.xlsm]Spreads!R242C5</stp>
        <tr r="E242" s="35"/>
      </tp>
      <tp t="s">
        <v>#N/A Real Time</v>
        <stp/>
        <stp>##V3_BDPV12</stp>
        <stp>EC136635@RIAY Corp</stp>
        <stp>BID_YIELD</stp>
        <stp>[GestionvXs.xlsm]Spreads!R264C5</stp>
        <tr r="E264" s="35"/>
      </tp>
      <tp t="s">
        <v>#N/A Real Time</v>
        <stp/>
        <stp>##V3_BDPV12</stp>
        <stp>AL631436@RIAY Corp</stp>
        <stp>BID_YIELD</stp>
        <stp>[GestionvXs.xlsm]Spreads!R129C5</stp>
        <tr r="E129" s="35"/>
      </tp>
      <tp t="s">
        <v>#N/A Real Time</v>
        <stp/>
        <stp>##V3_BDPV12</stp>
        <stp>EJ097841@RIAY Corp</stp>
        <stp>BID_YIELD</stp>
        <stp>[GestionvXs.xlsm]Spreads!R203C5</stp>
        <tr r="E203" s="35"/>
      </tp>
      <tp t="s">
        <v>#N/A Real Time</v>
        <stp/>
        <stp>##V3_BDPV12</stp>
        <stp>EK247243@RIAY Corp</stp>
        <stp>BID_YIELD</stp>
        <stp>[GestionvXs.xlsm]Spreads!R268C5</stp>
        <tr r="E268" s="35"/>
      </tp>
      <tp t="s">
        <v>#N/A N/A</v>
        <stp/>
        <stp>##V3_BDPV12</stp>
        <stp>UV4487111@RIAY Corp</stp>
        <stp>DUR_BID</stp>
        <stp>[GestionvXs.xlsm]Spreads!R73C4</stp>
        <tr r="D73" s="35"/>
      </tp>
      <tp t="s">
        <v>#N/A N/A</v>
        <stp/>
        <stp>##V3_BDPV12</stp>
        <stp>UV3639738@RIAY Corp</stp>
        <stp>DUR_BID</stp>
        <stp>[GestionvXs.xlsm]Spreads!R93C4</stp>
        <tr r="D93" s="35"/>
      </tp>
      <tp t="s">
        <v>#N/A N/A</v>
        <stp/>
        <stp>##V3_BDPV12</stp>
        <stp>EK1693960@RIAY Corp</stp>
        <stp>DUR_BID</stp>
        <stp>[GestionvXs.xlsm]Spreads!R46C4</stp>
        <tr r="D46" s="35"/>
      </tp>
      <tp t="s">
        <v>#N/A N/A</v>
        <stp/>
        <stp>##V3_BDPV12</stp>
        <stp>EK5181152@RIAY Corp</stp>
        <stp>DUR_BID</stp>
        <stp>[GestionvXs.xlsm]Spreads!R52C4</stp>
        <tr r="D52" s="35"/>
      </tp>
      <tp t="s">
        <v>#N/A N/A</v>
        <stp/>
        <stp>##V3_BDPV12</stp>
        <stp>EK6751458@RIAY Corp</stp>
        <stp>DUR_BID</stp>
        <stp>[GestionvXs.xlsm]Spreads!R94C4</stp>
        <tr r="D94" s="35"/>
      </tp>
      <tp t="s">
        <v>#N/A Real Time</v>
        <stp/>
        <stp>##V3_BDPV12</stp>
        <stp>EJ097901@RIAY Corp</stp>
        <stp>BID_YIELD</stp>
        <stp>[GestionvXs.xlsm]Spreads!R30C5</stp>
        <tr r="E30" s="35"/>
      </tp>
      <tp t="s">
        <v>#N/A Real Time</v>
        <stp/>
        <stp>##V3_BDPV12</stp>
        <stp>EK750878@RIAY Corp</stp>
        <stp>BID_YIELD</stp>
        <stp>[GestionvXs.xlsm]Spreads!R87C5</stp>
        <tr r="E87" s="35"/>
      </tp>
      <tp t="s">
        <v>#N/A N/A</v>
        <stp/>
        <stp>##V3_BDPV12</stp>
        <stp>EJ6212751@RIAY Corp</stp>
        <stp>DUR_BID</stp>
        <stp>[GestionvXs.xlsm]Spreads!R21C4</stp>
        <tr r="D21" s="35"/>
      </tp>
      <tp t="s">
        <v>#N/A Real Time</v>
        <stp/>
        <stp>##V3_BDPV12</stp>
        <stp>EI382562@RIAY Corp</stp>
        <stp>BID_YIELD</stp>
        <stp>[GestionvXs.xlsm]Spreads!R55C5</stp>
        <tr r="E55" s="35"/>
      </tp>
      <tp t="s">
        <v>#N/A Real Time</v>
        <stp/>
        <stp>##V3_BDPV12</stp>
        <stp>EJ101756@RIAY Corp</stp>
        <stp>BID_YIELD</stp>
        <stp>[GestionvXs.xlsm]Spreads!R36C5</stp>
        <tr r="E36" s="35"/>
      </tp>
      <tp t="s">
        <v>#N/A N/A</v>
        <stp/>
        <stp>##V3_BDPV12</stp>
        <stp>EK7218267@RIAY Corp</stp>
        <stp>DUR_BID</stp>
        <stp>[GestionvXs.xlsm]Spreads!R92C4</stp>
        <tr r="D92" s="35"/>
      </tp>
      <tp t="s">
        <v>#N/A Real Time</v>
        <stp/>
        <stp>##V3_BDPV12</stp>
        <stp>EK945181@RIAY Corp</stp>
        <stp>BID_YIELD</stp>
        <stp>[GestionvXs.xlsm]Spreads!R82C5</stp>
        <tr r="E82" s="35"/>
      </tp>
      <tp t="s">
        <v>#N/A N/A</v>
        <stp/>
        <stp>##V3_BDPV12</stp>
        <stp>EI7699354@RIAY Corp</stp>
        <stp>DUR_BID</stp>
        <stp>[GestionvXs.xlsm]Spreads!R210C4</stp>
        <tr r="D210" s="35"/>
      </tp>
      <tp t="s">
        <v>#N/A N/A</v>
        <stp/>
        <stp>##V3_BDPV12</stp>
        <stp>EK7291181@RIAY Corp</stp>
        <stp>DUR_BID</stp>
        <stp>[GestionvXs.xlsm]Spreads!R215C4</stp>
        <tr r="D215" s="35"/>
      </tp>
      <tp t="s">
        <v>#N/A N/A</v>
        <stp/>
        <stp>##V3_BDPV12</stp>
        <stp>EK3730976@RIAY Corp</stp>
        <stp>DUR_BID</stp>
        <stp>[GestionvXs.xlsm]Spreads!R278C4</stp>
        <tr r="D278" s="35"/>
      </tp>
      <tp t="s">
        <v>#N/A N/A</v>
        <stp/>
        <stp>##V3_BDPV12</stp>
        <stp>EH8601724@RIAY Corp</stp>
        <stp>DUR_BID</stp>
        <stp>[GestionvXs.xlsm]Spreads!R159C4</stp>
        <tr r="D159" s="35"/>
      </tp>
      <tp t="s">
        <v>#N/A N/A</v>
        <stp/>
        <stp>##V3_BDPV12</stp>
        <stp>EJ6693943@RIAY Corp</stp>
        <stp>DUR_BID</stp>
        <stp>[GestionvXs.xlsm]Spreads!R217C4</stp>
        <tr r="D217" s="35"/>
      </tp>
      <tp t="s">
        <v>#N/A N/A</v>
        <stp/>
        <stp>##V3_BDPV12</stp>
        <stp>EH8591073@RIAY Corp</stp>
        <stp>DUR_BID</stp>
        <stp>[GestionvXs.xlsm]Spreads!R227C4</stp>
        <tr r="D227" s="35"/>
      </tp>
      <tp t="s">
        <v>#N/A N/A</v>
        <stp/>
        <stp>##V3_BDPV12</stp>
        <stp>EK4552601@RIAY Corp</stp>
        <stp>DUR_BID</stp>
        <stp>[GestionvXs.xlsm]Spreads!R219C4</stp>
        <tr r="D219" s="35"/>
      </tp>
      <tp t="s">
        <v>#N/A N/A</v>
        <stp/>
        <stp>##V3_BDPV12</stp>
        <stp>EI3570393@RIAY Corp</stp>
        <stp>DUR_BID</stp>
        <stp>[GestionvXs.xlsm]Spreads!R139C4</stp>
        <tr r="D139" s="35"/>
      </tp>
      <tp t="s">
        <v>#N/A N/A</v>
        <stp/>
        <stp>##V3_BDPV12</stp>
        <stp>EK0385824@RIAY Corp</stp>
        <stp>DUR_BID</stp>
        <stp>[GestionvXs.xlsm]Spreads!R231C4</stp>
        <tr r="D231" s="35"/>
      </tp>
      <tp t="s">
        <v>#N/A N/A</v>
        <stp/>
        <stp>##V3_BDPV12</stp>
        <stp>EH8617654@RIAY Corp</stp>
        <stp>DUR_BID</stp>
        <stp>[GestionvXs.xlsm]Spreads!R158C4</stp>
        <tr r="D158" s="35"/>
      </tp>
      <tp t="s">
        <v>#N/A N/A</v>
        <stp/>
        <stp>##V3_BDPV12</stp>
        <stp>EJ5145721@RIAY Corp</stp>
        <stp>DUR_BID</stp>
        <stp>[GestionvXs.xlsm]Spreads!R238C4</stp>
        <tr r="D238" s="35"/>
      </tp>
      <tp t="s">
        <v>#N/A N/A</v>
        <stp/>
        <stp>##V3_BDPV12</stp>
        <stp>EJ7236247@RIAY Corp</stp>
        <stp>DUR_BID</stp>
        <stp>[GestionvXs.xlsm]Spreads!R239C4</stp>
        <tr r="D239" s="35"/>
      </tp>
      <tp t="s">
        <v>#N/A N/A</v>
        <stp/>
        <stp>##V3_BDPV12</stp>
        <stp>LW2641899@RIAY Corp</stp>
        <stp>DUR_BID</stp>
        <stp>[GestionvXs.xlsm]Spreads!R109C4</stp>
        <tr r="D109" s="35"/>
      </tp>
      <tp t="s">
        <v>#N/A Real Time</v>
        <stp/>
        <stp>##V3_BDPV12</stp>
        <stp>EI490195@RIAY Corp</stp>
        <stp>BID_YIELD</stp>
        <stp>[GestionvXs.xlsm]Spreads!R248C5</stp>
        <tr r="E248" s="35"/>
      </tp>
      <tp t="s">
        <v>#N/A Real Time</v>
        <stp/>
        <stp>##V3_BDPV12</stp>
        <stp>EH860172@RIAY Corp</stp>
        <stp>BID_YIELD</stp>
        <stp>[GestionvXs.xlsm]Spreads!R159C5</stp>
        <tr r="E159" s="35"/>
      </tp>
      <tp t="s">
        <v>#N/A Real Time</v>
        <stp/>
        <stp>##V3_BDPV12</stp>
        <stp>EI357039@RIAY Corp</stp>
        <stp>BID_YIELD</stp>
        <stp>[GestionvXs.xlsm]Spreads!R139C5</stp>
        <tr r="E139" s="35"/>
      </tp>
      <tp t="s">
        <v>#N/A Real Time</v>
        <stp/>
        <stp>##V3_BDPV12</stp>
        <stp>EK750848@RIAY Corp</stp>
        <stp>BID_YIELD</stp>
        <stp>[GestionvXs.xlsm]Spreads!R153C5</stp>
        <tr r="E153" s="35"/>
      </tp>
      <tp t="s">
        <v>#N/A Real Time</v>
        <stp/>
        <stp>##V3_BDPV12</stp>
        <stp>AL469470@RIAY Corp</stp>
        <stp>BID_YIELD</stp>
        <stp>[GestionvXs.xlsm]Spreads!R188C5</stp>
        <tr r="E188" s="35"/>
      </tp>
      <tp t="s">
        <v>#N/A Real Time</v>
        <stp/>
        <stp>##V3_BDPV12</stp>
        <stp>EK455260@RIAY Corp</stp>
        <stp>BID_YIELD</stp>
        <stp>[GestionvXs.xlsm]Spreads!R219C5</stp>
        <tr r="E219" s="35"/>
      </tp>
      <tp t="s">
        <v>#N/A Real Time</v>
        <stp/>
        <stp>##V3_BDPV12</stp>
        <stp>EI769935@RIAY Corp</stp>
        <stp>BID_YIELD</stp>
        <stp>[GestionvXs.xlsm]Spreads!R210C5</stp>
        <tr r="E210" s="35"/>
      </tp>
      <tp t="s">
        <v>#N/A Real Time</v>
        <stp/>
        <stp>##V3_BDPV12</stp>
        <stp>EK750830@RIAY Corp</stp>
        <stp>BID_YIELD</stp>
        <stp>[GestionvXs.xlsm]Spreads!R143C5</stp>
        <tr r="E143" s="35"/>
      </tp>
      <tp t="s">
        <v>#N/A Real Time</v>
        <stp/>
        <stp>##V3_BDPV12</stp>
        <stp>EG612415@RIAY Corp</stp>
        <stp>BID_YIELD</stp>
        <stp>[GestionvXs.xlsm]Spreads!R253C5</stp>
        <tr r="E253" s="35"/>
      </tp>
      <tp t="s">
        <v>#N/A N/A</v>
        <stp/>
        <stp>##V3_BDPV12</stp>
        <stp>LW2641915@RIAY Corp</stp>
        <stp>DUR_BID</stp>
        <stp>[GestionvXs.xlsm]Spreads!R60C4</stp>
        <tr r="D60" s="35"/>
      </tp>
      <tp t="s">
        <v>#N/A Real Time</v>
        <stp/>
        <stp>##V3_BDPV12</stp>
        <stp>EG623078@RIAY Corp</stp>
        <stp>BID_YIELD</stp>
        <stp>[GestionvXs.xlsm]Spreads!R65C5</stp>
        <tr r="E65" s="35"/>
      </tp>
      <tp t="s">
        <v>#N/A Real Time</v>
        <stp/>
        <stp>##V3_BDPV12</stp>
        <stp>EH861873@RIAY Corp</stp>
        <stp>BID_YIELD</stp>
        <stp>[GestionvXs.xlsm]Spreads!R37C5</stp>
        <tr r="E37" s="35"/>
      </tp>
      <tp t="s">
        <v>#N/A Real Time</v>
        <stp/>
        <stp>##V3_BDPV12</stp>
        <stp>EH836998@RIAY Corp</stp>
        <stp>BID_YIELD</stp>
        <stp>[GestionvXs.xlsm]Spreads!R10C5</stp>
        <tr r="E10" s="35"/>
      </tp>
      <tp t="s">
        <v>#N/A Real Time</v>
        <stp/>
        <stp>##V3_BDPV12</stp>
        <stp>EJ655859@RIAY Corp</stp>
        <stp>BID_YIELD</stp>
        <stp>[GestionvXs.xlsm]Spreads!R33C5</stp>
        <tr r="E33" s="35"/>
      </tp>
      <tp t="s">
        <v>#N/A Real Time</v>
        <stp/>
        <stp>##V3_BDPV12</stp>
        <stp>EJ783912@RIAY Corp</stp>
        <stp>BID_YIELD</stp>
        <stp>[GestionvXs.xlsm]Spreads!R25C5</stp>
        <tr r="E25" s="35"/>
      </tp>
      <tp t="s">
        <v>#N/A N/A</v>
        <stp/>
        <stp>##V3_BDPV12</stp>
        <stp>EK7508600@RIAY Corp</stp>
        <stp>DUR_BID</stp>
        <stp>[GestionvXs.xlsm]Spreads!R32C4</stp>
        <tr r="D32" s="35"/>
      </tp>
      <tp t="s">
        <v>#N/A N/A</v>
        <stp/>
        <stp>##V3_BDPV12</stp>
        <stp>EJ6697449@RIAY Corp</stp>
        <stp>DUR_BID</stp>
        <stp>[GestionvXs.xlsm]Spreads!R45C4</stp>
        <tr r="D45" s="35"/>
      </tp>
      <tp t="s">
        <v>#N/A N/A</v>
        <stp/>
        <stp>##V3_BDPV12</stp>
        <stp>EK9451817@RIAY Corp</stp>
        <stp>DUR_BID</stp>
        <stp>[GestionvXs.xlsm]Spreads!R82C4</stp>
        <tr r="D82" s="35"/>
      </tp>
      <tp t="s">
        <v>#N/A N/A</v>
        <stp/>
        <stp>##V3_BDPV12</stp>
        <stp>JV6955779@RIAY Corp</stp>
        <stp>DUR_BID</stp>
        <stp>[GestionvXs.xlsm]Spreads!R29C4</stp>
        <tr r="D29" s="35"/>
      </tp>
      <tp t="s">
        <v>#N/A N/A</v>
        <stp/>
        <stp>##V3_BDPV12</stp>
        <stp>EJ4532820@RIAY Corp</stp>
        <stp>DUR_BID</stp>
        <stp>[GestionvXs.xlsm]Spreads!R20C4</stp>
        <tr r="D20" s="35"/>
      </tp>
      <tp t="s">
        <v>#N/A Real Time</v>
        <stp/>
        <stp>##V3_BDPV12</stp>
        <stp>EK546320@RIAY Corp</stp>
        <stp>BID_YIELD</stp>
        <stp>[GestionvXs.xlsm]Spreads!R50C5</stp>
        <tr r="E50" s="35"/>
      </tp>
      <tp t="s">
        <v>#N/A N/A</v>
        <stp/>
        <stp>##V3_BDPV12</stp>
        <stp>EJ8198784@RIAY Corp</stp>
        <stp>DUR_BID</stp>
        <stp>[GestionvXs.xlsm]Spreads!R241C4</stp>
        <tr r="D241" s="35"/>
      </tp>
      <tp t="s">
        <v>#N/A N/A</v>
        <stp/>
        <stp>##V3_BDPV12</stp>
        <stp>EK7481014@RIAY Corp</stp>
        <stp>DUR_BID</stp>
        <stp>[GestionvXs.xlsm]Spreads!R100C4</stp>
        <tr r="D100" s="35"/>
      </tp>
      <tp t="s">
        <v>#N/A N/A</v>
        <stp/>
        <stp>##V3_BDPV12</stp>
        <stp>EK7480891@RIAY Corp</stp>
        <stp>DUR_BID</stp>
        <stp>[GestionvXs.xlsm]Spreads!R195C4</stp>
        <tr r="D195" s="35"/>
      </tp>
      <tp t="s">
        <v>#N/A N/A</v>
        <stp/>
        <stp>##V3_BDPV12</stp>
        <stp>EK8223019@RIAY Corp</stp>
        <stp>DUR_BID</stp>
        <stp>[GestionvXs.xlsm]Spreads!R167C4</stp>
        <tr r="D167" s="35"/>
      </tp>
      <tp t="s">
        <v>#N/A N/A</v>
        <stp/>
        <stp>##V3_BDPV12</stp>
        <stp>EI5580614@RIAY Corp</stp>
        <stp>DUR_BID</stp>
        <stp>[GestionvXs.xlsm]Spreads!R230C4</stp>
        <tr r="D230" s="35"/>
      </tp>
      <tp t="s">
        <v>#N/A N/A</v>
        <stp/>
        <stp>##V3_BDPV12</stp>
        <stp>EK7475198@RIAY Corp</stp>
        <stp>DUR_BID</stp>
        <stp>[GestionvXs.xlsm]Spreads!R223C4</stp>
        <tr r="D223" s="35"/>
      </tp>
      <tp t="s">
        <v>#N/A N/A</v>
        <stp/>
        <stp>##V3_BDPV12</stp>
        <stp>EH8187443@RIAY Corp</stp>
        <stp>DUR_BID</stp>
        <stp>[GestionvXs.xlsm]Spreads!R257C4</stp>
        <tr r="D257" s="35"/>
      </tp>
      <tp t="s">
        <v>#N/A N/A</v>
        <stp/>
        <stp>##V3_BDPV12</stp>
        <stp>EJ7935319@RIAY Corp</stp>
        <stp>DUR_BID</stp>
        <stp>[GestionvXs.xlsm]Spreads!R146C4</stp>
        <tr r="D146" s="35"/>
      </tp>
      <tp t="s">
        <v>#N/A Real Time</v>
        <stp/>
        <stp>##V3_BDPV12</stp>
        <stp>EK822301@RIAY Corp</stp>
        <stp>BID_YIELD</stp>
        <stp>[GestionvXs.xlsm]Spreads!R167C5</stp>
        <tr r="E167" s="35"/>
      </tp>
      <tp t="s">
        <v>#N/A Real Time</v>
        <stp/>
        <stp>##V3_BDPV12</stp>
        <stp>EK038582@RIAY Corp</stp>
        <stp>BID_YIELD</stp>
        <stp>[GestionvXs.xlsm]Spreads!R231C5</stp>
        <tr r="E231" s="35"/>
      </tp>
      <tp t="s">
        <v>#N/A Real Time</v>
        <stp/>
        <stp>##V3_BDPV12</stp>
        <stp>EJ785184@RIAY Corp</stp>
        <stp>BID_YIELD</stp>
        <stp>[GestionvXs.xlsm]Spreads!R154C5</stp>
        <tr r="E154" s="35"/>
      </tp>
      <tp t="s">
        <v>#N/A Real Time</v>
        <stp/>
        <stp>##V3_BDPV12</stp>
        <stp>EJ793561@RIAY Corp</stp>
        <stp>BID_YIELD</stp>
        <stp>[GestionvXs.xlsm]Spreads!R130C5</stp>
        <tr r="E130" s="35"/>
      </tp>
      <tp t="s">
        <v>#N/A Real Time</v>
        <stp/>
        <stp>##V3_BDPV12</stp>
        <stp>EJ492741@RIAY Corp</stp>
        <stp>BID_YIELD</stp>
        <stp>[GestionvXs.xlsm]Spreads!R202C5</stp>
        <tr r="E202" s="35"/>
      </tp>
      <tp t="s">
        <v>#N/A Real Time</v>
        <stp/>
        <stp>##V3_BDPV12</stp>
        <stp>EK993293@RIAY Corp</stp>
        <stp>BID_YIELD</stp>
        <stp>[GestionvXs.xlsm]Spreads!R166C5</stp>
        <tr r="E166" s="35"/>
      </tp>
      <tp t="s">
        <v>#N/A Real Time</v>
        <stp/>
        <stp>##V3_BDPV12</stp>
        <stp>EK722642@RIAY Corp</stp>
        <stp>BID_YIELD</stp>
        <stp>[GestionvXs.xlsm]Spreads!R142C5</stp>
        <tr r="E142" s="35"/>
      </tp>
      <tp t="s">
        <v>#N/A Real Time</v>
        <stp/>
        <stp>##V3_BDPV12</stp>
        <stp>EK436073@RIAY Corp</stp>
        <stp>BID_YIELD</stp>
        <stp>[GestionvXs.xlsm]Spreads!R274C5</stp>
        <tr r="E274" s="35"/>
      </tp>
      <tp t="s">
        <v>#N/A Real Time</v>
        <stp/>
        <stp>##V3_BDPV12</stp>
        <stp>EK730138@RIAY Corp</stp>
        <stp>BID_YIELD</stp>
        <stp>[GestionvXs.xlsm]Spreads!R165C5</stp>
        <tr r="E165" s="35"/>
      </tp>
      <tp t="s">
        <v>#N/A Real Time</v>
        <stp/>
        <stp>##V3_BDPV12</stp>
        <stp>EK738439@RIAY Corp</stp>
        <stp>BID_YIELD</stp>
        <stp>[GestionvXs.xlsm]Spreads!R140C5</stp>
        <tr r="E140" s="35"/>
      </tp>
      <tp t="s">
        <v>#N/A Real Time</v>
        <stp/>
        <stp>##V3_BDPV12</stp>
        <stp>JK352673@RIAY Corp</stp>
        <stp>BID_YIELD</stp>
        <stp>[GestionvXs.xlsm]Spreads!R112C5</stp>
        <tr r="E112" s="35"/>
      </tp>
      <tp t="s">
        <v>#N/A Real Time</v>
        <stp/>
        <stp>##V3_BDPV12</stp>
        <stp>EK492137@RIAY Corp</stp>
        <stp>BID_YIELD</stp>
        <stp>[GestionvXs.xlsm]Spreads!R105C5</stp>
        <tr r="E105" s="35"/>
      </tp>
      <tp t="s">
        <v>#N/A Real Time</v>
        <stp/>
        <stp>##V3_BDPV12</stp>
        <stp>EK729118@RIAY Corp</stp>
        <stp>BID_YIELD</stp>
        <stp>[GestionvXs.xlsm]Spreads!R215C5</stp>
        <tr r="E215" s="35"/>
      </tp>
      <tp t="s">
        <v>#N/A Real Time</v>
        <stp/>
        <stp>##V3_BDPV12</stp>
        <stp>EC238623@RIAY Corp</stp>
        <stp>BID_YIELD</stp>
        <stp>[GestionvXs.xlsm]Spreads!R91C5</stp>
        <tr r="E91" s="35"/>
      </tp>
      <tp t="s">
        <v>#N/A Real Time</v>
        <stp/>
        <stp>##V3_BDPV12</stp>
        <stp>EI711982@RIAY Corp</stp>
        <stp>BID_YIELD</stp>
        <stp>[GestionvXs.xlsm]Spreads!R88C5</stp>
        <tr r="E88" s="35"/>
      </tp>
      <tp t="s">
        <v>#N/A N/A</v>
        <stp/>
        <stp>##V3_BDPV12</stp>
        <stp>EK7691497@RIAY Corp</stp>
        <stp>DUR_BID</stp>
        <stp>[GestionvXs.xlsm]Spreads!R47C4</stp>
        <tr r="D47" s="35"/>
      </tp>
      <tp t="s">
        <v>#N/A Real Time</v>
        <stp/>
        <stp>##V3_BDPV12</stp>
        <stp>EK721820@RIAY Corp</stp>
        <stp>BID_YIELD</stp>
        <stp>[GestionvXs.xlsm]Spreads!R28C5</stp>
        <tr r="E28" s="35"/>
      </tp>
      <tp t="s">
        <v>#N/A N/A</v>
        <stp/>
        <stp>##V3_BDPV12</stp>
        <stp>AL9559181@RIAY Corp</stp>
        <stp>DUR_BID</stp>
        <stp>[GestionvXs.xlsm]Spreads!R85C4</stp>
        <tr r="D85" s="35"/>
      </tp>
      <tp t="s">
        <v>#N/A N/A</v>
        <stp/>
        <stp>##V3_BDPV12</stp>
        <stp>EJ0979017@RIAY Corp</stp>
        <stp>DUR_BID</stp>
        <stp>[GestionvXs.xlsm]Spreads!R30C4</stp>
        <tr r="D30" s="35"/>
      </tp>
      <tp t="s">
        <v>#N/A N/A</v>
        <stp/>
        <stp>##V3_BDPV12</stp>
        <stp>EK7226120@RIAY Corp</stp>
        <stp>DUR_BID</stp>
        <stp>[GestionvXs.xlsm]Spreads!R78C4</stp>
        <tr r="D78" s="35"/>
      </tp>
      <tp t="s">
        <v>#N/A N/A</v>
        <stp/>
        <stp>##V3_BDPV12</stp>
        <stp>EJ4922310@RIAY Corp</stp>
        <stp>DUR_BID</stp>
        <stp>[GestionvXs.xlsm]Spreads!R70C4</stp>
        <tr r="D70" s="35"/>
      </tp>
      <tp t="s">
        <v>#N/A Real Time</v>
        <stp/>
        <stp>##V3_BDPV12</stp>
        <stp>AL149331@RIAY Corp</stp>
        <stp>BID_YIELD</stp>
        <stp>[GestionvXs.xlsm]Spreads!R64C5</stp>
        <tr r="E64" s="35"/>
      </tp>
      <tp t="s">
        <v>#N/A Real Time</v>
        <stp/>
        <stp>##V3_BDPV12</stp>
        <stp>EC238831@RIAY Corp</stp>
        <stp>BID_YIELD</stp>
        <stp>[GestionvXs.xlsm]Spreads!R81C5</stp>
        <tr r="E81" s="35"/>
      </tp>
      <tp t="s">
        <v>#N/A N/A</v>
        <stp/>
        <stp>##V3_BDPV12</stp>
        <stp>EH3419262@RIAY Corp</stp>
        <stp>DUR_BID</stp>
        <stp>[GestionvXs.xlsm]Spreads!R150C4</stp>
        <tr r="D150" s="35"/>
      </tp>
      <tp t="s">
        <v>#N/A N/A</v>
        <stp/>
        <stp>##V3_BDPV12</stp>
        <stp>EK7301386@RIAY Corp</stp>
        <stp>DUR_BID</stp>
        <stp>[GestionvXs.xlsm]Spreads!R165C4</stp>
        <tr r="D165" s="35"/>
      </tp>
      <tp t="s">
        <v>#N/A N/A</v>
        <stp/>
        <stp>##V3_BDPV12</stp>
        <stp>EK6671672@RIAY Corp</stp>
        <stp>DUR_BID</stp>
        <stp>[GestionvXs.xlsm]Spreads!R126C4</stp>
        <tr r="D126" s="35"/>
      </tp>
      <tp t="s">
        <v>#N/A N/A</v>
        <stp/>
        <stp>##V3_BDPV12</stp>
        <stp>EI6581959@RIAY Corp</stp>
        <stp>DUR_BID</stp>
        <stp>[GestionvXs.xlsm]Spreads!R252C4</stp>
        <tr r="D252" s="35"/>
      </tp>
      <tp t="s">
        <v>#N/A N/A</v>
        <stp/>
        <stp>##V3_BDPV12</stp>
        <stp>EJ0065270@RIAY Corp</stp>
        <stp>DUR_BID</stp>
        <stp>[GestionvXs.xlsm]Spreads!R185C4</stp>
        <tr r="D185" s="35"/>
      </tp>
      <tp t="s">
        <v>#N/A N/A</v>
        <stp/>
        <stp>##V3_BDPV12</stp>
        <stp>EK3066140@RIAY Corp</stp>
        <stp>DUR_BID</stp>
        <stp>[GestionvXs.xlsm]Spreads!R245C4</stp>
        <tr r="D245" s="35"/>
      </tp>
      <tp t="s">
        <v>EK6287115</v>
        <stp/>
        <stp>##V3_BDPV12</stp>
        <stp>BSOND-E Corp</stp>
        <stp>ID_CUSIP</stp>
        <stp>[GestionvXs.xlsm]Spreads!R89C2</stp>
        <tr r="B89" s="35"/>
      </tp>
      <tp t="s">
        <v>#N/A Real Time</v>
        <stp/>
        <stp>##V3_BDPV12</stp>
        <stp>EC175887@RIAY Corp</stp>
        <stp>BID_YIELD</stp>
        <stp>[GestionvXs.xlsm]Spreads!R115C5</stp>
        <tr r="E115" s="35"/>
      </tp>
      <tp t="s">
        <v>#N/A Real Time</v>
        <stp/>
        <stp>##V3_BDPV12</stp>
        <stp>EH859107@RIAY Corp</stp>
        <stp>BID_YIELD</stp>
        <stp>[GestionvXs.xlsm]Spreads!R227C5</stp>
        <tr r="E227" s="35"/>
      </tp>
      <tp t="s">
        <v>#N/A Real Time</v>
        <stp/>
        <stp>##V3_BDPV12</stp>
        <stp>EK815126@RIAY Corp</stp>
        <stp>BID_YIELD</stp>
        <stp>[GestionvXs.xlsm]Spreads!R234C5</stp>
        <tr r="E234" s="35"/>
      </tp>
      <tp t="s">
        <v>#N/A Real Time</v>
        <stp/>
        <stp>##V3_BDPV12</stp>
        <stp>EI560086@RIAY Corp</stp>
        <stp>BID_YIELD</stp>
        <stp>[GestionvXs.xlsm]Spreads!R127C5</stp>
        <tr r="E127" s="35"/>
      </tp>
      <tp t="s">
        <v>#N/A Real Time</v>
        <stp/>
        <stp>##V3_BDPV12</stp>
        <stp>EK735589@RIAY Corp</stp>
        <stp>BID_YIELD</stp>
        <stp>[GestionvXs.xlsm]Spreads!R220C5</stp>
        <tr r="E220" s="35"/>
      </tp>
      <tp t="s">
        <v>#N/A Real Time</v>
        <stp/>
        <stp>##V3_BDPV12</stp>
        <stp>EK748089@RIAY Corp</stp>
        <stp>BID_YIELD</stp>
        <stp>[GestionvXs.xlsm]Spreads!R195C5</stp>
        <tr r="E195" s="35"/>
      </tp>
      <tp t="s">
        <v>#N/A Real Time</v>
        <stp/>
        <stp>##V3_BDPV12</stp>
        <stp>EJ669394@RIAY Corp</stp>
        <stp>BID_YIELD</stp>
        <stp>[GestionvXs.xlsm]Spreads!R217C5</stp>
        <tr r="E217" s="35"/>
      </tp>
      <tp t="s">
        <v>#N/A Real Time</v>
        <stp/>
        <stp>##V3_BDPV12</stp>
        <stp>EI721681@RIAY Corp</stp>
        <stp>BID_YIELD</stp>
        <stp>[GestionvXs.xlsm]Spreads!R261C5</stp>
        <tr r="E261" s="35"/>
      </tp>
      <tp t="s">
        <v>#N/A Real Time</v>
        <stp/>
        <stp>##V3_BDPV12</stp>
        <stp>EK660590@RIAY Corp</stp>
        <stp>BID_YIELD</stp>
        <stp>[GestionvXs.xlsm]Spreads!R270C5</stp>
        <tr r="E270" s="35"/>
      </tp>
      <tp t="s">
        <v>#N/A Real Time</v>
        <stp/>
        <stp>##V3_BDPV12</stp>
        <stp>EK724133@RIAY Corp</stp>
        <stp>BID_YIELD</stp>
        <stp>[GestionvXs.xlsm]Spreads!R184C5</stp>
        <tr r="E184" s="35"/>
      </tp>
      <tp t="s">
        <v>#N/A Real Time</v>
        <stp/>
        <stp>##V3_BDPV12</stp>
        <stp>EG526914@RIAY Corp</stp>
        <stp>BID_YIELD</stp>
        <stp>[GestionvXs.xlsm]Spreads!R200C5</stp>
        <tr r="E200" s="35"/>
      </tp>
      <tp t="s">
        <v>#N/A Real Time</v>
        <stp/>
        <stp>##V3_BDPV12</stp>
        <stp>EI755609@RIAY Corp</stp>
        <stp>BID_YIELD</stp>
        <stp>[GestionvXs.xlsm]Spreads!R181C5</stp>
        <tr r="E181" s="35"/>
      </tp>
      <tp t="s">
        <v>#N/A Real Time</v>
        <stp/>
        <stp>##V3_BDPV12</stp>
        <stp>EI672417@RIAY Corp</stp>
        <stp>BID_YIELD</stp>
        <stp>[GestionvXs.xlsm]Spreads!R183C5</stp>
        <tr r="E183" s="35"/>
      </tp>
      <tp t="s">
        <v>#N/A Real Time</v>
        <stp/>
        <stp>##V3_BDPV12</stp>
        <stp>EC316957@RIAY Corp</stp>
        <stp>BID_YIELD</stp>
        <stp>[GestionvXs.xlsm]Spreads!R254C5</stp>
        <tr r="E254" s="35"/>
      </tp>
      <tp t="s">
        <v>#N/A Real Time</v>
        <stp/>
        <stp>##V3_BDPV12</stp>
        <stp>EK766312@RIAY Corp</stp>
        <stp>BID_YIELD</stp>
        <stp>[GestionvXs.xlsm]Spreads!R226C5</stp>
        <tr r="E226" s="35"/>
      </tp>
      <tp t="s">
        <v>#N/A N/A</v>
        <stp/>
        <stp>##V3_BDPV12</stp>
        <stp>EK3838712@RIAY Corp</stp>
        <stp>DUR_BID</stp>
        <stp>[GestionvXs.xlsm]Spreads!R40C4</stp>
        <tr r="D40" s="35"/>
      </tp>
      <tp t="s">
        <v>#N/A N/A</v>
        <stp/>
        <stp>##V3_BDPV12</stp>
        <stp>EH7827973@RIAY Corp</stp>
        <stp>DUR_BID</stp>
        <stp>[GestionvXs.xlsm]Spreads!R26C4</stp>
        <tr r="D26" s="35"/>
      </tp>
      <tp t="s">
        <v>#N/A N/A</v>
        <stp/>
        <stp>##V3_BDPV12</stp>
        <stp>EI6727891@RIAY Corp</stp>
        <stp>DUR_BID</stp>
        <stp>[GestionvXs.xlsm]Spreads!R77C4</stp>
        <tr r="D77" s="35"/>
      </tp>
      <tp t="s">
        <v>#N/A N/A</v>
        <stp/>
        <stp>##V3_BDPV12</stp>
        <stp>EI8263325@RIAY Corp</stp>
        <stp>DUR_BID</stp>
        <stp>[GestionvXs.xlsm]Spreads!R19C4</stp>
        <tr r="D19" s="35"/>
      </tp>
      <tp t="s">
        <v>#N/A N/A</v>
        <stp/>
        <stp>##V3_BDPV12</stp>
        <stp>EG3493533@RIAY Corp</stp>
        <stp>DUR_BID</stp>
        <stp>[GestionvXs.xlsm]Spreads!R138C4</stp>
        <tr r="D138" s="35"/>
      </tp>
      <tp t="s">
        <v>#N/A N/A</v>
        <stp/>
        <stp>##V3_BDPV12</stp>
        <stp>EC4898648@RIAY Corp</stp>
        <stp>DUR_BID</stp>
        <stp>[GestionvXs.xlsm]Spreads!R133C4</stp>
        <tr r="D133" s="35"/>
      </tp>
      <tp t="s">
        <v>#N/A N/A</v>
        <stp/>
        <stp>##V3_BDPV12</stp>
        <stp>EK7653505@RIAY Corp</stp>
        <stp>DUR_BID</stp>
        <stp>[GestionvXs.xlsm]Spreads!R172C4</stp>
        <tr r="D172" s="35"/>
      </tp>
      <tp t="s">
        <v>#N/A N/A</v>
        <stp/>
        <stp>##V3_BDPV12</stp>
        <stp>EK7532840@RIAY Corp</stp>
        <stp>DUR_BID</stp>
        <stp>[GestionvXs.xlsm]Spreads!R221C4</stp>
        <tr r="D221" s="35"/>
      </tp>
      <tp t="s">
        <v>#N/A N/A</v>
        <stp/>
        <stp>##V3_BDPV12</stp>
        <stp>EJ6213007@RIAY Corp</stp>
        <stp>DUR_BID</stp>
        <stp>[GestionvXs.xlsm]Spreads!R194C4</stp>
        <tr r="D194" s="35"/>
      </tp>
      <tp t="s">
        <v>#N/A N/A</v>
        <stp/>
        <stp>##V3_BDPV12</stp>
        <stp>EK6605902@RIAY Corp</stp>
        <stp>DUR_BID</stp>
        <stp>[GestionvXs.xlsm]Spreads!R270C4</stp>
        <tr r="D270" s="35"/>
      </tp>
      <tp t="s">
        <v>#N/A N/A</v>
        <stp/>
        <stp>##V3_BDPV12</stp>
        <stp>EI7217694@RIAY Corp</stp>
        <stp>DUR_BID</stp>
        <stp>[GestionvXs.xlsm]Spreads!R117C4</stp>
        <tr r="D117" s="35"/>
      </tp>
      <tp t="s">
        <v>#N/A N/A</v>
        <stp/>
        <stp>##V3_BDPV12</stp>
        <stp>EH8327494@RIAY Corp</stp>
        <stp>DUR_BID</stp>
        <stp>[GestionvXs.xlsm]Spreads!R164C4</stp>
        <tr r="D164" s="35"/>
      </tp>
      <tp>
        <v>637.46</v>
        <stp/>
        <stp>##V3_BDPV12</stp>
        <stp>CLP Curncy</stp>
        <stp>PX_LAST</stp>
        <stp>[GestionvXs.xlsm]Inicio!R16C7</stp>
        <tr r="G16" s="12"/>
      </tp>
      <tp t="s">
        <v>#N/A Real Time</v>
        <stp/>
        <stp>##V3_BDPV12</stp>
        <stp>EJ800509@RIAY Corp</stp>
        <stp>BID_YIELD</stp>
        <stp>[GestionvXs.xlsm]Spreads!R222C5</stp>
        <tr r="E222" s="35"/>
      </tp>
      <tp t="s">
        <v>#N/A Real Time</v>
        <stp/>
        <stp>##V3_BDPV12</stp>
        <stp>EK825543@RIAY Corp</stp>
        <stp>BID_YIELD</stp>
        <stp>[GestionvXs.xlsm]Spreads!R283C5</stp>
        <tr r="E283" s="35"/>
      </tp>
      <tp t="s">
        <v>#N/A Real Time</v>
        <stp/>
        <stp>##V3_BDPV12</stp>
        <stp>EI722289@RIAY Corp</stp>
        <stp>BID_YIELD</stp>
        <stp>[GestionvXs.xlsm]Spreads!R186C5</stp>
        <tr r="E186" s="35"/>
      </tp>
      <tp t="s">
        <v>#N/A Real Time</v>
        <stp/>
        <stp>##V3_BDPV12</stp>
        <stp>EI848574@RIAY Corp</stp>
        <stp>BID_YIELD</stp>
        <stp>[GestionvXs.xlsm]Spreads!R191C5</stp>
        <tr r="E191" s="35"/>
      </tp>
      <tp t="s">
        <v>#N/A Real Time</v>
        <stp/>
        <stp>##V3_BDPV12</stp>
        <stp>EH860672@RIAY Corp</stp>
        <stp>BID_YIELD</stp>
        <stp>[GestionvXs.xlsm]Spreads!R163C5</stp>
        <tr r="E163" s="35"/>
      </tp>
      <tp t="s">
        <v>#N/A Real Time</v>
        <stp/>
        <stp>##V3_BDPV12</stp>
        <stp>EH855765@RIAY Corp</stp>
        <stp>BID_YIELD</stp>
        <stp>[GestionvXs.xlsm]Spreads!R162C5</stp>
        <tr r="E162" s="35"/>
      </tp>
      <tp t="s">
        <v>#N/A Real Time</v>
        <stp/>
        <stp>##V3_BDPV12</stp>
        <stp>EK001010@RIAY Corp</stp>
        <stp>BID_YIELD</stp>
        <stp>[GestionvXs.xlsm]Spreads!R246C5</stp>
        <tr r="E246" s="35"/>
      </tp>
      <tp t="s">
        <v>#N/A Real Time</v>
        <stp/>
        <stp>##V3_BDPV12</stp>
        <stp>EK395033@RIAY Corp</stp>
        <stp>BID_YIELD</stp>
        <stp>[GestionvXs.xlsm]Spreads!R206C5</stp>
        <tr r="E206" s="35"/>
      </tp>
      <tp t="s">
        <v>#N/A Real Time</v>
        <stp/>
        <stp>##V3_BDPV12</stp>
        <stp>EI716749@RIAY Corp</stp>
        <stp>BID_YIELD</stp>
        <stp>[GestionvXs.xlsm]Spreads!R193C5</stp>
        <tr r="E193" s="35"/>
      </tp>
      <tp t="s">
        <v>#N/A Real Time</v>
        <stp/>
        <stp>##V3_BDPV12</stp>
        <stp>EK748047@RIAY Corp</stp>
        <stp>BID_YIELD</stp>
        <stp>[GestionvXs.xlsm]Spreads!R156C5</stp>
        <tr r="E156" s="35"/>
      </tp>
      <tp t="s">
        <v>#N/A Real Time</v>
        <stp/>
        <stp>##V3_BDPV12</stp>
        <stp>EI750241@RIAY Corp</stp>
        <stp>BID_YIELD</stp>
        <stp>[GestionvXs.xlsm]Spreads!R106C5</stp>
        <tr r="E106" s="35"/>
      </tp>
      <tp t="s">
        <v>#N/A Real Time</v>
        <stp/>
        <stp>##V3_BDPV12</stp>
        <stp>AM182945@RIAY Corp</stp>
        <stp>BID_YIELD</stp>
        <stp>[GestionvXs.xlsm]Spreads!R209C5</stp>
        <tr r="E209" s="35"/>
      </tp>
      <tp t="s">
        <v>#N/A Real Time</v>
        <stp/>
        <stp>##V3_BDPV12</stp>
        <stp>EK385578@RIAY Corp</stp>
        <stp>BID_YIELD</stp>
        <stp>[GestionvXs.xlsm]Spreads!R273C5</stp>
        <tr r="E273" s="35"/>
      </tp>
      <tp t="s">
        <v>#N/A Real Time</v>
        <stp/>
        <stp>##V3_BDPV12</stp>
        <stp>EI671021@RIAY Corp</stp>
        <stp>BID_YIELD</stp>
        <stp>[GestionvXs.xlsm]Spreads!R244C5</stp>
        <tr r="E244" s="35"/>
      </tp>
      <tp t="s">
        <v>#N/A Real Time</v>
        <stp/>
        <stp>##V3_BDPV12</stp>
        <stp>AM090777@RIAY Corp</stp>
        <stp>BID_YIELD</stp>
        <stp>[GestionvXs.xlsm]Spreads!R187C5</stp>
        <tr r="E187" s="35"/>
      </tp>
      <tp t="s">
        <v>#N/A Real Time</v>
        <stp/>
        <stp>##V3_BDPV12</stp>
        <stp>EK747519@RIAY Corp</stp>
        <stp>BID_YIELD</stp>
        <stp>[GestionvXs.xlsm]Spreads!R223C5</stp>
        <tr r="E223" s="35"/>
      </tp>
      <tp t="s">
        <v>#N/A Real Time</v>
        <stp/>
        <stp>##V3_BDPV12</stp>
        <stp>EJ621300@RIAY Corp</stp>
        <stp>BID_YIELD</stp>
        <stp>[GestionvXs.xlsm]Spreads!R194C5</stp>
        <tr r="E194" s="35"/>
      </tp>
      <tp t="s">
        <v>#N/A Real Time</v>
        <stp/>
        <stp>##V3_BDPV12</stp>
        <stp>LW793968@RIAY Corp</stp>
        <stp>BID_YIELD</stp>
        <stp>[GestionvXs.xlsm]Spreads!R61C5</stp>
        <tr r="E61" s="35"/>
      </tp>
      <tp t="s">
        <v>#N/A N/A</v>
        <stp/>
        <stp>##V3_BDPV12</stp>
        <stp>EK6287115@RIAY Corp</stp>
        <stp>DUR_BID</stp>
        <stp>[GestionvXs.xlsm]Spreads!R89C4</stp>
        <tr r="D89" s="35"/>
      </tp>
      <tp t="s">
        <v>#N/A N/A</v>
        <stp/>
        <stp>##V3_BDPV12</stp>
        <stp>EK7218200@RIAY Corp</stp>
        <stp>DUR_BID</stp>
        <stp>[GestionvXs.xlsm]Spreads!R28C4</stp>
        <tr r="D28" s="35"/>
      </tp>
      <tp t="s">
        <v>#N/A Real Time</v>
        <stp/>
        <stp>##V3_BDPV12</stp>
        <stp>EH863582@RIAY Corp</stp>
        <stp>BID_YIELD</stp>
        <stp>[GestionvXs.xlsm]Spreads!R38C5</stp>
        <tr r="E38" s="35"/>
      </tp>
      <tp t="s">
        <v>#N/A N/A</v>
        <stp/>
        <stp>##V3_BDPV12</stp>
        <stp>EK7508782@RIAY Corp</stp>
        <stp>DUR_BID</stp>
        <stp>[GestionvXs.xlsm]Spreads!R87C4</stp>
        <tr r="D87" s="35"/>
      </tp>
      <tp t="s">
        <v>#N/A N/A</v>
        <stp/>
        <stp>##V3_BDPV12</stp>
        <stp>EK7248116@RIAY Corp</stp>
        <stp>DUR_BID</stp>
        <stp>[GestionvXs.xlsm]Spreads!R79C4</stp>
        <tr r="D79" s="35"/>
      </tp>
      <tp t="s">
        <v>#N/A N/A</v>
        <stp/>
        <stp>##V3_BDPV12</stp>
        <stp>EI5956970@RIAY Corp</stp>
        <stp>DUR_BID</stp>
        <stp>[GestionvXs.xlsm]Spreads!R14C4</stp>
        <tr r="D14" s="35"/>
      </tp>
      <tp t="s">
        <v>#N/A N/A</v>
        <stp/>
        <stp>##V3_BDPV12</stp>
        <stp>EK4748993@RIAY Corp</stp>
        <stp>DUR_BID</stp>
        <stp>[GestionvXs.xlsm]Spreads!R74C4</stp>
        <tr r="D74" s="35"/>
      </tp>
      <tp t="s">
        <v>#N/A N/A</v>
        <stp/>
        <stp>##V3_BDPV12</stp>
        <stp>EJ7641883@RIAY Corp</stp>
        <stp>DUR_BID</stp>
        <stp>[GestionvXs.xlsm]Spreads!R54C4</stp>
        <tr r="D54" s="35"/>
      </tp>
      <tp t="s">
        <v>#N/A N/A</v>
        <stp/>
        <stp>##V3_BDPV12</stp>
        <stp>EJ0978415@RIAY Corp</stp>
        <stp>DUR_BID</stp>
        <stp>[GestionvXs.xlsm]Spreads!R203C4</stp>
        <tr r="D203" s="35"/>
      </tp>
      <tp t="s">
        <v>#N/A N/A</v>
        <stp/>
        <stp>##V3_BDPV12</stp>
        <stp>EG6124150@RIAY Corp</stp>
        <stp>DUR_BID</stp>
        <stp>[GestionvXs.xlsm]Spreads!R253C4</stp>
        <tr r="D253" s="35"/>
      </tp>
      <tp t="s">
        <v>#N/A N/A</v>
        <stp/>
        <stp>##V3_BDPV12</stp>
        <stp>EK3298768@RIAY Corp</stp>
        <stp>DUR_BID</stp>
        <stp>[GestionvXs.xlsm]Spreads!R160C4</stp>
        <tr r="D160" s="35"/>
      </tp>
      <tp t="s">
        <v>#N/A N/A</v>
        <stp/>
        <stp>##V3_BDPV12</stp>
        <stp>EI3239981@RIAY Corp</stp>
        <stp>DUR_BID</stp>
        <stp>[GestionvXs.xlsm]Spreads!R263C4</stp>
        <tr r="D263" s="35"/>
      </tp>
      <tp t="s">
        <v>#N/A N/A</v>
        <stp/>
        <stp>##V3_BDPV12</stp>
        <stp>EK4921376@RIAY Corp</stp>
        <stp>DUR_BID</stp>
        <stp>[GestionvXs.xlsm]Spreads!R105C4</stp>
        <tr r="D105" s="35"/>
      </tp>
      <tp t="s">
        <v>#N/A N/A</v>
        <stp/>
        <stp>##V3_BDPV12</stp>
        <stp>EK7480230@RIAY Corp</stp>
        <stp>DUR_BID</stp>
        <stp>[GestionvXs.xlsm]Spreads!R149C4</stp>
        <tr r="D149" s="35"/>
      </tp>
      <tp t="s">
        <v>#N/A N/A</v>
        <stp/>
        <stp>##V3_BDPV12</stp>
        <stp>EG5269147@RIAY Corp</stp>
        <stp>DUR_BID</stp>
        <stp>[GestionvXs.xlsm]Spreads!R200C4</stp>
        <tr r="D200" s="35"/>
      </tp>
      <tp t="s">
        <v>#N/A N/A</v>
        <stp/>
        <stp>##V3_BDPV12</stp>
        <stp>EK4875432@RIAY Corp</stp>
        <stp>DUR_BID</stp>
        <stp>[GestionvXs.xlsm]Spreads!R134C4</stp>
        <tr r="D134" s="35"/>
      </tp>
      <tp t="s">
        <v>#N/A N/A</v>
        <stp/>
        <stp>##V3_BDPV12</stp>
        <stp>EI7216811@RIAY Corp</stp>
        <stp>DUR_BID</stp>
        <stp>[GestionvXs.xlsm]Spreads!R261C4</stp>
        <tr r="D261" s="35"/>
      </tp>
      <tp t="s">
        <v>#N/A N/A</v>
        <stp/>
        <stp>##V3_BDPV12</stp>
        <stp>EJ6515997@RIAY Corp</stp>
        <stp>DUR_BID</stp>
        <stp>[GestionvXs.xlsm]Spreads!R237C4</stp>
        <tr r="D237" s="35"/>
      </tp>
      <tp t="s">
        <v>#N/A N/A</v>
        <stp/>
        <stp>##V3_BDPV12</stp>
        <stp>EK7226666@RIAY Corp</stp>
        <stp>DUR_BID</stp>
        <stp>[GestionvXs.xlsm]Spreads!R155C4</stp>
        <tr r="D155" s="35"/>
      </tp>
      <tp t="s">
        <v>#N/A Real Time</v>
        <stp/>
        <stp>##V3_BDPV12</stp>
        <stp>EJ713793@RIAY Corp</stp>
        <stp>BID_YIELD</stp>
        <stp>[GestionvXs.xlsm]Spreads!R161C5</stp>
        <tr r="E161" s="35"/>
      </tp>
      <tp t="s">
        <v>#N/A Real Time</v>
        <stp/>
        <stp>##V3_BDPV12</stp>
        <stp>EF757362@RIAY Corp</stp>
        <stp>BID_YIELD</stp>
        <stp>[GestionvXs.xlsm]Spreads!R199C5</stp>
        <tr r="E199" s="35"/>
      </tp>
      <tp t="s">
        <v>#N/A Real Time</v>
        <stp/>
        <stp>##V3_BDPV12</stp>
        <stp>EK667167@RIAY Corp</stp>
        <stp>BID_YIELD</stp>
        <stp>[GestionvXs.xlsm]Spreads!R126C5</stp>
        <tr r="E126" s="35"/>
      </tp>
      <tp t="s">
        <v>#N/A Real Time</v>
        <stp/>
        <stp>##V3_BDPV12</stp>
        <stp>EI060247@RIAY Corp</stp>
        <stp>BID_YIELD</stp>
        <stp>[GestionvXs.xlsm]Spreads!R177C5</stp>
        <tr r="E177" s="35"/>
      </tp>
      <tp t="s">
        <v>#N/A Real Time</v>
        <stp/>
        <stp>##V3_BDPV12</stp>
        <stp>EK753104@RIAY Corp</stp>
        <stp>BID_YIELD</stp>
        <stp>[GestionvXs.xlsm]Spreads!R256C5</stp>
        <tr r="E256" s="35"/>
      </tp>
      <tp t="s">
        <v>#N/A Real Time</v>
        <stp/>
        <stp>##V3_BDPV12</stp>
        <stp>EK766300@RIAY Corp</stp>
        <stp>BID_YIELD</stp>
        <stp>[GestionvXs.xlsm]Spreads!R204C5</stp>
        <tr r="E204" s="35"/>
      </tp>
      <tp t="s">
        <v>#N/A Real Time</v>
        <stp/>
        <stp>##V3_BDPV12</stp>
        <stp>EK748011@RIAY Corp</stp>
        <stp>BID_YIELD</stp>
        <stp>[GestionvXs.xlsm]Spreads!R197C5</stp>
        <tr r="E197" s="35"/>
      </tp>
      <tp t="s">
        <v>#N/A Real Time</v>
        <stp/>
        <stp>##V3_BDPV12</stp>
        <stp>EG349353@RIAY Corp</stp>
        <stp>BID_YIELD</stp>
        <stp>[GestionvXs.xlsm]Spreads!R138C5</stp>
        <tr r="E138" s="35"/>
      </tp>
      <tp t="s">
        <v>#N/A Real Time</v>
        <stp/>
        <stp>##V3_BDPV12</stp>
        <stp>LW316109@RIAY Corp</stp>
        <stp>BID_YIELD</stp>
        <stp>[GestionvXs.xlsm]Spreads!R95C5</stp>
        <tr r="E95" s="35"/>
      </tp>
      <tp t="s">
        <v>#N/A N/A</v>
        <stp/>
        <stp>##V3_BDPV12</stp>
        <stp>QZ6735554@RIAY Corp</stp>
        <stp>DUR_BID</stp>
        <stp>[GestionvXs.xlsm]Spreads!R39C4</stp>
        <tr r="D39" s="35"/>
      </tp>
      <tp t="s">
        <v>#N/A N/A</v>
        <stp/>
        <stp>##V3_BDPV12</stp>
        <stp>EK3109288@RIAY Corp</stp>
        <stp>DUR_BID</stp>
        <stp>[GestionvXs.xlsm]Spreads!R42C4</stp>
        <tr r="D42" s="35"/>
      </tp>
      <tp t="s">
        <v>#N/A N/A</v>
        <stp/>
        <stp>##V3_BDPV12</stp>
        <stp>EJ7884210@RIAY Corp</stp>
        <stp>DUR_BID</stp>
        <stp>[GestionvXs.xlsm]Spreads!R72C4</stp>
        <tr r="D72" s="35"/>
      </tp>
      <tp t="s">
        <v>#N/A N/A</v>
        <stp/>
        <stp>##V3_BDPV12</stp>
        <stp>EJ6693695@RIAY Corp</stp>
        <stp>DUR_BID</stp>
        <stp>[GestionvXs.xlsm]Spreads!R84C4</stp>
        <tr r="D84" s="35"/>
      </tp>
      <tp t="s">
        <v>#N/A Real Time</v>
        <stp/>
        <stp>##V3_BDPV12</stp>
        <stp>EJ669679@RIAY Corp</stp>
        <stp>BID_YIELD</stp>
        <stp>[GestionvXs.xlsm]Spreads!R63C5</stp>
        <tr r="E63" s="35"/>
      </tp>
      <tp t="s">
        <v>#N/A Real Time</v>
        <stp/>
        <stp>##V3_BDPV12</stp>
        <stp>EK483635@RIAY Corp</stp>
        <stp>BID_YIELD</stp>
        <stp>[GestionvXs.xlsm]Spreads!R49C5</stp>
        <tr r="E49" s="35"/>
      </tp>
      <tp t="s">
        <v>#N/A Real Time</v>
        <stp/>
        <stp>##V3_BDPV12</stp>
        <stp>EK722612@RIAY Corp</stp>
        <stp>BID_YIELD</stp>
        <stp>[GestionvXs.xlsm]Spreads!R78C5</stp>
        <tr r="E78" s="35"/>
      </tp>
      <tp t="s">
        <v>#N/A Real Time</v>
        <stp/>
        <stp>##V3_BDPV12</stp>
        <stp>EJ788421@RIAY Corp</stp>
        <stp>BID_YIELD</stp>
        <stp>[GestionvXs.xlsm]Spreads!R72C5</stp>
        <tr r="E72" s="35"/>
      </tp>
      <tp t="s">
        <v>#N/A N/A</v>
        <stp/>
        <stp>##V3_BDPV12</stp>
        <stp>EI7119825@RIAY Corp</stp>
        <stp>DUR_BID</stp>
        <stp>[GestionvXs.xlsm]Spreads!R88C4</stp>
        <tr r="D88" s="35"/>
      </tp>
      <tp t="s">
        <v>#N/A N/A</v>
        <stp/>
        <stp>##V3_BDPV12</stp>
        <stp>EH8369983@RIAY Corp</stp>
        <stp>DUR_BID</stp>
        <stp>[GestionvXs.xlsm]Spreads!R10C4</stp>
        <tr r="D10" s="35"/>
      </tp>
      <tp t="s">
        <v>#N/A Real Time</v>
        <stp/>
        <stp>##V3_BDPV12</stp>
        <stp>EK518115@RIAY Corp</stp>
        <stp>BID_YIELD</stp>
        <stp>[GestionvXs.xlsm]Spreads!R52C5</stp>
        <tr r="E52" s="35"/>
      </tp>
      <tp t="s">
        <v>#N/A Real Time</v>
        <stp/>
        <stp>##V3_BDPV12</stp>
        <stp>EK748077@RIAY Corp</stp>
        <stp>BID_YIELD</stp>
        <stp>[GestionvXs.xlsm]Spreads!R12C5</stp>
        <tr r="E12" s="35"/>
      </tp>
      <tp t="s">
        <v>#N/A N/A</v>
        <stp/>
        <stp>##V3_BDPV12</stp>
        <stp>ED0916350@RIAY Corp</stp>
        <stp>DUR_BID</stp>
        <stp>[GestionvXs.xlsm]Spreads!R141C4</stp>
        <tr r="D141" s="35"/>
      </tp>
      <tp t="s">
        <v>#N/A N/A</v>
        <stp/>
        <stp>##V3_BDPV12</stp>
        <stp>ED1986238@RIAY Corp</stp>
        <stp>DUR_BID</stp>
        <stp>[GestionvXs.xlsm]Spreads!R250C4</stp>
        <tr r="D250" s="35"/>
      </tp>
      <tp t="s">
        <v>#N/A N/A</v>
        <stp/>
        <stp>##V3_BDPV12</stp>
        <stp>EK3838951@RIAY Corp</stp>
        <stp>DUR_BID</stp>
        <stp>[GestionvXs.xlsm]Spreads!R232C4</stp>
        <tr r="D232" s="35"/>
      </tp>
      <tp t="s">
        <v>#N/A N/A</v>
        <stp/>
        <stp>##V3_BDPV12</stp>
        <stp>EG4264057@RIAY Corp</stp>
        <stp>DUR_BID</stp>
        <stp>[GestionvXs.xlsm]Spreads!R201C4</stp>
        <tr r="D201" s="35"/>
      </tp>
      <tp t="s">
        <v>#N/A N/A</v>
        <stp/>
        <stp>##V3_BDPV12</stp>
        <stp>EK7508303@RIAY Corp</stp>
        <stp>DUR_BID</stp>
        <stp>[GestionvXs.xlsm]Spreads!R143C4</stp>
        <tr r="D143" s="35"/>
      </tp>
      <tp t="s">
        <v>#N/A N/A</v>
        <stp/>
        <stp>##V3_BDPV12</stp>
        <stp>EI0719365@RIAY Corp</stp>
        <stp>DUR_BID</stp>
        <stp>[GestionvXs.xlsm]Spreads!R174C4</stp>
        <tr r="D174" s="35"/>
      </tp>
      <tp t="s">
        <v>#N/A N/A</v>
        <stp/>
        <stp>##V3_BDPV12</stp>
        <stp>EK9931313@RIAY Corp</stp>
        <stp>DUR_BID</stp>
        <stp>[GestionvXs.xlsm]Spreads!R110C4</stp>
        <tr r="D110" s="35"/>
      </tp>
      <tp t="s">
        <v>#N/A N/A</v>
        <stp/>
        <stp>##V3_BDPV12</stp>
        <stp>EK3950996@RIAY Corp</stp>
        <stp>DUR_BID</stp>
        <stp>[GestionvXs.xlsm]Spreads!R243C4</stp>
        <tr r="D243" s="35"/>
      </tp>
      <tp t="s">
        <v>#N/A N/A</v>
        <stp/>
        <stp>##V3_BDPV12</stp>
        <stp>EK4360732@RIAY Corp</stp>
        <stp>DUR_BID</stp>
        <stp>[GestionvXs.xlsm]Spreads!R274C4</stp>
        <tr r="D274" s="35"/>
      </tp>
      <tp t="s">
        <v>#N/A N/A</v>
        <stp/>
        <stp>##V3_BDPV12</stp>
        <stp>EI5600867@RIAY Corp</stp>
        <stp>DUR_BID</stp>
        <stp>[GestionvXs.xlsm]Spreads!R127C4</stp>
        <tr r="D127" s="35"/>
      </tp>
      <tp t="s">
        <v>#N/A N/A</v>
        <stp/>
        <stp>##V3_BDPV12</stp>
        <stp>EH3101571@RIAY Corp</stp>
        <stp>DUR_BID</stp>
        <stp>[GestionvXs.xlsm]Spreads!R151C4</stp>
        <tr r="D151" s="35"/>
      </tp>
      <tp t="s">
        <v>#N/A N/A</v>
        <stp/>
        <stp>##V3_BDPV12</stp>
        <stp>EH8606723@RIAY Corp</stp>
        <stp>DUR_BID</stp>
        <stp>[GestionvXs.xlsm]Spreads!R163C4</stp>
        <tr r="D163" s="35"/>
      </tp>
      <tp t="s">
        <v>#N/A N/A</v>
        <stp/>
        <stp>##V3_BDPV12</stp>
        <stp>EK7355895@RIAY Corp</stp>
        <stp>DUR_BID</stp>
        <stp>[GestionvXs.xlsm]Spreads!R220C4</stp>
        <tr r="D220" s="35"/>
      </tp>
      <tp t="s">
        <v>#N/A N/A</v>
        <stp/>
        <stp>##V3_BDPV12</stp>
        <stp>EJ7137932@RIAY Corp</stp>
        <stp>DUR_BID</stp>
        <stp>[GestionvXs.xlsm]Spreads!R161C4</stp>
        <tr r="D161" s="35"/>
      </tp>
      <tp t="s">
        <v>#N/A N/A</v>
        <stp/>
        <stp>##V3_BDPV12</stp>
        <stp>EK3266963@RIAY Corp</stp>
        <stp>DUR_BID</stp>
        <stp>[GestionvXs.xlsm]Spreads!R225C4</stp>
        <tr r="D225" s="35"/>
      </tp>
      <tp t="s">
        <v>#N/A Real Time</v>
        <stp/>
        <stp>##V3_BDPV12</stp>
        <stp>QJ060784@RIAY Corp</stp>
        <stp>BID_YIELD</stp>
        <stp>[GestionvXs.xlsm]Spreads!R176C5</stp>
        <tr r="E176" s="35"/>
      </tp>
      <tp t="s">
        <v>#N/A Real Time</v>
        <stp/>
        <stp>##V3_BDPV12</stp>
        <stp>EH832749@RIAY Corp</stp>
        <stp>BID_YIELD</stp>
        <stp>[GestionvXs.xlsm]Spreads!R164C5</stp>
        <tr r="E164" s="35"/>
      </tp>
      <tp t="s">
        <v>#N/A Real Time</v>
        <stp/>
        <stp>##V3_BDPV12</stp>
        <stp>ED241832@RIAY Corp</stp>
        <stp>BID_YIELD</stp>
        <stp>[GestionvXs.xlsm]Spreads!R137C5</stp>
        <tr r="E137" s="35"/>
      </tp>
      <tp t="s">
        <v>#N/A Real Time</v>
        <stp/>
        <stp>##V3_BDPV12</stp>
        <stp>EK581228@RIAY Corp</stp>
        <stp>BID_YIELD</stp>
        <stp>[GestionvXs.xlsm]Spreads!R272C5</stp>
        <tr r="E272" s="35"/>
      </tp>
      <tp t="s">
        <v>#N/A Real Time</v>
        <stp/>
        <stp>##V3_BDPV12</stp>
        <stp>EK753116@RIAY Corp</stp>
        <stp>BID_YIELD</stp>
        <stp>[GestionvXs.xlsm]Spreads!R171C5</stp>
        <tr r="E171" s="35"/>
      </tp>
      <tp t="s">
        <v>#N/A Real Time</v>
        <stp/>
        <stp>##V3_BDPV12</stp>
        <stp>EH227543@RIAY Corp</stp>
        <stp>BID_YIELD</stp>
        <stp>[GestionvXs.xlsm]Spreads!R216C5</stp>
        <tr r="E216" s="35"/>
      </tp>
      <tp t="s">
        <v>#N/A Real Time</v>
        <stp/>
        <stp>##V3_BDPV12</stp>
        <stp>EK753410@RIAY Corp</stp>
        <stp>BID_YIELD</stp>
        <stp>[GestionvXs.xlsm]Spreads!R214C5</stp>
        <tr r="E214" s="35"/>
      </tp>
      <tp t="s">
        <v>#N/A Real Time</v>
        <stp/>
        <stp>##V3_BDPV12</stp>
        <stp>LW264191@RIAY Corp</stp>
        <stp>BID_YIELD</stp>
        <stp>[GestionvXs.xlsm]Spreads!R60C5</stp>
        <tr r="E60" s="35"/>
      </tp>
      <tp t="s">
        <v>#N/A N/A</v>
        <stp/>
        <stp>##V3_BDPV12</stp>
        <stp>UV8774381@RIAY Corp</stp>
        <stp>DUR_BID</stp>
        <stp>[GestionvXs.xlsm]Spreads!R53C4</stp>
        <tr r="D53" s="35"/>
      </tp>
      <tp t="s">
        <v>#N/A N/A</v>
        <stp/>
        <stp>##V3_BDPV12</stp>
        <stp>EJ6696797@RIAY Corp</stp>
        <stp>DUR_BID</stp>
        <stp>[GestionvXs.xlsm]Spreads!R63C4</stp>
        <tr r="D63" s="35"/>
      </tp>
      <tp t="s">
        <v>#N/A Real Time</v>
        <stp/>
        <stp>##V3_BDPV12</stp>
        <stp>EK724811@RIAY Corp</stp>
        <stp>BID_YIELD</stp>
        <stp>[GestionvXs.xlsm]Spreads!R79C5</stp>
        <tr r="E79" s="35"/>
      </tp>
      <tp t="s">
        <v>#N/A Real Time</v>
        <stp/>
        <stp>##V3_BDPV12</stp>
        <stp>EI755513@RIAY Corp</stp>
        <stp>BID_YIELD</stp>
        <stp>[GestionvXs.xlsm]Spreads!R68C5</stp>
        <tr r="E68" s="35"/>
      </tp>
      <tp t="s">
        <v>#N/A N/A</v>
        <stp/>
        <stp>##V3_BDPV12</stp>
        <stp>EH8635821@RIAY Corp</stp>
        <stp>DUR_BID</stp>
        <stp>[GestionvXs.xlsm]Spreads!R38C4</stp>
        <tr r="D38" s="35"/>
      </tp>
      <tp t="s">
        <v>#N/A N/A</v>
        <stp/>
        <stp>##V3_BDPV12</stp>
        <stp>EK4363975@RIAY Corp</stp>
        <stp>DUR_BID</stp>
        <stp>[GestionvXs.xlsm]Spreads!R48C4</stp>
        <tr r="D48" s="35"/>
      </tp>
      <tp t="s">
        <v>#N/A Real Time</v>
        <stp/>
        <stp>##V3_BDPV12</stp>
        <stp>EK738415@RIAY Corp</stp>
        <stp>BID_YIELD</stp>
        <stp>[GestionvXs.xlsm]Spreads!R75C5</stp>
        <tr r="E75" s="35"/>
      </tp>
      <tp t="s">
        <v>#N/A Real Time</v>
        <stp/>
        <stp>##V3_BDPV12</stp>
        <stp>EJ669369@RIAY Corp</stp>
        <stp>BID_YIELD</stp>
        <stp>[GestionvXs.xlsm]Spreads!R84C5</stp>
        <tr r="E84" s="35"/>
      </tp>
      <tp t="s">
        <v>#N/A Real Time</v>
        <stp/>
        <stp>##V3_BDPV12</stp>
        <stp>EK675121@RIAY Corp</stp>
        <stp>BID_YIELD</stp>
        <stp>[GestionvXs.xlsm]Spreads!R98C5</stp>
        <tr r="E98" s="35"/>
      </tp>
      <tp t="s">
        <v>#N/A N/A</v>
        <stp/>
        <stp>##V3_BDPV12</stp>
        <stp>EC3850442@RIAY Corp</stp>
        <stp>DUR_BID</stp>
        <stp>[GestionvXs.xlsm]Spreads!R180C4</stp>
        <tr r="D180" s="35"/>
      </tp>
      <tp t="s">
        <v>#N/A N/A</v>
        <stp/>
        <stp>##V3_BDPV12</stp>
        <stp>EF0677890@RIAY Corp</stp>
        <stp>DUR_BID</stp>
        <stp>[GestionvXs.xlsm]Spreads!R170C4</stp>
        <tr r="D170" s="35"/>
      </tp>
      <tp t="s">
        <v>#N/A N/A</v>
        <stp/>
        <stp>##V3_BDPV12</stp>
        <stp>EG2040533@RIAY Corp</stp>
        <stp>DUR_BID</stp>
        <stp>[GestionvXs.xlsm]Spreads!R190C4</stp>
        <tr r="D190" s="35"/>
      </tp>
      <tp t="s">
        <v>#N/A N/A</v>
        <stp/>
        <stp>##V3_BDPV12</stp>
        <stp>AL9559454@RIAY Corp</stp>
        <stp>DUR_BID</stp>
        <stp>[GestionvXs.xlsm]Spreads!R282C4</stp>
        <tr r="D282" s="35"/>
      </tp>
      <tp t="s">
        <v>#N/A N/A</v>
        <stp/>
        <stp>##V3_BDPV12</stp>
        <stp>EK3971539@RIAY Corp</stp>
        <stp>DUR_BID</stp>
        <stp>[GestionvXs.xlsm]Spreads!R189C4</stp>
        <tr r="D189" s="35"/>
      </tp>
      <tp t="s">
        <v>#N/A N/A</v>
        <stp/>
        <stp>##V3_BDPV12</stp>
        <stp>EI7623537@RIAY Corp</stp>
        <stp>DUR_BID</stp>
        <stp>[GestionvXs.xlsm]Spreads!R122C4</stp>
        <tr r="D122" s="35"/>
      </tp>
      <tp t="s">
        <v>#N/A N/A</v>
        <stp/>
        <stp>##V3_BDPV12</stp>
        <stp>EK3130516@RIAY Corp</stp>
        <stp>DUR_BID</stp>
        <stp>[GestionvXs.xlsm]Spreads!R192C4</stp>
        <tr r="D192" s="35"/>
      </tp>
      <tp t="s">
        <v>#N/A N/A</v>
        <stp/>
        <stp>##V3_BDPV12</stp>
        <stp>EK6920087@RIAY Corp</stp>
        <stp>DUR_BID</stp>
        <stp>[GestionvXs.xlsm]Spreads!R262C4</stp>
        <tr r="D262" s="35"/>
      </tp>
      <tp t="s">
        <v>#N/A N/A</v>
        <stp/>
        <stp>##V3_BDPV12</stp>
        <stp>EI0602470@RIAY Corp</stp>
        <stp>DUR_BID</stp>
        <stp>[GestionvXs.xlsm]Spreads!R177C4</stp>
        <tr r="D177" s="35"/>
      </tp>
      <tp t="s">
        <v>#N/A N/A</v>
        <stp/>
        <stp>##V3_BDPV12</stp>
        <stp>EK7480479@RIAY Corp</stp>
        <stp>DUR_BID</stp>
        <stp>[GestionvXs.xlsm]Spreads!R156C4</stp>
        <tr r="D156" s="35"/>
      </tp>
      <tp t="s">
        <v>#N/A N/A</v>
        <stp/>
        <stp>##V3_BDPV12</stp>
        <stp>AL4694702@RIAY Corp</stp>
        <stp>DUR_BID</stp>
        <stp>[GestionvXs.xlsm]Spreads!R188C4</stp>
        <tr r="D188" s="35"/>
      </tp>
      <tp t="s">
        <v>#N/A N/A</v>
        <stp/>
        <stp>##V3_BDPV12</stp>
        <stp>EI7700277@RIAY Corp</stp>
        <stp>DUR_BID</stp>
        <stp>[GestionvXs.xlsm]Spreads!R280C4</stp>
        <tr r="D280" s="35"/>
      </tp>
      <tp t="s">
        <v>#N/A N/A</v>
        <stp/>
        <stp>##V3_BDPV12</stp>
        <stp>EK3855781@RIAY Corp</stp>
        <stp>DUR_BID</stp>
        <stp>[GestionvXs.xlsm]Spreads!R273C4</stp>
        <tr r="D273" s="35"/>
      </tp>
      <tp t="s">
        <v>#N/A N/A</v>
        <stp/>
        <stp>##V3_BDPV12</stp>
        <stp>EK7834303@RIAY Corp</stp>
        <stp>DUR_BID</stp>
        <stp>[GestionvXs.xlsm]Spreads!R207C4</stp>
        <tr r="D207" s="35"/>
      </tp>
      <tp t="s">
        <v>#N/A N/A</v>
        <stp/>
        <stp>##V3_BDPV12</stp>
        <stp>EK7217962@RIAY Corp</stp>
        <stp>DUR_BID</stp>
        <stp>[GestionvXs.xlsm]Spreads!R224C4</stp>
        <tr r="D224" s="35"/>
      </tp>
      <tp t="s">
        <v>#N/A N/A</v>
        <stp/>
        <stp>##V3_BDPV12</stp>
        <stp>EK7226427@RIAY Corp</stp>
        <stp>DUR_BID</stp>
        <stp>[GestionvXs.xlsm]Spreads!R142C4</stp>
        <tr r="D142" s="35"/>
      </tp>
      <tp t="s">
        <v>#N/A Real Time</v>
        <stp/>
        <stp>##V3_BDPV12</stp>
        <stp>QJ189781@RIAY Corp</stp>
        <stp>BID_YIELD</stp>
        <stp>[GestionvXs.xlsm]Spreads!R107C5</stp>
        <tr r="E107" s="35"/>
      </tp>
      <tp t="s">
        <v>#N/A Real Time</v>
        <stp/>
        <stp>##V3_BDPV12</stp>
        <stp>EK993131@RIAY Corp</stp>
        <stp>BID_YIELD</stp>
        <stp>[GestionvXs.xlsm]Spreads!R110C5</stp>
        <tr r="E110" s="35"/>
      </tp>
      <tp t="s">
        <v>#N/A Real Time</v>
        <stp/>
        <stp>##V3_BDPV12</stp>
        <stp>EK507297@RIAY Corp</stp>
        <stp>BID_YIELD</stp>
        <stp>[GestionvXs.xlsm]Spreads!R113C5</stp>
        <tr r="E113" s="35"/>
      </tp>
      <tp t="s">
        <v>#N/A Real Time</v>
        <stp/>
        <stp>##V3_BDPV12</stp>
        <stp>EI658195@RIAY Corp</stp>
        <stp>BID_YIELD</stp>
        <stp>[GestionvXs.xlsm]Spreads!R252C5</stp>
        <tr r="E252" s="35"/>
      </tp>
      <tp t="s">
        <v>#N/A Real Time</v>
        <stp/>
        <stp>##V3_BDPV12</stp>
        <stp>EJ709691@RIAY Corp</stp>
        <stp>BID_YIELD</stp>
        <stp>[GestionvXs.xlsm]Spreads!R236C5</stp>
        <tr r="E236" s="35"/>
      </tp>
      <tp t="s">
        <v>#N/A Real Time</v>
        <stp/>
        <stp>##V3_BDPV12</stp>
        <stp>EH839491@RIAY Corp</stp>
        <stp>BID_YIELD</stp>
        <stp>[GestionvXs.xlsm]Spreads!R266C5</stp>
        <tr r="E266" s="35"/>
      </tp>
      <tp t="s">
        <v>#N/A Real Time</v>
        <stp/>
        <stp>##V3_BDPV12</stp>
        <stp>EK487543@RIAY Corp</stp>
        <stp>BID_YIELD</stp>
        <stp>[GestionvXs.xlsm]Spreads!R134C5</stp>
        <tr r="E134" s="35"/>
      </tp>
      <tp t="s">
        <v>#N/A Real Time</v>
        <stp/>
        <stp>##V3_BDPV12</stp>
        <stp>QJ060505@RIAY Corp</stp>
        <stp>BID_YIELD</stp>
        <stp>[GestionvXs.xlsm]Spreads!R175C5</stp>
        <tr r="E175" s="35"/>
      </tp>
      <tp t="s">
        <v>#N/A Real Time</v>
        <stp/>
        <stp>##V3_BDPV12</stp>
        <stp>EK753242@RIAY Corp</stp>
        <stp>BID_YIELD</stp>
        <stp>[GestionvXs.xlsm]Spreads!R213C5</stp>
        <tr r="E213" s="35"/>
      </tp>
      <tp t="s">
        <v>#N/A Real Time</v>
        <stp/>
        <stp>##V3_BDPV12</stp>
        <stp>EK671942@RIAY Corp</stp>
        <stp>BID_YIELD</stp>
        <stp>[GestionvXs.xlsm]Spreads!R128C5</stp>
        <tr r="E128" s="35"/>
      </tp>
      <tp t="s">
        <v>#N/A Real Time</v>
        <stp/>
        <stp>##V3_BDPV12</stp>
        <stp>EJ006527@RIAY Corp</stp>
        <stp>BID_YIELD</stp>
        <stp>[GestionvXs.xlsm]Spreads!R185C5</stp>
        <tr r="E185" s="35"/>
      </tp>
      <tp t="s">
        <v>#N/A Real Time</v>
        <stp/>
        <stp>##V3_BDPV12</stp>
        <stp>EK765350@RIAY Corp</stp>
        <stp>BID_YIELD</stp>
        <stp>[GestionvXs.xlsm]Spreads!R172C5</stp>
        <tr r="E172" s="35"/>
      </tp>
      <tp t="s">
        <v>#N/A Real Time</v>
        <stp/>
        <stp>##V3_BDPV12</stp>
        <stp>EJ669129@RIAY Corp</stp>
        <stp>BID_YIELD</stp>
        <stp>[GestionvXs.xlsm]Spreads!R131C5</stp>
        <tr r="E131" s="35"/>
      </tp>
      <tp t="s">
        <v>#N/A Real Time</v>
        <stp/>
        <stp>##V3_BDPV12</stp>
        <stp>EK017270@RIAY Corp</stp>
        <stp>BID_YIELD</stp>
        <stp>[GestionvXs.xlsm]Spreads!R233C5</stp>
        <tr r="E233" s="35"/>
      </tp>
      <tp t="s">
        <v>#N/A Real Time</v>
        <stp/>
        <stp>##V3_BDPV12</stp>
        <stp>EK748101@RIAY Corp</stp>
        <stp>BID_YIELD</stp>
        <stp>[GestionvXs.xlsm]Spreads!R100C5</stp>
        <tr r="E100" s="35"/>
      </tp>
      <tp t="s">
        <v>#N/A N/A</v>
        <stp/>
        <stp>##V3_BDPV12</stp>
        <stp>LW3161095@RIAY Corp</stp>
        <stp>DUR_BID</stp>
        <stp>[GestionvXs.xlsm]Spreads!R95C4</stp>
        <tr r="D95" s="35"/>
      </tp>
      <tp t="s">
        <v>#N/A N/A</v>
        <stp/>
        <stp>##V3_BDPV12</stp>
        <stp>EK7248298@RIAY Corp</stp>
        <stp>DUR_BID</stp>
        <stp>[GestionvXs.xlsm]Spreads!R86C4</stp>
        <tr r="D86" s="35"/>
      </tp>
      <tp t="s">
        <v>#N/A Real Time</v>
        <stp/>
        <stp>##V3_BDPV12</stp>
        <stp>EK468823@RIAY Corp</stp>
        <stp>BID_YIELD</stp>
        <stp>[GestionvXs.xlsm]Spreads!R24C5</stp>
        <tr r="E24" s="35"/>
      </tp>
      <tp t="s">
        <v>#N/A N/A</v>
        <stp/>
        <stp>##V3_BDPV12</stp>
        <stp>EK2711191@RIAY Corp</stp>
        <stp>DUR_BID</stp>
        <stp>[GestionvXs.xlsm]Spreads!R83C4</stp>
        <tr r="D83" s="35"/>
      </tp>
      <tp t="s">
        <v>#N/A N/A</v>
        <stp/>
        <stp>##V3_BDPV12</stp>
        <stp>EI7361377@RIAY Corp</stp>
        <stp>DUR_BID</stp>
        <stp>[GestionvXs.xlsm]Spreads!R99C4</stp>
        <tr r="D99" s="35"/>
      </tp>
      <tp t="s">
        <v>#N/A Real Time</v>
        <stp/>
        <stp>##V3_BDPV12</stp>
        <stp>EJ669744@RIAY Corp</stp>
        <stp>BID_YIELD</stp>
        <stp>[GestionvXs.xlsm]Spreads!R45C5</stp>
        <tr r="E45" s="35"/>
      </tp>
      <tp t="s">
        <v>#N/A N/A</v>
        <stp/>
        <stp>##V3_BDPV12</stp>
        <stp>EJ2868895@RIAY Corp</stp>
        <stp>DUR_BID</stp>
        <stp>[GestionvXs.xlsm]Spreads!R125C4</stp>
        <tr r="D125" s="35"/>
      </tp>
      <tp t="s">
        <v>#N/A N/A</v>
        <stp/>
        <stp>##V3_BDPV12</stp>
        <stp>EK4028081@RIAY Corp</stp>
        <stp>DUR_BID</stp>
        <stp>[GestionvXs.xlsm]Spreads!R235C4</stp>
        <tr r="D235" s="35"/>
      </tp>
      <tp t="s">
        <v>#N/A N/A</v>
        <stp/>
        <stp>##V3_BDPV12</stp>
        <stp>EK7508485@RIAY Corp</stp>
        <stp>DUR_BID</stp>
        <stp>[GestionvXs.xlsm]Spreads!R153C4</stp>
        <tr r="D153" s="35"/>
      </tp>
      <tp t="s">
        <v>#N/A N/A</v>
        <stp/>
        <stp>##V3_BDPV12</stp>
        <stp>EH8288456@RIAY Corp</stp>
        <stp>DUR_BID</stp>
        <stp>[GestionvXs.xlsm]Spreads!R228C4</stp>
        <tr r="D228" s="35"/>
      </tp>
      <tp t="s">
        <v>#N/A N/A</v>
        <stp/>
        <stp>##V3_BDPV12</stp>
        <stp>EH8518910@RIAY Corp</stp>
        <stp>DUR_BID</stp>
        <stp>[GestionvXs.xlsm]Spreads!R157C4</stp>
        <tr r="D157" s="35"/>
      </tp>
      <tp t="s">
        <v>#N/A N/A</v>
        <stp/>
        <stp>##V3_BDPV12</stp>
        <stp>AM0907775@RIAY Corp</stp>
        <stp>DUR_BID</stp>
        <stp>[GestionvXs.xlsm]Spreads!R187C4</stp>
        <tr r="D187" s="35"/>
      </tp>
      <tp t="s">
        <v>#N/A N/A</v>
        <stp/>
        <stp>##V3_BDPV12</stp>
        <stp>EK7531164@RIAY Corp</stp>
        <stp>DUR_BID</stp>
        <stp>[GestionvXs.xlsm]Spreads!R171C4</stp>
        <tr r="D171" s="35"/>
      </tp>
      <tp t="s">
        <v>#N/A N/A</v>
        <stp/>
        <stp>##V3_BDPV12</stp>
        <stp>EI7222892@RIAY Corp</stp>
        <stp>DUR_BID</stp>
        <stp>[GestionvXs.xlsm]Spreads!R186C4</stp>
        <tr r="D186" s="35"/>
      </tp>
      <tp t="s">
        <v>#N/A N/A</v>
        <stp/>
        <stp>##V3_BDPV12</stp>
        <stp>EJ7851847@RIAY Corp</stp>
        <stp>DUR_BID</stp>
        <stp>[GestionvXs.xlsm]Spreads!R154C4</stp>
        <tr r="D154" s="35"/>
      </tp>
      <tp t="s">
        <v>#N/A N/A</v>
        <stp/>
        <stp>##V3_BDPV12</stp>
        <stp>EK3950335@RIAY Corp</stp>
        <stp>DUR_BID</stp>
        <stp>[GestionvXs.xlsm]Spreads!R206C4</stp>
        <tr r="D206" s="35"/>
      </tp>
      <tp t="s">
        <v>#N/A N/A</v>
        <stp/>
        <stp>##V3_BDPV12</stp>
        <stp>EH8133967@RIAY Corp</stp>
        <stp>DUR_BID</stp>
        <stp>[GestionvXs.xlsm]Spreads!R152C4</stp>
        <tr r="D152" s="35"/>
      </tp>
      <tp t="s">
        <v>#N/A N/A</v>
        <stp/>
        <stp>##V3_BDPV12</stp>
        <stp>EK5812285@RIAY Corp</stp>
        <stp>DUR_BID</stp>
        <stp>[GestionvXs.xlsm]Spreads!R272C4</stp>
        <tr r="D272" s="35"/>
      </tp>
      <tp t="s">
        <v>#N/A N/A</v>
        <stp/>
        <stp>##V3_BDPV12</stp>
        <stp>EK3855484@RIAY Corp</stp>
        <stp>DUR_BID</stp>
        <stp>[GestionvXs.xlsm]Spreads!R267C4</stp>
        <tr r="D267" s="35"/>
      </tp>
      <tp t="s">
        <v>#N/A N/A</v>
        <stp/>
        <stp>##V3_BDPV12</stp>
        <stp>EI7167493@RIAY Corp</stp>
        <stp>DUR_BID</stp>
        <stp>[GestionvXs.xlsm]Spreads!R193C4</stp>
        <tr r="D193" s="35"/>
      </tp>
      <tp t="s">
        <v>#N/A N/A</v>
        <stp/>
        <stp>##V3_BDPV12</stp>
        <stp>EK7534101@RIAY Corp</stp>
        <stp>DUR_BID</stp>
        <stp>[GestionvXs.xlsm]Spreads!R214C4</stp>
        <tr r="D214" s="35"/>
      </tp>
      <tp t="s">
        <v>#N/A N/A</v>
        <stp/>
        <stp>##V3_BDPV12</stp>
        <stp>EI8484467@RIAY Corp</stp>
        <stp>DUR_BID</stp>
        <stp>[GestionvXs.xlsm]Spreads!R269C4</stp>
        <tr r="D269" s="35"/>
      </tp>
      <tp t="s">
        <v>#N/A Real Time</v>
        <stp/>
        <stp>##V3_BDPV12</stp>
        <stp>EK753398@RIAY Corp</stp>
        <stp>BID_YIELD</stp>
        <stp>[GestionvXs.xlsm]Spreads!R101C5</stp>
        <tr r="E101" s="35"/>
      </tp>
      <tp t="s">
        <v>#N/A Real Time</v>
        <stp/>
        <stp>##V3_BDPV12</stp>
        <stp>EH858467@RIAY Corp</stp>
        <stp>BID_YIELD</stp>
        <stp>[GestionvXs.xlsm]Spreads!R265C5</stp>
        <tr r="E265" s="35"/>
      </tp>
      <tp t="s">
        <v>#N/A Real Time</v>
        <stp/>
        <stp>##V3_BDPV12</stp>
        <stp>EI721769@RIAY Corp</stp>
        <stp>BID_YIELD</stp>
        <stp>[GestionvXs.xlsm]Spreads!R117C5</stp>
        <tr r="E117" s="35"/>
      </tp>
      <tp t="s">
        <v>#N/A Real Time</v>
        <stp/>
        <stp>##V3_BDPV12</stp>
        <stp>EJ533345@RIAY Corp</stp>
        <stp>BID_YIELD</stp>
        <stp>[GestionvXs.xlsm]Spreads!R240C5</stp>
        <tr r="E240" s="35"/>
      </tp>
      <tp t="s">
        <v>#N/A Real Time</v>
        <stp/>
        <stp>##V3_BDPV12</stp>
        <stp>EH813396@RIAY Corp</stp>
        <stp>BID_YIELD</stp>
        <stp>[GestionvXs.xlsm]Spreads!R152C5</stp>
        <tr r="E152" s="35"/>
      </tp>
      <tp t="s">
        <v>#N/A Real Time</v>
        <stp/>
        <stp>##V3_BDPV12</stp>
        <stp>EK750770@RIAY Corp</stp>
        <stp>BID_YIELD</stp>
        <stp>[GestionvXs.xlsm]Spreads!R275C5</stp>
        <tr r="E275" s="35"/>
      </tp>
      <tp t="s">
        <v>#N/A Real Time</v>
        <stp/>
        <stp>##V3_BDPV12</stp>
        <stp>EI558061@RIAY Corp</stp>
        <stp>BID_YIELD</stp>
        <stp>[GestionvXs.xlsm]Spreads!R230C5</stp>
        <tr r="E230" s="35"/>
      </tp>
      <tp t="s">
        <v>#N/A Real Time</v>
        <stp/>
        <stp>##V3_BDPV12</stp>
        <stp>EI770027@RIAY Corp</stp>
        <stp>BID_YIELD</stp>
        <stp>[GestionvXs.xlsm]Spreads!R280C5</stp>
        <tr r="E280" s="35"/>
      </tp>
      <tp t="s">
        <v>#N/A Real Time</v>
        <stp/>
        <stp>##V3_BDPV12</stp>
        <stp>EJ793531@RIAY Corp</stp>
        <stp>BID_YIELD</stp>
        <stp>[GestionvXs.xlsm]Spreads!R146C5</stp>
        <tr r="E146" s="35"/>
      </tp>
      <tp t="s">
        <v>#N/A Real Time</v>
        <stp/>
        <stp>##V3_BDPV12</stp>
        <stp>EK385548@RIAY Corp</stp>
        <stp>BID_YIELD</stp>
        <stp>[GestionvXs.xlsm]Spreads!R267C5</stp>
        <tr r="E267" s="35"/>
      </tp>
      <tp t="s">
        <v>#N/A Real Time</v>
        <stp/>
        <stp>##V3_BDPV12</stp>
        <stp>EK313051@RIAY Corp</stp>
        <stp>BID_YIELD</stp>
        <stp>[GestionvXs.xlsm]Spreads!R192C5</stp>
        <tr r="E192" s="35"/>
      </tp>
      <tp t="s">
        <v>#N/A Real Time</v>
        <stp/>
        <stp>##V3_BDPV12</stp>
        <stp>EK692008@RIAY Corp</stp>
        <stp>BID_YIELD</stp>
        <stp>[GestionvXs.xlsm]Spreads!R262C5</stp>
        <tr r="E262" s="35"/>
      </tp>
      <tp t="s">
        <v>#N/A N/A</v>
        <stp/>
        <stp>##V3_BDPV12</stp>
        <stp>EK6751219@RIAY Corp</stp>
        <stp>DUR_BID</stp>
        <stp>[GestionvXs.xlsm]Spreads!R98C4</stp>
        <tr r="D98" s="35"/>
      </tp>
      <tp t="s">
        <v>#N/A N/A</v>
        <stp/>
        <stp>##V3_BDPV12</stp>
        <stp>EI7555135@RIAY Corp</stp>
        <stp>DUR_BID</stp>
        <stp>[GestionvXs.xlsm]Spreads!R68C4</stp>
        <tr r="D68" s="35"/>
      </tp>
      <tp t="s">
        <v>#N/A Real Time</v>
        <stp/>
        <stp>##V3_BDPV12</stp>
        <stp>EH839435@RIAY Corp</stp>
        <stp>BID_YIELD</stp>
        <stp>[GestionvXs.xlsm]Spreads!R16C5</stp>
        <tr r="E16" s="35"/>
      </tp>
      <tp t="s">
        <v>#N/A Real Time</v>
        <stp/>
        <stp>##V3_BDPV12</stp>
        <stp>EK068745@RIAY Corp</stp>
        <stp>BID_YIELD</stp>
        <stp>[GestionvXs.xlsm]Spreads!R57C5</stp>
        <tr r="E57" s="35"/>
      </tp>
      <tp t="s">
        <v>#N/A N/A</v>
        <stp/>
        <stp>##V3_BDPV12</stp>
        <stp>EI5957937@RIAY Corp</stp>
        <stp>DUR_BID</stp>
        <stp>[GestionvXs.xlsm]Spreads!R34C4</stp>
        <tr r="D34" s="35"/>
      </tp>
      <tp t="s">
        <v>#N/A N/A</v>
        <stp/>
        <stp>##V3_BDPV12</stp>
        <stp>EK7507883@RIAY Corp</stp>
        <stp>DUR_BID</stp>
        <stp>[GestionvXs.xlsm]Spreads!R13C4</stp>
        <tr r="D13" s="35"/>
      </tp>
      <tp t="s">
        <v>#N/A Real Time</v>
        <stp/>
        <stp>##V3_BDPV12</stp>
        <stp>EK169396@RIAY Corp</stp>
        <stp>BID_YIELD</stp>
        <stp>[GestionvXs.xlsm]Spreads!R46C5</stp>
        <tr r="E46" s="35"/>
      </tp>
      <tp t="s">
        <v>#N/A Real Time</v>
        <stp/>
        <stp>##V3_BDPV12</stp>
        <stp>EI736137@RIAY Corp</stp>
        <stp>BID_YIELD</stp>
        <stp>[GestionvXs.xlsm]Spreads!R99C5</stp>
        <tr r="E99" s="35"/>
      </tp>
      <tp t="s">
        <v>#N/A N/A</v>
        <stp/>
        <stp>##V3_BDPV12</stp>
        <stp>EK9959710@RIAY Corp</stp>
        <stp>DUR_BID</stp>
        <stp>[GestionvXs.xlsm]Spreads!R96C4</stp>
        <tr r="D96" s="35"/>
      </tp>
      <tp t="s">
        <v>#N/A N/A</v>
        <stp/>
        <stp>##V3_BDPV12</stp>
        <stp>EK7653380@RIAY Corp</stp>
        <stp>DUR_BID</stp>
        <stp>[GestionvXs.xlsm]Spreads!R90C4</stp>
        <tr r="D90" s="35"/>
      </tp>
      <tp t="s">
        <v>#N/A Real Time</v>
        <stp/>
        <stp>##V3_BDPV12</stp>
        <stp>EH829117@RIAY Corp</stp>
        <stp>BID_YIELD</stp>
        <stp>[GestionvXs.xlsm]Spreads!R66C5</stp>
        <tr r="E66" s="35"/>
      </tp>
      <tp t="s">
        <v>#N/A Real Time</v>
        <stp/>
        <stp>##V3_BDPV12</stp>
        <stp>EI826332@RIAY Corp</stp>
        <stp>BID_YIELD</stp>
        <stp>[GestionvXs.xlsm]Spreads!R19C5</stp>
        <tr r="E19" s="35"/>
      </tp>
      <tp t="s">
        <v>#N/A N/A</v>
        <stp/>
        <stp>##V3_BDPV12</stp>
        <stp>EJ6558641@RIAY Corp</stp>
        <stp>DUR_BID</stp>
        <stp>[GestionvXs.xlsm]Spreads!R271C4</stp>
        <tr r="D271" s="35"/>
      </tp>
      <tp t="s">
        <v>#N/A N/A</v>
        <stp/>
        <stp>##V3_BDPV12</stp>
        <stp>EG4627543@RIAY Corp</stp>
        <stp>DUR_BID</stp>
        <stp>[GestionvXs.xlsm]Spreads!R144C4</stp>
        <tr r="D144" s="35"/>
      </tp>
      <tp t="s">
        <v>#N/A N/A</v>
        <stp/>
        <stp>##V3_BDPV12</stp>
        <stp>ED4952815@RIAY Corp</stp>
        <stp>DUR_BID</stp>
        <stp>[GestionvXs.xlsm]Spreads!R135C4</stp>
        <tr r="D135" s="35"/>
      </tp>
      <tp t="s">
        <v>#N/A N/A</v>
        <stp/>
        <stp>##V3_BDPV12</stp>
        <stp>EK7531040@RIAY Corp</stp>
        <stp>DUR_BID</stp>
        <stp>[GestionvXs.xlsm]Spreads!R256C4</stp>
        <tr r="D256" s="35"/>
      </tp>
      <tp t="s">
        <v>#N/A N/A</v>
        <stp/>
        <stp>##V3_BDPV12</stp>
        <stp>EK7241335@RIAY Corp</stp>
        <stp>DUR_BID</stp>
        <stp>[GestionvXs.xlsm]Spreads!R184C4</stp>
        <tr r="D184" s="35"/>
      </tp>
      <tp t="s">
        <v>#N/A N/A</v>
        <stp/>
        <stp>##V3_BDPV12</stp>
        <stp>EK5072971@RIAY Corp</stp>
        <stp>DUR_BID</stp>
        <stp>[GestionvXs.xlsm]Spreads!R113C4</stp>
        <tr r="D113" s="35"/>
      </tp>
      <tp t="s">
        <v>#N/A N/A</v>
        <stp/>
        <stp>##V3_BDPV12</stp>
        <stp>EI6710210@RIAY Corp</stp>
        <stp>DUR_BID</stp>
        <stp>[GestionvXs.xlsm]Spreads!R244C4</stp>
        <tr r="D244" s="35"/>
      </tp>
      <tp t="s">
        <v>#N/A N/A</v>
        <stp/>
        <stp>##V3_BDPV12</stp>
        <stp>EK0172701@RIAY Corp</stp>
        <stp>DUR_BID</stp>
        <stp>[GestionvXs.xlsm]Spreads!R233C4</stp>
        <tr r="D233" s="35"/>
      </tp>
      <tp t="s">
        <v>#N/A N/A</v>
        <stp/>
        <stp>##V3_BDPV12</stp>
        <stp>EK8255433@RIAY Corp</stp>
        <stp>DUR_BID</stp>
        <stp>[GestionvXs.xlsm]Spreads!R283C4</stp>
        <tr r="D283" s="35"/>
      </tp>
      <tp t="s">
        <v>#N/A N/A</v>
        <stp/>
        <stp>##V3_BDPV12</stp>
        <stp>AM1823385@RIAY Corp</stp>
        <stp>DUR_BID</stp>
        <stp>[GestionvXs.xlsm]Spreads!R196C4</stp>
        <tr r="D196" s="35"/>
      </tp>
      <tp t="s">
        <v>#N/A N/A</v>
        <stp/>
        <stp>##V3_BDPV12</stp>
        <stp>EH8557652@RIAY Corp</stp>
        <stp>DUR_BID</stp>
        <stp>[GestionvXs.xlsm]Spreads!R162C4</stp>
        <tr r="D162" s="35"/>
      </tp>
      <tp t="s">
        <v>#N/A N/A</v>
        <stp/>
        <stp>##V3_BDPV12</stp>
        <stp>EI7556091@RIAY Corp</stp>
        <stp>DUR_BID</stp>
        <stp>[GestionvXs.xlsm]Spreads!R181C4</stp>
        <tr r="D181" s="35"/>
      </tp>
      <tp t="s">
        <v>#N/A N/A</v>
        <stp/>
        <stp>##V3_BDPV12</stp>
        <stp>EJ7935616@RIAY Corp</stp>
        <stp>DUR_BID</stp>
        <stp>[GestionvXs.xlsm]Spreads!R130C4</stp>
        <tr r="D130" s="35"/>
      </tp>
      <tp t="s">
        <v>#N/A N/A</v>
        <stp/>
        <stp>##V3_BDPV12</stp>
        <stp>EH2275434@RIAY Corp</stp>
        <stp>DUR_BID</stp>
        <stp>[GestionvXs.xlsm]Spreads!R216C4</stp>
        <tr r="D216" s="35"/>
      </tp>
      <tp t="s">
        <v>#N/A N/A</v>
        <stp/>
        <stp>##V3_BDPV12</stp>
        <stp>JV1894742@RIAY Corp</stp>
        <stp>DUR_BID</stp>
        <stp>[GestionvXs.xlsm]Spreads!R121C4</stp>
        <tr r="D121" s="35"/>
      </tp>
      <tp t="s">
        <v>#N/A Real Time</v>
        <stp/>
        <stp>##V3_BDPV12</stp>
        <stp>JK345588@RIAY Corp</stp>
        <stp>BID_YIELD</stp>
        <stp>[GestionvXs.xlsm]Spreads!R116C5</stp>
        <tr r="E116" s="35"/>
      </tp>
      <tp t="s">
        <v>#N/A Real Time</v>
        <stp/>
        <stp>##V3_BDPV12</stp>
        <stp>EK271293@RIAY Corp</stp>
        <stp>BID_YIELD</stp>
        <stp>[GestionvXs.xlsm]Spreads!R281C5</stp>
        <tr r="E281" s="35"/>
      </tp>
      <tp t="s">
        <v>#N/A Real Time</v>
        <stp/>
        <stp>##V3_BDPV12</stp>
        <stp>EK395099@RIAY Corp</stp>
        <stp>BID_YIELD</stp>
        <stp>[GestionvXs.xlsm]Spreads!R243C5</stp>
        <tr r="E243" s="35"/>
      </tp>
      <tp t="s">
        <v>#N/A Real Time</v>
        <stp/>
        <stp>##V3_BDPV12</stp>
        <stp>EK326696@RIAY Corp</stp>
        <stp>BID_YIELD</stp>
        <stp>[GestionvXs.xlsm]Spreads!R225C5</stp>
        <tr r="E225" s="35"/>
      </tp>
      <tp t="s">
        <v>#N/A Real Time</v>
        <stp/>
        <stp>##V3_BDPV12</stp>
        <stp>EH828845@RIAY Corp</stp>
        <stp>BID_YIELD</stp>
        <stp>[GestionvXs.xlsm]Spreads!R228C5</stp>
        <tr r="E228" s="35"/>
      </tp>
      <tp t="s">
        <v>#N/A Real Time</v>
        <stp/>
        <stp>##V3_BDPV12</stp>
        <stp>EH818744@RIAY Corp</stp>
        <stp>BID_YIELD</stp>
        <stp>[GestionvXs.xlsm]Spreads!R257C5</stp>
        <tr r="E257" s="35"/>
      </tp>
      <tp t="s">
        <v>#N/A Real Time</v>
        <stp/>
        <stp>##V3_BDPV12</stp>
        <stp>EJ651599@RIAY Corp</stp>
        <stp>BID_YIELD</stp>
        <stp>[GestionvXs.xlsm]Spreads!R237C5</stp>
        <tr r="E237" s="35"/>
      </tp>
      <tp t="s">
        <v>#N/A Real Time</v>
        <stp/>
        <stp>##V3_BDPV12</stp>
        <stp>EK753284@RIAY Corp</stp>
        <stp>BID_YIELD</stp>
        <stp>[GestionvXs.xlsm]Spreads!R221C5</stp>
        <tr r="E221" s="35"/>
      </tp>
      <tp t="s">
        <v>#N/A Real Time</v>
        <stp/>
        <stp>##V3_BDPV12</stp>
        <stp>EK721796@RIAY Corp</stp>
        <stp>BID_YIELD</stp>
        <stp>[GestionvXs.xlsm]Spreads!R224C5</stp>
        <tr r="E224" s="35"/>
      </tp>
      <tp t="s">
        <v>#N/A Real Time</v>
        <stp/>
        <stp>##V3_BDPV12</stp>
        <stp>EK722666@RIAY Corp</stp>
        <stp>BID_YIELD</stp>
        <stp>[GestionvXs.xlsm]Spreads!R155C5</stp>
        <tr r="E155" s="35"/>
      </tp>
      <tp t="s">
        <v>#N/A Real Time</v>
        <stp/>
        <stp>##V3_BDPV12</stp>
        <stp>EC489864@RIAY Corp</stp>
        <stp>BID_YIELD</stp>
        <stp>[GestionvXs.xlsm]Spreads!R133C5</stp>
        <tr r="E133" s="35"/>
      </tp>
      <tp t="s">
        <v>#N/A Real Time</v>
        <stp/>
        <stp>##V3_BDPV12</stp>
        <stp>AM182338@RIAY Corp</stp>
        <stp>BID_YIELD</stp>
        <stp>[GestionvXs.xlsm]Spreads!R196C5</stp>
        <tr r="E196" s="35"/>
      </tp>
      <tp t="s">
        <v>#N/A Real Time</v>
        <stp/>
        <stp>##V3_BDPV12</stp>
        <stp>EI762353@RIAY Corp</stp>
        <stp>BID_YIELD</stp>
        <stp>[GestionvXs.xlsm]Spreads!R122C5</stp>
        <tr r="E122" s="35"/>
      </tp>
      <tp t="s">
        <v>#N/A Real Time</v>
        <stp/>
        <stp>##V3_BDPV12</stp>
        <stp>EK306614@RIAY Corp</stp>
        <stp>BID_YIELD</stp>
        <stp>[GestionvXs.xlsm]Spreads!R245C5</stp>
        <tr r="E245" s="35"/>
      </tp>
      <tp t="s">
        <v>#N/A Real Time</v>
        <stp/>
        <stp>##V3_BDPV12</stp>
        <stp>EK783430@RIAY Corp</stp>
        <stp>BID_YIELD</stp>
        <stp>[GestionvXs.xlsm]Spreads!R207C5</stp>
        <tr r="E207" s="35"/>
      </tp>
      <tp t="s">
        <v>#N/A Real Time</v>
        <stp/>
        <stp>##V3_BDPV12</stp>
        <stp>EH310157@RIAY Corp</stp>
        <stp>BID_YIELD</stp>
        <stp>[GestionvXs.xlsm]Spreads!R151C5</stp>
        <tr r="E151" s="35"/>
      </tp>
      <tp t="s">
        <v>#N/A N/A</v>
        <stp/>
        <stp>##V3_BDPV12</stp>
        <stp>QZ9214680@RIAY Corp</stp>
        <stp>DUR_BID</stp>
        <stp>[GestionvXs.xlsm]Spreads!R35C4</stp>
        <tr r="D35" s="35"/>
      </tp>
      <tp t="s">
        <v>#N/A N/A</v>
        <stp/>
        <stp>##V3_BDPV12</stp>
        <stp>EG6230783@RIAY Corp</stp>
        <stp>DUR_BID</stp>
        <stp>[GestionvXs.xlsm]Spreads!R65C4</stp>
        <tr r="D65" s="35"/>
      </tp>
      <tp t="s">
        <v>#N/A N/A</v>
        <stp/>
        <stp>##V3_BDPV12</stp>
        <stp>EJ7839123@RIAY Corp</stp>
        <stp>DUR_BID</stp>
        <stp>[GestionvXs.xlsm]Spreads!R25C4</stp>
        <tr r="D25" s="35"/>
      </tp>
      <tp t="s">
        <v>#N/A Real Time</v>
        <stp/>
        <stp>##V3_BDPV12</stp>
        <stp>EH779464@RIAY Corp</stp>
        <stp>BID_YIELD</stp>
        <stp>[GestionvXs.xlsm]Spreads!R17C5</stp>
        <tr r="E17" s="35"/>
      </tp>
      <tp t="s">
        <v>#N/A N/A</v>
        <stp/>
        <stp>##V3_BDPV12</stp>
        <stp>EI3825623@RIAY Corp</stp>
        <stp>DUR_BID</stp>
        <stp>[GestionvXs.xlsm]Spreads!R55C4</stp>
        <tr r="D55" s="35"/>
      </tp>
      <tp t="s">
        <v>#N/A N/A</v>
        <stp/>
        <stp>##V3_BDPV12</stp>
        <stp>EJ6558591@RIAY Corp</stp>
        <stp>DUR_BID</stp>
        <stp>[GestionvXs.xlsm]Spreads!R33C4</stp>
        <tr r="D33" s="35"/>
      </tp>
      <tp t="s">
        <v>#N/A Real Time</v>
        <stp/>
        <stp>##V3_BDPV12</stp>
        <stp>EK436397@RIAY Corp</stp>
        <stp>BID_YIELD</stp>
        <stp>[GestionvXs.xlsm]Spreads!R48C5</stp>
        <tr r="E48" s="35"/>
      </tp>
      <tp t="s">
        <v>#N/A Real Time</v>
        <stp/>
        <stp>##V3_BDPV12</stp>
        <stp>EI617168@RIAY Corp</stp>
        <stp>BID_YIELD</stp>
        <stp>[GestionvXs.xlsm]Spreads!R69C5</stp>
        <tr r="E69" s="35"/>
      </tp>
      <tp t="s">
        <v>#N/A Real Time</v>
        <stp/>
        <stp>##V3_BDPV12</stp>
        <stp>EK769149@RIAY Corp</stp>
        <stp>BID_YIELD</stp>
        <stp>[GestionvXs.xlsm]Spreads!R47C5</stp>
        <tr r="E47" s="35"/>
      </tp>
      <tp t="s">
        <v>#N/A Real Time</v>
        <stp/>
        <stp>##V3_BDPV12</stp>
        <stp>EI179273@RIAY Corp</stp>
        <stp>BID_YIELD</stp>
        <stp>[GestionvXs.xlsm]Spreads!R67C5</stp>
        <tr r="E67" s="35"/>
      </tp>
      <tp t="s">
        <v>#N/A N/A</v>
        <stp/>
        <stp>##V3_BDPV12</stp>
        <stp>EF7900261@RIAY Corp</stp>
        <stp>DUR_BID</stp>
        <stp>[GestionvXs.xlsm]Spreads!R255C4</stp>
        <tr r="D255" s="35"/>
      </tp>
      <tp t="s">
        <v>#N/A N/A</v>
        <stp/>
        <stp>##V3_BDPV12</stp>
        <stp>EG3363314@RIAY Corp</stp>
        <stp>DUR_BID</stp>
        <stp>[GestionvXs.xlsm]Spreads!R136C4</stp>
        <tr r="D136" s="35"/>
      </tp>
      <tp t="s">
        <v>#N/A N/A</v>
        <stp/>
        <stp>##V3_BDPV12</stp>
        <stp>EH8743948@RIAY Corp</stp>
        <stp>DUR_BID</stp>
        <stp>[GestionvXs.xlsm]Spreads!R258C4</stp>
        <tr r="D258" s="35"/>
      </tp>
      <tp t="s">
        <v>#N/A N/A</v>
        <stp/>
        <stp>##V3_BDPV12</stp>
        <stp>EK7663124@RIAY Corp</stp>
        <stp>DUR_BID</stp>
        <stp>[GestionvXs.xlsm]Spreads!R226C4</stp>
        <tr r="D226" s="35"/>
      </tp>
      <tp t="s">
        <v>#N/A N/A</v>
        <stp/>
        <stp>##V3_BDPV12</stp>
        <stp>EK2712934@RIAY Corp</stp>
        <stp>DUR_BID</stp>
        <stp>[GestionvXs.xlsm]Spreads!R281C4</stp>
        <tr r="D281" s="35"/>
      </tp>
      <tp t="s">
        <v>#N/A N/A</v>
        <stp/>
        <stp>##V3_BDPV12</stp>
        <stp>EI5580564@RIAY Corp</stp>
        <stp>DUR_BID</stp>
        <stp>[GestionvXs.xlsm]Spreads!R198C4</stp>
        <tr r="D198" s="35"/>
      </tp>
      <tp t="s">
        <v>#N/A N/A</v>
        <stp/>
        <stp>##V3_BDPV12</stp>
        <stp>EK9932931@RIAY Corp</stp>
        <stp>DUR_BID</stp>
        <stp>[GestionvXs.xlsm]Spreads!R166C4</stp>
        <tr r="D166" s="35"/>
      </tp>
      <tp t="s">
        <v>#N/A N/A</v>
        <stp/>
        <stp>##V3_BDPV12</stp>
        <stp>EJ8005096@RIAY Corp</stp>
        <stp>DUR_BID</stp>
        <stp>[GestionvXs.xlsm]Spreads!R222C4</stp>
        <tr r="D222" s="35"/>
      </tp>
      <tp t="s">
        <v>#N/A N/A</v>
        <stp/>
        <stp>##V3_BDPV12</stp>
        <stp>AL1583361@RIAY Corp</stp>
        <stp>DUR_BID</stp>
        <stp>[GestionvXs.xlsm]Spreads!R119C4</stp>
        <tr r="D119" s="35"/>
      </tp>
      <tp t="s">
        <v>#N/A N/A</v>
        <stp/>
        <stp>##V3_BDPV12</stp>
        <stp>EK7507701@RIAY Corp</stp>
        <stp>DUR_BID</stp>
        <stp>[GestionvXs.xlsm]Spreads!R275C4</stp>
        <tr r="D275" s="35"/>
      </tp>
      <tp t="s">
        <v>#N/A N/A</v>
        <stp/>
        <stp>##V3_BDPV12</stp>
        <stp>ED2418322@RIAY Corp</stp>
        <stp>DUR_BID</stp>
        <stp>[GestionvXs.xlsm]Spreads!R137C4</stp>
        <tr r="D137" s="35"/>
      </tp>
      <tp t="s">
        <v>EJ4532820</v>
        <stp/>
        <stp>##V3_BDPV12</stp>
        <stp>BCTOR-F Corp</stp>
        <stp>ID_CUSIP</stp>
        <stp>[GestionvXs.xlsm]Spreads!R20C2</stp>
        <tr r="B20" s="35"/>
      </tp>
      <tp t="s">
        <v>EK1543900</v>
        <stp/>
        <stp>##V3_BDPV12</stp>
        <stp>BCTCH-Q Corp</stp>
        <stp>ID_CUSIP</stp>
        <stp>[GestionvXs.xlsm]Spreads!R80C2</stp>
        <tr r="B80" s="35"/>
      </tp>
      <tp t="s">
        <v>#N/A Real Time</v>
        <stp/>
        <stp>##V3_BDPV12</stp>
        <stp>UV363901@RIAY Corp</stp>
        <stp>BID_YIELD</stp>
        <stp>[GestionvXs.xlsm]Spreads!R108C5</stp>
        <tr r="E108" s="35"/>
      </tp>
      <tp t="s">
        <v>#N/A N/A</v>
        <stp/>
        <stp>##V3_BDPV12</stp>
        <stp>EH8370429@RIAY Corp</stp>
        <stp>DUR_BID</stp>
        <stp>[GestionvXs.xlsm]Spreads!R6C4</stp>
        <tr r="D6" s="35"/>
      </tp>
      <tp t="s">
        <v>#N/A N/A</v>
        <stp/>
        <stp>##V3_BDPV12</stp>
        <stp>EJ6691442@RIAY Corp</stp>
        <stp>DUR_BID</stp>
        <stp>[GestionvXs.xlsm]Spreads!R8C4</stp>
        <tr r="D8" s="35"/>
      </tp>
      <tp t="s">
        <v>#N/A N/A</v>
        <stp/>
        <stp>##V3_BDPV12</stp>
        <stp>UV6781354@RIAY Corp</stp>
        <stp>DUR_BID</stp>
        <stp>[GestionvXs.xlsm]Spreads!R247C4</stp>
        <tr r="D247" s="35"/>
      </tp>
      <tp t="s">
        <v>EJ5574151</v>
        <stp/>
        <stp>##V3_BDPV12</stp>
        <stp>BAGUA-R Corp</stp>
        <stp>ID_CUSIP</stp>
        <stp>[GestionvXs.xlsm]Spreads!R23C2</stp>
        <tr r="B23" s="35"/>
      </tp>
      <tp t="s">
        <v>EH8618736</v>
        <stp/>
        <stp>##V3_BDPV12</stp>
        <stp>BENAP-B Corp</stp>
        <stp>ID_CUSIP</stp>
        <stp>[GestionvXs.xlsm]Spreads!R37C2</stp>
        <tr r="B37" s="35"/>
      </tp>
      <tp t="s">
        <v>EK0687450</v>
        <stp/>
        <stp>##V3_BDPV12</stp>
        <stp>BENGE-B Corp</stp>
        <stp>ID_CUSIP</stp>
        <stp>[GestionvXs.xlsm]Spreads!R57C2</stp>
        <tr r="B57" s="35"/>
      </tp>
      <tp t="s">
        <v>EK4836350</v>
        <stp/>
        <stp>##V3_BDPV12</stp>
        <stp>BKOEM-C Corp</stp>
        <stp>ID_CUSIP</stp>
        <stp>[GestionvXs.xlsm]Spreads!R49C2</stp>
        <tr r="B49" s="35"/>
      </tp>
      <tp t="s">
        <v>EJ6212751</v>
        <stp/>
        <stp>##V3_BDPV12</stp>
        <stp>BCFSA-A Corp</stp>
        <stp>ID_CUSIP</stp>
        <stp>[GestionvXs.xlsm]Spreads!R21C2</stp>
        <tr r="B21" s="35"/>
      </tp>
      <tp t="s">
        <v>#N/A Real Time</v>
        <stp/>
        <stp>##V3_BDPV12</stp>
        <stp>UV817144@RIAY Corp</stp>
        <stp>BID_YIELD</stp>
        <stp>[GestionvXs.xlsm]Spreads!R211C5</stp>
        <tr r="E211" s="35"/>
      </tp>
      <tp t="s">
        <v>#N/A Real Time</v>
        <stp/>
        <stp>##V3_BDPV12</stp>
        <stp>QZ519849@RIAY Corp</stp>
        <stp>BID_YIELD</stp>
        <stp>[GestionvXs.xlsm]Spreads!R114C5</stp>
        <tr r="E114" s="35"/>
      </tp>
      <tp t="s">
        <v>#N/A Real Time</v>
        <stp/>
        <stp>##V3_BDPV12</stp>
        <stp>JV433355@RIAY Corp</stp>
        <stp>BID_YIELD</stp>
        <stp>[GestionvXs.xlsm]Spreads!R103C5</stp>
        <tr r="E103" s="35"/>
      </tp>
      <tp t="s">
        <v>EI0602397</v>
        <stp/>
        <stp>##V3_BDPV12</stp>
        <stp>BCGVI-A Corp</stp>
        <stp>ID_CUSIP</stp>
        <stp>[GestionvXs.xlsm]Spreads!R2C2</stp>
        <tr r="B2" s="35"/>
      </tp>
      <tp t="s">
        <v>#N/A Real Time</v>
        <stp/>
        <stp>##V3_BDPV12</stp>
        <stp>QZ921468@RIAY Corp</stp>
        <stp>BID_YIELD</stp>
        <stp>[GestionvXs.xlsm]Spreads!R35C5</stp>
        <tr r="E35" s="35"/>
      </tp>
      <tp t="s">
        <v>#N/A Real Time</v>
        <stp/>
        <stp>##V3_BDPV12</stp>
        <stp>UV363973@RIAY Corp</stp>
        <stp>BID_YIELD</stp>
        <stp>[GestionvXs.xlsm]Spreads!R93C5</stp>
        <tr r="E93" s="35"/>
      </tp>
      <tp t="s">
        <v>#N/A N/A</v>
        <stp/>
        <stp>##V3_BDPV12</stp>
        <stp>EK7479810@RIAY Corp</stp>
        <stp>DUR_BID</stp>
        <stp>[GestionvXs.xlsm]Spreads!R4C4</stp>
        <tr r="D4" s="35"/>
      </tp>
      <tp t="s">
        <v>EJ6558591</v>
        <stp/>
        <stp>##V3_BDPV12</stp>
        <stp>BBANM-I Corp</stp>
        <stp>ID_CUSIP</stp>
        <stp>[GestionvXs.xlsm]Spreads!R33C2</stp>
        <tr r="B33" s="35"/>
      </tp>
      <tp t="s">
        <v>#N/A Real Time</v>
        <stp/>
        <stp>##V3_BDPV12</stp>
        <stp>JV936032@RIAY Corp</stp>
        <stp>BID_YIELD</stp>
        <stp>[GestionvXs.xlsm]Spreads!R123C5</stp>
        <tr r="E123" s="35"/>
      </tp>
      <tp t="s">
        <v>#N/A N/A</v>
        <stp/>
        <stp>##V3_BDPV12</stp>
        <stp>EJ6690741@RIAY Corp</stp>
        <stp>DUR_BID</stp>
        <stp>[GestionvXs.xlsm]Spreads!R9C4</stp>
        <tr r="D9" s="35"/>
      </tp>
      <tp t="s">
        <v>EK3035616</v>
        <stp/>
        <stp>##V3_BDPV12</stp>
        <stp>BANDI-C Corp</stp>
        <stp>ID_CUSIP</stp>
        <stp>[GestionvXs.xlsm]Spreads!R41C2</stp>
        <tr r="B41" s="35"/>
      </tp>
      <tp t="s">
        <v>#N/A Real Time</v>
        <stp/>
        <stp>##V3_BDPV12</stp>
        <stp>UV555170@RIAY Corp</stp>
        <stp>BID_YIELD</stp>
        <stp>[GestionvXs.xlsm]Spreads!R173C5</stp>
        <tr r="E173" s="35"/>
      </tp>
      <tp t="s">
        <v>AL1493314</v>
        <stp/>
        <stp>##V3_BDPV12</stp>
        <stp>BCENC-P Corp</stp>
        <stp>ID_CUSIP</stp>
        <stp>[GestionvXs.xlsm]Spreads!R64C2</stp>
        <tr r="B64" s="35"/>
      </tp>
      <tp t="s">
        <v>LW7939686</v>
        <stp/>
        <stp>##V3_BDPV12</stp>
        <stp>BFALA-O Corp</stp>
        <stp>ID_CUSIP</stp>
        <stp>[GestionvXs.xlsm]Spreads!R61C2</stp>
        <tr r="B61" s="35"/>
      </tp>
      <tp t="s">
        <v>EK1693960</v>
        <stp/>
        <stp>##V3_BDPV12</stp>
        <stp>BARAU-Q Corp</stp>
        <stp>ID_CUSIP</stp>
        <stp>[GestionvXs.xlsm]Spreads!R46C2</stp>
        <tr r="B46" s="35"/>
      </tp>
      <tp t="s">
        <v>#N/A Real Time</v>
        <stp/>
        <stp>##V3_BDPV12</stp>
        <stp>JV189474@RIAY Corp</stp>
        <stp>BID_YIELD</stp>
        <stp>[GestionvXs.xlsm]Spreads!R121C5</stp>
        <tr r="E121" s="35"/>
      </tp>
      <tp t="s">
        <v>#N/A Real Time</v>
        <stp/>
        <stp>##V3_BDPV12</stp>
        <stp>QJ189785@RIAY Corp</stp>
        <stp>BID_YIELD</stp>
        <stp>[GestionvXs.xlsm]Spreads!R58C5</stp>
        <tr r="E58" s="35"/>
      </tp>
      <tp t="s">
        <v>#N/A N/A</v>
        <stp/>
        <stp>##V3_BDPV12</stp>
        <stp>UV5551709@RIAY Corp</stp>
        <stp>DUR_BID</stp>
        <stp>[GestionvXs.xlsm]Spreads!R173C4</stp>
        <tr r="D173" s="35"/>
      </tp>
      <tp t="s">
        <v>#N/A N/A</v>
        <stp/>
        <stp>##V3_BDPV12</stp>
        <stp>UV4492202@RIAY Corp</stp>
        <stp>DUR_BID</stp>
        <stp>[GestionvXs.xlsm]Spreads!R124C4</stp>
        <tr r="D124" s="35"/>
      </tp>
      <tp t="s">
        <v>#N/A Real Time</v>
        <stp/>
        <stp>##V3_BDPV12</stp>
        <stp>UV877438@RIAY Corp</stp>
        <stp>BID_YIELD</stp>
        <stp>[GestionvXs.xlsm]Spreads!R53C5</stp>
        <tr r="E53" s="35"/>
      </tp>
      <tp t="s">
        <v>#N/A N/A</v>
        <stp/>
        <stp>##V3_BDPV12</stp>
        <stp>UV8171448@RIAY Corp</stp>
        <stp>DUR_BID</stp>
        <stp>[GestionvXs.xlsm]Spreads!R211C4</stp>
        <tr r="D211" s="35"/>
      </tp>
      <tp t="s">
        <v>EH8635821</v>
        <stp/>
        <stp>##V3_BDPV12</stp>
        <stp>BMETR-H Corp</stp>
        <stp>ID_CUSIP</stp>
        <stp>[GestionvXs.xlsm]Spreads!R38C2</stp>
        <tr r="B38" s="35"/>
      </tp>
      <tp t="s">
        <v>EH7827973</v>
        <stp/>
        <stp>##V3_BDPV12</stp>
        <stp>BCENC-E Corp</stp>
        <stp>ID_CUSIP</stp>
        <stp>[GestionvXs.xlsm]Spreads!R26C2</stp>
        <tr r="B26" s="35"/>
      </tp>
      <tp t="s">
        <v>#N/A Real Time</v>
        <stp/>
        <stp>##V3_BDPV12</stp>
        <stp>LW390403@RIAY Corp</stp>
        <stp>BID_YIELD</stp>
        <stp>[GestionvXs.xlsm]Spreads!R212C5</stp>
        <tr r="E212" s="35"/>
      </tp>
      <tp t="s">
        <v>#N/A Real Time</v>
        <stp/>
        <stp>##V3_BDPV12</stp>
        <stp>JV695603@RIAY Corp</stp>
        <stp>BID_YIELD</stp>
        <stp>[GestionvXs.xlsm]Spreads!R111C5</stp>
        <tr r="E111" s="35"/>
      </tp>
      <tp t="s">
        <v>EK7691497</v>
        <stp/>
        <stp>##V3_BDPV12</stp>
        <stp>BCOSJ-A Corp</stp>
        <stp>ID_CUSIP</stp>
        <stp>[GestionvXs.xlsm]Spreads!R47C2</stp>
        <tr r="B47" s="35"/>
      </tp>
      <tp t="s">
        <v>EJ5250133</v>
        <stp/>
        <stp>##V3_BDPV12</stp>
        <stp>BENAP-D Corp</stp>
        <stp>ID_CUSIP</stp>
        <stp>[GestionvXs.xlsm]Spreads!R11C2</stp>
        <tr r="B11" s="35"/>
      </tp>
      <tp t="s">
        <v>#N/A Real Time</v>
        <stp/>
        <stp>##V3_BDPV12</stp>
        <stp>QZ921247@RIAY Corp</stp>
        <stp>BID_YIELD</stp>
        <stp>[GestionvXs.xlsm]Spreads!R118C5</stp>
        <tr r="E118" s="35"/>
      </tp>
      <tp t="s">
        <v>#N/A Real Time</v>
        <stp/>
        <stp>##V3_BDPV12</stp>
        <stp>UV555290@RIAY Corp</stp>
        <stp>BID_YIELD</stp>
        <stp>[GestionvXs.xlsm]Spreads!R104C5</stp>
        <tr r="E104" s="35"/>
      </tp>
      <tp t="s">
        <v>#N/A Real Time</v>
        <stp/>
        <stp>##V3_BDPV12</stp>
        <stp>UV678135@RIAY Corp</stp>
        <stp>BID_YIELD</stp>
        <stp>[GestionvXs.xlsm]Spreads!R247C5</stp>
        <tr r="E247" s="35"/>
      </tp>
      <tp t="s">
        <v>#N/A Real Time</v>
        <stp/>
        <stp>##V3_BDPV12</stp>
        <stp>UV449220@RIAY Corp</stp>
        <stp>BID_YIELD</stp>
        <stp>[GestionvXs.xlsm]Spreads!R124C5</stp>
        <tr r="E124" s="35"/>
      </tp>
      <tp t="s">
        <v>#N/A N/A</v>
        <stp/>
        <stp>##V3_BDHV12</stp>
        <stp>CLFXDOOB Index</stp>
        <stp>PX_LAST</stp>
        <stp>21-11-2017</stp>
        <stp>21-11-2017</stp>
        <stp>[GestionvXs.xlsm]Inicio!R8C18</stp>
        <tr r="R8" s="12"/>
      </tp>
      <tp t="s">
        <v>#N/A Real Time</v>
        <stp/>
        <stp>##V3_BDPV12</stp>
        <stp>LW264189@RIAY Corp</stp>
        <stp>BID_YIELD</stp>
        <stp>[GestionvXs.xlsm]Spreads!R109C5</stp>
        <tr r="E109" s="35"/>
      </tp>
      <tp t="s">
        <v>#N/A N/A</v>
        <stp/>
        <stp>##V3_BDPV12</stp>
        <stp>EK2711373@RIAY Corp</stp>
        <stp>DUR_BID</stp>
        <stp>[GestionvXs.xlsm]Spreads!R3C4</stp>
        <tr r="D3" s="35"/>
      </tp>
      <tp t="s">
        <v>#N/A N/A</v>
        <stp/>
        <stp>##V3_BDPV12</stp>
        <stp>EJ7097268@RIAY Corp</stp>
        <stp>DUR_BID</stp>
        <stp>[GestionvXs.xlsm]Spreads!R7C4</stp>
        <tr r="D7" s="35"/>
      </tp>
      <tp t="s">
        <v>#N/A N/A</v>
        <stp/>
        <stp>##V3_BDPV12</stp>
        <stp>QJ1897819@RIAY Corp</stp>
        <stp>DUR_BID</stp>
        <stp>[GestionvXs.xlsm]Spreads!R107C4</stp>
        <tr r="D107" s="35"/>
      </tp>
      <tp t="s">
        <v>#N/A N/A</v>
        <stp/>
        <stp>##V3_BDPV12</stp>
        <stp>QZ6735695@RIAY Corp</stp>
        <stp>DUR_BID</stp>
        <stp>[GestionvXs.xlsm]Spreads!R251C4</stp>
        <tr r="D251" s="35"/>
      </tp>
      <tp>
        <v>629.21</v>
        <stp/>
        <stp>##V3_BDHV12</stp>
        <stp>CLFXDOOB Index</stp>
        <stp>PX_LAST</stp>
        <stp>20-11-2017</stp>
        <stp>20-11-2017</stp>
        <stp>[GestionvXs.xlsm]Inicio!R8C18</stp>
        <tr r="R8" s="12"/>
        <tr r="R8" s="12"/>
      </tp>
      <tp t="s">
        <v>EK5289690</v>
        <stp/>
        <stp>##V3_BDPV12</stp>
        <stp>BBECP-B Corp</stp>
        <stp>ID_CUSIP</stp>
        <stp>[GestionvXs.xlsm]Spreads!R18C2</stp>
        <tr r="B18" s="35"/>
      </tp>
      <tp t="s">
        <v>#N/A Real Time</v>
        <stp/>
        <stp>##V3_BDPV12</stp>
        <stp>QZ713478@RIAY Corp</stp>
        <stp>BID_YIELD</stp>
        <stp>[GestionvXs.xlsm]Spreads!R120C5</stp>
        <tr r="E120" s="35"/>
      </tp>
      <tp t="s">
        <v>#N/A Real Time</v>
        <stp/>
        <stp>##V3_BDPV12</stp>
        <stp>QZ673569@RIAY Corp</stp>
        <stp>BID_YIELD</stp>
        <stp>[GestionvXs.xlsm]Spreads!R251C5</stp>
        <tr r="E251" s="35"/>
      </tp>
      <tp t="s">
        <v>#N/A N/A</v>
        <stp/>
        <stp>##V3_BDPV12</stp>
        <stp>UV3639019@RIAY Corp</stp>
        <stp>DUR_BID</stp>
        <stp>[GestionvXs.xlsm]Spreads!R108C4</stp>
        <tr r="D108" s="35"/>
      </tp>
      <tp t="s">
        <v>#N/A Real Time</v>
        <stp/>
        <stp>##V3_BDPV12</stp>
        <stp>UV448711@RIAY Corp</stp>
        <stp>BID_YIELD</stp>
        <stp>[GestionvXs.xlsm]Spreads!R73C5</stp>
        <tr r="E73" s="35"/>
      </tp>
      <tp t="s">
        <v>#N/A Real Time</v>
        <stp/>
        <stp>##V3_BDPV12</stp>
        <stp>QZ896165@RIAY Corp</stp>
        <stp>BID_YIELD</stp>
        <stp>[GestionvXs.xlsm]Spreads!R59C5</stp>
        <tr r="E59" s="35"/>
      </tp>
      <tp t="s">
        <v>#N/A Real Time</v>
        <stp/>
        <stp>##V3_BDPV12</stp>
        <stp>LW560938@RIAY Corp</stp>
        <stp>BID_YIELD</stp>
        <stp>[GestionvXs.xlsm]Spreads!R102C5</stp>
        <tr r="E102" s="35"/>
      </tp>
      <tp t="s">
        <v>#N/A N/A</v>
        <stp/>
        <stp>##V3_BDPV12</stp>
        <stp>EI7166370@RIAY Corp</stp>
        <stp>DUR_BID</stp>
        <stp>[GestionvXs.xlsm]Spreads!R5C4</stp>
        <tr r="D5" s="35"/>
      </tp>
      <tp t="s">
        <v>#N/A N/A</v>
        <stp/>
        <stp>##V3_BDPV12</stp>
        <stp>EI0602397@RIAY Corp</stp>
        <stp>DUR_BID</stp>
        <stp>[GestionvXs.xlsm]Spreads!R2C4</stp>
        <tr r="D2" s="35"/>
      </tp>
      <tp t="s">
        <v>#N/A N/A</v>
        <stp/>
        <stp>##V3_BDPV12</stp>
        <stp>QZ5198499@RIAY Corp</stp>
        <stp>DUR_BID</stp>
        <stp>[GestionvXs.xlsm]Spreads!R114C4</stp>
        <tr r="D114" s="35"/>
      </tp>
      <tp t="s">
        <v>#N/A N/A</v>
        <stp/>
        <stp>##V3_BDPV12</stp>
        <stp>QJ0605056@RIAY Corp</stp>
        <stp>DUR_BID</stp>
        <stp>[GestionvXs.xlsm]Spreads!R175C4</stp>
        <tr r="D175" s="35"/>
      </tp>
      <tp t="s">
        <v>EK4363975</v>
        <stp/>
        <stp>##V3_BDPV12</stp>
        <stp>BFRON-C Corp</stp>
        <stp>ID_CUSIP</stp>
        <stp>[GestionvXs.xlsm]Spreads!R48C2</stp>
        <tr r="B48" s="35"/>
      </tp>
      <tp t="s">
        <v>#N/A N/A</v>
        <stp/>
        <stp>##V3_BDPV12</stp>
        <stp>QZ7134781@RIAY Corp</stp>
        <stp>DUR_BID</stp>
        <stp>[GestionvXs.xlsm]Spreads!R120C4</stp>
        <tr r="D120" s="35"/>
      </tp>
      <tp t="s">
        <v>EI7555135</v>
        <stp/>
        <stp>##V3_BDPV12</stp>
        <stp>BEKOP-A Corp</stp>
        <stp>ID_CUSIP</stp>
        <stp>[GestionvXs.xlsm]Spreads!R68C2</stp>
        <tr r="B68" s="35"/>
      </tp>
      <tp t="s">
        <v>#N/A N/A</v>
        <stp/>
        <stp>##V3_BDPV12</stp>
        <stp>QJ0607847@RIAY Corp</stp>
        <stp>DUR_BID</stp>
        <stp>[GestionvXs.xlsm]Spreads!R176C4</stp>
        <tr r="D176" s="35"/>
      </tp>
      <tp t="s">
        <v>#N/A N/A</v>
        <stp/>
        <stp>##V3_BDPV12</stp>
        <stp>QZ9212478@RIAY Corp</stp>
        <stp>DUR_BID</stp>
        <stp>[GestionvXs.xlsm]Spreads!R118C4</stp>
        <tr r="D118" s="35"/>
      </tp>
      <tp t="s">
        <v>#N/A Real Time</v>
        <stp/>
        <stp>##V3_BDPV12</stp>
        <stp>QZ673555@RIAY Corp</stp>
        <stp>BID_YIELD</stp>
        <stp>[GestionvXs.xlsm]Spreads!R39C5</stp>
        <tr r="E39" s="35"/>
      </tp>
      <tp t="s">
        <v>#N/A N/A</v>
        <stp/>
        <stp>##V3_BDPV12</stp>
        <stp>UV5552905@RIAY Corp</stp>
        <stp>DUR_BID</stp>
        <stp>[GestionvXs.xlsm]Spreads!R104C4</stp>
        <tr r="D104" s="35"/>
      </tp>
      <tp>
        <v>33.514000000000003</v>
        <stp/>
        <stp>##V3_BDHV12</stp>
        <stp>MXNCLP Curncy</stp>
        <stp>PX_LAST</stp>
        <stp>20-11-2017</stp>
        <stp>20-11-2017</stp>
        <stp>[GestionvXs.xlsm]Inicio!R8C19</stp>
        <tr r="S8" s="12"/>
      </tp>
      <tp>
        <v>33.514000000000003</v>
        <stp/>
        <stp>##V3_BDHV12</stp>
        <stp>MXNCLP Curncy</stp>
        <stp>PX_LAST</stp>
        <stp>20-11-2017</stp>
        <stp>20-11-2017</stp>
        <stp>[GestionvXs.xlsm]Inicio!R9C19</stp>
        <tr r="S9" s="12"/>
      </tp>
      <tp t="s">
        <v>#N/A N/A</v>
        <stp/>
        <stp>##V3_BDHV12</stp>
        <stp>MXNCLP Curncy</stp>
        <stp>PX_LAST</stp>
        <stp>19-11-2017</stp>
        <stp>19-11-2017</stp>
        <stp>[GestionvXs.xlsm]Inicio!R9C19</stp>
        <tr r="S9" s="12"/>
        <tr r="S9" s="12"/>
      </tp>
      <tp t="s">
        <v>#N/A N/A</v>
        <stp/>
        <stp>##V3_BDHV12</stp>
        <stp>MXNCLP Curncy</stp>
        <stp>PX_LAST</stp>
        <stp>19-11-2017</stp>
        <stp>19-11-2017</stp>
        <stp>[GestionvXs.xlsm]Inicio!R8C19</stp>
        <tr r="S8" s="12"/>
        <tr r="S8" s="12"/>
      </tp>
      <tp t="s">
        <v>#N/A Real Time</v>
        <stp/>
        <stp>##V3_BDPV12</stp>
        <stp>EI060239@RIAY Corp</stp>
        <stp>BID_YIELD</stp>
        <stp>[GestionvXs.xlsm]Spreads!R2C5</stp>
        <tr r="E2" s="35"/>
      </tp>
      <tp t="s">
        <v>CLF</v>
        <stp/>
        <stp>##V3_BDPV12</stp>
        <stp>EI716637@RIAY Corp</stp>
        <stp>TRADE_CRNCY</stp>
        <stp>[GestionvXs.xlsm]Spreads!R5C6</stp>
        <tr r="F5" s="35"/>
      </tp>
      <tp t="s">
        <v>CLF</v>
        <stp/>
        <stp>##V3_BDPV12</stp>
        <stp>EJ709726@RIAY Corp</stp>
        <stp>TRADE_CRNCY</stp>
        <stp>[GestionvXs.xlsm]Spreads!R7C6</stp>
        <tr r="F7" s="35"/>
      </tp>
      <tp t="s">
        <v>CLF</v>
        <stp/>
        <stp>##V3_BDPV12</stp>
        <stp>EI060239@RIAY Corp</stp>
        <stp>TRADE_CRNCY</stp>
        <stp>[GestionvXs.xlsm]Spreads!R2C6</stp>
        <tr r="F2" s="35"/>
      </tp>
      <tp t="s">
        <v>CLP</v>
        <stp/>
        <stp>##V3_BDPV12</stp>
        <stp>EK271137@RIAY Corp</stp>
        <stp>TRADE_CRNCY</stp>
        <stp>[GestionvXs.xlsm]Spreads!R3C6</stp>
        <tr r="F3" s="35"/>
      </tp>
      <tp t="s">
        <v>CLF</v>
        <stp/>
        <stp>##V3_BDPV12</stp>
        <stp>EH837042@RIAY Corp</stp>
        <stp>TRADE_CRNCY</stp>
        <stp>[GestionvXs.xlsm]Spreads!R6C6</stp>
        <tr r="F6" s="35"/>
      </tp>
      <tp t="s">
        <v>#N/A Real Time</v>
        <stp/>
        <stp>##V3_BDPV12</stp>
        <stp>EJ669074@RIAY Corp</stp>
        <stp>BID_YIELD</stp>
        <stp>[GestionvXs.xlsm]Spreads!R9C5</stp>
        <tr r="E9" s="35"/>
      </tp>
      <tp t="s">
        <v>#N/A Real Time</v>
        <stp/>
        <stp>##V3_BDPV12</stp>
        <stp>EJ669144@RIAY Corp</stp>
        <stp>BID_YIELD</stp>
        <stp>[GestionvXs.xlsm]Spreads!R8C5</stp>
        <tr r="E8" s="35"/>
      </tp>
      <tp t="s">
        <v>CLF</v>
        <stp/>
        <stp>##V3_BDPV12</stp>
        <stp>EJ669144@RIAY Corp</stp>
        <stp>TRADE_CRNCY</stp>
        <stp>[GestionvXs.xlsm]Spreads!R8C6</stp>
        <tr r="F8" s="35"/>
      </tp>
      <tp t="s">
        <v>CLF</v>
        <stp/>
        <stp>##V3_BDPV12</stp>
        <stp>EJ669074@RIAY Corp</stp>
        <stp>TRADE_CRNCY</stp>
        <stp>[GestionvXs.xlsm]Spreads!R9C6</stp>
        <tr r="F9" s="35"/>
      </tp>
      <tp t="s">
        <v>#N/A Real Time</v>
        <stp/>
        <stp>##V3_BDPV12</stp>
        <stp>EH837042@RIAY Corp</stp>
        <stp>BID_YIELD</stp>
        <stp>[GestionvXs.xlsm]Spreads!R6C5</stp>
        <tr r="E6" s="35"/>
      </tp>
      <tp t="s">
        <v>#N/A Real Time</v>
        <stp/>
        <stp>##V3_BDPV12</stp>
        <stp>EK747981@RIAY Corp</stp>
        <stp>BID_YIELD</stp>
        <stp>[GestionvXs.xlsm]Spreads!R4C5</stp>
        <tr r="E4" s="35"/>
      </tp>
      <tp t="s">
        <v>#N/A Real Time</v>
        <stp/>
        <stp>##V3_BDPV12</stp>
        <stp>EJ709726@RIAY Corp</stp>
        <stp>BID_YIELD</stp>
        <stp>[GestionvXs.xlsm]Spreads!R7C5</stp>
        <tr r="E7" s="35"/>
      </tp>
      <tp t="s">
        <v>CLF</v>
        <stp/>
        <stp>##V3_BDPV12</stp>
        <stp>EK747981@RIAY Corp</stp>
        <stp>TRADE_CRNCY</stp>
        <stp>[GestionvXs.xlsm]Spreads!R4C6</stp>
        <tr r="F4" s="35"/>
      </tp>
      <tp t="s">
        <v>#N/A Real Time</v>
        <stp/>
        <stp>##V3_BDPV12</stp>
        <stp>EK271137@RIAY Corp</stp>
        <stp>BID_YIELD</stp>
        <stp>[GestionvXs.xlsm]Spreads!R3C5</stp>
        <tr r="E3" s="35"/>
      </tp>
      <tp t="s">
        <v>#N/A Real Time</v>
        <stp/>
        <stp>##V3_BDPV12</stp>
        <stp>EI716637@RIAY Corp</stp>
        <stp>BID_YIELD</stp>
        <stp>[GestionvXs.xlsm]Spreads!R5C5</stp>
        <tr r="E5" s="35"/>
      </tp>
      <tp t="s">
        <v>CLF</v>
        <stp/>
        <stp>##V3_BDPV12</stp>
        <stp>LW316109@RIAY Corp</stp>
        <stp>TRADE_CRNCY</stp>
        <stp>[GestionvXs.xlsm]Spreads!R95C6</stp>
        <tr r="F95" s="35"/>
      </tp>
      <tp t="s">
        <v>EC2388311</v>
        <stp/>
        <stp>##V3_BDPV12</stp>
        <stp>UEDWA60899 Corp</stp>
        <stp>ID_CUSIP</stp>
        <stp>[GestionvXs.xlsm]Spreads!R81C2</stp>
        <tr r="B81" s="35"/>
      </tp>
      <tp t="s">
        <v>EF7900261</v>
        <stp/>
        <stp>##V3_BDPV12</stp>
        <stp>USECE10506 Corp</stp>
        <stp>ID_CUSIP</stp>
        <stp>[GestionvXs.xlsm]Spreads!R255C2</stp>
        <tr r="B255" s="35"/>
      </tp>
      <tp t="s">
        <v>CLP</v>
        <stp/>
        <stp>##V3_BDPV12</stp>
        <stp>EK675145@RIAY Corp</stp>
        <stp>TRADE_CRNCY</stp>
        <stp>[GestionvXs.xlsm]Spreads!R94C6</stp>
        <tr r="F94" s="35"/>
      </tp>
      <tp t="s">
        <v>CLP</v>
        <stp/>
        <stp>##V3_BDPV12</stp>
        <stp>EK675175@RIAY Corp</stp>
        <stp>TRADE_CRNCY</stp>
        <stp>[GestionvXs.xlsm]Spreads!R97C6</stp>
        <tr r="F97" s="35"/>
      </tp>
      <tp t="s">
        <v>EK7508303</v>
        <stp/>
        <stp>##V3_BDPV12</stp>
        <stp>BSECK31112 Corp</stp>
        <stp>ID_CUSIP</stp>
        <stp>[GestionvXs.xlsm]Spreads!R143C2</stp>
        <tr r="B143" s="35"/>
      </tp>
      <tp t="s">
        <v>CLF</v>
        <stp/>
        <stp>##V3_BDPV12</stp>
        <stp>EH779464@RIAY Corp</stp>
        <stp>TRADE_CRNCY</stp>
        <stp>[GestionvXs.xlsm]Spreads!R17C6</stp>
        <tr r="F17" s="35"/>
      </tp>
      <tp t="s">
        <v>CLF</v>
        <stp/>
        <stp>##V3_BDPV12</stp>
        <stp>EK518115@RIAY Corp</stp>
        <stp>TRADE_CRNCY</stp>
        <stp>[GestionvXs.xlsm]Spreads!R52C6</stp>
        <tr r="F52" s="35"/>
      </tp>
      <tp t="s">
        <v>CLF</v>
        <stp/>
        <stp>##V3_BDPV12</stp>
        <stp>UV448711@RIAY Corp</stp>
        <stp>TRADE_CRNCY</stp>
        <stp>[GestionvXs.xlsm]Spreads!R73C6</stp>
        <tr r="F73" s="35"/>
      </tp>
      <tp t="s">
        <v>CLP</v>
        <stp/>
        <stp>##V3_BDPV12</stp>
        <stp>AL149331@RIAY Corp</stp>
        <stp>TRADE_CRNCY</stp>
        <stp>[GestionvXs.xlsm]Spreads!R64C6</stp>
        <tr r="F64" s="35"/>
      </tp>
      <tp t="s">
        <v>ED6186032</v>
        <stp/>
        <stp>##V3_BDPV12</stp>
        <stp>BTU0450824 Corp</stp>
        <stp>ID_CUSIP</stp>
        <stp>[GestionvXs.xlsm]Spreads!R304C2</stp>
        <tr r="B304" s="35"/>
      </tp>
      <tp t="s">
        <v>EI1204508</v>
        <stp/>
        <stp>##V3_BDPV12</stp>
        <stp>BTU0300120 Corp</stp>
        <stp>ID_CUSIP</stp>
        <stp>[GestionvXs.xlsm]Spreads!R295C2</stp>
        <tr r="B295" s="35"/>
      </tp>
      <tp t="s">
        <v>EK2748466</v>
        <stp/>
        <stp>##V3_BDPV12</stp>
        <stp>BTU0300144 Corp</stp>
        <stp>ID_CUSIP</stp>
        <stp>[GestionvXs.xlsm]Spreads!R321C2</stp>
        <tr r="B321" s="35"/>
      </tp>
      <tp t="s">
        <v>EK9297863</v>
        <stp/>
        <stp>##V3_BDPV12</stp>
        <stp>BTU0150326 Corp</stp>
        <stp>ID_CUSIP</stp>
        <stp>[GestionvXs.xlsm]Spreads!R306C2</stp>
        <tr r="B306" s="35"/>
      </tp>
      <tp t="s">
        <v>JK3455884</v>
        <stp/>
        <stp>##V3_BDPV12</stp>
        <stp>BSTDR10915 Corp</stp>
        <stp>ID_CUSIP</stp>
        <stp>[GestionvXs.xlsm]Spreads!R116C2</stp>
        <tr r="B116" s="35"/>
      </tp>
      <tp t="s">
        <v>EK2747625</v>
        <stp/>
        <stp>##V3_BDPV12</stp>
        <stp>BTP0600134 Corp</stp>
        <stp>ID_CUSIP</stp>
        <stp>[GestionvXs.xlsm]Spreads!R341C2</stp>
        <tr r="B341" s="35"/>
      </tp>
      <tp t="s">
        <v>EG3160744</v>
        <stp/>
        <stp>##V3_BDPV12</stp>
        <stp>BTP0600317 Corp</stp>
        <stp>ID_CUSIP</stp>
        <stp>[GestionvXs.xlsm]Spreads!R322C2</stp>
        <tr r="B322" s="35"/>
      </tp>
      <tp t="s">
        <v>EF0677890</v>
        <stp/>
        <stp>##V3_BDPV12</stp>
        <stp>BCODE-B Corp</stp>
        <stp>ID_CUSIP</stp>
        <stp>[GestionvXs.xlsm]Spreads!R170C2</stp>
        <tr r="B170" s="35"/>
      </tp>
      <tp t="s">
        <v>EK8223613</v>
        <stp/>
        <stp>##V3_BDPV12</stp>
        <stp>BECOP-G Corp</stp>
        <stp>ID_CUSIP</stp>
        <stp>[GestionvXs.xlsm]Spreads!R169C2</stp>
        <tr r="B169" s="35"/>
      </tp>
      <tp t="s">
        <v>EG4627543</v>
        <stp/>
        <stp>##V3_BDPV12</stp>
        <stp>BCOLB-F Corp</stp>
        <stp>ID_CUSIP</stp>
        <stp>[GestionvXs.xlsm]Spreads!R144C2</stp>
        <tr r="B144" s="35"/>
      </tp>
      <tp>
        <v>6.5270362765229297</v>
        <stp/>
        <stp>##V3_BDPV12</stp>
        <stp>EJ7137932 Corp</stp>
        <stp>MTY_YEARS</stp>
        <stp>[GestionvXs.xlsm]Spreads!R161C3</stp>
        <tr r="C161" s="35"/>
      </tp>
      <tp>
        <v>10.313483915126625</v>
        <stp/>
        <stp>##V3_BDPV12</stp>
        <stp>EG3493533 Corp</stp>
        <stp>MTY_YEARS</stp>
        <stp>[GestionvXs.xlsm]Spreads!R138C3</stp>
        <tr r="C138" s="35"/>
      </tp>
      <tp>
        <v>4.1971252566735116</v>
        <stp/>
        <stp>##V3_BDPV12</stp>
        <stp>EK7480115 Corp</stp>
        <stp>MTY_YEARS</stp>
        <stp>[GestionvXs.xlsm]Spreads!R197C3</stp>
        <tr r="C197" s="35"/>
      </tp>
      <tp>
        <v>5.4401095140314855</v>
        <stp/>
        <stp>##V3_BDPV12</stp>
        <stp>EK7531040 Corp</stp>
        <stp>MTY_YEARS</stp>
        <stp>[GestionvXs.xlsm]Spreads!R256C3</stp>
        <tr r="C256" s="35"/>
      </tp>
      <tp>
        <v>13.897330595482547</v>
        <stp/>
        <stp>##V3_BDPV12</stp>
        <stp>EK7663009 Corp</stp>
        <stp>MTY_YEARS</stp>
        <stp>[GestionvXs.xlsm]Spreads!R204C3</stp>
        <tr r="C204" s="35"/>
      </tp>
      <tp>
        <v>13.311430527036277</v>
        <stp/>
        <stp>##V3_BDPV12</stp>
        <stp>EI0602470 Corp</stp>
        <stp>MTY_YEARS</stp>
        <stp>[GestionvXs.xlsm]Spreads!R177C3</stp>
        <tr r="C177" s="35"/>
      </tp>
      <tp>
        <v>7.1074606433949352</v>
        <stp/>
        <stp>##V3_BDPV12</stp>
        <stp>EK6671672 Corp</stp>
        <stp>MTY_YEARS</stp>
        <stp>[GestionvXs.xlsm]Spreads!R126C3</stp>
        <tr r="C126" s="35"/>
      </tp>
      <tp>
        <v>11.860369609856264</v>
        <stp/>
        <stp>##V3_BDPV12</stp>
        <stp>EF7573621 Corp</stp>
        <stp>MTY_YEARS</stp>
        <stp>[GestionvXs.xlsm]Spreads!R199C3</stp>
        <tr r="C199" s="35"/>
      </tp>
      <tp t="s">
        <v>CLF</v>
        <stp/>
        <stp>##V3_BDPV12</stp>
        <stp>EJ492231@RIAY Corp</stp>
        <stp>TRADE_CRNCY</stp>
        <stp>[GestionvXs.xlsm]Spreads!R70C6</stp>
        <tr r="F70" s="35"/>
      </tp>
      <tp t="s">
        <v>CLF</v>
        <stp/>
        <stp>##V3_BDPV12</stp>
        <stp>EJ788421@RIAY Corp</stp>
        <stp>TRADE_CRNCY</stp>
        <stp>[GestionvXs.xlsm]Spreads!R72C6</stp>
        <tr r="F72" s="35"/>
      </tp>
      <tp t="s">
        <v>CLP</v>
        <stp/>
        <stp>##V3_BDPV12</stp>
        <stp>QZ896165@RIAY Corp</stp>
        <stp>TRADE_CRNCY</stp>
        <stp>[GestionvXs.xlsm]Spreads!R59C6</stp>
        <tr r="F59" s="35"/>
      </tp>
      <tp t="s">
        <v>CLF</v>
        <stp/>
        <stp>##V3_BDPV12</stp>
        <stp>EK750878@RIAY Corp</stp>
        <stp>TRADE_CRNCY</stp>
        <stp>[GestionvXs.xlsm]Spreads!R87C6</stp>
        <tr r="F87" s="35"/>
      </tp>
      <tp t="s">
        <v>CLF</v>
        <stp/>
        <stp>##V3_BDPV12</stp>
        <stp>EJ557415@RIAY Corp</stp>
        <stp>TRADE_CRNCY</stp>
        <stp>[GestionvXs.xlsm]Spreads!R23C6</stp>
        <tr r="F23" s="35"/>
      </tp>
      <tp t="s">
        <v>CLF</v>
        <stp/>
        <stp>##V3_BDPV12</stp>
        <stp>EJ669744@RIAY Corp</stp>
        <stp>TRADE_CRNCY</stp>
        <stp>[GestionvXs.xlsm]Spreads!R45C6</stp>
        <tr r="F45" s="35"/>
      </tp>
      <tp t="s">
        <v>CLF</v>
        <stp/>
        <stp>##V3_BDPV12</stp>
        <stp>EI762265@RIAY Corp</stp>
        <stp>TRADE_CRNCY</stp>
        <stp>[GestionvXs.xlsm]Spreads!R56C6</stp>
        <tr r="F56" s="35"/>
      </tp>
      <tp t="s">
        <v>CLF</v>
        <stp/>
        <stp>##V3_BDPV12</stp>
        <stp>EI711982@RIAY Corp</stp>
        <stp>TRADE_CRNCY</stp>
        <stp>[GestionvXs.xlsm]Spreads!R88C6</stp>
        <tr r="F88" s="35"/>
      </tp>
      <tp t="s">
        <v>CLF</v>
        <stp/>
        <stp>##V3_BDPV12</stp>
        <stp>EK721826@RIAY Corp</stp>
        <stp>TRADE_CRNCY</stp>
        <stp>[GestionvXs.xlsm]Spreads!R92C6</stp>
        <tr r="F92" s="35"/>
      </tp>
      <tp t="s">
        <v>CLP</v>
        <stp/>
        <stp>##V3_BDPV12</stp>
        <stp>EK546320@RIAY Corp</stp>
        <stp>TRADE_CRNCY</stp>
        <stp>[GestionvXs.xlsm]Spreads!R50C6</stp>
        <tr r="F50" s="35"/>
      </tp>
      <tp t="s">
        <v>CLP</v>
        <stp/>
        <stp>##V3_BDPV12</stp>
        <stp>UV363973@RIAY Corp</stp>
        <stp>TRADE_CRNCY</stp>
        <stp>[GestionvXs.xlsm]Spreads!R93C6</stp>
        <tr r="F93" s="35"/>
      </tp>
      <tp t="s">
        <v>JK3526734</v>
        <stp/>
        <stp>##V3_BDPV12</stp>
        <stp>BSTDR40915 Corp</stp>
        <stp>ID_CUSIP</stp>
        <stp>[GestionvXs.xlsm]Spreads!R112C2</stp>
        <tr r="B112" s="35"/>
      </tp>
      <tp t="s">
        <v>ED1813952</v>
        <stp/>
        <stp>##V3_BDPV12</stp>
        <stp>BTU0451023 Corp</stp>
        <stp>ID_CUSIP</stp>
        <stp>[GestionvXs.xlsm]Spreads!R302C2</stp>
        <tr r="B302" s="35"/>
      </tp>
      <tp t="s">
        <v>EH8618298</v>
        <stp/>
        <stp>##V3_BDPV12</stp>
        <stp>BCGEI-I Corp</stp>
        <stp>ID_CUSIP</stp>
        <stp>[GestionvXs.xlsm]Spreads!R182C2</stp>
        <tr r="B182" s="35"/>
      </tp>
      <tp t="s">
        <v>EH8591073</v>
        <stp/>
        <stp>##V3_BDPV12</stp>
        <stp>BCENC-N Corp</stp>
        <stp>ID_CUSIP</stp>
        <stp>[GestionvXs.xlsm]Spreads!R227C2</stp>
        <tr r="B227" s="35"/>
      </tp>
      <tp>
        <v>11.939767282683095</v>
        <stp/>
        <stp>##V3_BDPV12</stp>
        <stp>EH8557652 Corp</stp>
        <stp>MTY_YEARS</stp>
        <stp>[GestionvXs.xlsm]Spreads!R162C3</stp>
        <tr r="C162" s="35"/>
      </tp>
      <tp>
        <v>14.52703627652293</v>
        <stp/>
        <stp>##V3_BDPV12</stp>
        <stp>EI7222892 Corp</stp>
        <stp>MTY_YEARS</stp>
        <stp>[GestionvXs.xlsm]Spreads!R186C3</stp>
        <tr r="C186" s="35"/>
      </tp>
      <tp>
        <v>15.4798083504449</v>
        <stp/>
        <stp>##V3_BDPV12</stp>
        <stp>EI8485746 Corp</stp>
        <stp>MTY_YEARS</stp>
        <stp>[GestionvXs.xlsm]Spreads!R191C3</stp>
        <tr r="C191" s="35"/>
      </tp>
      <tp>
        <v>12.06570841889117</v>
        <stp/>
        <stp>##V3_BDPV12</stp>
        <stp>EH8606723 Corp</stp>
        <stp>MTY_YEARS</stp>
        <stp>[GestionvXs.xlsm]Spreads!R163C3</stp>
        <tr r="C163" s="35"/>
      </tp>
      <tp>
        <v>21.943874058863791</v>
        <stp/>
        <stp>##V3_BDPV12</stp>
        <stp>EK8255433 Corp</stp>
        <stp>MTY_YEARS</stp>
        <stp>[GestionvXs.xlsm]Spreads!R283C3</stp>
        <tr r="C283" s="35"/>
      </tp>
      <tp>
        <v>7.0116358658453111</v>
        <stp/>
        <stp>##V3_BDPV12</stp>
        <stp>EJ8005096 Corp</stp>
        <stp>MTY_YEARS</stp>
        <stp>[GestionvXs.xlsm]Spreads!R222C3</stp>
        <tr r="C222" s="35"/>
      </tp>
      <tp>
        <v>8.3586584531143053</v>
        <stp/>
        <stp>##V3_BDPV12</stp>
        <stp>EK7475198 Corp</stp>
        <stp>MTY_YEARS</stp>
        <stp>[GestionvXs.xlsm]Spreads!R223C3</stp>
        <tr r="C223" s="35"/>
      </tp>
      <tp>
        <v>16.358658453114305</v>
        <stp/>
        <stp>##V3_BDPV12</stp>
        <stp>EJ6213007 Corp</stp>
        <stp>MTY_YEARS</stp>
        <stp>[GestionvXs.xlsm]Spreads!R194C3</stp>
        <tr r="C194" s="35"/>
      </tp>
      <tp>
        <v>9.0650239561943877</v>
        <stp/>
        <stp>##V3_BDPV12</stp>
        <stp>AM0907775 Corp</stp>
        <stp>MTY_YEARS</stp>
        <stp>[GestionvXs.xlsm]Spreads!R187C3</stp>
        <tr r="C187" s="35"/>
      </tp>
      <tp>
        <v>14.984257357973991</v>
        <stp/>
        <stp>##V3_BDPV12</stp>
        <stp>EK3855781 Corp</stp>
        <stp>MTY_YEARS</stp>
        <stp>[GestionvXs.xlsm]Spreads!R273C3</stp>
        <tr r="C273" s="35"/>
      </tp>
      <tp>
        <v>3.3593429158110881</v>
        <stp/>
        <stp>##V3_BDPV12</stp>
        <stp>EI6710210 Corp</stp>
        <stp>MTY_YEARS</stp>
        <stp>[GestionvXs.xlsm]Spreads!R244C3</stp>
        <tr r="C244" s="35"/>
      </tp>
      <tp>
        <v>19.898699520876111</v>
        <stp/>
        <stp>##V3_BDPV12</stp>
        <stp>AM1829457 Corp</stp>
        <stp>MTY_YEARS</stp>
        <stp>[GestionvXs.xlsm]Spreads!R209C3</stp>
        <tr r="C209" s="35"/>
      </tp>
      <tp>
        <v>13.52498288843258</v>
        <stp/>
        <stp>##V3_BDPV12</stp>
        <stp>EI7167493 Corp</stp>
        <stp>MTY_YEARS</stp>
        <stp>[GestionvXs.xlsm]Spreads!R193C3</stp>
        <tr r="C193" s="35"/>
      </tp>
      <tp>
        <v>5.9438740588637922</v>
        <stp/>
        <stp>##V3_BDPV12</stp>
        <stp>EK7480479 Corp</stp>
        <stp>MTY_YEARS</stp>
        <stp>[GestionvXs.xlsm]Spreads!R156C3</stp>
        <tr r="C156" s="35"/>
      </tp>
      <tp>
        <v>2.7789185489390826</v>
        <stp/>
        <stp>##V3_BDPV12</stp>
        <stp>EI7502418 Corp</stp>
        <stp>MTY_YEARS</stp>
        <stp>[GestionvXs.xlsm]Spreads!R106C3</stp>
        <tr r="C106" s="35"/>
      </tp>
      <tp>
        <v>16.79671457905544</v>
        <stp/>
        <stp>##V3_BDPV12</stp>
        <stp>EK3950335 Corp</stp>
        <stp>MTY_YEARS</stp>
        <stp>[GestionvXs.xlsm]Spreads!R206C3</stp>
        <tr r="C206" s="35"/>
      </tp>
      <tp>
        <v>3.9698836413415468</v>
        <stp/>
        <stp>##V3_BDPV12</stp>
        <stp>EK0010109 Corp</stp>
        <stp>MTY_YEARS</stp>
        <stp>[GestionvXs.xlsm]Spreads!R246C3</stp>
        <tr r="C246" s="35"/>
      </tp>
      <tp t="s">
        <v>CLF</v>
        <stp/>
        <stp>##V3_BDPV12</stp>
        <stp>EK383871@RIAY Corp</stp>
        <stp>TRADE_CRNCY</stp>
        <stp>[GestionvXs.xlsm]Spreads!R40C6</stp>
        <tr r="F40" s="35"/>
      </tp>
      <tp t="s">
        <v>CLF</v>
        <stp/>
        <stp>##V3_BDPV12</stp>
        <stp>EG623078@RIAY Corp</stp>
        <stp>TRADE_CRNCY</stp>
        <stp>[GestionvXs.xlsm]Spreads!R65C6</stp>
        <tr r="F65" s="35"/>
      </tp>
      <tp t="s">
        <v>CLF</v>
        <stp/>
        <stp>##V3_BDPV12</stp>
        <stp>EK765338@RIAY Corp</stp>
        <stp>TRADE_CRNCY</stp>
        <stp>[GestionvXs.xlsm]Spreads!R90C6</stp>
        <tr r="F90" s="35"/>
      </tp>
      <tp t="s">
        <v>CLF</v>
        <stp/>
        <stp>##V3_BDPV12</stp>
        <stp>EK769149@RIAY Corp</stp>
        <stp>TRADE_CRNCY</stp>
        <stp>[GestionvXs.xlsm]Spreads!R47C6</stp>
        <tr r="F47" s="35"/>
      </tp>
      <tp t="s">
        <v>CLF</v>
        <stp/>
        <stp>##V3_BDPV12</stp>
        <stp>EJ669369@RIAY Corp</stp>
        <stp>TRADE_CRNCY</stp>
        <stp>[GestionvXs.xlsm]Spreads!R84C6</stp>
        <tr r="F84" s="35"/>
      </tp>
      <tp t="s">
        <v>CLF</v>
        <stp/>
        <stp>##V3_BDPV12</stp>
        <stp>EI670537@RIAY Corp</stp>
        <stp>TRADE_CRNCY</stp>
        <stp>[GestionvXs.xlsm]Spreads!R31C6</stp>
        <tr r="F31" s="35"/>
      </tp>
      <tp t="s">
        <v>CLF</v>
        <stp/>
        <stp>##V3_BDPV12</stp>
        <stp>EK303561@RIAY Corp</stp>
        <stp>TRADE_CRNCY</stp>
        <stp>[GestionvXs.xlsm]Spreads!R41C6</stp>
        <tr r="F41" s="35"/>
      </tp>
      <tp t="s">
        <v>UV5551709</v>
        <stp/>
        <stp>##V3_BDPV12</stp>
        <stp>BSECK60315 Corp</stp>
        <stp>ID_CUSIP</stp>
        <stp>[GestionvXs.xlsm]Spreads!R173C2</stp>
        <tr r="B173" s="35"/>
      </tp>
      <tp t="s">
        <v>CLF</v>
        <stp/>
        <stp>##V3_BDPV12</stp>
        <stp>EK722750@RIAY Corp</stp>
        <stp>TRADE_CRNCY</stp>
        <stp>[GestionvXs.xlsm]Spreads!R76C6</stp>
        <tr r="F76" s="35"/>
      </tp>
      <tp t="s">
        <v>CLP</v>
        <stp/>
        <stp>##V3_BDPV12</stp>
        <stp>EK615565@RIAY Corp</stp>
        <stp>TRADE_CRNCY</stp>
        <stp>[GestionvXs.xlsm]Spreads!R44C6</stp>
        <tr r="F44" s="35"/>
      </tp>
      <tp t="s">
        <v>EK2747740</v>
        <stp/>
        <stp>##V3_BDPV12</stp>
        <stp>BTU0300124 Corp</stp>
        <stp>ID_CUSIP</stp>
        <stp>[GestionvXs.xlsm]Spreads!R303C2</stp>
        <tr r="B303" s="35"/>
      </tp>
      <tp t="s">
        <v>EJ0411557</v>
        <stp/>
        <stp>##V3_BDPV12</stp>
        <stp>BTP0600122 Corp</stp>
        <stp>ID_CUSIP</stp>
        <stp>[GestionvXs.xlsm]Spreads!R335C2</stp>
        <tr r="B335" s="35"/>
      </tp>
      <tp t="s">
        <v>AM0179466</v>
        <stp/>
        <stp>##V3_BDPV12</stp>
        <stp>BTP0450221 Corp</stp>
        <stp>ID_CUSIP</stp>
        <stp>[GestionvXs.xlsm]Spreads!R333C2</stp>
        <tr r="B333" s="35"/>
      </tp>
      <tp t="s">
        <v>EK9859522</v>
        <stp/>
        <stp>##V3_BDPV12</stp>
        <stp>BTP0500335 Corp</stp>
        <stp>ID_CUSIP</stp>
        <stp>[GestionvXs.xlsm]Spreads!R342C2</stp>
        <tr r="B342" s="35"/>
      </tp>
      <tp t="s">
        <v>EJ7851847</v>
        <stp/>
        <stp>##V3_BDPV12</stp>
        <stp>BTMOV-F Corp</stp>
        <stp>ID_CUSIP</stp>
        <stp>[GestionvXs.xlsm]Spreads!R154C2</stp>
        <tr r="B154" s="35"/>
      </tp>
      <tp>
        <v>2.0643394934976045</v>
        <stp/>
        <stp>##V3_BDPV12</stp>
        <stp>EK7355895 Corp</stp>
        <stp>MTY_YEARS</stp>
        <stp>[GestionvXs.xlsm]Spreads!R220C3</stp>
        <tr r="C220" s="35"/>
      </tp>
      <tp>
        <v>1.9438740588637919</v>
        <stp/>
        <stp>##V3_BDPV12</stp>
        <stp>EK7480891 Corp</stp>
        <stp>MTY_YEARS</stp>
        <stp>[GestionvXs.xlsm]Spreads!R195C3</stp>
        <tr r="C195" s="35"/>
      </tp>
      <tp>
        <v>13.357973990417522</v>
        <stp/>
        <stp>##V3_BDPV12</stp>
        <stp>EI7216811 Corp</stp>
        <stp>MTY_YEARS</stp>
        <stp>[GestionvXs.xlsm]Spreads!R261C3</stp>
        <tr r="C261" s="35"/>
      </tp>
      <tp>
        <v>1.0266940451745379</v>
        <stp/>
        <stp>##V3_BDPV12</stp>
        <stp>EJ6693943 Corp</stp>
        <stp>MTY_YEARS</stp>
        <stp>[GestionvXs.xlsm]Spreads!R217C3</stp>
        <tr r="C217" s="35"/>
      </tp>
      <tp>
        <v>17.982203969883642</v>
        <stp/>
        <stp>##V3_BDPV12</stp>
        <stp>EK6605902 Corp</stp>
        <stp>MTY_YEARS</stp>
        <stp>[GestionvXs.xlsm]Spreads!R270C3</stp>
        <tr r="C270" s="35"/>
      </tp>
      <tp>
        <v>8.3586584531143053</v>
        <stp/>
        <stp>##V3_BDPV12</stp>
        <stp>EI5600867 Corp</stp>
        <stp>MTY_YEARS</stp>
        <stp>[GestionvXs.xlsm]Spreads!R127C3</stp>
        <tr r="C127" s="35"/>
      </tp>
      <tp t="s">
        <v>#N/A Field Not Applicable</v>
        <stp/>
        <stp>##V3_BDPV12</stp>
        <stp>EK8151269 Corp</stp>
        <stp>MTY_YEARS</stp>
        <stp>[GestionvXs.xlsm]Spreads!R234C3</stp>
        <tr r="C234" s="35"/>
      </tp>
      <tp>
        <v>12.514715947980836</v>
        <stp/>
        <stp>##V3_BDPV12</stp>
        <stp>EH8591073 Corp</stp>
        <stp>MTY_YEARS</stp>
        <stp>[GestionvXs.xlsm]Spreads!R227C3</stp>
        <tr r="C227" s="35"/>
      </tp>
      <tp>
        <v>6.6091718001368926</v>
        <stp/>
        <stp>##V3_BDPV12</stp>
        <stp>EC1758878 Corp</stp>
        <stp>MTY_YEARS</stp>
        <stp>[GestionvXs.xlsm]Spreads!R115C3</stp>
        <tr r="C115" s="35"/>
      </tp>
      <tp>
        <v>6.5270362765229297</v>
        <stp/>
        <stp>##V3_BDPV12</stp>
        <stp>EK7663124 Corp</stp>
        <stp>MTY_YEARS</stp>
        <stp>[GestionvXs.xlsm]Spreads!R226C3</stp>
        <tr r="C226" s="35"/>
      </tp>
      <tp>
        <v>8.0273785078713207</v>
        <stp/>
        <stp>##V3_BDPV12</stp>
        <stp>EC3169579 Corp</stp>
        <stp>MTY_YEARS</stp>
        <stp>[GestionvXs.xlsm]Spreads!R254C3</stp>
        <tr r="C254" s="35"/>
      </tp>
      <tp>
        <v>13.730321697467488</v>
        <stp/>
        <stp>##V3_BDPV12</stp>
        <stp>EI7556091 Corp</stp>
        <stp>MTY_YEARS</stp>
        <stp>[GestionvXs.xlsm]Spreads!R181C3</stp>
        <tr r="C181" s="35"/>
      </tp>
      <tp>
        <v>15.066392881587953</v>
        <stp/>
        <stp>##V3_BDPV12</stp>
        <stp>EI6724179 Corp</stp>
        <stp>MTY_YEARS</stp>
        <stp>[GestionvXs.xlsm]Spreads!R183C3</stp>
        <tr r="C183" s="35"/>
      </tp>
      <tp>
        <v>8.6926762491444212</v>
        <stp/>
        <stp>##V3_BDPV12</stp>
        <stp>EK7241335 Corp</stp>
        <stp>MTY_YEARS</stp>
        <stp>[GestionvXs.xlsm]Spreads!R184C3</stp>
        <tr r="C184" s="35"/>
      </tp>
      <tp>
        <v>11.066392881587953</v>
        <stp/>
        <stp>##V3_BDPV12</stp>
        <stp>EG5269147 Corp</stp>
        <stp>MTY_YEARS</stp>
        <stp>[GestionvXs.xlsm]Spreads!R200C3</stp>
        <tr r="C200" s="35"/>
      </tp>
      <tp t="s">
        <v>EI7119825</v>
        <stp/>
        <stp>##V3_BDPV12</stp>
        <stp>BCHIUJ0811 Corp</stp>
        <stp>ID_CUSIP</stp>
        <stp>[GestionvXs.xlsm]Spreads!R88C2</stp>
        <tr r="B88" s="35"/>
      </tp>
      <tp t="s">
        <v>EK7226120</v>
        <stp/>
        <stp>##V3_BDPV12</stp>
        <stp>BCHIUN1011 Corp</stp>
        <stp>ID_CUSIP</stp>
        <stp>[GestionvXs.xlsm]Spreads!R78C2</stp>
        <tr r="B78" s="35"/>
      </tp>
      <tp t="s">
        <v>CLF</v>
        <stp/>
        <stp>##V3_BDPV12</stp>
        <stp>EJ547624@RIAY Corp</stp>
        <stp>TRADE_CRNCY</stp>
        <stp>[GestionvXs.xlsm]Spreads!R62C6</stp>
        <tr r="F62" s="35"/>
      </tp>
      <tp t="s">
        <v>CLF</v>
        <stp/>
        <stp>##V3_BDPV12</stp>
        <stp>EJ525013@RIAY Corp</stp>
        <stp>TRADE_CRNCY</stp>
        <stp>[GestionvXs.xlsm]Spreads!R11C6</stp>
        <tr r="F11" s="35"/>
      </tp>
      <tp t="s">
        <v>CLP</v>
        <stp/>
        <stp>##V3_BDPV12</stp>
        <stp>EJ713853@RIAY Corp</stp>
        <stp>TRADE_CRNCY</stp>
        <stp>[GestionvXs.xlsm]Spreads!R27C6</stp>
        <tr r="F27" s="35"/>
      </tp>
      <tp t="s">
        <v>CLF</v>
        <stp/>
        <stp>##V3_BDPV12</stp>
        <stp>EK436397@RIAY Corp</stp>
        <stp>TRADE_CRNCY</stp>
        <stp>[GestionvXs.xlsm]Spreads!R48C6</stp>
        <tr r="F48" s="35"/>
      </tp>
      <tp t="s">
        <v>EF1176546</v>
        <stp/>
        <stp>##V3_BDPV12</stp>
        <stp>BTU0260925 Corp</stp>
        <stp>ID_CUSIP</stp>
        <stp>[GestionvXs.xlsm]Spreads!R305C2</stp>
        <tr r="B305" s="35"/>
      </tp>
      <tp t="s">
        <v>QZ9212478</v>
        <stp/>
        <stp>##V3_BDPV12</stp>
        <stp>BCAPS-G Corp</stp>
        <stp>ID_CUSIP</stp>
        <stp>[GestionvXs.xlsm]Spreads!R118C2</stp>
        <tr r="B118" s="35"/>
      </tp>
      <tp t="s">
        <v>EK3855781</v>
        <stp/>
        <stp>##V3_BDPV12</stp>
        <stp>BWATT-L Corp</stp>
        <stp>ID_CUSIP</stp>
        <stp>[GestionvXs.xlsm]Spreads!R273C2</stp>
        <tr r="B273" s="35"/>
      </tp>
      <tp>
        <v>5.8672142368240934</v>
        <stp/>
        <stp>##V3_BDPV12</stp>
        <stp>EJ7851847 Corp</stp>
        <stp>MTY_YEARS</stp>
        <stp>[GestionvXs.xlsm]Spreads!R154C3</stp>
        <tr r="C154" s="35"/>
      </tp>
      <tp>
        <v>16.150581793292265</v>
        <stp/>
        <stp>##V3_BDPV12</stp>
        <stp>EK0385824 Corp</stp>
        <stp>MTY_YEARS</stp>
        <stp>[GestionvXs.xlsm]Spreads!R231C3</stp>
        <tr r="C231" s="35"/>
      </tp>
      <tp>
        <v>6.6940451745379876</v>
        <stp/>
        <stp>##V3_BDPV12</stp>
        <stp>EK8223019 Corp</stp>
        <stp>MTY_YEARS</stp>
        <stp>[GestionvXs.xlsm]Spreads!R167C3</stp>
        <tr r="C167" s="35"/>
      </tp>
      <tp t="s">
        <v>#N/A Field Not Applicable</v>
        <stp/>
        <stp>##V3_BDPV12</stp>
        <stp>EK7291181 Corp</stp>
        <stp>MTY_YEARS</stp>
        <stp>[GestionvXs.xlsm]Spreads!R215C3</stp>
        <tr r="C215" s="35"/>
      </tp>
      <tp>
        <v>2.7789185489390826</v>
        <stp/>
        <stp>##V3_BDPV12</stp>
        <stp>EK4921376 Corp</stp>
        <stp>MTY_YEARS</stp>
        <stp>[GestionvXs.xlsm]Spreads!R105C3</stp>
        <tr r="C105" s="35"/>
      </tp>
      <tp>
        <v>4.6926762491444221</v>
        <stp/>
        <stp>##V3_BDPV12</stp>
        <stp>EK7384390 Corp</stp>
        <stp>MTY_YEARS</stp>
        <stp>[GestionvXs.xlsm]Spreads!R140C3</stp>
        <tr r="C140" s="35"/>
      </tp>
      <tp>
        <v>13.026694045174539</v>
        <stp/>
        <stp>##V3_BDPV12</stp>
        <stp>EK7301386 Corp</stp>
        <stp>MTY_YEARS</stp>
        <stp>[GestionvXs.xlsm]Spreads!R165C3</stp>
        <tr r="C165" s="35"/>
      </tp>
      <tp>
        <v>3.2744695414099931</v>
        <stp/>
        <stp>##V3_BDPV12</stp>
        <stp>JK3526734 Corp</stp>
        <stp>MTY_YEARS</stp>
        <stp>[GestionvXs.xlsm]Spreads!R112C3</stp>
        <tr r="C112" s="35"/>
      </tp>
      <tp>
        <v>17.478439425051334</v>
        <stp/>
        <stp>##V3_BDPV12</stp>
        <stp>EK4360732 Corp</stp>
        <stp>MTY_YEARS</stp>
        <stp>[GestionvXs.xlsm]Spreads!R274C3</stp>
        <tr r="C274" s="35"/>
      </tp>
      <tp>
        <v>4.85968514715948</v>
        <stp/>
        <stp>##V3_BDPV12</stp>
        <stp>EK7226427 Corp</stp>
        <stp>MTY_YEARS</stp>
        <stp>[GestionvXs.xlsm]Spreads!R142C3</stp>
        <tr r="C142" s="35"/>
      </tp>
      <tp>
        <v>6.6940451745379876</v>
        <stp/>
        <stp>##V3_BDPV12</stp>
        <stp>EK9932931 Corp</stp>
        <stp>MTY_YEARS</stp>
        <stp>[GestionvXs.xlsm]Spreads!R166C3</stp>
        <tr r="C166" s="35"/>
      </tp>
      <tp>
        <v>10.026009582477755</v>
        <stp/>
        <stp>##V3_BDPV12</stp>
        <stp>EJ4927418 Corp</stp>
        <stp>MTY_YEARS</stp>
        <stp>[GestionvXs.xlsm]Spreads!R202C3</stp>
        <tr r="C202" s="35"/>
      </tp>
      <tp>
        <v>4.3586584531143053</v>
        <stp/>
        <stp>##V3_BDPV12</stp>
        <stp>EJ7935616 Corp</stp>
        <stp>MTY_YEARS</stp>
        <stp>[GestionvXs.xlsm]Spreads!R130C3</stp>
        <tr r="C130" s="35"/>
      </tp>
      <tp t="s">
        <v>CLF</v>
        <stp/>
        <stp>##V3_BDPV12</stp>
        <stp>EJ669679@RIAY Corp</stp>
        <stp>TRADE_CRNCY</stp>
        <stp>[GestionvXs.xlsm]Spreads!R63C6</stp>
        <tr r="F63" s="35"/>
      </tp>
      <tp t="s">
        <v>CLF</v>
        <stp/>
        <stp>##V3_BDPV12</stp>
        <stp>EI826332@RIAY Corp</stp>
        <stp>TRADE_CRNCY</stp>
        <stp>[GestionvXs.xlsm]Spreads!R19C6</stp>
        <tr r="F19" s="35"/>
      </tp>
      <tp t="s">
        <v>EG4264057</v>
        <stp/>
        <stp>##V3_BDPV12</stp>
        <stp>USECJ11206 Corp</stp>
        <stp>ID_CUSIP</stp>
        <stp>[GestionvXs.xlsm]Spreads!R201C2</stp>
        <tr r="B201" s="35"/>
      </tp>
      <tp t="s">
        <v>CLF</v>
        <stp/>
        <stp>##V3_BDPV12</stp>
        <stp>EK748077@RIAY Corp</stp>
        <stp>TRADE_CRNCY</stp>
        <stp>[GestionvXs.xlsm]Spreads!R12C6</stp>
        <tr r="F12" s="35"/>
      </tp>
      <tp t="s">
        <v>CLF</v>
        <stp/>
        <stp>##V3_BDPV12</stp>
        <stp>EK468823@RIAY Corp</stp>
        <stp>TRADE_CRNCY</stp>
        <stp>[GestionvXs.xlsm]Spreads!R24C6</stp>
        <tr r="F24" s="35"/>
      </tp>
      <tp t="s">
        <v>CLF</v>
        <stp/>
        <stp>##V3_BDPV12</stp>
        <stp>EJ101756@RIAY Corp</stp>
        <stp>TRADE_CRNCY</stp>
        <stp>[GestionvXs.xlsm]Spreads!R36C6</stp>
        <tr r="F36" s="35"/>
      </tp>
      <tp t="s">
        <v>EI1297627</v>
        <stp/>
        <stp>##V3_BDPV12</stp>
        <stp>BTU0300130 Corp</stp>
        <stp>ID_CUSIP</stp>
        <stp>[GestionvXs.xlsm]Spreads!R311C2</stp>
        <tr r="B311" s="35"/>
      </tp>
      <tp t="s">
        <v>EJ0411672</v>
        <stp/>
        <stp>##V3_BDPV12</stp>
        <stp>BTU0300132 Corp</stp>
        <stp>ID_CUSIP</stp>
        <stp>[GestionvXs.xlsm]Spreads!R313C2</stp>
        <tr r="B313" s="35"/>
      </tp>
      <tp t="s">
        <v>EI3392418</v>
        <stp/>
        <stp>##V3_BDPV12</stp>
        <stp>BTU0300717 Corp</stp>
        <stp>ID_CUSIP</stp>
        <stp>[GestionvXs.xlsm]Spreads!R286C2</stp>
        <tr r="B286" s="35"/>
      </tp>
      <tp t="s">
        <v>EK2747328</v>
        <stp/>
        <stp>##V3_BDPV12</stp>
        <stp>BTP0600119 Corp</stp>
        <stp>ID_CUSIP</stp>
        <stp>[GestionvXs.xlsm]Spreads!R328C2</stp>
        <tr r="B328" s="35"/>
      </tp>
      <tp t="s">
        <v>AL4694702</v>
        <stp/>
        <stp>##V3_BDPV12</stp>
        <stp>BARAU-S Corp</stp>
        <stp>ID_CUSIP</stp>
        <stp>[GestionvXs.xlsm]Spreads!R188C2</stp>
        <tr r="B188" s="35"/>
      </tp>
      <tp t="s">
        <v>EK2472430</v>
        <stp/>
        <stp>##V3_BDPV12</stp>
        <stp>BLCON-B Corp</stp>
        <stp>ID_CUSIP</stp>
        <stp>[GestionvXs.xlsm]Spreads!R268C2</stp>
        <tr r="B268" s="35"/>
      </tp>
      <tp t="s">
        <v>EI7556091</v>
        <stp/>
        <stp>##V3_BDPV12</stp>
        <stp>BEKOP-C Corp</stp>
        <stp>ID_CUSIP</stp>
        <stp>[GestionvXs.xlsm]Spreads!R181C2</stp>
        <tr r="B181" s="35"/>
      </tp>
      <tp t="s">
        <v>EI7167493</v>
        <stp/>
        <stp>##V3_BDPV12</stp>
        <stp>BCENC-O Corp</stp>
        <stp>ID_CUSIP</stp>
        <stp>[GestionvXs.xlsm]Spreads!R193C2</stp>
        <tr r="B193" s="35"/>
      </tp>
      <tp t="s">
        <v>EH8133967</v>
        <stp/>
        <stp>##V3_BDPV12</stp>
        <stp>BGENE-N Corp</stp>
        <stp>ID_CUSIP</stp>
        <stp>[GestionvXs.xlsm]Spreads!R152C2</stp>
        <tr r="B152" s="35"/>
      </tp>
      <tp t="s">
        <v>EK3066140</v>
        <stp/>
        <stp>##V3_BDPV12</stp>
        <stp>BSALF-M Corp</stp>
        <stp>ID_CUSIP</stp>
        <stp>[GestionvXs.xlsm]Spreads!R245C2</stp>
        <tr r="B245" s="35"/>
      </tp>
      <tp t="s">
        <v>EH8584672</v>
        <stp/>
        <stp>##V3_BDPV12</stp>
        <stp>BMOLY-C Corp</stp>
        <stp>ID_CUSIP</stp>
        <stp>[GestionvXs.xlsm]Spreads!R265C2</stp>
        <tr r="B265" s="35"/>
      </tp>
      <tp t="s">
        <v>EI7216811</v>
        <stp/>
        <stp>##V3_BDPV12</stp>
        <stp>BWATT-I Corp</stp>
        <stp>ID_CUSIP</stp>
        <stp>[GestionvXs.xlsm]Spreads!R261C2</stp>
        <tr r="B261" s="35"/>
      </tp>
      <tp t="s">
        <v>EK7291181</v>
        <stp/>
        <stp>##V3_BDPV12</stp>
        <stp>BTRA1-6B1 Corp</stp>
        <stp>ID_CUSIP</stp>
        <stp>[GestionvXs.xlsm]Spreads!R215C2</stp>
        <tr r="B215" s="35"/>
      </tp>
      <tp t="s">
        <v>EK6751219</v>
        <stp/>
        <stp>##V3_BDPV12</stp>
        <stp>BSTDSF1014 Corp</stp>
        <stp>ID_CUSIP</stp>
        <stp>[GestionvXs.xlsm]Spreads!R98C2</stp>
        <tr r="B98" s="35"/>
      </tp>
      <tp>
        <v>5.4401095140314855</v>
        <stp/>
        <stp>##V3_BDPV12</stp>
        <stp>EK7217962 Corp</stp>
        <stp>MTY_YEARS</stp>
        <stp>[GestionvXs.xlsm]Spreads!R224C3</stp>
        <tr r="C224" s="35"/>
      </tp>
      <tp t="s">
        <v>#N/A Field Not Applicable</v>
        <stp/>
        <stp>##V3_BDPV12</stp>
        <stp>EJ6515997 Corp</stp>
        <stp>MTY_YEARS</stp>
        <stp>[GestionvXs.xlsm]Spreads!R237C3</stp>
        <tr r="C237" s="35"/>
      </tp>
      <tp>
        <v>6.1765913757700206</v>
        <stp/>
        <stp>##V3_BDPV12</stp>
        <stp>EK7532840 Corp</stp>
        <stp>MTY_YEARS</stp>
        <stp>[GestionvXs.xlsm]Spreads!R221C3</stp>
        <tr r="C221" s="35"/>
      </tp>
      <tp>
        <v>12.418891170431211</v>
        <stp/>
        <stp>##V3_BDPV12</stp>
        <stp>EH8187443 Corp</stp>
        <stp>MTY_YEARS</stp>
        <stp>[GestionvXs.xlsm]Spreads!R257C3</stp>
        <tr r="C257" s="35"/>
      </tp>
      <tp>
        <v>12.336755646817249</v>
        <stp/>
        <stp>##V3_BDPV12</stp>
        <stp>EH8288456 Corp</stp>
        <stp>MTY_YEARS</stp>
        <stp>[GestionvXs.xlsm]Spreads!R228C3</stp>
        <tr r="C228" s="35"/>
      </tp>
      <tp>
        <v>1.3579739904175223</v>
        <stp/>
        <stp>##V3_BDPV12</stp>
        <stp>EK3950996 Corp</stp>
        <stp>MTY_YEARS</stp>
        <stp>[GestionvXs.xlsm]Spreads!R243C3</stp>
        <tr r="C243" s="35"/>
      </tp>
      <tp>
        <v>6.3600273785078709</v>
        <stp/>
        <stp>##V3_BDPV12</stp>
        <stp>EK3266963 Corp</stp>
        <stp>MTY_YEARS</stp>
        <stp>[GestionvXs.xlsm]Spreads!R225C3</stp>
        <tr r="C225" s="35"/>
      </tp>
      <tp>
        <v>3.2744695414099931</v>
        <stp/>
        <stp>##V3_BDPV12</stp>
        <stp>JK3455884 Corp</stp>
        <stp>MTY_YEARS</stp>
        <stp>[GestionvXs.xlsm]Spreads!R116C3</stp>
        <tr r="C116" s="35"/>
      </tp>
      <tp>
        <v>21.357973990417523</v>
        <stp/>
        <stp>##V3_BDPV12</stp>
        <stp>EK2712934 Corp</stp>
        <stp>MTY_YEARS</stp>
        <stp>[GestionvXs.xlsm]Spreads!R281C3</stp>
        <tr r="C281" s="35"/>
      </tp>
      <tp>
        <v>10.565366187542779</v>
        <stp/>
        <stp>##V3_BDPV12</stp>
        <stp>EH3101571 Corp</stp>
        <stp>MTY_YEARS</stp>
        <stp>[GestionvXs.xlsm]Spreads!R151C3</stp>
        <tr r="C151" s="35"/>
      </tp>
      <tp>
        <v>22.275154004106778</v>
        <stp/>
        <stp>##V3_BDPV12</stp>
        <stp>EK7834303 Corp</stp>
        <stp>MTY_YEARS</stp>
        <stp>[GestionvXs.xlsm]Spreads!R207C3</stp>
        <tr r="C207" s="35"/>
      </tp>
      <tp>
        <v>8.7775496235455162</v>
        <stp/>
        <stp>##V3_BDPV12</stp>
        <stp>EC4898648 Corp</stp>
        <stp>MTY_YEARS</stp>
        <stp>[GestionvXs.xlsm]Spreads!R133C3</stp>
        <tr r="C133" s="35"/>
      </tp>
      <tp>
        <v>3.8986995208761122</v>
        <stp/>
        <stp>##V3_BDPV12</stp>
        <stp>AM1823385 Corp</stp>
        <stp>MTY_YEARS</stp>
        <stp>[GestionvXs.xlsm]Spreads!R196C3</stp>
        <tr r="C196" s="35"/>
      </tp>
      <tp>
        <v>1.4647501711156743</v>
        <stp/>
        <stp>##V3_BDPV12</stp>
        <stp>EK3066140 Corp</stp>
        <stp>MTY_YEARS</stp>
        <stp>[GestionvXs.xlsm]Spreads!R245C3</stp>
        <tr r="C245" s="35"/>
      </tp>
      <tp>
        <v>3.6084873374401094</v>
        <stp/>
        <stp>##V3_BDPV12</stp>
        <stp>EI7623537 Corp</stp>
        <stp>MTY_YEARS</stp>
        <stp>[GestionvXs.xlsm]Spreads!R122C3</stp>
        <tr r="C122" s="35"/>
      </tp>
      <tp>
        <v>5.8590006844626972</v>
        <stp/>
        <stp>##V3_BDPV12</stp>
        <stp>EK7226666 Corp</stp>
        <stp>MTY_YEARS</stp>
        <stp>[GestionvXs.xlsm]Spreads!R155C3</stp>
        <tr r="C155" s="35"/>
      </tp>
      <tp t="s">
        <v>CLF</v>
        <stp/>
        <stp>##V3_BDPV12</stp>
        <stp>EK310928@RIAY Corp</stp>
        <stp>TRADE_CRNCY</stp>
        <stp>[GestionvXs.xlsm]Spreads!R42C6</stp>
        <tr r="F42" s="35"/>
      </tp>
      <tp t="s">
        <v>CLP</v>
        <stp/>
        <stp>##V3_BDPV12</stp>
        <stp>EJ783912@RIAY Corp</stp>
        <stp>TRADE_CRNCY</stp>
        <stp>[GestionvXs.xlsm]Spreads!R25C6</stp>
        <tr r="F25" s="35"/>
      </tp>
      <tp t="s">
        <v>CLF</v>
        <stp/>
        <stp>##V3_BDPV12</stp>
        <stp>EK724829@RIAY Corp</stp>
        <stp>TRADE_CRNCY</stp>
        <stp>[GestionvXs.xlsm]Spreads!R86C6</stp>
        <tr r="F86" s="35"/>
      </tp>
      <tp t="s">
        <v>EK7663124</v>
        <stp/>
        <stp>##V3_BDPV12</stp>
        <stp>BSECK50614 Corp</stp>
        <stp>ID_CUSIP</stp>
        <stp>[GestionvXs.xlsm]Spreads!R226C2</stp>
        <tr r="B226" s="35"/>
      </tp>
      <tp t="s">
        <v>JV4333557</v>
        <stp/>
        <stp>##V3_BDPV12</stp>
        <stp>BSECZ10715 Corp</stp>
        <stp>ID_CUSIP</stp>
        <stp>[GestionvXs.xlsm]Spreads!R103C2</stp>
        <tr r="B103" s="35"/>
      </tp>
      <tp t="s">
        <v>EJ9488465</v>
        <stp/>
        <stp>##V3_BDPV12</stp>
        <stp>USECJ31013 Corp</stp>
        <stp>ID_CUSIP</stp>
        <stp>[GestionvXs.xlsm]Spreads!R277C2</stp>
        <tr r="B277" s="35"/>
      </tp>
      <tp t="s">
        <v>CLF</v>
        <stp/>
        <stp>##V3_BDPV12</stp>
        <stp>EK068745@RIAY Corp</stp>
        <stp>TRADE_CRNCY</stp>
        <stp>[GestionvXs.xlsm]Spreads!R57C6</stp>
        <tr r="F57" s="35"/>
      </tp>
      <tp t="s">
        <v>CLF</v>
        <stp/>
        <stp>##V3_BDPV12</stp>
        <stp>EK750860@RIAY Corp</stp>
        <stp>TRADE_CRNCY</stp>
        <stp>[GestionvXs.xlsm]Spreads!R32C6</stp>
        <tr r="F32" s="35"/>
      </tp>
      <tp t="s">
        <v>CLP</v>
        <stp/>
        <stp>##V3_BDPV12</stp>
        <stp>EK945181@RIAY Corp</stp>
        <stp>TRADE_CRNCY</stp>
        <stp>[GestionvXs.xlsm]Spreads!R82C6</stp>
        <tr r="F82" s="35"/>
      </tp>
      <tp t="s">
        <v>CLF</v>
        <stp/>
        <stp>##V3_BDPV12</stp>
        <stp>EK738415@RIAY Corp</stp>
        <stp>TRADE_CRNCY</stp>
        <stp>[GestionvXs.xlsm]Spreads!R75C6</stp>
        <tr r="F75" s="35"/>
      </tp>
      <tp t="s">
        <v>EK2748045</v>
        <stp/>
        <stp>##V3_BDPV12</stp>
        <stp>BTU0300134 Corp</stp>
        <stp>ID_CUSIP</stp>
        <stp>[GestionvXs.xlsm]Spreads!R314C2</stp>
        <tr r="B314" s="35"/>
      </tp>
      <tp t="s">
        <v>EG3160462</v>
        <stp/>
        <stp>##V3_BDPV12</stp>
        <stp>BTU0300327 Corp</stp>
        <stp>ID_CUSIP</stp>
        <stp>[GestionvXs.xlsm]Spreads!R307C2</stp>
        <tr r="B307" s="35"/>
      </tp>
      <tp t="s">
        <v>EH2852125</v>
        <stp/>
        <stp>##V3_BDPV12</stp>
        <stp>BTU0300328 Corp</stp>
        <stp>ID_CUSIP</stp>
        <stp>[GestionvXs.xlsm]Spreads!R308C2</stp>
        <tr r="B308" s="35"/>
      </tp>
      <tp t="s">
        <v>AF1683479</v>
        <stp/>
        <stp>##V3_BDPV12</stp>
        <stp>BTU0200335 Corp</stp>
        <stp>ID_CUSIP</stp>
        <stp>[GestionvXs.xlsm]Spreads!R315C2</stp>
        <tr r="B315" s="35"/>
      </tp>
      <tp t="s">
        <v>EJ5299593</v>
        <stp/>
        <stp>##V3_BDPV12</stp>
        <stp>BTP0600143 Corp</stp>
        <stp>ID_CUSIP</stp>
        <stp>[GestionvXs.xlsm]Spreads!R343C2</stp>
        <tr r="B343" s="35"/>
      </tp>
      <tp t="s">
        <v>JK9502879</v>
        <stp/>
        <stp>##V3_BDPV12</stp>
        <stp>BTP0450321 Corp</stp>
        <stp>ID_CUSIP</stp>
        <stp>[GestionvXs.xlsm]Spreads!R334C2</stp>
        <tr r="B334" s="35"/>
      </tp>
      <tp t="s">
        <v>EI0719365</v>
        <stp/>
        <stp>##V3_BDPV12</stp>
        <stp>BSOND-C Corp</stp>
        <stp>ID_CUSIP</stp>
        <stp>[GestionvXs.xlsm]Spreads!R174C2</stp>
        <tr r="B174" s="35"/>
      </tp>
      <tp t="s">
        <v>EH8601724</v>
        <stp/>
        <stp>##V3_BDPV12</stp>
        <stp>BIELC-D Corp</stp>
        <stp>ID_CUSIP</stp>
        <stp>[GestionvXs.xlsm]Spreads!R159C2</stp>
        <tr r="B159" s="35"/>
      </tp>
      <tp t="s">
        <v>QZ6735695</v>
        <stp/>
        <stp>##V3_BDPV12</stp>
        <stp>BCAPS-H Corp</stp>
        <stp>ID_CUSIP</stp>
        <stp>[GestionvXs.xlsm]Spreads!R251C2</stp>
        <tr r="B251" s="35"/>
      </tp>
      <tp t="s">
        <v>EG7417918</v>
        <stp/>
        <stp>##V3_BDPV12</stp>
        <stp>BANUE-A Corp</stp>
        <stp>ID_CUSIP</stp>
        <stp>[GestionvXs.xlsm]Spreads!R147C2</stp>
        <tr r="B147" s="35"/>
      </tp>
      <tp>
        <v>2.4804928131416837</v>
        <stp/>
        <stp>##V3_BDPV12</stp>
        <stp>EK7533988 Corp</stp>
        <stp>MTY_YEARS</stp>
        <stp>[GestionvXs.xlsm]Spreads!R101C3</stp>
        <tr r="C101" s="35"/>
      </tp>
      <tp>
        <v>10.52703627652293</v>
        <stp/>
        <stp>##V3_BDPV12</stp>
        <stp>EH8584672 Corp</stp>
        <stp>MTY_YEARS</stp>
        <stp>[GestionvXs.xlsm]Spreads!R265C3</stp>
        <tr r="C265" s="35"/>
      </tp>
      <tp>
        <v>9.1964407939767288</v>
        <stp/>
        <stp>##V3_BDPV12</stp>
        <stp>EK6920087 Corp</stp>
        <stp>MTY_YEARS</stp>
        <stp>[GestionvXs.xlsm]Spreads!R262C3</stp>
        <tr r="C262" s="35"/>
      </tp>
      <tp>
        <v>21.451060917180012</v>
        <stp/>
        <stp>##V3_BDPV12</stp>
        <stp>EK3130516 Corp</stp>
        <stp>MTY_YEARS</stp>
        <stp>[GestionvXs.xlsm]Spreads!R192C3</stp>
        <tr r="C192" s="35"/>
      </tp>
      <tp>
        <v>16.982888432580424</v>
        <stp/>
        <stp>##V3_BDPV12</stp>
        <stp>EK3855484 Corp</stp>
        <stp>MTY_YEARS</stp>
        <stp>[GestionvXs.xlsm]Spreads!R267C3</stp>
        <tr r="C267" s="35"/>
      </tp>
      <tp>
        <v>5.1115674195756329</v>
        <stp/>
        <stp>##V3_BDPV12</stp>
        <stp>EJ7935319 Corp</stp>
        <stp>MTY_YEARS</stp>
        <stp>[GestionvXs.xlsm]Spreads!R146C3</stp>
        <tr r="C146" s="35"/>
      </tp>
      <tp>
        <v>18.609171800136892</v>
        <stp/>
        <stp>##V3_BDPV12</stp>
        <stp>EI7700277 Corp</stp>
        <stp>MTY_YEARS</stp>
        <stp>[GestionvXs.xlsm]Spreads!R280C3</stp>
        <tr r="C280" s="35"/>
      </tp>
      <tp>
        <v>15.945242984257359</v>
        <stp/>
        <stp>##V3_BDPV12</stp>
        <stp>EI5580614 Corp</stp>
        <stp>MTY_YEARS</stp>
        <stp>[GestionvXs.xlsm]Spreads!R230C3</stp>
        <tr r="C230" s="35"/>
      </tp>
      <tp>
        <v>19.274469541409992</v>
        <stp/>
        <stp>##V3_BDPV12</stp>
        <stp>EK7507701 Corp</stp>
        <stp>MTY_YEARS</stp>
        <stp>[GestionvXs.xlsm]Spreads!R275C3</stp>
        <tr r="C275" s="35"/>
      </tp>
      <tp>
        <v>3.4414784394250515</v>
        <stp/>
        <stp>##V3_BDPV12</stp>
        <stp>EI7217694 Corp</stp>
        <stp>MTY_YEARS</stp>
        <stp>[GestionvXs.xlsm]Spreads!R117C3</stp>
        <tr r="C117" s="35"/>
      </tp>
      <tp>
        <v>11.028062970568104</v>
        <stp/>
        <stp>##V3_BDPV12</stp>
        <stp>EH8133967 Corp</stp>
        <stp>MTY_YEARS</stp>
        <stp>[GestionvXs.xlsm]Spreads!R152C3</stp>
        <tr r="C152" s="35"/>
      </tp>
      <tp>
        <v>2.7378507871321012E-2</v>
        <stp/>
        <stp>##V3_BDPV12</stp>
        <stp>EJ5333459 Corp</stp>
        <stp>MTY_YEARS</stp>
        <stp>[GestionvXs.xlsm]Spreads!R240C3</stp>
        <tr r="C240" s="35"/>
      </tp>
      <tp t="s">
        <v>CLF</v>
        <stp/>
        <stp>##V3_BDPV12</stp>
        <stp>EJ097901@RIAY Corp</stp>
        <stp>TRADE_CRNCY</stp>
        <stp>[GestionvXs.xlsm]Spreads!R30C6</stp>
        <tr r="F30" s="35"/>
      </tp>
      <tp t="s">
        <v>CLF</v>
        <stp/>
        <stp>##V3_BDPV12</stp>
        <stp>EI382562@RIAY Corp</stp>
        <stp>TRADE_CRNCY</stp>
        <stp>[GestionvXs.xlsm]Spreads!R55C6</stp>
        <tr r="F55" s="35"/>
      </tp>
      <tp t="s">
        <v>CLP</v>
        <stp/>
        <stp>##V3_BDPV12</stp>
        <stp>EJ655859@RIAY Corp</stp>
        <stp>TRADE_CRNCY</stp>
        <stp>[GestionvXs.xlsm]Spreads!R33C6</stp>
        <tr r="F33" s="35"/>
      </tp>
      <tp t="s">
        <v>CLF</v>
        <stp/>
        <stp>##V3_BDPV12</stp>
        <stp>EK271119@RIAY Corp</stp>
        <stp>TRADE_CRNCY</stp>
        <stp>[GestionvXs.xlsm]Spreads!R83C6</stp>
        <tr r="F83" s="35"/>
      </tp>
      <tp t="s">
        <v>CLF</v>
        <stp/>
        <stp>##V3_BDPV12</stp>
        <stp>EJ802090@RIAY Corp</stp>
        <stp>TRADE_CRNCY</stp>
        <stp>[GestionvXs.xlsm]Spreads!R71C6</stp>
        <tr r="F71" s="35"/>
      </tp>
      <tp t="s">
        <v>CLP</v>
        <stp/>
        <stp>##V3_BDPV12</stp>
        <stp>LW793968@RIAY Corp</stp>
        <stp>TRADE_CRNCY</stp>
        <stp>[GestionvXs.xlsm]Spreads!R61C6</stp>
        <tr r="F61" s="35"/>
      </tp>
      <tp t="s">
        <v>CLF</v>
        <stp/>
        <stp>##V3_BDPV12</stp>
        <stp>EC238831@RIAY Corp</stp>
        <stp>TRADE_CRNCY</stp>
        <stp>[GestionvXs.xlsm]Spreads!R81C6</stp>
        <tr r="F81" s="35"/>
      </tp>
      <tp t="s">
        <v>EK7508485</v>
        <stp/>
        <stp>##V3_BDPV12</stp>
        <stp>BSECK41013 Corp</stp>
        <stp>ID_CUSIP</stp>
        <stp>[GestionvXs.xlsm]Spreads!R153C2</stp>
        <tr r="B153" s="35"/>
      </tp>
      <tp t="s">
        <v>CLF</v>
        <stp/>
        <stp>##V3_BDPV12</stp>
        <stp>EJ621275@RIAY Corp</stp>
        <stp>TRADE_CRNCY</stp>
        <stp>[GestionvXs.xlsm]Spreads!R21C6</stp>
        <tr r="F21" s="35"/>
      </tp>
      <tp t="s">
        <v>UV7650293</v>
        <stp/>
        <stp>##V3_BDPV12</stp>
        <stp>BTU0150321 Corp</stp>
        <stp>ID_CUSIP</stp>
        <stp>[GestionvXs.xlsm]Spreads!R297C2</stp>
        <tr r="B297" s="35"/>
      </tp>
      <tp t="s">
        <v>EJ7935616</v>
        <stp/>
        <stp>##V3_BDPV12</stp>
        <stp>BSTDE60412 Corp</stp>
        <stp>ID_CUSIP</stp>
        <stp>[GestionvXs.xlsm]Spreads!R130C2</stp>
        <tr r="B130" s="35"/>
      </tp>
      <tp t="s">
        <v>LW3904031</v>
        <stp/>
        <stp>##V3_BDPV12</stp>
        <stp>BAGUA-AA Corp</stp>
        <stp>ID_CUSIP</stp>
        <stp>[GestionvXs.xlsm]Spreads!R212C2</stp>
        <tr r="B212" s="35"/>
      </tp>
      <tp t="s">
        <v>EK3730976</v>
        <stp/>
        <stp>##V3_BDPV12</stp>
        <stp>BENTE-M Corp</stp>
        <stp>ID_CUSIP</stp>
        <stp>[GestionvXs.xlsm]Spreads!R278C2</stp>
        <tr r="B278" s="35"/>
      </tp>
      <tp t="s">
        <v>#N/A Field Not Applicable</v>
        <stp/>
        <stp>##V3_BDPV12</stp>
        <stp>EJ7096914 Corp</stp>
        <stp>MTY_YEARS</stp>
        <stp>[GestionvXs.xlsm]Spreads!R236C3</stp>
        <tr r="C236" s="35"/>
      </tp>
      <tp>
        <v>7.2388774811772763</v>
        <stp/>
        <stp>##V3_BDPV12</stp>
        <stp>EI6581959 Corp</stp>
        <stp>MTY_YEARS</stp>
        <stp>[GestionvXs.xlsm]Spreads!R252C3</stp>
        <tr r="C252" s="35"/>
      </tp>
      <tp>
        <v>3.1129363449691994</v>
        <stp/>
        <stp>##V3_BDPV12</stp>
        <stp>EK5072971 Corp</stp>
        <stp>MTY_YEARS</stp>
        <stp>[GestionvXs.xlsm]Spreads!R113C3</stp>
        <tr r="C113" s="35"/>
      </tp>
      <tp>
        <v>2.861054072553046</v>
        <stp/>
        <stp>##V3_BDPV12</stp>
        <stp>EK9931313 Corp</stp>
        <stp>MTY_YEARS</stp>
        <stp>[GestionvXs.xlsm]Spreads!R110C3</stp>
        <tr r="C110" s="35"/>
      </tp>
      <tp>
        <v>2.729637234770705</v>
        <stp/>
        <stp>##V3_BDPV12</stp>
        <stp>QJ1897819 Corp</stp>
        <stp>MTY_YEARS</stp>
        <stp>[GestionvXs.xlsm]Spreads!R107C3</stp>
        <tr r="C107" s="35"/>
      </tp>
      <tp t="s">
        <v>#N/A Field Not Applicable</v>
        <stp/>
        <stp>##V3_BDPV12</stp>
        <stp>EK0172701 Corp</stp>
        <stp>MTY_YEARS</stp>
        <stp>[GestionvXs.xlsm]Spreads!R233C3</stp>
        <tr r="C233" s="35"/>
      </tp>
      <tp>
        <v>2.4421629021218343</v>
        <stp/>
        <stp>##V3_BDPV12</stp>
        <stp>EK7481014 Corp</stp>
        <stp>MTY_YEARS</stp>
        <stp>[GestionvXs.xlsm]Spreads!R100C3</stp>
        <tr r="C100" s="35"/>
      </tp>
      <tp>
        <v>4.3586584531143053</v>
        <stp/>
        <stp>##V3_BDPV12</stp>
        <stp>EJ6691293 Corp</stp>
        <stp>MTY_YEARS</stp>
        <stp>[GestionvXs.xlsm]Spreads!R131C3</stp>
        <tr r="C131" s="35"/>
      </tp>
      <tp>
        <v>6.8610540725530456</v>
        <stp/>
        <stp>##V3_BDPV12</stp>
        <stp>EK7653505 Corp</stp>
        <stp>MTY_YEARS</stp>
        <stp>[GestionvXs.xlsm]Spreads!R172C3</stp>
        <tr r="C172" s="35"/>
      </tp>
      <tp>
        <v>14.778918548939084</v>
        <stp/>
        <stp>##V3_BDPV12</stp>
        <stp>EJ0065270 Corp</stp>
        <stp>MTY_YEARS</stp>
        <stp>[GestionvXs.xlsm]Spreads!R185C3</stp>
        <tr r="C185" s="35"/>
      </tp>
      <tp>
        <v>4.2737850787132103</v>
        <stp/>
        <stp>##V3_BDPV12</stp>
        <stp>EK6719422 Corp</stp>
        <stp>MTY_YEARS</stp>
        <stp>[GestionvXs.xlsm]Spreads!R128C3</stp>
        <tr r="C128" s="35"/>
      </tp>
      <tp>
        <v>5.0102669404517455</v>
        <stp/>
        <stp>##V3_BDPV12</stp>
        <stp>EK7532428 Corp</stp>
        <stp>MTY_YEARS</stp>
        <stp>[GestionvXs.xlsm]Spreads!R213C3</stp>
        <tr r="C213" s="35"/>
      </tp>
      <tp>
        <v>4.5256673511293632</v>
        <stp/>
        <stp>##V3_BDPV12</stp>
        <stp>EK4875432 Corp</stp>
        <stp>MTY_YEARS</stp>
        <stp>[GestionvXs.xlsm]Spreads!R134C3</stp>
        <tr r="C134" s="35"/>
      </tp>
      <tp>
        <v>7.4414784394250511</v>
        <stp/>
        <stp>##V3_BDPV12</stp>
        <stp>QJ0605056 Corp</stp>
        <stp>MTY_YEARS</stp>
        <stp>[GestionvXs.xlsm]Spreads!R175C3</stp>
        <tr r="C175" s="35"/>
      </tp>
      <tp>
        <v>10.458590006844627</v>
        <stp/>
        <stp>##V3_BDPV12</stp>
        <stp>EH8394916 Corp</stp>
        <stp>MTY_YEARS</stp>
        <stp>[GestionvXs.xlsm]Spreads!R266C3</stp>
        <tr r="C266" s="35"/>
      </tp>
      <tp t="s">
        <v>CLF</v>
        <stp/>
        <stp>##V3_BDPV12</stp>
        <stp>EH836998@RIAY Corp</stp>
        <stp>TRADE_CRNCY</stp>
        <stp>[GestionvXs.xlsm]Spreads!R10C6</stp>
        <tr r="F10" s="35"/>
      </tp>
      <tp t="s">
        <v>CLF</v>
        <stp/>
        <stp>##V3_BDPV12</stp>
        <stp>QJ189785@RIAY Corp</stp>
        <stp>TRADE_CRNCY</stp>
        <stp>[GestionvXs.xlsm]Spreads!R58C6</stp>
        <tr r="F58" s="35"/>
      </tp>
      <tp t="s">
        <v>CLF</v>
        <stp/>
        <stp>##V3_BDPV12</stp>
        <stp>EC238623@RIAY Corp</stp>
        <stp>TRADE_CRNCY</stp>
        <stp>[GestionvXs.xlsm]Spreads!R91C6</stp>
        <tr r="F91" s="35"/>
      </tp>
      <tp t="s">
        <v>EK7507701</v>
        <stp/>
        <stp>##V3_BDPV12</stp>
        <stp>USECJ20312 Corp</stp>
        <stp>ID_CUSIP</stp>
        <stp>[GestionvXs.xlsm]Spreads!R275C2</stp>
        <tr r="B275" s="35"/>
      </tp>
      <tp t="s">
        <v>UV5552905</v>
        <stp/>
        <stp>##V3_BDPV12</stp>
        <stp>BSECB40615 Corp</stp>
        <stp>ID_CUSIP</stp>
        <stp>[GestionvXs.xlsm]Spreads!R104C2</stp>
        <tr r="B104" s="35"/>
      </tp>
      <tp t="s">
        <v>CLF</v>
        <stp/>
        <stp>##V3_BDPV12</stp>
        <stp>EI179273@RIAY Corp</stp>
        <stp>TRADE_CRNCY</stp>
        <stp>[GestionvXs.xlsm]Spreads!R67C6</stp>
        <tr r="F67" s="35"/>
      </tp>
      <tp t="s">
        <v>EJ0489850</v>
        <stp/>
        <stp>##V3_BDPV12</stp>
        <stp>BTU0300142 Corp</stp>
        <stp>ID_CUSIP</stp>
        <stp>[GestionvXs.xlsm]Spreads!R320C2</stp>
        <tr r="B320" s="35"/>
      </tp>
      <tp t="s">
        <v>UV3639019</v>
        <stp/>
        <stp>##V3_BDPV12</stp>
        <stp>BSTDP80315 Corp</stp>
        <stp>ID_CUSIP</stp>
        <stp>[GestionvXs.xlsm]Spreads!R108C2</stp>
        <tr r="B108" s="35"/>
      </tp>
      <tp t="s">
        <v>EJ0411599</v>
        <stp/>
        <stp>##V3_BDPV12</stp>
        <stp>BTP0600132 Corp</stp>
        <stp>ID_CUSIP</stp>
        <stp>[GestionvXs.xlsm]Spreads!R340C2</stp>
        <tr r="B340" s="35"/>
      </tp>
      <tp t="s">
        <v>AL9559454</v>
        <stp/>
        <stp>##V3_BDPV12</stp>
        <stp>BSECU-M Corp</stp>
        <stp>ID_CUSIP</stp>
        <stp>[GestionvXs.xlsm]Spreads!R282C2</stp>
        <tr r="B282" s="35"/>
      </tp>
      <tp t="s">
        <v>EJ6558641</v>
        <stp/>
        <stp>##V3_BDPV12</stp>
        <stp>BBANM-J Corp</stp>
        <stp>ID_CUSIP</stp>
        <stp>[GestionvXs.xlsm]Spreads!R271C2</stp>
        <tr r="B271" s="35"/>
      </tp>
      <tp t="s">
        <v>EG3260809</v>
        <stp/>
        <stp>##V3_BDPV12</stp>
        <stp>BANSM-A Corp</stp>
        <stp>ID_CUSIP</stp>
        <stp>[GestionvXs.xlsm]Spreads!R145C2</stp>
        <tr r="B145" s="35"/>
      </tp>
      <tp t="s">
        <v>EI3239981</v>
        <stp/>
        <stp>##V3_BDPV12</stp>
        <stp>BGASC-H Corp</stp>
        <stp>ID_CUSIP</stp>
        <stp>[GestionvXs.xlsm]Spreads!R263C2</stp>
        <tr r="B263" s="35"/>
      </tp>
      <tp>
        <v>12.183436002737851</v>
        <stp/>
        <stp>##V3_BDPV12</stp>
        <stp>EH8327494 Corp</stp>
        <stp>MTY_YEARS</stp>
        <stp>[GestionvXs.xlsm]Spreads!R164C3</stp>
        <tr r="C164" s="35"/>
      </tp>
      <tp>
        <v>7.6084873374401099</v>
        <stp/>
        <stp>##V3_BDPV12</stp>
        <stp>QJ0607847 Corp</stp>
        <stp>MTY_YEARS</stp>
        <stp>[GestionvXs.xlsm]Spreads!R176C3</stp>
        <tr r="C176" s="35"/>
      </tp>
      <tp>
        <v>0.89801505817932925</v>
        <stp/>
        <stp>##V3_BDPV12</stp>
        <stp>EH2275434 Corp</stp>
        <stp>MTY_YEARS</stp>
        <stp>[GestionvXs.xlsm]Spreads!R216C3</stp>
        <tr r="C216" s="35"/>
      </tp>
      <tp>
        <v>15.359342915811089</v>
        <stp/>
        <stp>##V3_BDPV12</stp>
        <stp>EK7531164 Corp</stp>
        <stp>MTY_YEARS</stp>
        <stp>[GestionvXs.xlsm]Spreads!R171C3</stp>
        <tr r="C171" s="35"/>
      </tp>
      <tp>
        <v>17.478439425051334</v>
        <stp/>
        <stp>##V3_BDPV12</stp>
        <stp>EK7534101 Corp</stp>
        <stp>MTY_YEARS</stp>
        <stp>[GestionvXs.xlsm]Spreads!R214C3</stp>
        <tr r="C214" s="35"/>
      </tp>
      <tp>
        <v>20.777549623545518</v>
        <stp/>
        <stp>##V3_BDPV12</stp>
        <stp>EK5812285 Corp</stp>
        <stp>MTY_YEARS</stp>
        <stp>[GestionvXs.xlsm]Spreads!R272C3</stp>
        <tr r="C272" s="35"/>
      </tp>
      <tp>
        <v>9.0650239561943877</v>
        <stp/>
        <stp>##V3_BDPV12</stp>
        <stp>ED2418322 Corp</stp>
        <stp>MTY_YEARS</stp>
        <stp>[GestionvXs.xlsm]Spreads!R137C3</stp>
        <tr r="C137" s="35"/>
      </tp>
      <tp t="s">
        <v>CLF</v>
        <stp/>
        <stp>##V3_BDPV12</stp>
        <stp>EK483635@RIAY Corp</stp>
        <stp>TRADE_CRNCY</stp>
        <stp>[GestionvXs.xlsm]Spreads!R49C6</stp>
        <tr r="F49" s="35"/>
      </tp>
      <tp t="s">
        <v>CLF</v>
        <stp/>
        <stp>##V3_BDPV12</stp>
        <stp>EK722612@RIAY Corp</stp>
        <stp>TRADE_CRNCY</stp>
        <stp>[GestionvXs.xlsm]Spreads!R78C6</stp>
        <tr r="F78" s="35"/>
      </tp>
      <tp t="s">
        <v>CLF</v>
        <stp/>
        <stp>##V3_BDPV12</stp>
        <stp>EK169396@RIAY Corp</stp>
        <stp>TRADE_CRNCY</stp>
        <stp>[GestionvXs.xlsm]Spreads!R46C6</stp>
        <tr r="F46" s="35"/>
      </tp>
      <tp t="s">
        <v>CLP</v>
        <stp/>
        <stp>##V3_BDPV12</stp>
        <stp>EK628711@RIAY Corp</stp>
        <stp>TRADE_CRNCY</stp>
        <stp>[GestionvXs.xlsm]Spreads!R89C6</stp>
        <tr r="F89" s="35"/>
      </tp>
      <tp t="s">
        <v>CLF</v>
        <stp/>
        <stp>##V3_BDPV12</stp>
        <stp>EI755513@RIAY Corp</stp>
        <stp>TRADE_CRNCY</stp>
        <stp>[GestionvXs.xlsm]Spreads!R68C6</stp>
        <tr r="F68" s="35"/>
      </tp>
      <tp t="s">
        <v>EJ6697449</v>
        <stp/>
        <stp>##V3_BDPV12</stp>
        <stp>BSECR10611 Corp</stp>
        <stp>ID_CUSIP</stp>
        <stp>[GestionvXs.xlsm]Spreads!R45C2</stp>
        <tr r="B45" s="35"/>
      </tp>
      <tp t="s">
        <v>EH9055342</v>
        <stp/>
        <stp>##V3_BDPV12</stp>
        <stp>BTU0300719 Corp</stp>
        <stp>ID_CUSIP</stp>
        <stp>[GestionvXs.xlsm]Spreads!R294C2</stp>
        <tr r="B294" s="35"/>
      </tp>
      <tp t="s">
        <v>EH3050117</v>
        <stp/>
        <stp>##V3_BDPV12</stp>
        <stp>BTP0600318 Corp</stp>
        <stp>ID_CUSIP</stp>
        <stp>[GestionvXs.xlsm]Spreads!R325C2</stp>
        <tr r="B325" s="35"/>
      </tp>
      <tp t="s">
        <v>AM0907775</v>
        <stp/>
        <stp>##V3_BDPV12</stp>
        <stp>BSAAM-C Corp</stp>
        <stp>ID_CUSIP</stp>
        <stp>[GestionvXs.xlsm]Spreads!R187C2</stp>
        <tr r="B187" s="35"/>
      </tp>
      <tp t="s">
        <v>EI4901951</v>
        <stp/>
        <stp>##V3_BDPV12</stp>
        <stp>BENJO-C Corp</stp>
        <stp>ID_CUSIP</stp>
        <stp>[GestionvXs.xlsm]Spreads!R248C2</stp>
        <tr r="B248" s="35"/>
      </tp>
      <tp t="s">
        <v>EH3419262</v>
        <stp/>
        <stp>##V3_BDPV12</stp>
        <stp>BBANM-D Corp</stp>
        <stp>ID_CUSIP</stp>
        <stp>[GestionvXs.xlsm]Spreads!R150C2</stp>
        <tr r="B150" s="35"/>
      </tp>
      <tp t="s">
        <v>EH8394916</v>
        <stp/>
        <stp>##V3_BDPV12</stp>
        <stp>BCENC-F Corp</stp>
        <stp>ID_CUSIP</stp>
        <stp>[GestionvXs.xlsm]Spreads!R266C2</stp>
        <tr r="B266" s="35"/>
      </tp>
      <tp t="s">
        <v>EK6155650</v>
        <stp/>
        <stp>##V3_BDPV12</stp>
        <stp>BSTDSE0614 Corp</stp>
        <stp>ID_CUSIP</stp>
        <stp>[GestionvXs.xlsm]Spreads!R44C2</stp>
        <tr r="B44" s="35"/>
      </tp>
      <tp>
        <v>14.609171800136892</v>
        <stp/>
        <stp>##V3_BDPV12</stp>
        <stp>EI7698992 Corp</stp>
        <stp>MTY_YEARS</stp>
        <stp>[GestionvXs.xlsm]Spreads!R205C3</stp>
        <tr r="C205" s="35"/>
      </tp>
      <tp>
        <v>14.691307323750856</v>
        <stp/>
        <stp>##V3_BDPV12</stp>
        <stp>EI8484467 Corp</stp>
        <stp>MTY_YEARS</stp>
        <stp>[GestionvXs.xlsm]Spreads!R269C3</stp>
        <tr r="C269" s="35"/>
      </tp>
      <tp>
        <v>5.1964407939767279</v>
        <stp/>
        <stp>##V3_BDPV12</stp>
        <stp>EK7227144 Corp</stp>
        <stp>MTY_YEARS</stp>
        <stp>[GestionvXs.xlsm]Spreads!R148C3</stp>
        <tr r="C148" s="35"/>
      </tp>
      <tp>
        <v>13.026694045174539</v>
        <stp/>
        <stp>##V3_BDPV12</stp>
        <stp>EI0719365 Corp</stp>
        <stp>MTY_YEARS</stp>
        <stp>[GestionvXs.xlsm]Spreads!R174C3</stp>
        <tr r="C174" s="35"/>
      </tp>
      <tp>
        <v>10.442162902121835</v>
        <stp/>
        <stp>##V3_BDPV12</stp>
        <stp>EG4627543 Corp</stp>
        <stp>MTY_YEARS</stp>
        <stp>[GestionvXs.xlsm]Spreads!R144C3</stp>
        <tr r="C144" s="35"/>
      </tp>
      <tp>
        <v>14.52703627652293</v>
        <stp/>
        <stp>##V3_BDPV12</stp>
        <stp>EK7479638 Corp</stp>
        <stp>MTY_YEARS</stp>
        <stp>[GestionvXs.xlsm]Spreads!R276C3</stp>
        <tr r="C276" s="35"/>
      </tp>
      <tp t="s">
        <v>CLF</v>
        <stp/>
        <stp>##V3_BDPV12</stp>
        <stp>EK724811@RIAY Corp</stp>
        <stp>TRADE_CRNCY</stp>
        <stp>[GestionvXs.xlsm]Spreads!R79C6</stp>
        <tr r="F79" s="35"/>
      </tp>
      <tp t="s">
        <v>CLP</v>
        <stp/>
        <stp>##V3_BDPV12</stp>
        <stp>EK862663@RIAY Corp</stp>
        <stp>TRADE_CRNCY</stp>
        <stp>[GestionvXs.xlsm]Spreads!R51C6</stp>
        <tr r="F51" s="35"/>
      </tp>
      <tp t="s">
        <v>CLF</v>
        <stp/>
        <stp>##V3_BDPV12</stp>
        <stp>EH829117@RIAY Corp</stp>
        <stp>TRADE_CRNCY</stp>
        <stp>[GestionvXs.xlsm]Spreads!R66C6</stp>
        <tr r="F66" s="35"/>
      </tp>
      <tp t="s">
        <v>EK2747443</v>
        <stp/>
        <stp>##V3_BDPV12</stp>
        <stp>BTP0600124 Corp</stp>
        <stp>ID_CUSIP</stp>
        <stp>[GestionvXs.xlsm]Spreads!R338C2</stp>
        <tr r="B338" s="35"/>
      </tp>
      <tp t="s">
        <v>EI5536426</v>
        <stp/>
        <stp>##V3_BDPV12</stp>
        <stp>BTP0600118 Corp</stp>
        <stp>ID_CUSIP</stp>
        <stp>[GestionvXs.xlsm]Spreads!R324C2</stp>
        <tr r="B324" s="35"/>
      </tp>
      <tp t="s">
        <v>EK4028081</v>
        <stp/>
        <stp>##V3_BDPV12</stp>
        <stp>BCCAR-B Corp</stp>
        <stp>ID_CUSIP</stp>
        <stp>[GestionvXs.xlsm]Spreads!R235C2</stp>
        <tr r="B235" s="35"/>
      </tp>
      <tp>
        <v>20.859685147159478</v>
        <stp/>
        <stp>##V3_BDPV12</stp>
        <stp>EJ9488465 Corp</stp>
        <stp>MTY_YEARS</stp>
        <stp>[GestionvXs.xlsm]Spreads!R277C3</stp>
        <tr r="C277" s="35"/>
      </tp>
      <tp>
        <v>0.35865845311430528</v>
        <stp/>
        <stp>##V3_BDPV12</stp>
        <stp>EJ7236247 Corp</stp>
        <stp>MTY_YEARS</stp>
        <stp>[GestionvXs.xlsm]Spreads!R239C3</stp>
        <tr r="C239" s="35"/>
      </tp>
      <tp t="s">
        <v>CLF</v>
        <stp/>
        <stp>##V3_BDPV12</stp>
        <stp>EK750788@RIAY Corp</stp>
        <stp>TRADE_CRNCY</stp>
        <stp>[GestionvXs.xlsm]Spreads!R13C6</stp>
        <tr r="F13" s="35"/>
      </tp>
      <tp t="s">
        <v>CLF</v>
        <stp/>
        <stp>##V3_BDPV12</stp>
        <stp>EK721790@RIAY Corp</stp>
        <stp>TRADE_CRNCY</stp>
        <stp>[GestionvXs.xlsm]Spreads!R22C6</stp>
        <tr r="F22" s="35"/>
      </tp>
      <tp t="s">
        <v>CLF</v>
        <stp/>
        <stp>##V3_BDPV12</stp>
        <stp>EK675121@RIAY Corp</stp>
        <stp>TRADE_CRNCY</stp>
        <stp>[GestionvXs.xlsm]Spreads!R98C6</stp>
        <tr r="F98" s="35"/>
      </tp>
      <tp t="s">
        <v>CLP</v>
        <stp/>
        <stp>##V3_BDPV12</stp>
        <stp>EK865810@RIAY Corp</stp>
        <stp>TRADE_CRNCY</stp>
        <stp>[GestionvXs.xlsm]Spreads!R15C6</stp>
        <tr r="F15" s="35"/>
      </tp>
      <tp t="s">
        <v>CLF</v>
        <stp/>
        <stp>##V3_BDPV12</stp>
        <stp>EJ453282@RIAY Corp</stp>
        <stp>TRADE_CRNCY</stp>
        <stp>[GestionvXs.xlsm]Spreads!R20C6</stp>
        <tr r="F20" s="35"/>
      </tp>
      <tp t="s">
        <v>AH0077885</v>
        <stp/>
        <stp>##V3_BDPV12</stp>
        <stp>BENAE-A Corp</stp>
        <stp>ID_CUSIP</stp>
        <stp>[GestionvXs.xlsm]Spreads!R178C2</stp>
        <tr r="B178" s="35"/>
      </tp>
      <tp t="s">
        <v>EJ5145721</v>
        <stp/>
        <stp>##V3_BDPV12</stp>
        <stp>BTANN-N Corp</stp>
        <stp>ID_CUSIP</stp>
        <stp>[GestionvXs.xlsm]Spreads!R238C2</stp>
        <tr r="B238" s="35"/>
      </tp>
      <tp t="s">
        <v>EH8617654</v>
        <stp/>
        <stp>##V3_BDPV12</stp>
        <stp>BCENC-J Corp</stp>
        <stp>ID_CUSIP</stp>
        <stp>[GestionvXs.xlsm]Spreads!R158C2</stp>
        <tr r="B158" s="35"/>
      </tp>
      <tp t="s">
        <v>EG6124150</v>
        <stp/>
        <stp>##V3_BDPV12</stp>
        <stp>BMELI-A Corp</stp>
        <stp>ID_CUSIP</stp>
        <stp>[GestionvXs.xlsm]Spreads!R253C2</stp>
        <tr r="B253" s="35"/>
      </tp>
      <tp t="s">
        <v>EK3971539</v>
        <stp/>
        <stp>##V3_BDPV12</stp>
        <stp>BSKSA-E Corp</stp>
        <stp>ID_CUSIP</stp>
        <stp>[GestionvXs.xlsm]Spreads!R189C2</stp>
        <tr r="B189" s="35"/>
      </tp>
      <tp t="s">
        <v>EI9661725</v>
        <stp/>
        <stp>##V3_BDPV12</stp>
        <stp>BMETR-K Corp</stp>
        <stp>ID_CUSIP</stp>
        <stp>[GestionvXs.xlsm]Spreads!R229C2</stp>
        <tr r="B229" s="35"/>
      </tp>
      <tp t="s">
        <v>EH8607606</v>
        <stp/>
        <stp>##V3_BDPV12</stp>
        <stp>BPLZA-C Corp</stp>
        <stp>ID_CUSIP</stp>
        <stp>[GestionvXs.xlsm]Spreads!R168C2</stp>
        <tr r="B168" s="35"/>
      </tp>
      <tp t="s">
        <v>#N/A Field Not Applicable</v>
        <stp/>
        <stp>##V3_BDPV12</stp>
        <stp>EK4028081 Corp</stp>
        <stp>MTY_YEARS</stp>
        <stp>[GestionvXs.xlsm]Spreads!R235C3</stp>
        <tr r="C235" s="35"/>
      </tp>
      <tp>
        <v>3.5482546201232035</v>
        <stp/>
        <stp>##V3_BDPV12</stp>
        <stp>AL1583361 Corp</stp>
        <stp>MTY_YEARS</stp>
        <stp>[GestionvXs.xlsm]Spreads!R119C3</stp>
        <tr r="C119" s="35"/>
      </tp>
      <tp>
        <v>17.661875427789184</v>
        <stp/>
        <stp>##V3_BDPV12</stp>
        <stp>EK4594579 Corp</stp>
        <stp>MTY_YEARS</stp>
        <stp>[GestionvXs.xlsm]Spreads!R279C3</stp>
        <tr r="C279" s="35"/>
      </tp>
      <tp>
        <v>1.1526351813826146</v>
        <stp/>
        <stp>##V3_BDPV12</stp>
        <stp>EK0625104 Corp</stp>
        <stp>MTY_YEARS</stp>
        <stp>[GestionvXs.xlsm]Spreads!R218C3</stp>
        <tr r="C218" s="35"/>
      </tp>
      <tp t="s">
        <v>EC2386232</v>
        <stp/>
        <stp>##V3_BDPV12</stp>
        <stp>UCHIC20100 Corp</stp>
        <stp>ID_CUSIP</stp>
        <stp>[GestionvXs.xlsm]Spreads!R91C2</stp>
        <tr r="B91" s="35"/>
      </tp>
      <tp t="s">
        <v>CLP</v>
        <stp/>
        <stp>##V3_BDPV12</stp>
        <stp>AL955918@RIAY Corp</stp>
        <stp>TRADE_CRNCY</stp>
        <stp>[GestionvXs.xlsm]Spreads!R85C6</stp>
        <tr r="F85" s="35"/>
      </tp>
      <tp t="s">
        <v>CLF</v>
        <stp/>
        <stp>##V3_BDPV12</stp>
        <stp>EK721820@RIAY Corp</stp>
        <stp>TRADE_CRNCY</stp>
        <stp>[GestionvXs.xlsm]Spreads!R28C6</stp>
        <tr r="F28" s="35"/>
      </tp>
      <tp t="s">
        <v>CLF</v>
        <stp/>
        <stp>##V3_BDPV12</stp>
        <stp>EI736137@RIAY Corp</stp>
        <stp>TRADE_CRNCY</stp>
        <stp>[GestionvXs.xlsm]Spreads!R99C6</stp>
        <tr r="F99" s="35"/>
      </tp>
      <tp t="s">
        <v>CLF</v>
        <stp/>
        <stp>##V3_BDPV12</stp>
        <stp>EH839435@RIAY Corp</stp>
        <stp>TRADE_CRNCY</stp>
        <stp>[GestionvXs.xlsm]Spreads!R16C6</stp>
        <tr r="F16" s="35"/>
      </tp>
      <tp t="s">
        <v>CLF</v>
        <stp/>
        <stp>##V3_BDPV12</stp>
        <stp>EK747993@RIAY Corp</stp>
        <stp>TRADE_CRNCY</stp>
        <stp>[GestionvXs.xlsm]Spreads!R43C6</stp>
        <tr r="F43" s="35"/>
      </tp>
      <tp t="s">
        <v>EH2852448</v>
        <stp/>
        <stp>##V3_BDPV12</stp>
        <stp>BTU0300338 Corp</stp>
        <stp>ID_CUSIP</stp>
        <stp>[GestionvXs.xlsm]Spreads!R316C2</stp>
        <tr r="B316" s="35"/>
      </tp>
      <tp t="s">
        <v>EH7713330</v>
        <stp/>
        <stp>##V3_BDPV12</stp>
        <stp>BTU0300339 Corp</stp>
        <stp>ID_CUSIP</stp>
        <stp>[GestionvXs.xlsm]Spreads!R317C2</stp>
        <tr r="B317" s="35"/>
      </tp>
      <tp t="s">
        <v>QZ7134781</v>
        <stp/>
        <stp>##V3_BDPV12</stp>
        <stp>BTMOV-K Corp</stp>
        <stp>ID_CUSIP</stp>
        <stp>[GestionvXs.xlsm]Spreads!R120C2</stp>
        <tr r="B120" s="35"/>
      </tp>
      <tp t="s">
        <v>EJ0065270</v>
        <stp/>
        <stp>##V3_BDPV12</stp>
        <stp>BAGRS-D Corp</stp>
        <stp>ID_CUSIP</stp>
        <stp>[GestionvXs.xlsm]Spreads!R185C2</stp>
        <tr r="B185" s="35"/>
      </tp>
      <tp t="s">
        <v>EI0902300</v>
        <stp/>
        <stp>##V3_BDPV12</stp>
        <stp>BRITA-F Corp</stp>
        <stp>ID_CUSIP</stp>
        <stp>[GestionvXs.xlsm]Spreads!R259C2</stp>
        <tr r="B259" s="35"/>
      </tp>
      <tp>
        <v>11.898699520876113</v>
        <stp/>
        <stp>##V3_BDPV12</stp>
        <stp>EH8617654 Corp</stp>
        <stp>MTY_YEARS</stp>
        <stp>[GestionvXs.xlsm]Spreads!R158C3</stp>
        <tr r="C158" s="35"/>
      </tp>
      <tp>
        <v>12.4435318275154</v>
        <stp/>
        <stp>##V3_BDPV12</stp>
        <stp>EH8607606 Corp</stp>
        <stp>MTY_YEARS</stp>
        <stp>[GestionvXs.xlsm]Spreads!R168C3</stp>
        <tr r="C168" s="35"/>
      </tp>
      <tp>
        <v>10.480492813141684</v>
        <stp/>
        <stp>##V3_BDPV12</stp>
        <stp>EG7417918 Corp</stp>
        <stp>MTY_YEARS</stp>
        <stp>[GestionvXs.xlsm]Spreads!R147C3</stp>
        <tr r="C147" s="35"/>
      </tp>
      <tp>
        <v>6.0260095824777551</v>
        <stp/>
        <stp>##V3_BDPV12</stp>
        <stp>AL9559488 Corp</stp>
        <stp>MTY_YEARS</stp>
        <stp>[GestionvXs.xlsm]Spreads!R132C3</stp>
        <tr r="C132" s="35"/>
      </tp>
      <tp>
        <v>23.898699520876111</v>
        <stp/>
        <stp>##V3_BDPV12</stp>
        <stp>AL9559454 Corp</stp>
        <stp>MTY_YEARS</stp>
        <stp>[GestionvXs.xlsm]Spreads!R282C3</stp>
        <tr r="C282" s="35"/>
      </tp>
      <tp>
        <v>3.7782340862422998</v>
        <stp/>
        <stp>##V3_BDPV12</stp>
        <stp>EJ2868895 Corp</stp>
        <stp>MTY_YEARS</stp>
        <stp>[GestionvXs.xlsm]Spreads!R125C3</stp>
        <tr r="C125" s="35"/>
      </tp>
      <tp>
        <v>7.7782340862422998</v>
        <stp/>
        <stp>##V3_BDPV12</stp>
        <stp>AH0077885 Corp</stp>
        <stp>MTY_YEARS</stp>
        <stp>[GestionvXs.xlsm]Spreads!R178C3</stp>
        <tr r="C178" s="35"/>
      </tp>
      <tp>
        <v>10.064339493497604</v>
        <stp/>
        <stp>##V3_BDPV12</stp>
        <stp>EG2040533 Corp</stp>
        <stp>MTY_YEARS</stp>
        <stp>[GestionvXs.xlsm]Spreads!R190C3</stp>
        <tr r="C190" s="35"/>
      </tp>
      <tp t="s">
        <v>#N/A Field Not Applicable</v>
        <stp/>
        <stp>##V3_BDPV12</stp>
        <stp>EJ5145721 Corp</stp>
        <stp>MTY_YEARS</stp>
        <stp>[GestionvXs.xlsm]Spreads!R238C3</stp>
        <tr r="C238" s="35"/>
      </tp>
      <tp>
        <v>11.550992470910336</v>
        <stp/>
        <stp>##V3_BDPV12</stp>
        <stp>EH8518910 Corp</stp>
        <stp>MTY_YEARS</stp>
        <stp>[GestionvXs.xlsm]Spreads!R157C3</stp>
        <tr r="C157" s="35"/>
      </tp>
      <tp t="s">
        <v>CLP</v>
        <stp/>
        <stp>##V3_BDPV12</stp>
        <stp>QZ921468@RIAY Corp</stp>
        <stp>TRADE_CRNCY</stp>
        <stp>[GestionvXs.xlsm]Spreads!R35C6</stp>
        <tr r="F35" s="35"/>
      </tp>
      <tp t="s">
        <v>CLP</v>
        <stp/>
        <stp>##V3_BDPV12</stp>
        <stp>QZ673555@RIAY Corp</stp>
        <stp>TRADE_CRNCY</stp>
        <stp>[GestionvXs.xlsm]Spreads!R39C6</stp>
        <tr r="F39" s="35"/>
      </tp>
      <tp t="s">
        <v>UV3639738</v>
        <stp/>
        <stp>##V3_BDPV12</stp>
        <stp>BSTDP40315 Corp</stp>
        <stp>ID_CUSIP</stp>
        <stp>[GestionvXs.xlsm]Spreads!R93C2</stp>
        <tr r="B93" s="35"/>
      </tp>
      <tp t="s">
        <v>EH7713298</v>
        <stp/>
        <stp>##V3_BDPV12</stp>
        <stp>BTU0300329 Corp</stp>
        <stp>ID_CUSIP</stp>
        <stp>[GestionvXs.xlsm]Spreads!R310C2</stp>
        <tr r="B310" s="35"/>
      </tp>
      <tp t="s">
        <v>EI1204540</v>
        <stp/>
        <stp>##V3_BDPV12</stp>
        <stp>BTP0600120 Corp</stp>
        <stp>ID_CUSIP</stp>
        <stp>[GestionvXs.xlsm]Spreads!R329C2</stp>
        <tr r="B329" s="35"/>
      </tp>
      <tp t="s">
        <v>ED1986238</v>
        <stp/>
        <stp>##V3_BDPV12</stp>
        <stp>BMGAS-F Corp</stp>
        <stp>ID_CUSIP</stp>
        <stp>[GestionvXs.xlsm]Spreads!R250C2</stp>
        <tr r="B250" s="35"/>
      </tp>
      <tp t="s">
        <v>EI6710210</v>
        <stp/>
        <stp>##V3_BDPV12</stp>
        <stp>BFLIN-I Corp</stp>
        <stp>ID_CUSIP</stp>
        <stp>[GestionvXs.xlsm]Spreads!R244C2</stp>
        <tr r="B244" s="35"/>
      </tp>
      <tp t="s">
        <v>EK3855484</v>
        <stp/>
        <stp>##V3_BDPV12</stp>
        <stp>BRENT-C Corp</stp>
        <stp>ID_CUSIP</stp>
        <stp>[GestionvXs.xlsm]Spreads!R267C2</stp>
        <tr r="B267" s="35"/>
      </tp>
      <tp t="s">
        <v>EH8518910</v>
        <stp/>
        <stp>##V3_BDPV12</stp>
        <stp>BCOLB-I Corp</stp>
        <stp>ID_CUSIP</stp>
        <stp>[GestionvXs.xlsm]Spreads!R157C2</stp>
        <tr r="B157" s="35"/>
      </tp>
      <tp t="s">
        <v>EC1366359</v>
        <stp/>
        <stp>##V3_BDPV12</stp>
        <stp>BGASC-D Corp</stp>
        <stp>ID_CUSIP</stp>
        <stp>[GestionvXs.xlsm]Spreads!R264C2</stp>
        <tr r="B264" s="35"/>
      </tp>
      <tp t="s">
        <v>EI6727891</v>
        <stp/>
        <stp>##V3_BDPV12</stp>
        <stp>BBCIS-P26A Corp</stp>
        <stp>ID_CUSIP</stp>
        <stp>[GestionvXs.xlsm]Spreads!R77C2</stp>
        <tr r="B77" s="35"/>
      </tp>
      <tp>
        <v>11.605749486652977</v>
        <stp/>
        <stp>##V3_BDPV12</stp>
        <stp>EH8601724 Corp</stp>
        <stp>MTY_YEARS</stp>
        <stp>[GestionvXs.xlsm]Spreads!R159C3</stp>
        <tr r="C159" s="35"/>
      </tp>
      <tp>
        <v>6.579055441478439</v>
        <stp/>
        <stp>##V3_BDPV12</stp>
        <stp>EI4901951 Corp</stp>
        <stp>MTY_YEARS</stp>
        <stp>[GestionvXs.xlsm]Spreads!R248C3</stp>
        <tr r="C248" s="35"/>
      </tp>
      <tp>
        <v>7.1074606433949352</v>
        <stp/>
        <stp>##V3_BDPV12</stp>
        <stp>EG6124150 Corp</stp>
        <stp>MTY_YEARS</stp>
        <stp>[GestionvXs.xlsm]Spreads!R253C3</stp>
        <tr r="C253" s="35"/>
      </tp>
      <tp>
        <v>17.607118412046542</v>
        <stp/>
        <stp>##V3_BDPV12</stp>
        <stp>EI7699354 Corp</stp>
        <stp>MTY_YEARS</stp>
        <stp>[GestionvXs.xlsm]Spreads!R210C3</stp>
        <tr r="C210" s="35"/>
      </tp>
      <tp>
        <v>4.944558521560575</v>
        <stp/>
        <stp>##V3_BDPV12</stp>
        <stp>EK7508303 Corp</stp>
        <stp>MTY_YEARS</stp>
        <stp>[GestionvXs.xlsm]Spreads!R143C3</stp>
        <tr r="C143" s="35"/>
      </tp>
      <tp>
        <v>1.5906913073237507</v>
        <stp/>
        <stp>##V3_BDPV12</stp>
        <stp>EK4552601 Corp</stp>
        <stp>MTY_YEARS</stp>
        <stp>[GestionvXs.xlsm]Spreads!R219C3</stp>
        <tr r="C219" s="35"/>
      </tp>
      <tp>
        <v>5.8590006844626972</v>
        <stp/>
        <stp>##V3_BDPV12</stp>
        <stp>EK7508485 Corp</stp>
        <stp>MTY_YEARS</stp>
        <stp>[GestionvXs.xlsm]Spreads!R153C3</stp>
        <tr r="C153" s="35"/>
      </tp>
      <tp>
        <v>8.9828884325804239</v>
        <stp/>
        <stp>##V3_BDPV12</stp>
        <stp>AL4694702 Corp</stp>
        <stp>MTY_YEARS</stp>
        <stp>[GestionvXs.xlsm]Spreads!R188C3</stp>
        <tr r="C188" s="35"/>
      </tp>
      <tp>
        <v>9.5249828884325805</v>
        <stp/>
        <stp>##V3_BDPV12</stp>
        <stp>EI3570393 Corp</stp>
        <stp>MTY_YEARS</stp>
        <stp>[GestionvXs.xlsm]Spreads!R139C3</stp>
        <tr r="C139" s="35"/>
      </tp>
      <tp t="s">
        <v>CLP</v>
        <stp/>
        <stp>##V3_BDPV12</stp>
        <stp>EK528969@RIAY Corp</stp>
        <stp>TRADE_CRNCY</stp>
        <stp>[GestionvXs.xlsm]Spreads!R18C6</stp>
        <tr r="F18" s="35"/>
      </tp>
      <tp t="s">
        <v>CLF</v>
        <stp/>
        <stp>##V3_BDPV12</stp>
        <stp>EJ764188@RIAY Corp</stp>
        <stp>TRADE_CRNCY</stp>
        <stp>[GestionvXs.xlsm]Spreads!R54C6</stp>
        <tr r="F54" s="35"/>
      </tp>
      <tp t="s">
        <v>CLF</v>
        <stp/>
        <stp>##V3_BDPV12</stp>
        <stp>LW264191@RIAY Corp</stp>
        <stp>TRADE_CRNCY</stp>
        <stp>[GestionvXs.xlsm]Spreads!R60C6</stp>
        <tr r="F60" s="35"/>
      </tp>
      <tp t="s">
        <v>EI1297700</v>
        <stp/>
        <stp>##V3_BDPV12</stp>
        <stp>BTU0300140 Corp</stp>
        <stp>ID_CUSIP</stp>
        <stp>[GestionvXs.xlsm]Spreads!R318C2</stp>
        <tr r="B318" s="35"/>
      </tp>
      <tp t="s">
        <v>EH8187443</v>
        <stp/>
        <stp>##V3_BDPV12</stp>
        <stp>BEMCA-J Corp</stp>
        <stp>ID_CUSIP</stp>
        <stp>[GestionvXs.xlsm]Spreads!R257C2</stp>
        <tr r="B257" s="35"/>
      </tp>
      <tp t="s">
        <v>EH2275434</v>
        <stp/>
        <stp>##V3_BDPV12</stp>
        <stp>BSAES-G Corp</stp>
        <stp>ID_CUSIP</stp>
        <stp>[GestionvXs.xlsm]Spreads!R216C2</stp>
        <tr r="B216" s="35"/>
      </tp>
      <tp t="s">
        <v>EH8606723</v>
        <stp/>
        <stp>##V3_BDPV12</stp>
        <stp>BENDE-M Corp</stp>
        <stp>ID_CUSIP</stp>
        <stp>[GestionvXs.xlsm]Spreads!R163C2</stp>
        <tr r="B163" s="35"/>
      </tp>
      <tp t="s">
        <v>EJ6213007</v>
        <stp/>
        <stp>##V3_BDPV12</stp>
        <stp>BCFSA-B Corp</stp>
        <stp>ID_CUSIP</stp>
        <stp>[GestionvXs.xlsm]Spreads!R194C2</stp>
        <tr r="B194" s="35"/>
      </tp>
      <tp>
        <v>6.8993839835728954</v>
        <stp/>
        <stp>##V3_BDPV12</stp>
        <stp>EK8223613 Corp</stp>
        <stp>MTY_YEARS</stp>
        <stp>[GestionvXs.xlsm]Spreads!R169C3</stp>
        <tr r="C169" s="35"/>
      </tp>
      <tp>
        <v>14.817248459958932</v>
        <stp/>
        <stp>##V3_BDPV12</stp>
        <stp>EI9661725 Corp</stp>
        <stp>MTY_YEARS</stp>
        <stp>[GestionvXs.xlsm]Spreads!R229C3</stp>
        <tr r="C229" s="35"/>
      </tp>
      <tp>
        <v>18.798083504449007</v>
        <stp/>
        <stp>##V3_BDPV12</stp>
        <stp>EK3838951 Corp</stp>
        <stp>MTY_YEARS</stp>
        <stp>[GestionvXs.xlsm]Spreads!R232C3</stp>
        <tr r="C232" s="35"/>
      </tp>
      <tp>
        <v>7.3593429158110881</v>
        <stp/>
        <stp>##V3_BDPV12</stp>
        <stp>EF0677890 Corp</stp>
        <stp>MTY_YEARS</stp>
        <stp>[GestionvXs.xlsm]Spreads!R170C3</stp>
        <tr r="C170" s="35"/>
      </tp>
      <tp>
        <v>17.023956194387406</v>
        <stp/>
        <stp>##V3_BDPV12</stp>
        <stp>EK2472430 Corp</stp>
        <stp>MTY_YEARS</stp>
        <stp>[GestionvXs.xlsm]Spreads!R268C3</stp>
        <tr r="C268" s="35"/>
      </tp>
      <tp>
        <v>15.028062970568104</v>
        <stp/>
        <stp>##V3_BDPV12</stp>
        <stp>EJ0978415 Corp</stp>
        <stp>MTY_YEARS</stp>
        <stp>[GestionvXs.xlsm]Spreads!R203C3</stp>
        <tr r="C203" s="35"/>
      </tp>
      <tp>
        <v>5.8151950718685832</v>
        <stp/>
        <stp>##V3_BDPV12</stp>
        <stp>AL6314366 Corp</stp>
        <stp>MTY_YEARS</stp>
        <stp>[GestionvXs.xlsm]Spreads!R129C3</stp>
        <tr r="C129" s="35"/>
      </tp>
      <tp>
        <v>11.274469541409994</v>
        <stp/>
        <stp>##V3_BDPV12</stp>
        <stp>EC1366359 Corp</stp>
        <stp>MTY_YEARS</stp>
        <stp>[GestionvXs.xlsm]Spreads!R264C3</stp>
        <tr r="C264" s="35"/>
      </tp>
      <tp>
        <v>8.6078028747433262</v>
        <stp/>
        <stp>##V3_BDPV12</stp>
        <stp>EI5580564 Corp</stp>
        <stp>MTY_YEARS</stp>
        <stp>[GestionvXs.xlsm]Spreads!R198C3</stp>
        <tr r="C198" s="35"/>
      </tp>
      <tp>
        <v>1.7768651608487338</v>
        <stp/>
        <stp>##V3_BDPV12</stp>
        <stp>EK5008579 Corp</stp>
        <stp>MTY_YEARS</stp>
        <stp>[GestionvXs.xlsm]Spreads!R242C3</stp>
        <tr r="C242" s="35"/>
      </tp>
      <tp>
        <v>11.444216290212184</v>
        <stp/>
        <stp>##V3_BDPV12</stp>
        <stp>EH3419262 Corp</stp>
        <stp>MTY_YEARS</stp>
        <stp>[GestionvXs.xlsm]Spreads!R150C3</stp>
        <tr r="C150" s="35"/>
      </tp>
      <tp t="s">
        <v>CLF</v>
        <stp/>
        <stp>##V3_BDPV12</stp>
        <stp>EK995971@RIAY Corp</stp>
        <stp>TRADE_CRNCY</stp>
        <stp>[GestionvXs.xlsm]Spreads!R96C6</stp>
        <tr r="F96" s="35"/>
      </tp>
      <tp t="s">
        <v>CLF</v>
        <stp/>
        <stp>##V3_BDPV12</stp>
        <stp>EI595793@RIAY Corp</stp>
        <stp>TRADE_CRNCY</stp>
        <stp>[GestionvXs.xlsm]Spreads!R34C6</stp>
        <tr r="F34" s="35"/>
      </tp>
      <tp t="s">
        <v>CLF</v>
        <stp/>
        <stp>##V3_BDPV12</stp>
        <stp>EI595697@RIAY Corp</stp>
        <stp>TRADE_CRNCY</stp>
        <stp>[GestionvXs.xlsm]Spreads!R14C6</stp>
        <tr r="F14" s="35"/>
      </tp>
      <tp t="s">
        <v>CLF</v>
        <stp/>
        <stp>##V3_BDPV12</stp>
        <stp>JV695577@RIAY Corp</stp>
        <stp>TRADE_CRNCY</stp>
        <stp>[GestionvXs.xlsm]Spreads!R29C6</stp>
        <tr r="F29" s="35"/>
      </tp>
      <tp t="s">
        <v>CLF</v>
        <stp/>
        <stp>##V3_BDPV12</stp>
        <stp>UV877438@RIAY Corp</stp>
        <stp>TRADE_CRNCY</stp>
        <stp>[GestionvXs.xlsm]Spreads!R53C6</stp>
        <tr r="F53" s="35"/>
      </tp>
      <tp t="s">
        <v>CLF</v>
        <stp/>
        <stp>##V3_BDPV12</stp>
        <stp>EH782797@RIAY Corp</stp>
        <stp>TRADE_CRNCY</stp>
        <stp>[GestionvXs.xlsm]Spreads!R26C6</stp>
        <tr r="F26" s="35"/>
      </tp>
      <tp t="s">
        <v>CLF</v>
        <stp/>
        <stp>##V3_BDPV12</stp>
        <stp>EH863582@RIAY Corp</stp>
        <stp>TRADE_CRNCY</stp>
        <stp>[GestionvXs.xlsm]Spreads!R38C6</stp>
        <tr r="F38" s="35"/>
      </tp>
      <tp t="s">
        <v>CLF</v>
        <stp/>
        <stp>##V3_BDPV12</stp>
        <stp>EH861873@RIAY Corp</stp>
        <stp>TRADE_CRNCY</stp>
        <stp>[GestionvXs.xlsm]Spreads!R37C6</stp>
        <tr r="F37" s="35"/>
      </tp>
      <tp t="s">
        <v>CLP</v>
        <stp/>
        <stp>##V3_BDPV12</stp>
        <stp>EK154390@RIAY Corp</stp>
        <stp>TRADE_CRNCY</stp>
        <stp>[GestionvXs.xlsm]Spreads!R80C6</stp>
        <tr r="F80" s="35"/>
      </tp>
      <tp t="s">
        <v>EJ0489819</v>
        <stp/>
        <stp>##V3_BDPV12</stp>
        <stp>BTU0300119 Corp</stp>
        <stp>ID_CUSIP</stp>
        <stp>[GestionvXs.xlsm]Spreads!R292C2</stp>
        <tr r="B292" s="35"/>
      </tp>
      <tp t="s">
        <v>EI8263325</v>
        <stp/>
        <stp>##V3_BDPV12</stp>
        <stp>BSTDY30208 Corp</stp>
        <stp>ID_CUSIP</stp>
        <stp>[GestionvXs.xlsm]Spreads!R19C2</stp>
        <tr r="B19" s="35"/>
      </tp>
      <tp t="s">
        <v>EJ7935319</v>
        <stp/>
        <stp>##V3_BDPV12</stp>
        <stp>BSTDE90113 Corp</stp>
        <stp>ID_CUSIP</stp>
        <stp>[GestionvXs.xlsm]Spreads!R146C2</stp>
        <tr r="B146" s="35"/>
      </tp>
      <tp t="s">
        <v>QJ1897819</v>
        <stp/>
        <stp>##V3_BDPV12</stp>
        <stp>BTMOV-I Corp</stp>
        <stp>ID_CUSIP</stp>
        <stp>[GestionvXs.xlsm]Spreads!R107C2</stp>
        <tr r="B107" s="35"/>
      </tp>
      <tp t="s">
        <v>EH8288456</v>
        <stp/>
        <stp>##V3_BDPV12</stp>
        <stp>BCMPC-F Corp</stp>
        <stp>ID_CUSIP</stp>
        <stp>[GestionvXs.xlsm]Spreads!R228C2</stp>
        <tr r="B228" s="35"/>
      </tp>
      <tp>
        <v>11.720739219712526</v>
        <stp/>
        <stp>##V3_BDPV12</stp>
        <stp>EH8618298 Corp</stp>
        <stp>MTY_YEARS</stp>
        <stp>[GestionvXs.xlsm]Spreads!R182C3</stp>
        <tr r="C182" s="35"/>
      </tp>
      <tp>
        <v>10.349075975359343</v>
        <stp/>
        <stp>##V3_BDPV12</stp>
        <stp>EG3260809 Corp</stp>
        <stp>MTY_YEARS</stp>
        <stp>[GestionvXs.xlsm]Spreads!R145C3</stp>
        <tr r="C145" s="35"/>
      </tp>
      <tp>
        <v>6.579055441478439</v>
        <stp/>
        <stp>##V3_BDPV12</stp>
        <stp>EI4902082 Corp</stp>
        <stp>MTY_YEARS</stp>
        <stp>[GestionvXs.xlsm]Spreads!R249C3</stp>
        <tr r="C249" s="35"/>
      </tp>
      <tp>
        <v>14.026009582477755</v>
        <stp/>
        <stp>##V3_BDPV12</stp>
        <stp>EG4264057 Corp</stp>
        <stp>MTY_YEARS</stp>
        <stp>[GestionvXs.xlsm]Spreads!R201C3</stp>
        <tr r="C201" s="35"/>
      </tp>
      <tp>
        <v>5.1964407939767279</v>
        <stp/>
        <stp>##V3_BDPV12</stp>
        <stp>EK7480230 Corp</stp>
        <stp>MTY_YEARS</stp>
        <stp>[GestionvXs.xlsm]Spreads!R149C3</stp>
        <tr r="C149" s="35"/>
      </tp>
      <tp>
        <v>12.815879534565367</v>
        <stp/>
        <stp>##V3_BDPV12</stp>
        <stp>EI0902300 Corp</stp>
        <stp>MTY_YEARS</stp>
        <stp>[GestionvXs.xlsm]Spreads!R259C3</stp>
        <tr r="C259" s="35"/>
      </tp>
      <tp>
        <v>6.6940451745379876</v>
        <stp/>
        <stp>##V3_BDPV12</stp>
        <stp>ED1986238 Corp</stp>
        <stp>MTY_YEARS</stp>
        <stp>[GestionvXs.xlsm]Spreads!R250C3</stp>
        <tr r="C250" s="35"/>
      </tp>
      <tp>
        <v>15.693360711841205</v>
        <stp/>
        <stp>##V3_BDPV12</stp>
        <stp>EI3813082 Corp</stp>
        <stp>MTY_YEARS</stp>
        <stp>[GestionvXs.xlsm]Spreads!R208C3</stp>
        <tr r="C208" s="35"/>
      </tp>
      <tp>
        <v>9.3579739904175216</v>
        <stp/>
        <stp>##V3_BDPV12</stp>
        <stp>EG3363314 Corp</stp>
        <stp>MTY_YEARS</stp>
        <stp>[GestionvXs.xlsm]Spreads!R136C3</stp>
        <tr r="C136" s="35"/>
      </tp>
      <tp>
        <v>8.5256673511293641</v>
        <stp/>
        <stp>##V3_BDPV12</stp>
        <stp>EC4281563 Corp</stp>
        <stp>MTY_YEARS</stp>
        <stp>[GestionvXs.xlsm]Spreads!R260C3</stp>
        <tr r="C260" s="35"/>
      </tp>
      <tp t="s">
        <v>CLF</v>
        <stp/>
        <stp>##V3_BDPV12</stp>
        <stp>EI617168@RIAY Corp</stp>
        <stp>TRADE_CRNCY</stp>
        <stp>[GestionvXs.xlsm]Spreads!R69C6</stp>
        <tr r="F69" s="35"/>
      </tp>
      <tp t="s">
        <v>CLP</v>
        <stp/>
        <stp>##V3_BDPV12</stp>
        <stp>EI672789@RIAY Corp</stp>
        <stp>TRADE_CRNCY</stp>
        <stp>[GestionvXs.xlsm]Spreads!R77C6</stp>
        <tr r="F77" s="35"/>
      </tp>
      <tp t="s">
        <v>CLF</v>
        <stp/>
        <stp>##V3_BDPV12</stp>
        <stp>EK474899@RIAY Corp</stp>
        <stp>TRADE_CRNCY</stp>
        <stp>[GestionvXs.xlsm]Spreads!R74C6</stp>
        <tr r="F74" s="35"/>
      </tp>
      <tp t="s">
        <v>EK5463204</v>
        <stp/>
        <stp>##V3_BDPV12</stp>
        <stp>BBBVP20714 Corp</stp>
        <stp>ID_CUSIP</stp>
        <stp>[GestionvXs.xlsm]Spreads!R50C2</stp>
        <tr r="B50" s="35"/>
      </tp>
      <tp t="s">
        <v>EJ0411631</v>
        <stp/>
        <stp>##V3_BDPV12</stp>
        <stp>BTU0300122 Corp</stp>
        <stp>ID_CUSIP</stp>
        <stp>[GestionvXs.xlsm]Spreads!R298C2</stp>
        <tr r="B298" s="35"/>
      </tp>
      <tp t="s">
        <v>EK8775448</v>
        <stp/>
        <stp>##V3_BDPV12</stp>
        <stp>BTP0450326 Corp</stp>
        <stp>ID_CUSIP</stp>
        <stp>[GestionvXs.xlsm]Spreads!R339C2</stp>
        <tr r="B339" s="35"/>
      </tp>
      <tp t="s">
        <v>EI4902082</v>
        <stp/>
        <stp>##V3_BDPV12</stp>
        <stp>BENJO-E Corp</stp>
        <stp>ID_CUSIP</stp>
        <stp>[GestionvXs.xlsm]Spreads!R249C2</stp>
        <tr r="B249" s="35"/>
      </tp>
      <tp t="s">
        <v>AL6314366</v>
        <stp/>
        <stp>##V3_BDPV12</stp>
        <stp>BECOP-H Corp</stp>
        <stp>ID_CUSIP</stp>
        <stp>[GestionvXs.xlsm]Spreads!R129C2</stp>
        <tr r="B129" s="35"/>
      </tp>
      <tp t="s">
        <v>EI0602470</v>
        <stp/>
        <stp>##V3_BDPV12</stp>
        <stp>BCGVI-B Corp</stp>
        <stp>ID_CUSIP</stp>
        <stp>[GestionvXs.xlsm]Spreads!R177C2</stp>
        <tr r="B177" s="35"/>
      </tp>
      <tp t="s">
        <v>EI6581959</v>
        <stp/>
        <stp>##V3_BDPV12</stp>
        <stp>BNAVI-A Corp</stp>
        <stp>ID_CUSIP</stp>
        <stp>[GestionvXs.xlsm]Spreads!R252C2</stp>
        <tr r="B252" s="35"/>
      </tp>
      <tp t="s">
        <v>EK0385824</v>
        <stp/>
        <stp>##V3_BDPV12</stp>
        <stp>BESVA-P Corp</stp>
        <stp>ID_CUSIP</stp>
        <stp>[GestionvXs.xlsm]Spreads!R231C2</stp>
        <tr r="B231" s="35"/>
      </tp>
      <tp t="s">
        <v>EK9451817</v>
        <stp/>
        <stp>##V3_BDPV12</stp>
        <stp>BBCIS-P30A Corp</stp>
        <stp>ID_CUSIP</stp>
        <stp>[GestionvXs.xlsm]Spreads!R82C2</stp>
        <tr r="B82" s="35"/>
      </tp>
      <tp>
        <v>0.69267624914442161</v>
        <stp/>
        <stp>##V3_BDPV12</stp>
        <stp>EJ8198784 Corp</stp>
        <stp>MTY_YEARS</stp>
        <stp>[GestionvXs.xlsm]Spreads!R241C3</stp>
        <tr r="C241" s="35"/>
      </tp>
      <tp>
        <v>16.632443531827516</v>
        <stp/>
        <stp>##V3_BDPV12</stp>
        <stp>EJ8070744 Corp</stp>
        <stp>MTY_YEARS</stp>
        <stp>[GestionvXs.xlsm]Spreads!R179C3</stp>
        <tr r="C179" s="35"/>
      </tp>
      <tp>
        <v>10.026009582477755</v>
        <stp/>
        <stp>##V3_BDPV12</stp>
        <stp>ED4952815 Corp</stp>
        <stp>MTY_YEARS</stp>
        <stp>[GestionvXs.xlsm]Spreads!R135C3</stp>
        <tr r="C135" s="35"/>
      </tp>
      <tp>
        <v>10.778918548939084</v>
        <stp/>
        <stp>##V3_BDPV12</stp>
        <stp>EI3239981 Corp</stp>
        <stp>MTY_YEARS</stp>
        <stp>[GestionvXs.xlsm]Spreads!R263C3</stp>
        <tr r="C263" s="35"/>
      </tp>
      <tp>
        <v>17.519507186858316</v>
        <stp/>
        <stp>##V3_BDPV12</stp>
        <stp>EK3730976 Corp</stp>
        <stp>MTY_YEARS</stp>
        <stp>[GestionvXs.xlsm]Spreads!R278C3</stp>
        <tr r="C278" s="35"/>
      </tp>
      <tp>
        <v>5.3114305270362765</v>
        <stp/>
        <stp>##V3_BDPV12</stp>
        <stp>EK3971539 Corp</stp>
        <stp>MTY_YEARS</stp>
        <stp>[GestionvXs.xlsm]Spreads!R189C3</stp>
        <tr r="C189" s="35"/>
      </tp>
      <tp>
        <v>8.7775496235455162</v>
        <stp/>
        <stp>##V3_BDPV12</stp>
        <stp>EC3850442 Corp</stp>
        <stp>MTY_YEARS</stp>
        <stp>[GestionvXs.xlsm]Spreads!R180C3</stp>
        <tr r="C180" s="35"/>
      </tp>
      <tp>
        <v>6.2751540041067759</v>
        <stp/>
        <stp>##V3_BDPV12</stp>
        <stp>EK3298768 Corp</stp>
        <stp>MTY_YEARS</stp>
        <stp>[GestionvXs.xlsm]Spreads!R160C3</stp>
        <tr r="C160" s="35"/>
      </tp>
      <tp>
        <v>10.442162902121835</v>
        <stp/>
        <stp>##V3_BDPV12</stp>
        <stp>EF7900261 Corp</stp>
        <stp>MTY_YEARS</stp>
        <stp>[GestionvXs.xlsm]Spreads!R255C3</stp>
        <tr r="C255" s="35"/>
      </tp>
      <tp>
        <v>10.52703627652293</v>
        <stp/>
        <stp>##V3_BDPV12</stp>
        <stp>ED0916350 Corp</stp>
        <stp>MTY_YEARS</stp>
        <stp>[GestionvXs.xlsm]Spreads!R141C3</stp>
        <tr r="C141" s="35"/>
      </tp>
      <tp>
        <v>16.383299110198493</v>
        <stp/>
        <stp>##V3_BDPV12</stp>
        <stp>EJ6558641 Corp</stp>
        <stp>MTY_YEARS</stp>
        <stp>[GestionvXs.xlsm]Spreads!R271C3</stp>
        <tr r="C271" s="35"/>
      </tp>
      <tp>
        <v>12.550308008213552</v>
        <stp/>
        <stp>##V3_BDPV12</stp>
        <stp>EH8743948 Corp</stp>
        <stp>MTY_YEARS</stp>
        <stp>[GestionvXs.xlsm]Spreads!R258C3</stp>
        <tr r="C258" s="35"/>
      </tp>
      <tp t="s">
        <v>EK7480776</v>
        <stp/>
        <stp>##V3_BDPV12</stp>
        <stp>BBBVM11011 Corp</stp>
        <stp>ID_CUSIP</stp>
        <stp>[GestionvXs.xlsm]Spreads!R12C2</stp>
        <tr r="B12" s="35"/>
      </tp>
      <tp t="s">
        <v>EI5957937</v>
        <stp/>
        <stp>##V3_BDPV12</stp>
        <stp>BESTJ31008 Corp</stp>
        <stp>ID_CUSIP</stp>
        <stp>[GestionvXs.xlsm]Spreads!R34C2</stp>
        <tr r="B34" s="35"/>
      </tp>
      <tp t="s">
        <v>EC6837925</v>
        <stp/>
        <stp>##V3_BDPV12</stp>
        <stp>BCU0500922 Corp</stp>
        <stp>ID_CUSIP</stp>
        <stp>[GestionvXs.xlsm]Spreads!R300C2</stp>
        <tr r="B300" s="35"/>
      </tp>
      <tp t="s">
        <v>EJ5915065</v>
        <stp/>
        <stp>##V3_BDPV12</stp>
        <stp>BCU0300323 Corp</stp>
        <stp>ID_CUSIP</stp>
        <stp>[GestionvXs.xlsm]Spreads!R301C2</stp>
        <tr r="B301" s="35"/>
      </tp>
      <tp t="s">
        <v>EG4578647</v>
        <stp/>
        <stp>##V3_BDPV12</stp>
        <stp>BCU0300517 Corp</stp>
        <stp>ID_CUSIP</stp>
        <stp>[GestionvXs.xlsm]Spreads!R285C2</stp>
        <tr r="B285" s="35"/>
      </tp>
      <tp t="s">
        <v>CLF</v>
        <stp/>
        <stp>##V3_BDPV12</stp>
        <stp>EJ097841@RIAY Corp</stp>
        <stp>TRADE_CRNCY</stp>
        <stp>[GestionvXs.xlsm]Spreads!R203C6</stp>
        <tr r="F203" s="35"/>
      </tp>
      <tp t="s">
        <v>CLP</v>
        <stp/>
        <stp>##V3_BDPV12</stp>
        <stp>EI716749@RIAY Corp</stp>
        <stp>TRADE_CRNCY</stp>
        <stp>[GestionvXs.xlsm]Spreads!R193C6</stp>
        <tr r="F193" s="35"/>
      </tp>
      <tp t="s">
        <v>CLF</v>
        <stp/>
        <stp>##V3_BDPV12</stp>
        <stp>EJ514572@RIAY Corp</stp>
        <stp>TRADE_CRNCY</stp>
        <stp>[GestionvXs.xlsm]Spreads!R238C6</stp>
        <tr r="F238" s="35"/>
      </tp>
      <tp t="s">
        <v>CLF</v>
        <stp/>
        <stp>##V3_BDPV12</stp>
        <stp>EH874394@RIAY Corp</stp>
        <stp>TRADE_CRNCY</stp>
        <stp>[GestionvXs.xlsm]Spreads!R258C6</stp>
        <tr r="F258" s="35"/>
      </tp>
      <tp t="s">
        <v>CLP</v>
        <stp/>
        <stp>##V3_BDPV12</stp>
        <stp>EK492137@RIAY Corp</stp>
        <stp>TRADE_CRNCY</stp>
        <stp>[GestionvXs.xlsm]Spreads!R105C6</stp>
        <tr r="F105" s="35"/>
      </tp>
      <tp t="s">
        <v>CLF</v>
        <stp/>
        <stp>##V3_BDPV12</stp>
        <stp>EJ651599@RIAY Corp</stp>
        <stp>TRADE_CRNCY</stp>
        <stp>[GestionvXs.xlsm]Spreads!R237C6</stp>
        <tr r="F237" s="35"/>
      </tp>
      <tp t="s">
        <v>CLF</v>
        <stp/>
        <stp>##V3_BDPV12</stp>
        <stp>EH861765@RIAY Corp</stp>
        <stp>TRADE_CRNCY</stp>
        <stp>[GestionvXs.xlsm]Spreads!R158C6</stp>
        <tr r="F158" s="35"/>
      </tp>
      <tp t="s">
        <v>CLF</v>
        <stp/>
        <stp>##V3_BDPV12</stp>
        <stp>EJ800509@RIAY Corp</stp>
        <stp>TRADE_CRNCY</stp>
        <stp>[GestionvXs.xlsm]Spreads!R222C6</stp>
        <tr r="F222" s="35"/>
      </tp>
      <tp t="s">
        <v>EK5812285</v>
        <stp/>
        <stp>##V3_BDPV12</stp>
        <stp>BCTOR-K Corp</stp>
        <stp>ID_CUSIP</stp>
        <stp>[GestionvXs.xlsm]Spreads!R272C2</stp>
        <tr r="B272" s="35"/>
      </tp>
      <tp t="s">
        <v>CLF</v>
        <stp/>
        <stp>##V3_BDPV12</stp>
        <stp>JV695603@RIAY Corp</stp>
        <stp>TRADE_CRNCY</stp>
        <stp>[GestionvXs.xlsm]Spreads!R111C6</stp>
        <tr r="F111" s="35"/>
      </tp>
      <tp t="s">
        <v>CLF</v>
        <stp/>
        <stp>##V3_BDPV12</stp>
        <stp>EK459457@RIAY Corp</stp>
        <stp>TRADE_CRNCY</stp>
        <stp>[GestionvXs.xlsm]Spreads!R279C6</stp>
        <tr r="F279" s="35"/>
      </tp>
      <tp t="s">
        <v>EH8743948</v>
        <stp/>
        <stp>##V3_BDPV12</stp>
        <stp>BRPLY-E Corp</stp>
        <stp>ID_CUSIP</stp>
        <stp>[GestionvXs.xlsm]Spreads!R258C2</stp>
        <tr r="B258" s="35"/>
      </tp>
      <tp t="s">
        <v>CLF</v>
        <stp/>
        <stp>##V3_BDPV12</stp>
        <stp>EI848446@RIAY Corp</stp>
        <stp>TRADE_CRNCY</stp>
        <stp>[GestionvXs.xlsm]Spreads!R269C6</stp>
        <tr r="F269" s="35"/>
      </tp>
      <tp t="s">
        <v>CLF</v>
        <stp/>
        <stp>##V3_BDPV12</stp>
        <stp>EI558056@RIAY Corp</stp>
        <stp>TRADE_CRNCY</stp>
        <stp>[GestionvXs.xlsm]Spreads!R198C6</stp>
        <tr r="F198" s="35"/>
      </tp>
      <tp t="s">
        <v>EK7532428</v>
        <stp/>
        <stp>##V3_BDPV12</stp>
        <stp>BBOTS-P1A Corp</stp>
        <stp>ID_CUSIP</stp>
        <stp>[GestionvXs.xlsm]Spreads!R213C2</stp>
        <tr r="B213" s="35"/>
      </tp>
      <tp>
        <v>2.6064339493497606</v>
        <stp/>
        <stp>##V3_BDPV12</stp>
        <stp>LW5609380 Corp</stp>
        <stp>MTY_YEARS</stp>
        <stp>[GestionvXs.xlsm]Spreads!R102C3</stp>
        <tr r="C102" s="35"/>
      </tp>
      <tp t="s">
        <v>JV9360324</v>
        <stp/>
        <stp>##V3_BDPV12</stp>
        <stp>BBBVM50714 Corp</stp>
        <stp>ID_CUSIP</stp>
        <stp>[GestionvXs.xlsm]Spreads!R123C2</stp>
        <tr r="B123" s="35"/>
      </tp>
      <tp t="s">
        <v>EK7508600</v>
        <stp/>
        <stp>##V3_BDPV12</stp>
        <stp>BSECM10109 Corp</stp>
        <stp>ID_CUSIP</stp>
        <stp>[GestionvXs.xlsm]Spreads!R32C2</stp>
        <tr r="B32" s="35"/>
      </tp>
      <tp t="s">
        <v>EJ1032535</v>
        <stp/>
        <stp>##V3_BDPV12</stp>
        <stp>BCU0300317 Corp</stp>
        <stp>ID_CUSIP</stp>
        <stp>[GestionvXs.xlsm]Spreads!R284C2</stp>
        <tr r="B284" s="35"/>
      </tp>
      <tp t="s">
        <v>EI5810169</v>
        <stp/>
        <stp>##V3_BDPV12</stp>
        <stp>BCU0300231 Corp</stp>
        <stp>ID_CUSIP</stp>
        <stp>[GestionvXs.xlsm]Spreads!R312C2</stp>
        <tr r="B312" s="35"/>
      </tp>
      <tp t="s">
        <v>EI5778234</v>
        <stp/>
        <stp>##V3_BDPV12</stp>
        <stp>BCP0600221 Corp</stp>
        <stp>ID_CUSIP</stp>
        <stp>[GestionvXs.xlsm]Spreads!R332C2</stp>
        <tr r="B332" s="35"/>
      </tp>
      <tp t="s">
        <v>CLF</v>
        <stp/>
        <stp>##V3_BDPV12</stp>
        <stp>EK735589@RIAY Corp</stp>
        <stp>TRADE_CRNCY</stp>
        <stp>[GestionvXs.xlsm]Spreads!R220C6</stp>
        <tr r="F220" s="35"/>
      </tp>
      <tp t="s">
        <v>CLF</v>
        <stp/>
        <stp>##V3_BDPV12</stp>
        <stp>EJ492741@RIAY Corp</stp>
        <stp>TRADE_CRNCY</stp>
        <stp>[GestionvXs.xlsm]Spreads!R202C6</stp>
        <tr r="F202" s="35"/>
      </tp>
      <tp t="s">
        <v>CLF</v>
        <stp/>
        <stp>##V3_BDPV12</stp>
        <stp>EK822361@RIAY Corp</stp>
        <stp>TRADE_CRNCY</stp>
        <stp>[GestionvXs.xlsm]Spreads!R169C6</stp>
        <tr r="F169" s="35"/>
      </tp>
      <tp t="s">
        <v>CLF</v>
        <stp/>
        <stp>##V3_BDPV12</stp>
        <stp>EF790026@RIAY Corp</stp>
        <stp>TRADE_CRNCY</stp>
        <stp>[GestionvXs.xlsm]Spreads!R255C6</stp>
        <tr r="F255" s="35"/>
      </tp>
      <tp t="s">
        <v>CLF</v>
        <stp/>
        <stp>##V3_BDPV12</stp>
        <stp>AL158336@RIAY Corp</stp>
        <stp>TRADE_CRNCY</stp>
        <stp>[GestionvXs.xlsm]Spreads!R119C6</stp>
        <tr r="F119" s="35"/>
      </tp>
      <tp t="s">
        <v>CLF</v>
        <stp/>
        <stp>##V3_BDPV12</stp>
        <stp>JK345588@RIAY Corp</stp>
        <stp>TRADE_CRNCY</stp>
        <stp>[GestionvXs.xlsm]Spreads!R116C6</stp>
        <tr r="F116" s="35"/>
      </tp>
      <tp t="s">
        <v>CLF</v>
        <stp/>
        <stp>##V3_BDPV12</stp>
        <stp>EI769899@RIAY Corp</stp>
        <stp>TRADE_CRNCY</stp>
        <stp>[GestionvXs.xlsm]Spreads!R205C6</stp>
        <tr r="F205" s="35"/>
      </tp>
      <tp t="s">
        <v>CLF</v>
        <stp/>
        <stp>##V3_BDPV12</stp>
        <stp>EK738439@RIAY Corp</stp>
        <stp>TRADE_CRNCY</stp>
        <stp>[GestionvXs.xlsm]Spreads!R140C6</stp>
        <tr r="F140" s="35"/>
      </tp>
      <tp t="s">
        <v>CLF</v>
        <stp/>
        <stp>##V3_BDPV12</stp>
        <stp>ED198623@RIAY Corp</stp>
        <stp>TRADE_CRNCY</stp>
        <stp>[GestionvXs.xlsm]Spreads!R250C6</stp>
        <tr r="F250" s="35"/>
      </tp>
      <tp t="s">
        <v>EK3838951</v>
        <stp/>
        <stp>##V3_BDPV12</stp>
        <stp>BSWTR-I Corp</stp>
        <stp>ID_CUSIP</stp>
        <stp>[GestionvXs.xlsm]Spreads!R232C2</stp>
        <tr r="B232" s="35"/>
      </tp>
      <tp t="s">
        <v>EK7834303</v>
        <stp/>
        <stp>##V3_BDPV12</stp>
        <stp>BCOOE20315 Corp</stp>
        <stp>ID_CUSIP</stp>
        <stp>[GestionvXs.xlsm]Spreads!R207C2</stp>
        <tr r="B207" s="35"/>
      </tp>
      <tp t="s">
        <v>EK7248298</v>
        <stp/>
        <stp>##V3_BDPV12</stp>
        <stp>BESTK50714 Corp</stp>
        <stp>ID_CUSIP</stp>
        <stp>[GestionvXs.xlsm]Spreads!R86C2</stp>
        <tr r="B86" s="35"/>
      </tp>
      <tp t="s">
        <v>EJ1017569</v>
        <stp/>
        <stp>##V3_BDPV12</stp>
        <stp>BESTJ50109 Corp</stp>
        <stp>ID_CUSIP</stp>
        <stp>[GestionvXs.xlsm]Spreads!R36C2</stp>
        <tr r="B36" s="35"/>
      </tp>
      <tp t="s">
        <v>EK7301386</v>
        <stp/>
        <stp>##V3_BDPV12</stp>
        <stp>UBCIS11205 Corp</stp>
        <stp>ID_CUSIP</stp>
        <stp>[GestionvXs.xlsm]Spreads!R165C2</stp>
        <tr r="B165" s="35"/>
      </tp>
      <tp t="s">
        <v>EH7794645</v>
        <stp/>
        <stp>##V3_BDPV12</stp>
        <stp>BSECK10108 Corp</stp>
        <stp>ID_CUSIP</stp>
        <stp>[GestionvXs.xlsm]Spreads!R17C2</stp>
        <tr r="B17" s="35"/>
      </tp>
      <tp t="s">
        <v>EJ5914910</v>
        <stp/>
        <stp>##V3_BDPV12</stp>
        <stp>BCU0300318 Corp</stp>
        <stp>ID_CUSIP</stp>
        <stp>[GestionvXs.xlsm]Spreads!R288C2</stp>
        <tr r="B288" s="35"/>
      </tp>
      <tp t="s">
        <v>CLF</v>
        <stp/>
        <stp>##V3_BDPV12</stp>
        <stp>AM090777@RIAY Corp</stp>
        <stp>TRADE_CRNCY</stp>
        <stp>[GestionvXs.xlsm]Spreads!R187C6</stp>
        <tr r="F187" s="35"/>
      </tp>
      <tp t="s">
        <v>CLF</v>
        <stp/>
        <stp>##V3_BDPV12</stp>
        <stp>EI323998@RIAY Corp</stp>
        <stp>TRADE_CRNCY</stp>
        <stp>[GestionvXs.xlsm]Spreads!R263C6</stp>
        <tr r="F263" s="35"/>
      </tp>
      <tp t="s">
        <v>AM1829457</v>
        <stp/>
        <stp>##V3_BDPV12</stp>
        <stp>BRPLC-F Corp</stp>
        <stp>ID_CUSIP</stp>
        <stp>[GestionvXs.xlsm]Spreads!R209C2</stp>
        <tr r="B209" s="35"/>
      </tp>
      <tp t="s">
        <v>CLP</v>
        <stp/>
        <stp>##V3_BDPV12</stp>
        <stp>QZ713478@RIAY Corp</stp>
        <stp>TRADE_CRNCY</stp>
        <stp>[GestionvXs.xlsm]Spreads!R120C6</stp>
        <tr r="F120" s="35"/>
      </tp>
      <tp>
        <v>3.8110882956878851</v>
        <stp/>
        <stp>##V3_BDPV12</stp>
        <stp>QZ7134781 Corp</stp>
        <stp>MTY_YEARS</stp>
        <stp>[GestionvXs.xlsm]Spreads!R120C3</stp>
        <tr r="C120" s="35"/>
      </tp>
      <tp>
        <v>3.7782340862422998</v>
        <stp/>
        <stp>##V3_BDPV12</stp>
        <stp>QZ6735695 Corp</stp>
        <stp>MTY_YEARS</stp>
        <stp>[GestionvXs.xlsm]Spreads!R251C3</stp>
        <tr r="C251" s="35"/>
      </tp>
      <tp t="s">
        <v>EK7384390</v>
        <stp/>
        <stp>##V3_BDPV12</stp>
        <stp>BBCIF20812 Corp</stp>
        <stp>ID_CUSIP</stp>
        <stp>[GestionvXs.xlsm]Spreads!R140C2</stp>
        <tr r="B140" s="35"/>
      </tp>
      <tp t="s">
        <v>EK7480479</v>
        <stp/>
        <stp>##V3_BDPV12</stp>
        <stp>BBBVK51113 Corp</stp>
        <stp>ID_CUSIP</stp>
        <stp>[GestionvXs.xlsm]Spreads!R156C2</stp>
        <tr r="B156" s="35"/>
      </tp>
      <tp t="s">
        <v>EH3773106</v>
        <stp/>
        <stp>##V3_BDPV12</stp>
        <stp>BCU0300528 Corp</stp>
        <stp>ID_CUSIP</stp>
        <stp>[GestionvXs.xlsm]Spreads!R309C2</stp>
        <tr r="B309" s="35"/>
      </tp>
      <tp t="s">
        <v>EH4715783</v>
        <stp/>
        <stp>##V3_BDPV12</stp>
        <stp>BCU0300718 Corp</stp>
        <stp>ID_CUSIP</stp>
        <stp>[GestionvXs.xlsm]Spreads!R289C2</stp>
        <tr r="B289" s="35"/>
      </tp>
      <tp t="s">
        <v>EI7502418</v>
        <stp/>
        <stp>##V3_BDPV12</stp>
        <stp>BARAU-J Corp</stp>
        <stp>ID_CUSIP</stp>
        <stp>[GestionvXs.xlsm]Spreads!R106C2</stp>
        <tr r="B106" s="35"/>
      </tp>
      <tp t="s">
        <v>CLF</v>
        <stp/>
        <stp>##V3_BDPV12</stp>
        <stp>EJ785184@RIAY Corp</stp>
        <stp>TRADE_CRNCY</stp>
        <stp>[GestionvXs.xlsm]Spreads!R154C6</stp>
        <tr r="F154" s="35"/>
      </tp>
      <tp t="s">
        <v>CLF</v>
        <stp/>
        <stp>##V3_BDPV12</stp>
        <stp>EJ793561@RIAY Corp</stp>
        <stp>TRADE_CRNCY</stp>
        <stp>[GestionvXs.xlsm]Spreads!R130C6</stp>
        <tr r="F130" s="35"/>
      </tp>
      <tp t="s">
        <v>CLF</v>
        <stp/>
        <stp>##V3_BDPV12</stp>
        <stp>EK373097@RIAY Corp</stp>
        <stp>TRADE_CRNCY</stp>
        <stp>[GestionvXs.xlsm]Spreads!R278C6</stp>
        <tr r="F278" s="35"/>
      </tp>
      <tp t="s">
        <v>CLF</v>
        <stp/>
        <stp>##V3_BDPV12</stp>
        <stp>EK993131@RIAY Corp</stp>
        <stp>TRADE_CRNCY</stp>
        <stp>[GestionvXs.xlsm]Spreads!R110C6</stp>
        <tr r="F110" s="35"/>
      </tp>
      <tp t="s">
        <v>CLF</v>
        <stp/>
        <stp>##V3_BDPV12</stp>
        <stp>EI381308@RIAY Corp</stp>
        <stp>TRADE_CRNCY</stp>
        <stp>[GestionvXs.xlsm]Spreads!R208C6</stp>
        <tr r="F208" s="35"/>
      </tp>
      <tp t="s">
        <v>CLF</v>
        <stp/>
        <stp>##V3_BDPV12</stp>
        <stp>EI490208@RIAY Corp</stp>
        <stp>TRADE_CRNCY</stp>
        <stp>[GestionvXs.xlsm]Spreads!R249C6</stp>
        <tr r="F249" s="35"/>
      </tp>
      <tp t="s">
        <v>CLF</v>
        <stp/>
        <stp>##V3_BDPV12</stp>
        <stp>EJ819878@RIAY Corp</stp>
        <stp>TRADE_CRNCY</stp>
        <stp>[GestionvXs.xlsm]Spreads!R241C6</stp>
        <tr r="F241" s="35"/>
      </tp>
      <tp t="s">
        <v>CLF</v>
        <stp/>
        <stp>##V3_BDPV12</stp>
        <stp>LW390403@RIAY Corp</stp>
        <stp>TRADE_CRNCY</stp>
        <stp>[GestionvXs.xlsm]Spreads!R212C6</stp>
        <tr r="F212" s="35"/>
      </tp>
      <tp t="s">
        <v>CLF</v>
        <stp/>
        <stp>##V3_BDPV12</stp>
        <stp>EK748089@RIAY Corp</stp>
        <stp>TRADE_CRNCY</stp>
        <stp>[GestionvXs.xlsm]Spreads!R195C6</stp>
        <tr r="F195" s="35"/>
      </tp>
      <tp>
        <v>2.7789185489390826</v>
        <stp/>
        <stp>##V3_BDPV12</stp>
        <stp>LW2641899 Corp</stp>
        <stp>MTY_YEARS</stp>
        <stp>[GestionvXs.xlsm]Spreads!R109C3</stp>
        <tr r="C109" s="35"/>
      </tp>
      <tp t="s">
        <v>EK7481014</v>
        <stp/>
        <stp>##V3_BDPV12</stp>
        <stp>BBBVM41113 Corp</stp>
        <stp>ID_CUSIP</stp>
        <stp>[GestionvXs.xlsm]Spreads!R100C2</stp>
        <tr r="B100" s="35"/>
      </tp>
      <tp t="s">
        <v>EK7480115</v>
        <stp/>
        <stp>##V3_BDPV12</stp>
        <stp>BBBVK20212 Corp</stp>
        <stp>ID_CUSIP</stp>
        <stp>[GestionvXs.xlsm]Spreads!R197C2</stp>
        <tr r="B197" s="35"/>
      </tp>
      <tp t="s">
        <v>EK4360732</v>
        <stp/>
        <stp>##V3_BDPV12</stp>
        <stp>BEMCA-P Corp</stp>
        <stp>ID_CUSIP</stp>
        <stp>[GestionvXs.xlsm]Spreads!R274C2</stp>
        <tr r="B274" s="35"/>
      </tp>
      <tp t="s">
        <v>CLF</v>
        <stp/>
        <stp>##V3_BDPV12</stp>
        <stp>EK487543@RIAY Corp</stp>
        <stp>TRADE_CRNCY</stp>
        <stp>[GestionvXs.xlsm]Spreads!R134C6</stp>
        <tr r="F134" s="35"/>
      </tp>
      <tp t="s">
        <v>CLF</v>
        <stp/>
        <stp>##V3_BDPV12</stp>
        <stp>EK247243@RIAY Corp</stp>
        <stp>TRADE_CRNCY</stp>
        <stp>[GestionvXs.xlsm]Spreads!R268C6</stp>
        <tr r="F268" s="35"/>
      </tp>
      <tp t="s">
        <v>CLF</v>
        <stp/>
        <stp>##V3_BDPV12</stp>
        <stp>EF067789@RIAY Corp</stp>
        <stp>TRADE_CRNCY</stp>
        <stp>[GestionvXs.xlsm]Spreads!R170C6</stp>
        <tr r="F170" s="35"/>
      </tp>
      <tp t="s">
        <v>CLF</v>
        <stp/>
        <stp>##V3_BDPV12</stp>
        <stp>EK783430@RIAY Corp</stp>
        <stp>TRADE_CRNCY</stp>
        <stp>[GestionvXs.xlsm]Spreads!R207C6</stp>
        <tr r="F207" s="35"/>
      </tp>
      <tp t="s">
        <v>CLP</v>
        <stp/>
        <stp>##V3_BDPV12</stp>
        <stp>EJ723624@RIAY Corp</stp>
        <stp>TRADE_CRNCY</stp>
        <stp>[GestionvXs.xlsm]Spreads!R239C6</stp>
        <tr r="F239" s="35"/>
      </tp>
      <tp t="s">
        <v>CLF</v>
        <stp/>
        <stp>##V3_BDPV12</stp>
        <stp>EK383895@RIAY Corp</stp>
        <stp>TRADE_CRNCY</stp>
        <stp>[GestionvXs.xlsm]Spreads!R232C6</stp>
        <tr r="F232" s="35"/>
      </tp>
      <tp t="s">
        <v>CLF</v>
        <stp/>
        <stp>##V3_BDPV12</stp>
        <stp>AL955948@RIAY Corp</stp>
        <stp>TRADE_CRNCY</stp>
        <stp>[GestionvXs.xlsm]Spreads!R132C6</stp>
        <tr r="F132" s="35"/>
      </tp>
      <tp t="s">
        <v>CLF</v>
        <stp/>
        <stp>##V3_BDPV12</stp>
        <stp>EK729118@RIAY Corp</stp>
        <stp>TRADE_CRNCY</stp>
        <stp>[GestionvXs.xlsm]Spreads!R215C6</stp>
        <tr r="F215" s="35"/>
      </tp>
      <tp t="s">
        <v>CLF</v>
        <stp/>
        <stp>##V3_BDPV12</stp>
        <stp>EC489864@RIAY Corp</stp>
        <stp>TRADE_CRNCY</stp>
        <stp>[GestionvXs.xlsm]Spreads!R133C6</stp>
        <tr r="F133" s="35"/>
      </tp>
      <tp t="s">
        <v>CLF</v>
        <stp/>
        <stp>##V3_BDPV12</stp>
        <stp>EG349353@RIAY Corp</stp>
        <stp>TRADE_CRNCY</stp>
        <stp>[GestionvXs.xlsm]Spreads!R138C6</stp>
        <tr r="F138" s="35"/>
      </tp>
      <tp t="s">
        <v>CLF</v>
        <stp/>
        <stp>##V3_BDPV12</stp>
        <stp>EH828845@RIAY Corp</stp>
        <stp>TRADE_CRNCY</stp>
        <stp>[GestionvXs.xlsm]Spreads!R228C6</stp>
        <tr r="F228" s="35"/>
      </tp>
      <tp t="s">
        <v>CLF</v>
        <stp/>
        <stp>##V3_BDPV12</stp>
        <stp>QZ673569@RIAY Corp</stp>
        <stp>TRADE_CRNCY</stp>
        <stp>[GestionvXs.xlsm]Spreads!R251C6</stp>
        <tr r="F251" s="35"/>
      </tp>
      <tp t="s">
        <v>CLF</v>
        <stp/>
        <stp>##V3_BDPV12</stp>
        <stp>UV363901@RIAY Corp</stp>
        <stp>TRADE_CRNCY</stp>
        <stp>[GestionvXs.xlsm]Spreads!R108C6</stp>
        <tr r="F108" s="35"/>
      </tp>
      <tp t="s">
        <v>LW3161095</v>
        <stp/>
        <stp>##V3_BDPV12</stp>
        <stp>BESTO20315 Corp</stp>
        <stp>ID_CUSIP</stp>
        <stp>[GestionvXs.xlsm]Spreads!R95C2</stp>
        <tr r="B95" s="35"/>
      </tp>
      <tp t="s">
        <v>EK7653380</v>
        <stp/>
        <stp>##V3_BDPV12</stp>
        <stp>BBCIJ11014 Corp</stp>
        <stp>ID_CUSIP</stp>
        <stp>[GestionvXs.xlsm]Spreads!R90C2</stp>
        <tr r="B90" s="35"/>
      </tp>
      <tp t="s">
        <v>EK6920087</v>
        <stp/>
        <stp>##V3_BDPV12</stp>
        <stp>UBICS30207 Corp</stp>
        <stp>ID_CUSIP</stp>
        <stp>[GestionvXs.xlsm]Spreads!R262C2</stp>
        <tr r="B262" s="35"/>
      </tp>
      <tp t="s">
        <v>EI5778432</v>
        <stp/>
        <stp>##V3_BDPV12</stp>
        <stp>BCU0300221 Corp</stp>
        <stp>ID_CUSIP</stp>
        <stp>[GestionvXs.xlsm]Spreads!R296C2</stp>
        <tr r="B296" s="35"/>
      </tp>
      <tp t="s">
        <v>CLF</v>
        <stp/>
        <stp>##V3_BDPV12</stp>
        <stp>EK747519@RIAY Corp</stp>
        <stp>TRADE_CRNCY</stp>
        <stp>[GestionvXs.xlsm]Spreads!R223C6</stp>
        <tr r="F223" s="35"/>
      </tp>
      <tp t="s">
        <v>CLF</v>
        <stp/>
        <stp>##V3_BDPV12</stp>
        <stp>EF757362@RIAY Corp</stp>
        <stp>TRADE_CRNCY</stp>
        <stp>[GestionvXs.xlsm]Spreads!R199C6</stp>
        <tr r="F199" s="35"/>
      </tp>
      <tp t="s">
        <v>CLF</v>
        <stp/>
        <stp>##V3_BDPV12</stp>
        <stp>EJ793531@RIAY Corp</stp>
        <stp>TRADE_CRNCY</stp>
        <stp>[GestionvXs.xlsm]Spreads!R146C6</stp>
        <tr r="F146" s="35"/>
      </tp>
      <tp t="s">
        <v>CLF</v>
        <stp/>
        <stp>##V3_BDPV12</stp>
        <stp>EK722714@RIAY Corp</stp>
        <stp>TRADE_CRNCY</stp>
        <stp>[GestionvXs.xlsm]Spreads!R148C6</stp>
        <tr r="F148" s="35"/>
      </tp>
      <tp t="s">
        <v>CLP</v>
        <stp/>
        <stp>##V3_BDPV12</stp>
        <stp>EK062510@RIAY Corp</stp>
        <stp>TRADE_CRNCY</stp>
        <stp>[GestionvXs.xlsm]Spreads!R218C6</stp>
        <tr r="F218" s="35"/>
      </tp>
      <tp t="s">
        <v>CLF</v>
        <stp/>
        <stp>##V3_BDPV12</stp>
        <stp>EH832749@RIAY Corp</stp>
        <stp>TRADE_CRNCY</stp>
        <stp>[GestionvXs.xlsm]Spreads!R164C6</stp>
        <tr r="F164" s="35"/>
      </tp>
      <tp t="s">
        <v>CLF</v>
        <stp/>
        <stp>##V3_BDPV12</stp>
        <stp>EH860760@RIAY Corp</stp>
        <stp>TRADE_CRNCY</stp>
        <stp>[GestionvXs.xlsm]Spreads!R168C6</stp>
        <tr r="F168" s="35"/>
      </tp>
      <tp t="s">
        <v>CLF</v>
        <stp/>
        <stp>##V3_BDPV12</stp>
        <stp>EK730138@RIAY Corp</stp>
        <stp>TRADE_CRNCY</stp>
        <stp>[GestionvXs.xlsm]Spreads!R165C6</stp>
        <tr r="F165" s="35"/>
      </tp>
      <tp t="s">
        <v>CLF</v>
        <stp/>
        <stp>##V3_BDPV12</stp>
        <stp>EK750848@RIAY Corp</stp>
        <stp>TRADE_CRNCY</stp>
        <stp>[GestionvXs.xlsm]Spreads!R153C6</stp>
        <tr r="F153" s="35"/>
      </tp>
      <tp t="s">
        <v>CLF</v>
        <stp/>
        <stp>##V3_BDPV12</stp>
        <stp>AL469470@RIAY Corp</stp>
        <stp>TRADE_CRNCY</stp>
        <stp>[GestionvXs.xlsm]Spreads!R188C6</stp>
        <tr r="F188" s="35"/>
      </tp>
      <tp t="s">
        <v>CLF</v>
        <stp/>
        <stp>##V3_BDPV12</stp>
        <stp>EJ669129@RIAY Corp</stp>
        <stp>TRADE_CRNCY</stp>
        <stp>[GestionvXs.xlsm]Spreads!R131C6</stp>
        <tr r="F131" s="35"/>
      </tp>
      <tp t="s">
        <v>CLF</v>
        <stp/>
        <stp>##V3_BDPV12</stp>
        <stp>EK748023@RIAY Corp</stp>
        <stp>TRADE_CRNCY</stp>
        <stp>[GestionvXs.xlsm]Spreads!R149C6</stp>
        <tr r="F149" s="35"/>
      </tp>
      <tp t="s">
        <v>CLF</v>
        <stp/>
        <stp>##V3_BDPV12</stp>
        <stp>QJ189781@RIAY Corp</stp>
        <stp>TRADE_CRNCY</stp>
        <stp>[GestionvXs.xlsm]Spreads!R107C6</stp>
        <tr r="F107" s="35"/>
      </tp>
      <tp t="s">
        <v>EK3130516</v>
        <stp/>
        <stp>##V3_BDPV12</stp>
        <stp>BCOOD20514 Corp</stp>
        <stp>ID_CUSIP</stp>
        <stp>[GestionvXs.xlsm]Spreads!R192C2</stp>
        <tr r="B192" s="35"/>
      </tp>
      <tp t="s">
        <v>EK4688231</v>
        <stp/>
        <stp>##V3_BDPV12</stp>
        <stp>BBBVM21011 Corp</stp>
        <stp>ID_CUSIP</stp>
        <stp>[GestionvXs.xlsm]Spreads!R24C2</stp>
        <tr r="B24" s="35"/>
      </tp>
      <tp t="s">
        <v>EK7479935</v>
        <stp/>
        <stp>##V3_BDPV12</stp>
        <stp>BBBVJ51113 Corp</stp>
        <stp>ID_CUSIP</stp>
        <stp>[GestionvXs.xlsm]Spreads!R43C2</stp>
        <tr r="B43" s="35"/>
      </tp>
      <tp t="s">
        <v>EI5600867</v>
        <stp/>
        <stp>##V3_BDPV12</stp>
        <stp>UCHID10402 Corp</stp>
        <stp>ID_CUSIP</stp>
        <stp>[GestionvXs.xlsm]Spreads!R127C2</stp>
        <tr r="B127" s="35"/>
      </tp>
      <tp t="s">
        <v>EK7480891</v>
        <stp/>
        <stp>##V3_BDPV12</stp>
        <stp>BBBVM31113 Corp</stp>
        <stp>ID_CUSIP</stp>
        <stp>[GestionvXs.xlsm]Spreads!R195C2</stp>
        <tr r="B195" s="35"/>
      </tp>
      <tp t="s">
        <v>EK8223019</v>
        <stp/>
        <stp>##V3_BDPV12</stp>
        <stp>BESTN10814 Corp</stp>
        <stp>ID_CUSIP</stp>
        <stp>[GestionvXs.xlsm]Spreads!R167C2</stp>
        <tr r="B167" s="35"/>
      </tp>
      <tp t="s">
        <v>EJ1110612</v>
        <stp/>
        <stp>##V3_BDPV12</stp>
        <stp>BCP0600322 Corp</stp>
        <stp>ID_CUSIP</stp>
        <stp>[GestionvXs.xlsm]Spreads!R336C2</stp>
        <tr r="B336" s="35"/>
      </tp>
      <tp t="s">
        <v>EJ5914415</v>
        <stp/>
        <stp>##V3_BDPV12</stp>
        <stp>BCP0600323 Corp</stp>
        <stp>ID_CUSIP</stp>
        <stp>[GestionvXs.xlsm]Spreads!R337C2</stp>
        <tr r="B337" s="35"/>
      </tp>
      <tp t="s">
        <v>EK9364440</v>
        <stp/>
        <stp>##V3_BDPV12</stp>
        <stp>BCP0450620 Corp</stp>
        <stp>ID_CUSIP</stp>
        <stp>[GestionvXs.xlsm]Spreads!R331C2</stp>
        <tr r="B331" s="35"/>
      </tp>
      <tp t="s">
        <v>EJ2378648</v>
        <stp/>
        <stp>##V3_BDPV12</stp>
        <stp>BCP0600617 Corp</stp>
        <stp>ID_CUSIP</stp>
        <stp>[GestionvXs.xlsm]Spreads!R323C2</stp>
        <tr r="B323" s="35"/>
      </tp>
      <tp t="s">
        <v>CLF</v>
        <stp/>
        <stp>##V3_BDPV12</stp>
        <stp>EJ807074@RIAY Corp</stp>
        <stp>TRADE_CRNCY</stp>
        <stp>[GestionvXs.xlsm]Spreads!R179C6</stp>
        <tr r="F179" s="35"/>
      </tp>
      <tp t="s">
        <v>CLF</v>
        <stp/>
        <stp>##V3_BDPV12</stp>
        <stp>EI966172@RIAY Corp</stp>
        <stp>TRADE_CRNCY</stp>
        <stp>[GestionvXs.xlsm]Spreads!R229C6</stp>
        <tr r="F229" s="35"/>
      </tp>
      <tp t="s">
        <v>CLF</v>
        <stp/>
        <stp>##V3_BDPV12</stp>
        <stp>JV189474@RIAY Corp</stp>
        <stp>TRADE_CRNCY</stp>
        <stp>[GestionvXs.xlsm]Spreads!R121C6</stp>
        <tr r="F121" s="35"/>
      </tp>
      <tp t="s">
        <v>CLF</v>
        <stp/>
        <stp>##V3_BDPV12</stp>
        <stp>EI755609@RIAY Corp</stp>
        <stp>TRADE_CRNCY</stp>
        <stp>[GestionvXs.xlsm]Spreads!R181C6</stp>
        <tr r="F181" s="35"/>
      </tp>
      <tp t="s">
        <v>CLF</v>
        <stp/>
        <stp>##V3_BDPV12</stp>
        <stp>ED495281@RIAY Corp</stp>
        <stp>TRADE_CRNCY</stp>
        <stp>[GestionvXs.xlsm]Spreads!R135C6</stp>
        <tr r="F135" s="35"/>
      </tp>
      <tp t="s">
        <v>CLF</v>
        <stp/>
        <stp>##V3_BDPV12</stp>
        <stp>EI722289@RIAY Corp</stp>
        <stp>TRADE_CRNCY</stp>
        <stp>[GestionvXs.xlsm]Spreads!R186C6</stp>
        <tr r="F186" s="35"/>
      </tp>
      <tp t="s">
        <v>CLP</v>
        <stp/>
        <stp>##V3_BDPV12</stp>
        <stp>EK402808@RIAY Corp</stp>
        <stp>TRADE_CRNCY</stp>
        <stp>[GestionvXs.xlsm]Spreads!R235C6</stp>
        <tr r="F235" s="35"/>
      </tp>
      <tp t="s">
        <v>CLF</v>
        <stp/>
        <stp>##V3_BDPV12</stp>
        <stp>EH861829@RIAY Corp</stp>
        <stp>TRADE_CRNCY</stp>
        <stp>[GestionvXs.xlsm]Spreads!R182C6</stp>
        <tr r="F182" s="35"/>
      </tp>
      <tp t="s">
        <v>CLF</v>
        <stp/>
        <stp>##V3_BDPV12</stp>
        <stp>ED091635@RIAY Corp</stp>
        <stp>TRADE_CRNCY</stp>
        <stp>[GestionvXs.xlsm]Spreads!R141C6</stp>
        <tr r="F141" s="35"/>
      </tp>
      <tp t="s">
        <v>CLF</v>
        <stp/>
        <stp>##V3_BDPV12</stp>
        <stp>EK671942@RIAY Corp</stp>
        <stp>TRADE_CRNCY</stp>
        <stp>[GestionvXs.xlsm]Spreads!R128C6</stp>
        <tr r="F128" s="35"/>
      </tp>
      <tp t="s">
        <v>CLF</v>
        <stp/>
        <stp>##V3_BDPV12</stp>
        <stp>EH860172@RIAY Corp</stp>
        <stp>TRADE_CRNCY</stp>
        <stp>[GestionvXs.xlsm]Spreads!R159C6</stp>
        <tr r="F159" s="35"/>
      </tp>
      <tp t="s">
        <v>EI6724179</v>
        <stp/>
        <stp>##V3_BDPV12</stp>
        <stp>BAYS3-A Corp</stp>
        <stp>ID_CUSIP</stp>
        <stp>[GestionvXs.xlsm]Spreads!R183C2</stp>
        <tr r="B183" s="35"/>
      </tp>
      <tp t="s">
        <v>CLF</v>
        <stp/>
        <stp>##V3_BDPV12</stp>
        <stp>QZ921247@RIAY Corp</stp>
        <stp>TRADE_CRNCY</stp>
        <stp>[GestionvXs.xlsm]Spreads!R118C6</stp>
        <tr r="F118" s="35"/>
      </tp>
      <tp t="s">
        <v>EJ8005096</v>
        <stp/>
        <stp>##V3_BDPV12</stp>
        <stp>BBOTS-P3F Corp</stp>
        <stp>ID_CUSIP</stp>
        <stp>[GestionvXs.xlsm]Spreads!R222C2</stp>
        <tr r="B222" s="35"/>
      </tp>
      <tp t="s">
        <v>EJ7884210</v>
        <stp/>
        <stp>##V3_BDPV12</stp>
        <stp>BBBVJ40413 Corp</stp>
        <stp>ID_CUSIP</stp>
        <stp>[GestionvXs.xlsm]Spreads!R72C2</stp>
        <tr r="B72" s="35"/>
      </tp>
      <tp t="s">
        <v>EK7653505</v>
        <stp/>
        <stp>##V3_BDPV12</stp>
        <stp>BBCIJ21014 Corp</stp>
        <stp>ID_CUSIP</stp>
        <stp>[GestionvXs.xlsm]Spreads!R172C2</stp>
        <tr r="B172" s="35"/>
      </tp>
      <tp t="s">
        <v>EJ6696797</v>
        <stp/>
        <stp>##V3_BDPV12</stp>
        <stp>BSECK21111 Corp</stp>
        <stp>ID_CUSIP</stp>
        <stp>[GestionvXs.xlsm]Spreads!R63C2</stp>
        <tr r="B63" s="35"/>
      </tp>
      <tp t="s">
        <v>EK7508782</v>
        <stp/>
        <stp>##V3_BDPV12</stp>
        <stp>BSECN10109 Corp</stp>
        <stp>ID_CUSIP</stp>
        <stp>[GestionvXs.xlsm]Spreads!R87C2</stp>
        <tr r="B87" s="35"/>
      </tp>
      <tp t="s">
        <v>EK8475684</v>
        <stp/>
        <stp>##V3_BDPV12</stp>
        <stp>BCP0450420 Corp</stp>
        <stp>ID_CUSIP</stp>
        <stp>[GestionvXs.xlsm]Spreads!R330C2</stp>
        <tr r="B330" s="35"/>
      </tp>
      <tp t="s">
        <v>CLP</v>
        <stp/>
        <stp>##V3_BDPV12</stp>
        <stp>AL631436@RIAY Corp</stp>
        <stp>TRADE_CRNCY</stp>
        <stp>[GestionvXs.xlsm]Spreads!R129C6</stp>
        <tr r="F129" s="35"/>
      </tp>
      <tp t="s">
        <v>CLF</v>
        <stp/>
        <stp>##V3_BDPV12</stp>
        <stp>EK395033@RIAY Corp</stp>
        <stp>TRADE_CRNCY</stp>
        <stp>[GestionvXs.xlsm]Spreads!R206C6</stp>
        <tr r="F206" s="35"/>
      </tp>
      <tp t="s">
        <v>CLP</v>
        <stp/>
        <stp>##V3_BDPV12</stp>
        <stp>EK455260@RIAY Corp</stp>
        <stp>TRADE_CRNCY</stp>
        <stp>[GestionvXs.xlsm]Spreads!R219C6</stp>
        <tr r="F219" s="35"/>
      </tp>
      <tp t="s">
        <v>CLF</v>
        <stp/>
        <stp>##V3_BDPV12</stp>
        <stp>EC385044@RIAY Corp</stp>
        <stp>TRADE_CRNCY</stp>
        <stp>[GestionvXs.xlsm]Spreads!R180C6</stp>
        <tr r="F180" s="35"/>
      </tp>
      <tp t="s">
        <v>CLF</v>
        <stp/>
        <stp>##V3_BDPV12</stp>
        <stp>EK753398@RIAY Corp</stp>
        <stp>TRADE_CRNCY</stp>
        <stp>[GestionvXs.xlsm]Spreads!R101C6</stp>
        <tr r="F101" s="35"/>
      </tp>
      <tp t="s">
        <v>CLF</v>
        <stp/>
        <stp>##V3_BDPV12</stp>
        <stp>EK993293@RIAY Corp</stp>
        <stp>TRADE_CRNCY</stp>
        <stp>[GestionvXs.xlsm]Spreads!R166C6</stp>
        <tr r="F166" s="35"/>
      </tp>
      <tp t="s">
        <v>CLF</v>
        <stp/>
        <stp>##V3_BDPV12</stp>
        <stp>EI721769@RIAY Corp</stp>
        <stp>TRADE_CRNCY</stp>
        <stp>[GestionvXs.xlsm]Spreads!R117C6</stp>
        <tr r="F117" s="35"/>
      </tp>
      <tp t="s">
        <v>CLP</v>
        <stp/>
        <stp>##V3_BDPV12</stp>
        <stp>LW560938@RIAY Corp</stp>
        <stp>TRADE_CRNCY</stp>
        <stp>[GestionvXs.xlsm]Spreads!R102C6</stp>
        <tr r="F102" s="35"/>
      </tp>
      <tp t="s">
        <v>EH8327494</v>
        <stp/>
        <stp>##V3_BDPV12</stp>
        <stp>BESVA-M Corp</stp>
        <stp>ID_CUSIP</stp>
        <stp>[GestionvXs.xlsm]Spreads!R164C2</stp>
        <tr r="B164" s="35"/>
      </tp>
      <tp t="s">
        <v>CLP</v>
        <stp/>
        <stp>##V3_BDPV12</stp>
        <stp>QZ519849@RIAY Corp</stp>
        <stp>TRADE_CRNCY</stp>
        <stp>[GestionvXs.xlsm]Spreads!R114C6</stp>
        <tr r="F114" s="35"/>
      </tp>
      <tp t="s">
        <v>EK7532840</v>
        <stp/>
        <stp>##V3_BDPV12</stp>
        <stp>BBOTS-P2D Corp</stp>
        <stp>ID_CUSIP</stp>
        <stp>[GestionvXs.xlsm]Spreads!R221C2</stp>
        <tr r="B221" s="35"/>
      </tp>
      <tp t="s">
        <v>EJ5476241</v>
        <stp/>
        <stp>##V3_BDPV12</stp>
        <stp>BBCIE20811 Corp</stp>
        <stp>ID_CUSIP</stp>
        <stp>[GestionvXs.xlsm]Spreads!R62C2</stp>
        <tr r="B62" s="35"/>
      </tp>
      <tp t="s">
        <v>AL1583361</v>
        <stp/>
        <stp>##V3_BDPV12</stp>
        <stp>BBBVJ71215 Corp</stp>
        <stp>ID_CUSIP</stp>
        <stp>[GestionvXs.xlsm]Spreads!R119C2</stp>
        <tr r="B119" s="35"/>
      </tp>
      <tp t="s">
        <v>#N/A N/A</v>
        <stp/>
        <stp>##V3_BDHV12</stp>
        <stp>CLFXDOOB Index</stp>
        <stp>PX_LAST</stp>
        <stp>21-11-2017</stp>
        <stp>21-11-2017</stp>
        <stp>[GestionvXs.xlsm]Inicio!R11C18</stp>
        <tr r="R11" s="12"/>
      </tp>
      <tp t="s">
        <v>#N/A N/A</v>
        <stp/>
        <stp>##V3_BDHV12</stp>
        <stp>CLFXDOOB Index</stp>
        <stp>PX_LAST</stp>
        <stp>21-11-2017</stp>
        <stp>21-11-2017</stp>
        <stp>[GestionvXs.xlsm]Inicio!R10C18</stp>
        <tr r="R10" s="12"/>
      </tp>
      <tp t="s">
        <v>EH8469296</v>
        <stp/>
        <stp>##V3_BDPV12</stp>
        <stp>BCU0300519 Corp</stp>
        <stp>ID_CUSIP</stp>
        <stp>[GestionvXs.xlsm]Spreads!R293C2</stp>
        <tr r="B293" s="35"/>
      </tp>
      <tp t="s">
        <v>CLF</v>
        <stp/>
        <stp>##V3_BDPV12</stp>
        <stp>EK397153@RIAY Corp</stp>
        <stp>TRADE_CRNCY</stp>
        <stp>[GestionvXs.xlsm]Spreads!R189C6</stp>
        <tr r="F189" s="35"/>
      </tp>
      <tp t="s">
        <v>CLF</v>
        <stp/>
        <stp>##V3_BDPV12</stp>
        <stp>EK385578@RIAY Corp</stp>
        <stp>TRADE_CRNCY</stp>
        <stp>[GestionvXs.xlsm]Spreads!R273C6</stp>
        <tr r="F273" s="35"/>
      </tp>
      <tp t="s">
        <v>CLF</v>
        <stp/>
        <stp>##V3_BDPV12</stp>
        <stp>EK395099@RIAY Corp</stp>
        <stp>TRADE_CRNCY</stp>
        <stp>[GestionvXs.xlsm]Spreads!R243C6</stp>
        <tr r="F243" s="35"/>
      </tp>
      <tp t="s">
        <v>CLP</v>
        <stp/>
        <stp>##V3_BDPV12</stp>
        <stp>EK815126@RIAY Corp</stp>
        <stp>TRADE_CRNCY</stp>
        <stp>[GestionvXs.xlsm]Spreads!R234C6</stp>
        <tr r="F234" s="35"/>
      </tp>
      <tp t="s">
        <v>CLF</v>
        <stp/>
        <stp>##V3_BDPV12</stp>
        <stp>EG204053@RIAY Corp</stp>
        <stp>TRADE_CRNCY</stp>
        <stp>[GestionvXs.xlsm]Spreads!R190C6</stp>
        <tr r="F190" s="35"/>
      </tp>
      <tp t="s">
        <v>CLF</v>
        <stp/>
        <stp>##V3_BDPV12</stp>
        <stp>EJ713793@RIAY Corp</stp>
        <stp>TRADE_CRNCY</stp>
        <stp>[GestionvXs.xlsm]Spreads!R161C6</stp>
        <tr r="F161" s="35"/>
      </tp>
      <tp t="s">
        <v>CLF</v>
        <stp/>
        <stp>##V3_BDPV12</stp>
        <stp>EI672417@RIAY Corp</stp>
        <stp>TRADE_CRNCY</stp>
        <stp>[GestionvXs.xlsm]Spreads!R183C6</stp>
        <tr r="F183" s="35"/>
      </tp>
      <tp t="s">
        <v>CLF</v>
        <stp/>
        <stp>##V3_BDPV12</stp>
        <stp>EK692008@RIAY Corp</stp>
        <stp>TRADE_CRNCY</stp>
        <stp>[GestionvXs.xlsm]Spreads!R262C6</stp>
        <tr r="F262" s="35"/>
      </tp>
      <tp t="s">
        <v>CLF</v>
        <stp/>
        <stp>##V3_BDPV12</stp>
        <stp>EH851891@RIAY Corp</stp>
        <stp>TRADE_CRNCY</stp>
        <stp>[GestionvXs.xlsm]Spreads!R157C6</stp>
        <tr r="F157" s="35"/>
      </tp>
      <tp t="s">
        <v>EK0625104</v>
        <stp/>
        <stp>##V3_BDPV12</stp>
        <stp>BFORU-AR Corp</stp>
        <stp>ID_CUSIP</stp>
        <stp>[GestionvXs.xlsm]Spreads!R218C2</stp>
        <tr r="B218" s="35"/>
      </tp>
      <tp t="s">
        <v>EJ0978415</v>
        <stp/>
        <stp>##V3_BDPV12</stp>
        <stp>BQUIN-C Corp</stp>
        <stp>ID_CUSIP</stp>
        <stp>[GestionvXs.xlsm]Spreads!R203C2</stp>
        <tr r="B203" s="35"/>
      </tp>
      <tp t="s">
        <v>EI7222892</v>
        <stp/>
        <stp>##V3_BDPV12</stp>
        <stp>BQUIN-F Corp</stp>
        <stp>ID_CUSIP</stp>
        <stp>[GestionvXs.xlsm]Spreads!R186C2</stp>
        <tr r="B186" s="35"/>
      </tp>
      <tp t="s">
        <v>CLF</v>
        <stp/>
        <stp>##V3_BDPV12</stp>
        <stp>EI769935@RIAY Corp</stp>
        <stp>TRADE_CRNCY</stp>
        <stp>[GestionvXs.xlsm]Spreads!R210C6</stp>
        <tr r="F210" s="35"/>
      </tp>
      <tp t="s">
        <v>EI7622653</v>
        <stp/>
        <stp>##V3_BDPV12</stp>
        <stp>BCORAI0710 Corp</stp>
        <stp>ID_CUSIP</stp>
        <stp>[GestionvXs.xlsm]Spreads!R56C2</stp>
        <tr r="B56" s="35"/>
      </tp>
      <tp t="s">
        <v>EK7227508</v>
        <stp/>
        <stp>##V3_BDPV12</stp>
        <stp>BCHIAI0213 Corp</stp>
        <stp>ID_CUSIP</stp>
        <stp>[GestionvXs.xlsm]Spreads!R76C2</stp>
        <tr r="B76" s="35"/>
      </tp>
      <tp>
        <v>7.2744695414099931</v>
        <stp/>
        <stp>##V3_BDPV12</stp>
        <stp>UV5551709 Corp</stp>
        <stp>MTY_YEARS</stp>
        <stp>[GestionvXs.xlsm]Spreads!R173C3</stp>
        <tr r="C173" s="35"/>
      </tp>
      <tp>
        <v>629.21</v>
        <stp/>
        <stp>##V3_BDHV12</stp>
        <stp>CLFXDOOB Index</stp>
        <stp>PX_LAST</stp>
        <stp>20-11-2017</stp>
        <stp>20-11-2017</stp>
        <stp>[GestionvXs.xlsm]Inicio!R10C18</stp>
        <tr r="R10" s="12"/>
        <tr r="R10" s="12"/>
      </tp>
      <tp>
        <v>629.21</v>
        <stp/>
        <stp>##V3_BDHV12</stp>
        <stp>CLFXDOOB Index</stp>
        <stp>PX_LAST</stp>
        <stp>20-11-2017</stp>
        <stp>20-11-2017</stp>
        <stp>[GestionvXs.xlsm]Inicio!R11C18</stp>
        <tr r="R11" s="12"/>
        <tr r="R11" s="12"/>
      </tp>
      <tp t="s">
        <v>QJ0607847</v>
        <stp/>
        <stp>##V3_BDPV12</stp>
        <stp>BBBVK80714 Corp</stp>
        <stp>ID_CUSIP</stp>
        <stp>[GestionvXs.xlsm]Spreads!R176C2</stp>
        <tr r="B176" s="35"/>
      </tp>
      <tp t="s">
        <v>EJ0945984</v>
        <stp/>
        <stp>##V3_BDPV12</stp>
        <stp>BCU0300322 Corp</stp>
        <stp>ID_CUSIP</stp>
        <stp>[GestionvXs.xlsm]Spreads!R299C2</stp>
        <tr r="B299" s="35"/>
      </tp>
      <tp t="s">
        <v>CLP</v>
        <stp/>
        <stp>##V3_BDPV12</stp>
        <stp>EK017270@RIAY Corp</stp>
        <stp>TRADE_CRNCY</stp>
        <stp>[GestionvXs.xlsm]Spreads!R233C6</stp>
        <tr r="F233" s="35"/>
      </tp>
      <tp t="s">
        <v>CLF</v>
        <stp/>
        <stp>##V3_BDPV12</stp>
        <stp>EJ006527@RIAY Corp</stp>
        <stp>TRADE_CRNCY</stp>
        <stp>[GestionvXs.xlsm]Spreads!R185C6</stp>
        <tr r="F185" s="35"/>
      </tp>
      <tp t="s">
        <v>CLF</v>
        <stp/>
        <stp>##V3_BDPV12</stp>
        <stp>EC316957@RIAY Corp</stp>
        <stp>TRADE_CRNCY</stp>
        <stp>[GestionvXs.xlsm]Spreads!R254C6</stp>
        <tr r="F254" s="35"/>
      </tp>
      <tp t="s">
        <v>CLF</v>
        <stp/>
        <stp>##V3_BDPV12</stp>
        <stp>EK766300@RIAY Corp</stp>
        <stp>TRADE_CRNCY</stp>
        <stp>[GestionvXs.xlsm]Spreads!R204C6</stp>
        <tr r="F204" s="35"/>
      </tp>
      <tp t="s">
        <v>CLF</v>
        <stp/>
        <stp>##V3_BDPV12</stp>
        <stp>EK766312@RIAY Corp</stp>
        <stp>TRADE_CRNCY</stp>
        <stp>[GestionvXs.xlsm]Spreads!R226C6</stp>
        <tr r="F226" s="35"/>
      </tp>
      <tp t="s">
        <v>CLF</v>
        <stp/>
        <stp>##V3_BDPV12</stp>
        <stp>EC136635@RIAY Corp</stp>
        <stp>TRADE_CRNCY</stp>
        <stp>[GestionvXs.xlsm]Spreads!R264C6</stp>
        <tr r="F264" s="35"/>
      </tp>
      <tp t="s">
        <v>CLF</v>
        <stp/>
        <stp>##V3_BDPV12</stp>
        <stp>EK825543@RIAY Corp</stp>
        <stp>TRADE_CRNCY</stp>
        <stp>[GestionvXs.xlsm]Spreads!R283C6</stp>
        <tr r="F283" s="35"/>
      </tp>
      <tp t="s">
        <v>CLF</v>
        <stp/>
        <stp>##V3_BDPV12</stp>
        <stp>EH855765@RIAY Corp</stp>
        <stp>TRADE_CRNCY</stp>
        <stp>[GestionvXs.xlsm]Spreads!R162C6</stp>
        <tr r="F162" s="35"/>
      </tp>
      <tp t="s">
        <v>CLF</v>
        <stp/>
        <stp>##V3_BDPV12</stp>
        <stp>EK753116@RIAY Corp</stp>
        <stp>TRADE_CRNCY</stp>
        <stp>[GestionvXs.xlsm]Spreads!R171C6</stp>
        <tr r="F171" s="35"/>
      </tp>
      <tp t="s">
        <v>CLF</v>
        <stp/>
        <stp>##V3_BDPV12</stp>
        <stp>EK313051@RIAY Corp</stp>
        <stp>TRADE_CRNCY</stp>
        <stp>[GestionvXs.xlsm]Spreads!R192C6</stp>
        <tr r="F192" s="35"/>
      </tp>
      <tp t="s">
        <v>CLF</v>
        <stp/>
        <stp>##V3_BDPV12</stp>
        <stp>EK722642@RIAY Corp</stp>
        <stp>TRADE_CRNCY</stp>
        <stp>[GestionvXs.xlsm]Spreads!R142C6</stp>
        <tr r="F142" s="35"/>
      </tp>
      <tp t="s">
        <v>CLF</v>
        <stp/>
        <stp>##V3_BDPV12</stp>
        <stp>EI721681@RIAY Corp</stp>
        <stp>TRADE_CRNCY</stp>
        <stp>[GestionvXs.xlsm]Spreads!R261C6</stp>
        <tr r="F261" s="35"/>
      </tp>
      <tp t="s">
        <v>CLF</v>
        <stp/>
        <stp>##V3_BDPV12</stp>
        <stp>EI671021@RIAY Corp</stp>
        <stp>TRADE_CRNCY</stp>
        <stp>[GestionvXs.xlsm]Spreads!R244C6</stp>
        <tr r="F244" s="35"/>
      </tp>
      <tp t="s">
        <v>CLF</v>
        <stp/>
        <stp>##V3_BDPV12</stp>
        <stp>EK581228@RIAY Corp</stp>
        <stp>TRADE_CRNCY</stp>
        <stp>[GestionvXs.xlsm]Spreads!R272C6</stp>
        <tr r="F272" s="35"/>
      </tp>
      <tp t="s">
        <v>CLF</v>
        <stp/>
        <stp>##V3_BDPV12</stp>
        <stp>AL955945@RIAY Corp</stp>
        <stp>TRADE_CRNCY</stp>
        <stp>[GestionvXs.xlsm]Spreads!R282C6</stp>
        <tr r="F282" s="35"/>
      </tp>
      <tp t="s">
        <v>CLF</v>
        <stp/>
        <stp>##V3_BDPV12</stp>
        <stp>EG741791@RIAY Corp</stp>
        <stp>TRADE_CRNCY</stp>
        <stp>[GestionvXs.xlsm]Spreads!R147C6</stp>
        <tr r="F147" s="35"/>
      </tp>
      <tp t="s">
        <v>CLF</v>
        <stp/>
        <stp>##V3_BDPV12</stp>
        <stp>EH341926@RIAY Corp</stp>
        <stp>TRADE_CRNCY</stp>
        <stp>[GestionvXs.xlsm]Spreads!R150C6</stp>
        <tr r="F150" s="35"/>
      </tp>
      <tp t="s">
        <v>CLF</v>
        <stp/>
        <stp>##V3_BDPV12</stp>
        <stp>EI750241@RIAY Corp</stp>
        <stp>TRADE_CRNCY</stp>
        <stp>[GestionvXs.xlsm]Spreads!R106C6</stp>
        <tr r="F106" s="35"/>
      </tp>
      <tp t="s">
        <v>EI8485746</v>
        <stp/>
        <stp>##V3_BDPV12</stp>
        <stp>BLQIF-D Corp</stp>
        <stp>ID_CUSIP</stp>
        <stp>[GestionvXs.xlsm]Spreads!R191C2</stp>
        <tr r="B191" s="35"/>
      </tp>
      <tp t="s">
        <v>CLF</v>
        <stp/>
        <stp>##V3_BDPV12</stp>
        <stp>JV936032@RIAY Corp</stp>
        <stp>TRADE_CRNCY</stp>
        <stp>[GestionvXs.xlsm]Spreads!R123C6</stp>
        <tr r="F123" s="35"/>
      </tp>
      <tp t="s">
        <v>CLF</v>
        <stp/>
        <stp>##V3_BDPV12</stp>
        <stp>EH818744@RIAY Corp</stp>
        <stp>TRADE_CRNCY</stp>
        <stp>[GestionvXs.xlsm]Spreads!R257C6</stp>
        <tr r="F257" s="35"/>
      </tp>
      <tp t="s">
        <v>CLF</v>
        <stp/>
        <stp>##V3_BDPV12</stp>
        <stp>EK748011@RIAY Corp</stp>
        <stp>TRADE_CRNCY</stp>
        <stp>[GestionvXs.xlsm]Spreads!R197C6</stp>
        <tr r="F197" s="35"/>
      </tp>
      <tp t="s">
        <v>CLF</v>
        <stp/>
        <stp>##V3_BDPV12</stp>
        <stp>EI658195@RIAY Corp</stp>
        <stp>TRADE_CRNCY</stp>
        <stp>[GestionvXs.xlsm]Spreads!R252C6</stp>
        <tr r="F252" s="35"/>
      </tp>
      <tp t="s">
        <v>EK3950335</v>
        <stp/>
        <stp>##V3_BDPV12</stp>
        <stp>BSWTR-E Corp</stp>
        <stp>ID_CUSIP</stp>
        <stp>[GestionvXs.xlsm]Spreads!R206C2</stp>
        <tr r="B206" s="35"/>
      </tp>
      <tp>
        <v>3.6084873374401094</v>
        <stp/>
        <stp>##V3_BDPV12</stp>
        <stp>JV9360324 Corp</stp>
        <stp>MTY_YEARS</stp>
        <stp>[GestionvXs.xlsm]Spreads!R123C3</stp>
        <tr r="C123" s="35"/>
      </tp>
      <tp t="s">
        <v>EJ7138534</v>
        <stp/>
        <stp>##V3_BDPV12</stp>
        <stp>BITAAA0613 Corp</stp>
        <stp>ID_CUSIP</stp>
        <stp>[GestionvXs.xlsm]Spreads!R27C2</stp>
        <tr r="B27" s="35"/>
      </tp>
      <tp t="s">
        <v>EK6719422</v>
        <stp/>
        <stp>##V3_BDPV12</stp>
        <stp>BBIC530312 Corp</stp>
        <stp>ID_CUSIP</stp>
        <stp>[GestionvXs.xlsm]Spreads!R128C2</stp>
        <tr r="B128" s="35"/>
      </tp>
      <tp t="s">
        <v>EJ8009346</v>
        <stp/>
        <stp>##V3_BDPV12</stp>
        <stp>BCU0300818 Corp</stp>
        <stp>ID_CUSIP</stp>
        <stp>[GestionvXs.xlsm]Spreads!R290C2</stp>
        <tr r="B290" s="35"/>
      </tp>
      <tp t="s">
        <v>EI5810565</v>
        <stp/>
        <stp>##V3_BDPV12</stp>
        <stp>BCU0300241 Corp</stp>
        <stp>ID_CUSIP</stp>
        <stp>[GestionvXs.xlsm]Spreads!R319C2</stp>
        <tr r="B319" s="35"/>
      </tp>
      <tp t="s">
        <v>CLF</v>
        <stp/>
        <stp>##V3_BDPV12</stp>
        <stp>EK747963@RIAY Corp</stp>
        <stp>TRADE_CRNCY</stp>
        <stp>[GestionvXs.xlsm]Spreads!R276C6</stp>
        <tr r="F276" s="35"/>
      </tp>
      <tp t="s">
        <v>CLF</v>
        <stp/>
        <stp>##V3_BDPV12</stp>
        <stp>EK306614@RIAY Corp</stp>
        <stp>TRADE_CRNCY</stp>
        <stp>[GestionvXs.xlsm]Spreads!R245C6</stp>
        <tr r="F245" s="35"/>
      </tp>
      <tp t="s">
        <v>CLF</v>
        <stp/>
        <stp>##V3_BDPV12</stp>
        <stp>EK326696@RIAY Corp</stp>
        <stp>TRADE_CRNCY</stp>
        <stp>[GestionvXs.xlsm]Spreads!R225C6</stp>
        <tr r="F225" s="35"/>
      </tp>
      <tp t="s">
        <v>CLF</v>
        <stp/>
        <stp>##V3_BDPV12</stp>
        <stp>EK753410@RIAY Corp</stp>
        <stp>TRADE_CRNCY</stp>
        <stp>[GestionvXs.xlsm]Spreads!R214C6</stp>
        <tr r="F214" s="35"/>
      </tp>
      <tp t="s">
        <v>CLF</v>
        <stp/>
        <stp>##V3_BDPV12</stp>
        <stp>EK722666@RIAY Corp</stp>
        <stp>TRADE_CRNCY</stp>
        <stp>[GestionvXs.xlsm]Spreads!R155C6</stp>
        <tr r="F155" s="35"/>
      </tp>
      <tp t="s">
        <v>CLF</v>
        <stp/>
        <stp>##V3_BDPV12</stp>
        <stp>ED241832@RIAY Corp</stp>
        <stp>TRADE_CRNCY</stp>
        <stp>[GestionvXs.xlsm]Spreads!R137C6</stp>
        <tr r="F137" s="35"/>
      </tp>
      <tp t="s">
        <v>EJ6515997</v>
        <stp/>
        <stp>##V3_BDPV12</stp>
        <stp>BCSMU-C Corp</stp>
        <stp>ID_CUSIP</stp>
        <stp>[GestionvXs.xlsm]Spreads!R237C2</stp>
        <tr r="B237" s="35"/>
      </tp>
      <tp t="s">
        <v>CLF</v>
        <stp/>
        <stp>##V3_BDPV12</stp>
        <stp>EI848574@RIAY Corp</stp>
        <stp>TRADE_CRNCY</stp>
        <stp>[GestionvXs.xlsm]Spreads!R191C6</stp>
        <tr r="F191" s="35"/>
      </tp>
      <tp t="s">
        <v>CLF</v>
        <stp/>
        <stp>##V3_BDPV12</stp>
        <stp>UV555290@RIAY Corp</stp>
        <stp>TRADE_CRNCY</stp>
        <stp>[GestionvXs.xlsm]Spreads!R104C6</stp>
        <tr r="F104" s="35"/>
      </tp>
      <tp>
        <v>22.606433949349761</v>
        <stp/>
        <stp>##V3_BDPV12</stp>
        <stp>UV8171448 Corp</stp>
        <stp>MTY_YEARS</stp>
        <stp>[GestionvXs.xlsm]Spreads!R211C3</stp>
        <tr r="C211" s="35"/>
      </tp>
      <tp t="s">
        <v>EK7384150</v>
        <stp/>
        <stp>##V3_BDPV12</stp>
        <stp>BBCIAB0708 Corp</stp>
        <stp>ID_CUSIP</stp>
        <stp>[GestionvXs.xlsm]Spreads!R75C2</stp>
        <tr r="B75" s="35"/>
      </tp>
      <tp>
        <v>4.2737850787132103</v>
        <stp/>
        <stp>##V3_BDPV12</stp>
        <stp>QZ5198499 Corp</stp>
        <stp>MTY_YEARS</stp>
        <stp>[GestionvXs.xlsm]Spreads!R114C3</stp>
        <tr r="C114" s="35"/>
      </tp>
      <tp>
        <v>2.6091718001368926</v>
        <stp/>
        <stp>##V3_BDPV12</stp>
        <stp>JV4333557 Corp</stp>
        <stp>MTY_YEARS</stp>
        <stp>[GestionvXs.xlsm]Spreads!R103C3</stp>
        <tr r="C103" s="35"/>
      </tp>
      <tp t="s">
        <v>EK7479638</v>
        <stp/>
        <stp>##V3_BDPV12</stp>
        <stp>UBBVH90607 Corp</stp>
        <stp>ID_CUSIP</stp>
        <stp>[GestionvXs.xlsm]Spreads!R276C2</stp>
        <tr r="B276" s="35"/>
      </tp>
      <tp t="s">
        <v>EK7480230</v>
        <stp/>
        <stp>##V3_BDPV12</stp>
        <stp>BBBVK30212 Corp</stp>
        <stp>ID_CUSIP</stp>
        <stp>[GestionvXs.xlsm]Spreads!R149C2</stp>
        <tr r="B149" s="35"/>
      </tp>
      <tp t="s">
        <v>EI6705376</v>
        <stp/>
        <stp>##V3_BDPV12</stp>
        <stp>BSTDE20111 Corp</stp>
        <stp>ID_CUSIP</stp>
        <stp>[GestionvXs.xlsm]Spreads!R31C2</stp>
        <tr r="B31" s="35"/>
      </tp>
      <tp t="s">
        <v>EH6092934</v>
        <stp/>
        <stp>##V3_BDPV12</stp>
        <stp>BCU0301018 Corp</stp>
        <stp>ID_CUSIP</stp>
        <stp>[GestionvXs.xlsm]Spreads!R291C2</stp>
        <tr r="B291" s="35"/>
      </tp>
      <tp t="s">
        <v>EH8557652</v>
        <stp/>
        <stp>##V3_BDPV12</stp>
        <stp>BARAU-F Corp</stp>
        <stp>ID_CUSIP</stp>
        <stp>[GestionvXs.xlsm]Spreads!R162C2</stp>
        <tr r="B162" s="35"/>
      </tp>
      <tp t="s">
        <v>CLF</v>
        <stp/>
        <stp>##V3_BDPV12</stp>
        <stp>EJ655864@RIAY Corp</stp>
        <stp>TRADE_CRNCY</stp>
        <stp>[GestionvXs.xlsm]Spreads!R271C6</stp>
        <tr r="F271" s="35"/>
      </tp>
      <tp t="s">
        <v>CLF</v>
        <stp/>
        <stp>##V3_BDPV12</stp>
        <stp>AH007788@RIAY Corp</stp>
        <stp>TRADE_CRNCY</stp>
        <stp>[GestionvXs.xlsm]Spreads!R178C6</stp>
        <tr r="F178" s="35"/>
      </tp>
      <tp t="s">
        <v>CLF</v>
        <stp/>
        <stp>##V3_BDPV12</stp>
        <stp>EK753284@RIAY Corp</stp>
        <stp>TRADE_CRNCY</stp>
        <stp>[GestionvXs.xlsm]Spreads!R221C6</stp>
        <tr r="F221" s="35"/>
      </tp>
      <tp t="s">
        <v>CLF</v>
        <stp/>
        <stp>##V3_BDPV12</stp>
        <stp>EK721796@RIAY Corp</stp>
        <stp>TRADE_CRNCY</stp>
        <stp>[GestionvXs.xlsm]Spreads!R224C6</stp>
        <tr r="F224" s="35"/>
      </tp>
      <tp t="s">
        <v>CLF</v>
        <stp/>
        <stp>##V3_BDPV12</stp>
        <stp>EK750770@RIAY Corp</stp>
        <stp>TRADE_CRNCY</stp>
        <stp>[GestionvXs.xlsm]Spreads!R275C6</stp>
        <tr r="F275" s="35"/>
      </tp>
      <tp t="s">
        <v>CLF</v>
        <stp/>
        <stp>##V3_BDPV12</stp>
        <stp>EI090230@RIAY Corp</stp>
        <stp>TRADE_CRNCY</stp>
        <stp>[GestionvXs.xlsm]Spreads!R259C6</stp>
        <tr r="F259" s="35"/>
      </tp>
      <tp t="s">
        <v>CLF</v>
        <stp/>
        <stp>##V3_BDPV12</stp>
        <stp>EI770027@RIAY Corp</stp>
        <stp>TRADE_CRNCY</stp>
        <stp>[GestionvXs.xlsm]Spreads!R280C6</stp>
        <tr r="F280" s="35"/>
      </tp>
      <tp t="s">
        <v>CLF</v>
        <stp/>
        <stp>##V3_BDPV12</stp>
        <stp>EK038582@RIAY Corp</stp>
        <stp>TRADE_CRNCY</stp>
        <stp>[GestionvXs.xlsm]Spreads!R231C6</stp>
        <tr r="F231" s="35"/>
      </tp>
      <tp t="s">
        <v>CLF</v>
        <stp/>
        <stp>##V3_BDPV12</stp>
        <stp>UV449220@RIAY Corp</stp>
        <stp>TRADE_CRNCY</stp>
        <stp>[GestionvXs.xlsm]Spreads!R124C6</stp>
        <tr r="F124" s="35"/>
      </tp>
      <tp t="s">
        <v>EJ7839123</v>
        <stp/>
        <stp>##V3_BDPV12</stp>
        <stp>BBCIAG0513 Corp</stp>
        <stp>ID_CUSIP</stp>
        <stp>[GestionvXs.xlsm]Spreads!R25C2</stp>
        <tr r="B25" s="35"/>
      </tp>
      <tp>
        <v>2.7789185489390826</v>
        <stp/>
        <stp>##V3_BDPV12</stp>
        <stp>UV3639019 Corp</stp>
        <stp>MTY_YEARS</stp>
        <stp>[GestionvXs.xlsm]Spreads!R108C3</stp>
        <tr r="C108" s="35"/>
      </tp>
      <tp t="s">
        <v>EJ6693943</v>
        <stp/>
        <stp>##V3_BDPV12</stp>
        <stp>BITAM21211 Corp</stp>
        <stp>ID_CUSIP</stp>
        <stp>[GestionvXs.xlsm]Spreads!R217C2</stp>
        <tr r="B217" s="35"/>
      </tp>
      <tp t="s">
        <v>EH3819040</v>
        <stp/>
        <stp>##V3_BDPV12</stp>
        <stp>BCP0600518 Corp</stp>
        <stp>ID_CUSIP</stp>
        <stp>[GestionvXs.xlsm]Spreads!R326C2</stp>
        <tr r="B326" s="35"/>
      </tp>
      <tp t="s">
        <v>CLF</v>
        <stp/>
        <stp>##V3_BDPV12</stp>
        <stp>EH227543@RIAY Corp</stp>
        <stp>TRADE_CRNCY</stp>
        <stp>[GestionvXs.xlsm]Spreads!R216C6</stp>
        <tr r="F216" s="35"/>
      </tp>
      <tp t="s">
        <v>CLF</v>
        <stp/>
        <stp>##V3_BDPV12</stp>
        <stp>EK667167@RIAY Corp</stp>
        <stp>TRADE_CRNCY</stp>
        <stp>[GestionvXs.xlsm]Spreads!R126C6</stp>
        <tr r="F126" s="35"/>
      </tp>
      <tp t="s">
        <v>CLF</v>
        <stp/>
        <stp>##V3_BDPV12</stp>
        <stp>EG326080@RIAY Corp</stp>
        <stp>TRADE_CRNCY</stp>
        <stp>[GestionvXs.xlsm]Spreads!R145C6</stp>
        <tr r="F145" s="35"/>
      </tp>
      <tp t="s">
        <v>CLF</v>
        <stp/>
        <stp>##V3_BDPV12</stp>
        <stp>EK385548@RIAY Corp</stp>
        <stp>TRADE_CRNCY</stp>
        <stp>[GestionvXs.xlsm]Spreads!R267C6</stp>
        <tr r="F267" s="35"/>
      </tp>
      <tp t="s">
        <v>CLF</v>
        <stp/>
        <stp>##V3_BDPV12</stp>
        <stp>EK753104@RIAY Corp</stp>
        <stp>TRADE_CRNCY</stp>
        <stp>[GestionvXs.xlsm]Spreads!R256C6</stp>
        <tr r="F256" s="35"/>
      </tp>
      <tp t="s">
        <v>CLF</v>
        <stp/>
        <stp>##V3_BDPV12</stp>
        <stp>EI762353@RIAY Corp</stp>
        <stp>TRADE_CRNCY</stp>
        <stp>[GestionvXs.xlsm]Spreads!R122C6</stp>
        <tr r="F122" s="35"/>
      </tp>
      <tp t="s">
        <v>CLF</v>
        <stp/>
        <stp>##V3_BDPV12</stp>
        <stp>EG612415@RIAY Corp</stp>
        <stp>TRADE_CRNCY</stp>
        <stp>[GestionvXs.xlsm]Spreads!R253C6</stp>
        <tr r="F253" s="35"/>
      </tp>
      <tp t="s">
        <v>CLF</v>
        <stp/>
        <stp>##V3_BDPV12</stp>
        <stp>EH860672@RIAY Corp</stp>
        <stp>TRADE_CRNCY</stp>
        <stp>[GestionvXs.xlsm]Spreads!R163C6</stp>
        <tr r="F163" s="35"/>
      </tp>
      <tp t="s">
        <v>CLF</v>
        <stp/>
        <stp>##V3_BDPV12</stp>
        <stp>EH310157@RIAY Corp</stp>
        <stp>TRADE_CRNCY</stp>
        <stp>[GestionvXs.xlsm]Spreads!R151C6</stp>
        <tr r="F151" s="35"/>
      </tp>
      <tp t="s">
        <v>CLF</v>
        <stp/>
        <stp>##V3_BDPV12</stp>
        <stp>EI560086@RIAY Corp</stp>
        <stp>TRADE_CRNCY</stp>
        <stp>[GestionvXs.xlsm]Spreads!R127C6</stp>
        <tr r="F127" s="35"/>
      </tp>
      <tp t="s">
        <v>CLP</v>
        <stp/>
        <stp>##V3_BDPV12</stp>
        <stp>EJ709691@RIAY Corp</stp>
        <stp>TRADE_CRNCY</stp>
        <stp>[GestionvXs.xlsm]Spreads!R236C6</stp>
        <tr r="F236" s="35"/>
      </tp>
      <tp t="s">
        <v>CLF</v>
        <stp/>
        <stp>##V3_BDPV12</stp>
        <stp>EH858467@RIAY Corp</stp>
        <stp>TRADE_CRNCY</stp>
        <stp>[GestionvXs.xlsm]Spreads!R265C6</stp>
        <tr r="F265" s="35"/>
      </tp>
      <tp t="s">
        <v>EG3493533</v>
        <stp/>
        <stp>##V3_BDPV12</stp>
        <stp>BESVA-J Corp</stp>
        <stp>ID_CUSIP</stp>
        <stp>[GestionvXs.xlsm]Spreads!R138C2</stp>
        <tr r="B138" s="35"/>
      </tp>
      <tp>
        <v>2.5270362765229293</v>
        <stp/>
        <stp>##V3_BDPV12</stp>
        <stp>UV5552905 Corp</stp>
        <stp>MTY_YEARS</stp>
        <stp>[GestionvXs.xlsm]Spreads!R104C3</stp>
        <tr r="C104" s="35"/>
      </tp>
      <tp>
        <v>3.6084873374401094</v>
        <stp/>
        <stp>##V3_BDPV12</stp>
        <stp>QZ9212478 Corp</stp>
        <stp>MTY_YEARS</stp>
        <stp>[GestionvXs.xlsm]Spreads!R118C3</stp>
        <tr r="C118" s="35"/>
      </tp>
      <tp>
        <v>3.6933607118412048</v>
        <stp/>
        <stp>##V3_BDPV12</stp>
        <stp>UV4492202 Corp</stp>
        <stp>MTY_YEARS</stp>
        <stp>[GestionvXs.xlsm]Spreads!R124C3</stp>
        <tr r="C124" s="35"/>
      </tp>
      <tp>
        <v>2.6940451745379876</v>
        <stp/>
        <stp>##V3_BDPV12</stp>
        <stp>UV6781354 Corp</stp>
        <stp>MTY_YEARS</stp>
        <stp>[GestionvXs.xlsm]Spreads!R247C3</stp>
        <tr r="C247" s="35"/>
      </tp>
      <tp t="s">
        <v>EK7248116</v>
        <stp/>
        <stp>##V3_BDPV12</stp>
        <stp>BESTK30114 Corp</stp>
        <stp>ID_CUSIP</stp>
        <stp>[GestionvXs.xlsm]Spreads!R79C2</stp>
        <tr r="B79" s="35"/>
      </tp>
      <tp t="s">
        <v>EH1983582</v>
        <stp/>
        <stp>##V3_BDPV12</stp>
        <stp>BCU0300118 Corp</stp>
        <stp>ID_CUSIP</stp>
        <stp>[GestionvXs.xlsm]Spreads!R287C2</stp>
        <tr r="B287" s="35"/>
      </tp>
      <tp t="s">
        <v>EK7531040</v>
        <stp/>
        <stp>##V3_BDPV12</stp>
        <stp>BITAQ10512 Corp</stp>
        <stp>ID_CUSIP</stp>
        <stp>[GestionvXs.xlsm]Spreads!R256C2</stp>
        <tr r="B256" s="35"/>
      </tp>
      <tp t="s">
        <v>EJ7165362</v>
        <stp/>
        <stp>##V3_BDPV12</stp>
        <stp>BCP0600618 Corp</stp>
        <stp>ID_CUSIP</stp>
        <stp>[GestionvXs.xlsm]Spreads!R327C2</stp>
        <tr r="B327" s="35"/>
      </tp>
      <tp t="s">
        <v>CLF</v>
        <stp/>
        <stp>##V3_BDPV12</stp>
        <stp>EG526914@RIAY Corp</stp>
        <stp>TRADE_CRNCY</stp>
        <stp>[GestionvXs.xlsm]Spreads!R200C6</stp>
        <tr r="F200" s="35"/>
      </tp>
      <tp t="s">
        <v>CLF</v>
        <stp/>
        <stp>##V3_BDPV12</stp>
        <stp>AM182338@RIAY Corp</stp>
        <stp>TRADE_CRNCY</stp>
        <stp>[GestionvXs.xlsm]Spreads!R196C6</stp>
        <tr r="F196" s="35"/>
      </tp>
      <tp t="s">
        <v>CLF</v>
        <stp/>
        <stp>##V3_BDPV12</stp>
        <stp>EG426405@RIAY Corp</stp>
        <stp>TRADE_CRNCY</stp>
        <stp>[GestionvXs.xlsm]Spreads!R201C6</stp>
        <tr r="F201" s="35"/>
      </tp>
      <tp t="s">
        <v>ED0916350</v>
        <stp/>
        <stp>##V3_BDPV12</stp>
        <stp>BESAL-B Corp</stp>
        <stp>ID_CUSIP</stp>
        <stp>[GestionvXs.xlsm]Spreads!R141C2</stp>
        <tr r="B141" s="35"/>
      </tp>
      <tp t="s">
        <v>CLP</v>
        <stp/>
        <stp>##V3_BDPV12</stp>
        <stp>EJ533345@RIAY Corp</stp>
        <stp>TRADE_CRNCY</stp>
        <stp>[GestionvXs.xlsm]Spreads!R240C6</stp>
        <tr r="F240" s="35"/>
      </tp>
      <tp t="s">
        <v>CLF</v>
        <stp/>
        <stp>##V3_BDPV12</stp>
        <stp>EG462754@RIAY Corp</stp>
        <stp>TRADE_CRNCY</stp>
        <stp>[GestionvXs.xlsm]Spreads!R144C6</stp>
        <tr r="F144" s="35"/>
      </tp>
      <tp t="s">
        <v>CLF</v>
        <stp/>
        <stp>##V3_BDPV12</stp>
        <stp>EK001010@RIAY Corp</stp>
        <stp>TRADE_CRNCY</stp>
        <stp>[GestionvXs.xlsm]Spreads!R246C6</stp>
        <tr r="F246" s="35"/>
      </tp>
      <tp t="s">
        <v>CLF</v>
        <stp/>
        <stp>##V3_BDPV12</stp>
        <stp>EJ621300@RIAY Corp</stp>
        <stp>TRADE_CRNCY</stp>
        <stp>[GestionvXs.xlsm]Spreads!R194C6</stp>
        <tr r="F194" s="35"/>
      </tp>
      <tp t="s">
        <v>CLF</v>
        <stp/>
        <stp>##V3_BDPV12</stp>
        <stp>EK660590@RIAY Corp</stp>
        <stp>TRADE_CRNCY</stp>
        <stp>[GestionvXs.xlsm]Spreads!R270C6</stp>
        <tr r="F270" s="35"/>
      </tp>
      <tp t="s">
        <v>CLF</v>
        <stp/>
        <stp>##V3_BDPV12</stp>
        <stp>EI060247@RIAY Corp</stp>
        <stp>TRADE_CRNCY</stp>
        <stp>[GestionvXs.xlsm]Spreads!R177C6</stp>
        <tr r="F177" s="35"/>
      </tp>
      <tp t="s">
        <v>CLF</v>
        <stp/>
        <stp>##V3_BDPV12</stp>
        <stp>EK750830@RIAY Corp</stp>
        <stp>TRADE_CRNCY</stp>
        <stp>[GestionvXs.xlsm]Spreads!R143C6</stp>
        <tr r="F143" s="35"/>
      </tp>
      <tp t="s">
        <v>CLF</v>
        <stp/>
        <stp>##V3_BDPV12</stp>
        <stp>LW264189@RIAY Corp</stp>
        <stp>TRADE_CRNCY</stp>
        <stp>[GestionvXs.xlsm]Spreads!R109C6</stp>
        <tr r="F109" s="35"/>
      </tp>
      <tp t="s">
        <v>EG2040533</v>
        <stp/>
        <stp>##V3_BDPV12</stp>
        <stp>BNTRA-D Corp</stp>
        <stp>ID_CUSIP</stp>
        <stp>[GestionvXs.xlsm]Spreads!R190C2</stp>
        <tr r="B190" s="35"/>
      </tp>
      <tp t="s">
        <v>CLF</v>
        <stp/>
        <stp>##V3_BDPV12</stp>
        <stp>UV555170@RIAY Corp</stp>
        <stp>TRADE_CRNCY</stp>
        <stp>[GestionvXs.xlsm]Spreads!R173C6</stp>
        <tr r="F173" s="35"/>
      </tp>
      <tp t="s">
        <v>CLF</v>
        <stp/>
        <stp>##V3_BDPV12</stp>
        <stp>QJ060505@RIAY Corp</stp>
        <stp>TRADE_CRNCY</stp>
        <stp>[GestionvXs.xlsm]Spreads!R175C6</stp>
        <tr r="F175" s="35"/>
      </tp>
      <tp t="s">
        <v>UV8774381</v>
        <stp/>
        <stp>##V3_BDPV12</stp>
        <stp>BITAAI0415 Corp</stp>
        <stp>ID_CUSIP</stp>
        <stp>[GestionvXs.xlsm]Spreads!R53C2</stp>
        <tr r="B53" s="35"/>
      </tp>
      <tp>
        <v>3.0280629705681039</v>
        <stp/>
        <stp>##V3_BDPV12</stp>
        <stp>JV6956033 Corp</stp>
        <stp>MTY_YEARS</stp>
        <stp>[GestionvXs.xlsm]Spreads!R111C3</stp>
        <tr r="C111" s="35"/>
      </tp>
      <tp>
        <v>22.149212867898701</v>
        <stp/>
        <stp>##V3_BDPV12</stp>
        <stp>LW3904031 Corp</stp>
        <stp>MTY_YEARS</stp>
        <stp>[GestionvXs.xlsm]Spreads!R212C3</stp>
        <tr r="C212" s="35"/>
      </tp>
      <tp t="s">
        <v>EK3298768</v>
        <stp/>
        <stp>##V3_BDPV12</stp>
        <stp>BBIC590314 Corp</stp>
        <stp>ID_CUSIP</stp>
        <stp>[GestionvXs.xlsm]Spreads!R160C2</stp>
        <tr r="B160" s="35"/>
      </tp>
      <tp t="s">
        <v>EK7507883</v>
        <stp/>
        <stp>##V3_BDPV12</stp>
        <stp>BSECB21112 Corp</stp>
        <stp>ID_CUSIP</stp>
        <stp>[GestionvXs.xlsm]Spreads!R13C2</stp>
        <tr r="B13" s="35"/>
      </tp>
      <tp t="s">
        <v>CLF</v>
        <stp/>
        <stp>##V3_BDPV12</stp>
        <stp>EI357039@RIAY Corp</stp>
        <stp>TRADE_CRNCY</stp>
        <stp>[GestionvXs.xlsm]Spreads!R139C6</stp>
        <tr r="F139" s="35"/>
      </tp>
      <tp t="s">
        <v>CLF</v>
        <stp/>
        <stp>##V3_BDPV12</stp>
        <stp>EC175887@RIAY Corp</stp>
        <stp>TRADE_CRNCY</stp>
        <stp>[GestionvXs.xlsm]Spreads!R115C6</stp>
        <tr r="F115" s="35"/>
      </tp>
      <tp t="s">
        <v>CLF</v>
        <stp/>
        <stp>##V3_BDPV12</stp>
        <stp>EK724133@RIAY Corp</stp>
        <stp>TRADE_CRNCY</stp>
        <stp>[GestionvXs.xlsm]Spreads!R184C6</stp>
        <tr r="F184" s="35"/>
      </tp>
      <tp t="s">
        <v>CLF</v>
        <stp/>
        <stp>##V3_BDPV12</stp>
        <stp>EH813396@RIAY Corp</stp>
        <stp>TRADE_CRNCY</stp>
        <stp>[GestionvXs.xlsm]Spreads!R152C6</stp>
        <tr r="F152" s="35"/>
      </tp>
      <tp t="s">
        <v>CLF</v>
        <stp/>
        <stp>##V3_BDPV12</stp>
        <stp>EK271293@RIAY Corp</stp>
        <stp>TRADE_CRNCY</stp>
        <stp>[GestionvXs.xlsm]Spreads!R281C6</stp>
        <tr r="F281" s="35"/>
      </tp>
      <tp t="s">
        <v>CLF</v>
        <stp/>
        <stp>##V3_BDPV12</stp>
        <stp>EI071936@RIAY Corp</stp>
        <stp>TRADE_CRNCY</stp>
        <stp>[GestionvXs.xlsm]Spreads!R174C6</stp>
        <tr r="F174" s="35"/>
      </tp>
      <tp t="s">
        <v>CLF</v>
        <stp/>
        <stp>##V3_BDPV12</stp>
        <stp>EK500857@RIAY Corp</stp>
        <stp>TRADE_CRNCY</stp>
        <stp>[GestionvXs.xlsm]Spreads!R242C6</stp>
        <tr r="F242" s="35"/>
      </tp>
      <tp t="s">
        <v>EK4594579</v>
        <stp/>
        <stp>##V3_BDPV12</stp>
        <stp>BQUIN-O Corp</stp>
        <stp>ID_CUSIP</stp>
        <stp>[GestionvXs.xlsm]Spreads!R279C2</stp>
        <tr r="B279" s="35"/>
      </tp>
      <tp t="s">
        <v>CLP</v>
        <stp/>
        <stp>##V3_BDPV12</stp>
        <stp>JV433355@RIAY Corp</stp>
        <stp>TRADE_CRNCY</stp>
        <stp>[GestionvXs.xlsm]Spreads!R103C6</stp>
        <tr r="F103" s="35"/>
      </tp>
      <tp t="s">
        <v>UV6781354</v>
        <stp/>
        <stp>##V3_BDPV12</stp>
        <stp>BTANN-U Corp</stp>
        <stp>ID_CUSIP</stp>
        <stp>[GestionvXs.xlsm]Spreads!R247C2</stp>
        <tr r="B247" s="35"/>
      </tp>
      <tp t="s">
        <v>CLF</v>
        <stp/>
        <stp>##V3_BDPV12</stp>
        <stp>EJ669394@RIAY Corp</stp>
        <stp>TRADE_CRNCY</stp>
        <stp>[GestionvXs.xlsm]Spreads!R217C6</stp>
        <tr r="F217" s="35"/>
      </tp>
      <tp t="s">
        <v>CLF</v>
        <stp/>
        <stp>##V3_BDPV12</stp>
        <stp>EH859107@RIAY Corp</stp>
        <stp>TRADE_CRNCY</stp>
        <stp>[GestionvXs.xlsm]Spreads!R227C6</stp>
        <tr r="F227" s="35"/>
      </tp>
      <tp t="s">
        <v>CLF</v>
        <stp/>
        <stp>##V3_BDPV12</stp>
        <stp>EK748101@RIAY Corp</stp>
        <stp>TRADE_CRNCY</stp>
        <stp>[GestionvXs.xlsm]Spreads!R100C6</stp>
        <tr r="F100" s="35"/>
      </tp>
      <tp t="s">
        <v>CLF</v>
        <stp/>
        <stp>##V3_BDPV12</stp>
        <stp>EK748047@RIAY Corp</stp>
        <stp>TRADE_CRNCY</stp>
        <stp>[GestionvXs.xlsm]Spreads!R156C6</stp>
        <tr r="F156" s="35"/>
      </tp>
      <tp t="s">
        <v>CLF</v>
        <stp/>
        <stp>##V3_BDPV12</stp>
        <stp>EJ948846@RIAY Corp</stp>
        <stp>TRADE_CRNCY</stp>
        <stp>[GestionvXs.xlsm]Spreads!R277C6</stp>
        <tr r="F277" s="35"/>
      </tp>
      <tp t="s">
        <v>CLF</v>
        <stp/>
        <stp>##V3_BDPV12</stp>
        <stp>UV678135@RIAY Corp</stp>
        <stp>TRADE_CRNCY</stp>
        <stp>[GestionvXs.xlsm]Spreads!R247C6</stp>
        <tr r="F247" s="35"/>
      </tp>
      <tp t="s">
        <v>EK7475198</v>
        <stp/>
        <stp>##V3_BDPV12</stp>
        <stp>BSECS-12A3 Corp</stp>
        <stp>ID_CUSIP</stp>
        <stp>[GestionvXs.xlsm]Spreads!R223C2</stp>
        <tr r="B223" s="35"/>
      </tp>
      <tp t="s">
        <v>CLF</v>
        <stp/>
        <stp>##V3_BDPV12</stp>
        <stp>EK507297@RIAY Corp</stp>
        <stp>TRADE_CRNCY</stp>
        <stp>[GestionvXs.xlsm]Spreads!R113C6</stp>
        <tr r="F113" s="35"/>
      </tp>
      <tp t="s">
        <v>CLF</v>
        <stp/>
        <stp>##V3_BDPV12</stp>
        <stp>EK436073@RIAY Corp</stp>
        <stp>TRADE_CRNCY</stp>
        <stp>[GestionvXs.xlsm]Spreads!R274C6</stp>
        <tr r="F274" s="35"/>
      </tp>
      <tp t="s">
        <v>CLF</v>
        <stp/>
        <stp>##V3_BDPV12</stp>
        <stp>EG336331@RIAY Corp</stp>
        <stp>TRADE_CRNCY</stp>
        <stp>[GestionvXs.xlsm]Spreads!R136C6</stp>
        <tr r="F136" s="35"/>
      </tp>
      <tp t="s">
        <v>CLF</v>
        <stp/>
        <stp>##V3_BDPV12</stp>
        <stp>AM182945@RIAY Corp</stp>
        <stp>TRADE_CRNCY</stp>
        <stp>[GestionvXs.xlsm]Spreads!R209C6</stp>
        <tr r="F209" s="35"/>
      </tp>
      <tp t="s">
        <v>CLF</v>
        <stp/>
        <stp>##V3_BDPV12</stp>
        <stp>EJ286889@RIAY Corp</stp>
        <stp>TRADE_CRNCY</stp>
        <stp>[GestionvXs.xlsm]Spreads!R125C6</stp>
        <tr r="F125" s="35"/>
      </tp>
      <tp t="s">
        <v>CLF</v>
        <stp/>
        <stp>##V3_BDPV12</stp>
        <stp>EK765350@RIAY Corp</stp>
        <stp>TRADE_CRNCY</stp>
        <stp>[GestionvXs.xlsm]Spreads!R172C6</stp>
        <tr r="F172" s="35"/>
      </tp>
      <tp t="s">
        <v>CLF</v>
        <stp/>
        <stp>##V3_BDPV12</stp>
        <stp>EK753242@RIAY Corp</stp>
        <stp>TRADE_CRNCY</stp>
        <stp>[GestionvXs.xlsm]Spreads!R213C6</stp>
        <tr r="F213" s="35"/>
      </tp>
      <tp t="s">
        <v>CLF</v>
        <stp/>
        <stp>##V3_BDPV12</stp>
        <stp>EK822301@RIAY Corp</stp>
        <stp>TRADE_CRNCY</stp>
        <stp>[GestionvXs.xlsm]Spreads!R167C6</stp>
        <tr r="F167" s="35"/>
      </tp>
      <tp t="s">
        <v>EK4552601</v>
        <stp/>
        <stp>##V3_BDPV12</stp>
        <stp>BFORU-AT Corp</stp>
        <stp>ID_CUSIP</stp>
        <stp>[GestionvXs.xlsm]Spreads!R219C2</stp>
        <tr r="B219" s="35"/>
      </tp>
      <tp t="s">
        <v>CLF</v>
        <stp/>
        <stp>##V3_BDPV12</stp>
        <stp>EI490195@RIAY Corp</stp>
        <stp>TRADE_CRNCY</stp>
        <stp>[GestionvXs.xlsm]Spreads!R248C6</stp>
        <tr r="F248" s="35"/>
      </tp>
      <tp t="s">
        <v>CLP</v>
        <stp/>
        <stp>##V3_BDPV12</stp>
        <stp>JK352673@RIAY Corp</stp>
        <stp>TRADE_CRNCY</stp>
        <stp>[GestionvXs.xlsm]Spreads!R112C6</stp>
        <tr r="F112" s="35"/>
      </tp>
      <tp t="s">
        <v>EK3950996</v>
        <stp/>
        <stp>##V3_BDPV12</stp>
        <stp>BTANN-P Corp</stp>
        <stp>ID_CUSIP</stp>
        <stp>[GestionvXs.xlsm]Spreads!R243C2</stp>
        <tr r="B243" s="35"/>
      </tp>
      <tp t="s">
        <v>EK7355895</v>
        <stp/>
        <stp>##V3_BDPV12</stp>
        <stp>BTANN-S Corp</stp>
        <stp>ID_CUSIP</stp>
        <stp>[GestionvXs.xlsm]Spreads!R220C2</stp>
        <tr r="B220" s="35"/>
      </tp>
      <tp t="s">
        <v>AL9559488</v>
        <stp/>
        <stp>##V3_BDPV12</stp>
        <stp>BBANM-Q Corp</stp>
        <stp>ID_CUSIP</stp>
        <stp>[GestionvXs.xlsm]Spreads!R132C2</stp>
        <tr r="B132" s="35"/>
      </tp>
      <tp t="s">
        <v>CLF</v>
        <stp/>
        <stp>##V3_BDPV12</stp>
        <stp>EH839491@RIAY Corp</stp>
        <stp>TRADE_CRNCY</stp>
        <stp>[GestionvXs.xlsm]Spreads!R266C6</stp>
        <tr r="F266" s="35"/>
      </tp>
      <tp t="s">
        <v>CLF</v>
        <stp/>
        <stp>##V3_BDPV12</stp>
        <stp>EK329876@RIAY Corp</stp>
        <stp>TRADE_CRNCY</stp>
        <stp>[GestionvXs.xlsm]Spreads!R160C6</stp>
        <tr r="F160" s="35"/>
      </tp>
      <tp t="s">
        <v>AM1823385</v>
        <stp/>
        <stp>##V3_BDPV12</stp>
        <stp>BRPLC-D Corp</stp>
        <stp>ID_CUSIP</stp>
        <stp>[GestionvXs.xlsm]Spreads!R196C2</stp>
        <tr r="B196" s="35"/>
      </tp>
      <tp t="s">
        <v>CLF</v>
        <stp/>
        <stp>##V3_BDPV12</stp>
        <stp>EI558061@RIAY Corp</stp>
        <stp>TRADE_CRNCY</stp>
        <stp>[GestionvXs.xlsm]Spreads!R230C6</stp>
        <tr r="F230" s="35"/>
      </tp>
      <tp t="s">
        <v>CLF</v>
        <stp/>
        <stp>##V3_BDPV12</stp>
        <stp>EC428156@RIAY Corp</stp>
        <stp>TRADE_CRNCY</stp>
        <stp>[GestionvXs.xlsm]Spreads!R260C6</stp>
        <tr r="F260" s="35"/>
      </tp>
      <tp t="s">
        <v>CLF</v>
        <stp/>
        <stp>##V3_BDPV12</stp>
        <stp>UV817144@RIAY Corp</stp>
        <stp>TRADE_CRNCY</stp>
        <stp>[GestionvXs.xlsm]Spreads!R211C6</stp>
        <tr r="F211" s="35"/>
      </tp>
      <tp t="s">
        <v>CLF</v>
        <stp/>
        <stp>##V3_BDPV12</stp>
        <stp>QJ060784@RIAY Corp</stp>
        <stp>TRADE_CRNCY</stp>
        <stp>[GestionvXs.xlsm]Spreads!R176C6</stp>
        <tr r="F176" s="35"/>
      </tp>
      <tp>
        <v>3.6084873374401094</v>
        <stp/>
        <stp>##V3_BDPV12</stp>
        <stp>JV1894742 Corp</stp>
        <stp>MTY_YEARS</stp>
        <stp>[GestionvXs.xlsm]Spreads!R121C3</stp>
        <tr r="C121" s="3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defRPr>
            </a:pPr>
            <a:r>
              <a:rPr lang="en-US" sz="1200" b="0" i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rPr>
              <a:t>Portfolio Duration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02517261875822"/>
          <c:y val="0.28392679291102274"/>
          <c:w val="0.87858413558615867"/>
          <c:h val="0.52695599612193422"/>
        </c:manualLayout>
      </c:layout>
      <c:barChart>
        <c:barDir val="col"/>
        <c:grouping val="clustered"/>
        <c:varyColors val="0"/>
        <c:ser>
          <c:idx val="0"/>
          <c:order val="0"/>
          <c:tx>
            <c:v>Duration</c:v>
          </c:tx>
          <c:spPr>
            <a:solidFill>
              <a:schemeClr val="accent4"/>
            </a:solidFill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Posicionamiento!$I$17:$I$40</c:f>
              <c:numCache>
                <c:formatCode>0.0</c:formatCode>
                <c:ptCount val="24"/>
                <c:pt idx="0">
                  <c:v>9.5000000000000001E-2</c:v>
                </c:pt>
                <c:pt idx="1">
                  <c:v>0.28000000000000003</c:v>
                </c:pt>
                <c:pt idx="2">
                  <c:v>0.495</c:v>
                </c:pt>
                <c:pt idx="3">
                  <c:v>0.745</c:v>
                </c:pt>
                <c:pt idx="4" formatCode="0">
                  <c:v>1</c:v>
                </c:pt>
                <c:pt idx="5" formatCode="0">
                  <c:v>2</c:v>
                </c:pt>
                <c:pt idx="6" formatCode="0">
                  <c:v>3</c:v>
                </c:pt>
                <c:pt idx="7" formatCode="0">
                  <c:v>4</c:v>
                </c:pt>
                <c:pt idx="8" formatCode="0">
                  <c:v>5</c:v>
                </c:pt>
                <c:pt idx="9" formatCode="0">
                  <c:v>6</c:v>
                </c:pt>
                <c:pt idx="10" formatCode="0">
                  <c:v>7</c:v>
                </c:pt>
                <c:pt idx="11" formatCode="0">
                  <c:v>8</c:v>
                </c:pt>
                <c:pt idx="12" formatCode="0">
                  <c:v>9</c:v>
                </c:pt>
                <c:pt idx="13" formatCode="0">
                  <c:v>10</c:v>
                </c:pt>
                <c:pt idx="14" formatCode="0">
                  <c:v>11</c:v>
                </c:pt>
                <c:pt idx="15" formatCode="0">
                  <c:v>12</c:v>
                </c:pt>
                <c:pt idx="16" formatCode="0">
                  <c:v>13</c:v>
                </c:pt>
                <c:pt idx="17" formatCode="0">
                  <c:v>14</c:v>
                </c:pt>
                <c:pt idx="18" formatCode="0">
                  <c:v>15</c:v>
                </c:pt>
                <c:pt idx="19" formatCode="0">
                  <c:v>16</c:v>
                </c:pt>
                <c:pt idx="20" formatCode="0">
                  <c:v>17</c:v>
                </c:pt>
                <c:pt idx="21" formatCode="0">
                  <c:v>18</c:v>
                </c:pt>
                <c:pt idx="22" formatCode="0">
                  <c:v>19</c:v>
                </c:pt>
                <c:pt idx="23" formatCode="0">
                  <c:v>20</c:v>
                </c:pt>
              </c:numCache>
            </c:numRef>
          </c:cat>
          <c:val>
            <c:numRef>
              <c:f>Posicionamiento!$W$17:$W$40</c:f>
              <c:numCache>
                <c:formatCode>0.00%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3-4C02-97D5-0D7EF8242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22678272"/>
        <c:axId val="783232960"/>
      </c:barChart>
      <c:catAx>
        <c:axId val="32267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Dur [years]</a:t>
                </a:r>
              </a:p>
            </c:rich>
          </c:tx>
          <c:layout>
            <c:manualLayout>
              <c:xMode val="edge"/>
              <c:yMode val="edge"/>
              <c:x val="0.10433731967437884"/>
              <c:y val="0.82525954074283736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783232960"/>
        <c:crosses val="autoZero"/>
        <c:auto val="1"/>
        <c:lblAlgn val="ctr"/>
        <c:lblOffset val="100"/>
        <c:noMultiLvlLbl val="0"/>
      </c:catAx>
      <c:valAx>
        <c:axId val="783232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>
                    <a:solidFill>
                      <a:sysClr val="windowText" lastClr="000000"/>
                    </a:solidFill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Weight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32267827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200">
                <a:solidFill>
                  <a:schemeClr val="tx1">
                    <a:lumMod val="50000"/>
                    <a:lumOff val="50000"/>
                  </a:schemeClr>
                </a:solidFill>
              </a:rPr>
              <a:t>Evolución</a:t>
            </a:r>
            <a:r>
              <a:rPr lang="es-CL" sz="12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Histórica Volatilidad / TE</a:t>
            </a:r>
            <a:endParaRPr lang="es-CL" sz="1200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301358066730783"/>
          <c:y val="2.93578038205213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8.1462814478606732E-2"/>
          <c:y val="0.20887767353590486"/>
          <c:w val="0.81741513284355716"/>
          <c:h val="0.61873541234439833"/>
        </c:manualLayout>
      </c:layout>
      <c:areaChart>
        <c:grouping val="stacked"/>
        <c:varyColors val="0"/>
        <c:ser>
          <c:idx val="0"/>
          <c:order val="0"/>
          <c:tx>
            <c:strRef>
              <c:f>'Datos Riesgo'!$D$3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'Datos Riesgo'!$E$3:$X$3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9-414C-A702-9D6BD7370D6C}"/>
            </c:ext>
          </c:extLst>
        </c:ser>
        <c:ser>
          <c:idx val="1"/>
          <c:order val="1"/>
          <c:tx>
            <c:strRef>
              <c:f>'Datos Riesgo'!$D$4</c:f>
              <c:strCache>
                <c:ptCount val="1"/>
                <c:pt idx="0">
                  <c:v>UF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'Datos Riesgo'!$E$4:$X$4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9-414C-A702-9D6BD7370D6C}"/>
            </c:ext>
          </c:extLst>
        </c:ser>
        <c:ser>
          <c:idx val="2"/>
          <c:order val="2"/>
          <c:tx>
            <c:strRef>
              <c:f>'Datos Riesgo'!$D$5</c:f>
              <c:strCache>
                <c:ptCount val="1"/>
                <c:pt idx="0">
                  <c:v>US$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'Datos Riesgo'!$E$5:$X$5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89-414C-A702-9D6BD7370D6C}"/>
            </c:ext>
          </c:extLst>
        </c:ser>
        <c:ser>
          <c:idx val="3"/>
          <c:order val="3"/>
          <c:tx>
            <c:strRef>
              <c:f>'Datos Riesgo'!$D$6</c:f>
              <c:strCache>
                <c:ptCount val="1"/>
                <c:pt idx="0">
                  <c:v>EU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'Datos Riesgo'!$E$6:$X$6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89-414C-A702-9D6BD7370D6C}"/>
            </c:ext>
          </c:extLst>
        </c:ser>
        <c:ser>
          <c:idx val="4"/>
          <c:order val="4"/>
          <c:tx>
            <c:strRef>
              <c:f>'Datos Riesgo'!$D$7</c:f>
              <c:strCache>
                <c:ptCount val="1"/>
                <c:pt idx="0">
                  <c:v>MX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'Datos Riesgo'!$E$7:$X$7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89-414C-A702-9D6BD7370D6C}"/>
            </c:ext>
          </c:extLst>
        </c:ser>
        <c:ser>
          <c:idx val="5"/>
          <c:order val="5"/>
          <c:tx>
            <c:strRef>
              <c:f>'Datos Riesgo'!$D$8</c:f>
              <c:strCache>
                <c:ptCount val="1"/>
                <c:pt idx="0">
                  <c:v>SOL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'Datos Riesgo'!$E$8:$X$8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9-46D1-8D1D-D8B412DC72A1}"/>
            </c:ext>
          </c:extLst>
        </c:ser>
        <c:ser>
          <c:idx val="6"/>
          <c:order val="6"/>
          <c:tx>
            <c:strRef>
              <c:f>'Datos Riesgo'!$D$9</c:f>
              <c:strCache>
                <c:ptCount val="1"/>
                <c:pt idx="0">
                  <c:v>REA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val>
            <c:numRef>
              <c:f>'Datos Riesgo'!$E$9:$X$9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9B-48FE-B36C-4791FEA4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87520"/>
        <c:axId val="1755170656"/>
      </c:areaChart>
      <c:dateAx>
        <c:axId val="87987520"/>
        <c:scaling>
          <c:orientation val="minMax"/>
        </c:scaling>
        <c:delete val="0"/>
        <c:axPos val="b"/>
        <c:numFmt formatCode="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55170656"/>
        <c:crosses val="autoZero"/>
        <c:auto val="1"/>
        <c:lblOffset val="100"/>
        <c:baseTimeUnit val="days"/>
        <c:majorUnit val="5"/>
        <c:majorTimeUnit val="days"/>
      </c:dateAx>
      <c:valAx>
        <c:axId val="175517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798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3059476072026548"/>
          <c:y val="3.6945079686910604E-2"/>
          <c:w val="6.6798366743489102E-2"/>
          <c:h val="0.96305463114961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Risk Budget Distribution (by Issuer)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s-CL" sz="1200" b="0">
              <a:solidFill>
                <a:schemeClr val="tx1">
                  <a:lumMod val="50000"/>
                  <a:lumOff val="50000"/>
                </a:schemeClr>
              </a:solidFill>
            </a:rPr>
            <a:t>Risk Budget Distribution (by Issuer)</a:t>
          </a:r>
        </a:p>
      </cx:txPr>
    </cx:title>
    <cx:plotArea>
      <cx:plotAreaRegion>
        <cx:series layoutId="treemap" uniqueId="{00000000-1338-4111-8FF1-57C2495C9E9B}">
          <cx:tx>
            <cx:txData>
              <cx:f>_xlchart.v1.2</cx:f>
              <cx:v>IMT E-PLUS</cx:v>
            </cx:txData>
          </cx:tx>
          <cx:dataLabels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ln>
      <a:noFill/>
    </a:ln>
  </cx:spPr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J5" lockText="1" noThreeD="1"/>
</file>

<file path=xl/ctrlProps/ctrlProp5.xml><?xml version="1.0" encoding="utf-8"?>
<formControlPr xmlns="http://schemas.microsoft.com/office/spreadsheetml/2009/9/main" objectType="CheckBox" fmlaLink="J4" lockText="1" noThreeD="1"/>
</file>

<file path=xl/ctrlProps/ctrlProp6.xml><?xml version="1.0" encoding="utf-8"?>
<formControlPr xmlns="http://schemas.microsoft.com/office/spreadsheetml/2009/9/main" objectType="CheckBox" checked="Checked" fmlaLink="$D$7" lockText="1" noThreeD="1"/>
</file>

<file path=xl/ctrlProps/ctrlProp7.xml><?xml version="1.0" encoding="utf-8"?>
<formControlPr xmlns="http://schemas.microsoft.com/office/spreadsheetml/2009/9/main" objectType="CheckBox" checked="Checked" fmlaLink="$D$8" lockText="1" noThreeD="1"/>
</file>

<file path=xl/ctrlProps/ctrlProp8.xml><?xml version="1.0" encoding="utf-8"?>
<formControlPr xmlns="http://schemas.microsoft.com/office/spreadsheetml/2009/9/main" objectType="CheckBox" fmlaLink="$D$9" lockText="1" noThreeD="1"/>
</file>

<file path=xl/ctrlProps/ctrlProp9.xml><?xml version="1.0" encoding="utf-8"?>
<formControlPr xmlns="http://schemas.microsoft.com/office/spreadsheetml/2009/9/main" objectType="CheckBox" fmlaLink="$D$10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6</xdr:col>
          <xdr:colOff>1524000</xdr:colOff>
          <xdr:row>2</xdr:row>
          <xdr:rowOff>19050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 Recursive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1</xdr:row>
          <xdr:rowOff>9525</xdr:rowOff>
        </xdr:from>
        <xdr:to>
          <xdr:col>5</xdr:col>
          <xdr:colOff>1257300</xdr:colOff>
          <xdr:row>2</xdr:row>
          <xdr:rowOff>38100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66675</xdr:rowOff>
        </xdr:from>
        <xdr:to>
          <xdr:col>3</xdr:col>
          <xdr:colOff>1209675</xdr:colOff>
          <xdr:row>18</xdr:row>
          <xdr:rowOff>104775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Aportes/Rescates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0</xdr:row>
      <xdr:rowOff>59531</xdr:rowOff>
    </xdr:from>
    <xdr:to>
      <xdr:col>13</xdr:col>
      <xdr:colOff>250031</xdr:colOff>
      <xdr:row>6</xdr:row>
      <xdr:rowOff>130968</xdr:rowOff>
    </xdr:to>
    <xdr:graphicFrame macro="">
      <xdr:nvGraphicFramePr>
        <xdr:cNvPr id="6" name="4 Gráfic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416719</xdr:colOff>
      <xdr:row>1</xdr:row>
      <xdr:rowOff>0</xdr:rowOff>
    </xdr:from>
    <xdr:to>
      <xdr:col>23</xdr:col>
      <xdr:colOff>-1</xdr:colOff>
      <xdr:row>14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8919" y="142875"/>
              <a:ext cx="5041105" cy="2876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273844</xdr:colOff>
      <xdr:row>6</xdr:row>
      <xdr:rowOff>166688</xdr:rowOff>
    </xdr:from>
    <xdr:to>
      <xdr:col>13</xdr:col>
      <xdr:colOff>142873</xdr:colOff>
      <xdr:row>13</xdr:row>
      <xdr:rowOff>130969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</xdr:row>
          <xdr:rowOff>142875</xdr:rowOff>
        </xdr:from>
        <xdr:to>
          <xdr:col>9</xdr:col>
          <xdr:colOff>1276350</xdr:colOff>
          <xdr:row>5</xdr:row>
          <xdr:rowOff>57150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5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2</xdr:row>
          <xdr:rowOff>142875</xdr:rowOff>
        </xdr:from>
        <xdr:to>
          <xdr:col>9</xdr:col>
          <xdr:colOff>1276350</xdr:colOff>
          <xdr:row>4</xdr:row>
          <xdr:rowOff>57150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5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Aportes/Retiros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0</xdr:rowOff>
        </xdr:from>
        <xdr:to>
          <xdr:col>2</xdr:col>
          <xdr:colOff>609600</xdr:colOff>
          <xdr:row>7</xdr:row>
          <xdr:rowOff>19050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7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2</xdr:col>
          <xdr:colOff>609600</xdr:colOff>
          <xdr:row>8</xdr:row>
          <xdr:rowOff>28575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7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9525</xdr:rowOff>
        </xdr:from>
        <xdr:to>
          <xdr:col>2</xdr:col>
          <xdr:colOff>609600</xdr:colOff>
          <xdr:row>9</xdr:row>
          <xdr:rowOff>28575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7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2</xdr:col>
          <xdr:colOff>609600</xdr:colOff>
          <xdr:row>10</xdr:row>
          <xdr:rowOff>28575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7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48</xdr:row>
          <xdr:rowOff>123825</xdr:rowOff>
        </xdr:from>
        <xdr:to>
          <xdr:col>1</xdr:col>
          <xdr:colOff>1895475</xdr:colOff>
          <xdr:row>51</xdr:row>
          <xdr:rowOff>28575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400" b="0" i="0" u="none" strike="noStrike" baseline="0">
                  <a:solidFill>
                    <a:srgbClr val="000000"/>
                  </a:solidFill>
                  <a:latin typeface="Calibri Light"/>
                </a:rPr>
                <a:t>Actualizar Emisores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Desktop\Gestionv5a.xls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Documents\Portfolios\Gestionv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Risk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AppData\Roaming\Microsoft\AddIns\Interpolatio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Completa"/>
      <sheetName val="PosicionamientoFondo"/>
      <sheetName val="Emisor Consolidado"/>
      <sheetName val="Pos_RF_BK_U"/>
      <sheetName val="Derivatives"/>
      <sheetName val="Caja"/>
      <sheetName val="UF"/>
      <sheetName val="Tasas Diarias"/>
      <sheetName val="TransIF"/>
      <sheetName val="TransRF"/>
      <sheetName val="Gestionv5a.xlsb"/>
    </sheetNames>
    <sheetDataSet>
      <sheetData sheetId="0">
        <row r="2">
          <cell r="A2" t="str">
            <v>DEUDA 360</v>
          </cell>
          <cell r="J2">
            <v>673.06</v>
          </cell>
        </row>
        <row r="3">
          <cell r="J3">
            <v>699.21</v>
          </cell>
        </row>
      </sheetData>
      <sheetData sheetId="1">
        <row r="1">
          <cell r="B1" t="str">
            <v>Fondo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P1" t="str">
            <v>captacion</v>
          </cell>
        </row>
      </sheetData>
      <sheetData sheetId="10">
        <row r="1">
          <cell r="Q1" t="str">
            <v>Monto</v>
          </cell>
        </row>
      </sheetData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Completa"/>
      <sheetName val="Inicio"/>
      <sheetName val="PosicionamientoFondo"/>
      <sheetName val="Emisor Consolidado"/>
      <sheetName val="Pos_RF_BK_U"/>
      <sheetName val="NemosFondos"/>
      <sheetName val="Derivatives"/>
      <sheetName val="Caja"/>
      <sheetName val="UF"/>
      <sheetName val="TransRF"/>
      <sheetName val="TransIF"/>
      <sheetName val="Hoja1"/>
    </sheetNames>
    <sheetDataSet>
      <sheetData sheetId="0">
        <row r="1">
          <cell r="C1" t="str">
            <v>Instrumento</v>
          </cell>
          <cell r="D1" t="str">
            <v>Emisor</v>
          </cell>
          <cell r="E1" t="str">
            <v>Valor_Presente</v>
          </cell>
          <cell r="F1" t="str">
            <v>Nominal</v>
          </cell>
          <cell r="G1" t="str">
            <v>porc</v>
          </cell>
          <cell r="H1" t="str">
            <v>Tasa</v>
          </cell>
          <cell r="I1" t="str">
            <v>Vencimiento</v>
          </cell>
          <cell r="J1" t="str">
            <v>Dias_venc</v>
          </cell>
          <cell r="K1" t="str">
            <v>Duracion</v>
          </cell>
          <cell r="L1" t="str">
            <v>precio</v>
          </cell>
          <cell r="M1" t="str">
            <v>Moneda</v>
          </cell>
          <cell r="N1" t="str">
            <v>Asset_Class</v>
          </cell>
          <cell r="O1" t="str">
            <v>Asset_Class_Long</v>
          </cell>
          <cell r="P1" t="str">
            <v>Riesgo</v>
          </cell>
          <cell r="Q1" t="str">
            <v>Clase</v>
          </cell>
          <cell r="R1" t="str">
            <v>SubClase</v>
          </cell>
          <cell r="S1" t="str">
            <v>tasa_UF_anual</v>
          </cell>
          <cell r="T1" t="str">
            <v>Riesgo2</v>
          </cell>
          <cell r="U1" t="str">
            <v>ordenRiesgo</v>
          </cell>
          <cell r="V1" t="str">
            <v>Riesgo3</v>
          </cell>
          <cell r="W1" t="str">
            <v>TipoPapel</v>
          </cell>
          <cell r="X1" t="str">
            <v>Riesgo_Dur_Mon</v>
          </cell>
          <cell r="Y1" t="str">
            <v>RiesgoDur</v>
          </cell>
          <cell r="Z1" t="str">
            <v>DurMoneda</v>
          </cell>
          <cell r="AA1" t="str">
            <v>TipoDur</v>
          </cell>
          <cell r="AB1" t="str">
            <v>TipoMon</v>
          </cell>
          <cell r="AC1" t="str">
            <v>Tipo</v>
          </cell>
          <cell r="AD1" t="str">
            <v>Sector</v>
          </cell>
          <cell r="AE1" t="str">
            <v>NomIns</v>
          </cell>
          <cell r="AF1" t="str">
            <v>NomEmi</v>
          </cell>
        </row>
        <row r="2">
          <cell r="C2" t="str">
            <v>PAGARE NR</v>
          </cell>
          <cell r="D2" t="str">
            <v>LEAS FORUM</v>
          </cell>
          <cell r="E2">
            <v>99941701</v>
          </cell>
          <cell r="F2">
            <v>100000000</v>
          </cell>
          <cell r="G2">
            <v>6.5579999999999996E-3</v>
          </cell>
          <cell r="H2">
            <v>0.35</v>
          </cell>
          <cell r="I2" t="str">
            <v>2016-11-28</v>
          </cell>
          <cell r="J2">
            <v>4</v>
          </cell>
          <cell r="K2">
            <v>0.01</v>
          </cell>
          <cell r="L2">
            <v>0</v>
          </cell>
          <cell r="M2" t="str">
            <v>$</v>
          </cell>
          <cell r="N2" t="str">
            <v>RFL</v>
          </cell>
          <cell r="O2" t="str">
            <v>Renta Fija Local</v>
          </cell>
          <cell r="P2" t="str">
            <v>N-1</v>
          </cell>
          <cell r="Q2" t="str">
            <v>Corto</v>
          </cell>
          <cell r="R2" t="str">
            <v>Depósitos $</v>
          </cell>
          <cell r="S2">
            <v>1.281801</v>
          </cell>
          <cell r="T2" t="str">
            <v>N-1</v>
          </cell>
          <cell r="U2" t="str">
            <v>25</v>
          </cell>
          <cell r="V2" t="str">
            <v>Depósitos</v>
          </cell>
          <cell r="W2" t="str">
            <v>Depósitos</v>
          </cell>
          <cell r="X2" t="str">
            <v>Depósitos $</v>
          </cell>
          <cell r="Y2" t="str">
            <v>Depósitos</v>
          </cell>
          <cell r="Z2" t="str">
            <v>Corto $</v>
          </cell>
          <cell r="AA2" t="str">
            <v>Depósitos</v>
          </cell>
          <cell r="AB2" t="str">
            <v>Depósitos $</v>
          </cell>
          <cell r="AC2" t="str">
            <v>Instrumentos de Deuda</v>
          </cell>
          <cell r="AD2" t="str">
            <v>Financieras</v>
          </cell>
          <cell r="AE2" t="str">
            <v>Deposito CLP Banco Leas Forum</v>
          </cell>
          <cell r="AF2" t="str">
            <v>Forum Servicios Financieros S.A.</v>
          </cell>
        </row>
        <row r="3">
          <cell r="C3" t="str">
            <v>PAGARE NR</v>
          </cell>
          <cell r="D3" t="str">
            <v>CORPBANCA</v>
          </cell>
          <cell r="E3">
            <v>65830668</v>
          </cell>
          <cell r="F3">
            <v>65883333</v>
          </cell>
          <cell r="G3">
            <v>4.3200000000000001E-3</v>
          </cell>
          <cell r="H3">
            <v>0.3</v>
          </cell>
          <cell r="I3" t="str">
            <v>2016-12-01</v>
          </cell>
          <cell r="J3">
            <v>7</v>
          </cell>
          <cell r="K3">
            <v>0.02</v>
          </cell>
          <cell r="L3">
            <v>0</v>
          </cell>
          <cell r="M3" t="str">
            <v>$</v>
          </cell>
          <cell r="N3" t="str">
            <v>RFL</v>
          </cell>
          <cell r="O3" t="str">
            <v>Renta Fija Local</v>
          </cell>
          <cell r="P3" t="str">
            <v>N-1</v>
          </cell>
          <cell r="Q3" t="str">
            <v>Corto</v>
          </cell>
          <cell r="R3" t="str">
            <v>Depósitos $</v>
          </cell>
          <cell r="S3">
            <v>0.65999799999999997</v>
          </cell>
          <cell r="T3" t="str">
            <v>N-1</v>
          </cell>
          <cell r="U3" t="str">
            <v>25</v>
          </cell>
          <cell r="V3" t="str">
            <v>Depósitos</v>
          </cell>
          <cell r="W3" t="str">
            <v>Depósitos</v>
          </cell>
          <cell r="X3" t="str">
            <v>Depósitos $</v>
          </cell>
          <cell r="Y3" t="str">
            <v>Depósitos</v>
          </cell>
          <cell r="Z3" t="str">
            <v>Corto $</v>
          </cell>
          <cell r="AA3" t="str">
            <v>Depósitos</v>
          </cell>
          <cell r="AB3" t="str">
            <v>Depósitos $</v>
          </cell>
          <cell r="AC3" t="str">
            <v>Instrumentos de Deuda</v>
          </cell>
          <cell r="AD3" t="str">
            <v>Financieras</v>
          </cell>
          <cell r="AE3" t="str">
            <v>Deposito CLP Banco Corpbanca</v>
          </cell>
          <cell r="AF3" t="str">
            <v>Itau/Corpbanca</v>
          </cell>
        </row>
        <row r="4">
          <cell r="C4" t="str">
            <v>PAGARE NR</v>
          </cell>
          <cell r="D4" t="str">
            <v>SCOTIABANK</v>
          </cell>
          <cell r="E4">
            <v>49940072</v>
          </cell>
          <cell r="F4">
            <v>50000000</v>
          </cell>
          <cell r="G4">
            <v>3.277E-3</v>
          </cell>
          <cell r="H4">
            <v>0.3</v>
          </cell>
          <cell r="I4" t="str">
            <v>2016-12-05</v>
          </cell>
          <cell r="J4">
            <v>11</v>
          </cell>
          <cell r="K4">
            <v>0.03</v>
          </cell>
          <cell r="L4">
            <v>0</v>
          </cell>
          <cell r="M4" t="str">
            <v>$</v>
          </cell>
          <cell r="N4" t="str">
            <v>RFL</v>
          </cell>
          <cell r="O4" t="str">
            <v>Renta Fija Local</v>
          </cell>
          <cell r="P4" t="str">
            <v>N-1</v>
          </cell>
          <cell r="Q4" t="str">
            <v>Corto</v>
          </cell>
          <cell r="R4" t="str">
            <v>Depósitos $</v>
          </cell>
          <cell r="S4">
            <v>0.65999799999999997</v>
          </cell>
          <cell r="T4" t="str">
            <v>N-1</v>
          </cell>
          <cell r="U4" t="str">
            <v>25</v>
          </cell>
          <cell r="V4" t="str">
            <v>Depósitos</v>
          </cell>
          <cell r="W4" t="str">
            <v>Depósitos</v>
          </cell>
          <cell r="X4" t="str">
            <v>Depósitos $</v>
          </cell>
          <cell r="Y4" t="str">
            <v>Depósitos</v>
          </cell>
          <cell r="Z4" t="str">
            <v>Corto $</v>
          </cell>
          <cell r="AA4" t="str">
            <v>Depósitos</v>
          </cell>
          <cell r="AB4" t="str">
            <v>Depósitos $</v>
          </cell>
          <cell r="AC4" t="str">
            <v>Instrumentos de Deuda</v>
          </cell>
          <cell r="AD4" t="str">
            <v>Financieras</v>
          </cell>
          <cell r="AE4" t="str">
            <v>Deposito CLP Banco Scotiabank</v>
          </cell>
          <cell r="AF4" t="str">
            <v>Scotiabank</v>
          </cell>
        </row>
        <row r="5">
          <cell r="C5" t="str">
            <v>PAGARE NR</v>
          </cell>
          <cell r="D5" t="str">
            <v>FESSBIO</v>
          </cell>
          <cell r="E5">
            <v>29840564</v>
          </cell>
          <cell r="F5">
            <v>29916210</v>
          </cell>
          <cell r="G5">
            <v>1.9580000000000001E-3</v>
          </cell>
          <cell r="H5">
            <v>0.58499999999999996</v>
          </cell>
          <cell r="I5" t="str">
            <v>2016-12-06</v>
          </cell>
          <cell r="J5">
            <v>12</v>
          </cell>
          <cell r="K5">
            <v>0.04</v>
          </cell>
          <cell r="L5">
            <v>0</v>
          </cell>
          <cell r="M5" t="str">
            <v>$</v>
          </cell>
          <cell r="N5" t="str">
            <v>RFL</v>
          </cell>
          <cell r="O5" t="str">
            <v>Renta Fija Local</v>
          </cell>
          <cell r="P5" t="str">
            <v>NA</v>
          </cell>
          <cell r="Q5" t="str">
            <v>Corto</v>
          </cell>
          <cell r="R5" t="str">
            <v>Depósitos $</v>
          </cell>
          <cell r="S5">
            <v>4.2503310000000001</v>
          </cell>
          <cell r="T5" t="str">
            <v>Gob</v>
          </cell>
          <cell r="U5" t="str">
            <v>0</v>
          </cell>
          <cell r="V5" t="str">
            <v>Depósitos</v>
          </cell>
          <cell r="W5" t="str">
            <v>Depósitos</v>
          </cell>
          <cell r="X5" t="str">
            <v>Depósitos $</v>
          </cell>
          <cell r="Y5" t="str">
            <v>Depósitos</v>
          </cell>
          <cell r="Z5" t="str">
            <v>Corto $</v>
          </cell>
          <cell r="AA5" t="str">
            <v>Depósitos</v>
          </cell>
          <cell r="AB5" t="str">
            <v>Depósitos $</v>
          </cell>
          <cell r="AC5" t="str">
            <v>Instrumentos de Deuda</v>
          </cell>
          <cell r="AD5" t="str">
            <v>Financieras</v>
          </cell>
          <cell r="AE5"/>
          <cell r="AF5"/>
        </row>
        <row r="6">
          <cell r="C6" t="str">
            <v>PAGARE NR</v>
          </cell>
          <cell r="D6" t="str">
            <v>FMOP</v>
          </cell>
          <cell r="E6">
            <v>25262601</v>
          </cell>
          <cell r="F6">
            <v>25311535</v>
          </cell>
          <cell r="G6">
            <v>1.6570000000000001E-3</v>
          </cell>
          <cell r="H6">
            <v>0.44700000000000001</v>
          </cell>
          <cell r="I6" t="str">
            <v>2016-12-06</v>
          </cell>
          <cell r="J6">
            <v>12</v>
          </cell>
          <cell r="K6">
            <v>0.04</v>
          </cell>
          <cell r="L6">
            <v>0</v>
          </cell>
          <cell r="M6" t="str">
            <v>$</v>
          </cell>
          <cell r="N6" t="str">
            <v>RFL</v>
          </cell>
          <cell r="O6" t="str">
            <v>Renta Fija Local</v>
          </cell>
          <cell r="P6" t="str">
            <v>NA</v>
          </cell>
          <cell r="Q6" t="str">
            <v>Corto</v>
          </cell>
          <cell r="R6" t="str">
            <v>Depósitos $</v>
          </cell>
          <cell r="S6">
            <v>2.4978590000000001</v>
          </cell>
          <cell r="T6" t="str">
            <v>Gob</v>
          </cell>
          <cell r="U6" t="str">
            <v>0</v>
          </cell>
          <cell r="V6" t="str">
            <v>Depósitos</v>
          </cell>
          <cell r="W6" t="str">
            <v>Depósitos</v>
          </cell>
          <cell r="X6" t="str">
            <v>Depósitos $</v>
          </cell>
          <cell r="Y6" t="str">
            <v>Depósitos</v>
          </cell>
          <cell r="Z6" t="str">
            <v>Corto $</v>
          </cell>
          <cell r="AA6" t="str">
            <v>Depósitos</v>
          </cell>
          <cell r="AB6" t="str">
            <v>Depósitos $</v>
          </cell>
          <cell r="AC6" t="str">
            <v>Instrumentos de Deuda</v>
          </cell>
          <cell r="AD6" t="str">
            <v>Financieras</v>
          </cell>
          <cell r="AE6"/>
          <cell r="AF6"/>
        </row>
        <row r="7">
          <cell r="C7" t="str">
            <v>PAGARE NR</v>
          </cell>
          <cell r="D7" t="str">
            <v>CMR</v>
          </cell>
          <cell r="E7">
            <v>99846237</v>
          </cell>
          <cell r="F7">
            <v>100000000</v>
          </cell>
          <cell r="G7">
            <v>6.5519999999999997E-3</v>
          </cell>
          <cell r="H7">
            <v>0.33</v>
          </cell>
          <cell r="I7" t="str">
            <v>2016-12-07</v>
          </cell>
          <cell r="J7">
            <v>13</v>
          </cell>
          <cell r="K7">
            <v>0.04</v>
          </cell>
          <cell r="L7">
            <v>0</v>
          </cell>
          <cell r="M7" t="str">
            <v>$</v>
          </cell>
          <cell r="N7" t="str">
            <v>RFL</v>
          </cell>
          <cell r="O7" t="str">
            <v>Renta Fija Local</v>
          </cell>
          <cell r="P7" t="str">
            <v>N-1</v>
          </cell>
          <cell r="Q7" t="str">
            <v>Corto</v>
          </cell>
          <cell r="R7" t="str">
            <v>Depósitos $</v>
          </cell>
          <cell r="S7">
            <v>1.0326709999999999</v>
          </cell>
          <cell r="T7" t="str">
            <v>N-1</v>
          </cell>
          <cell r="U7" t="str">
            <v>25</v>
          </cell>
          <cell r="V7" t="str">
            <v>Depósitos</v>
          </cell>
          <cell r="W7" t="str">
            <v>Depósitos</v>
          </cell>
          <cell r="X7" t="str">
            <v>Depósitos $</v>
          </cell>
          <cell r="Y7" t="str">
            <v>Depósitos</v>
          </cell>
          <cell r="Z7" t="str">
            <v>Corto $</v>
          </cell>
          <cell r="AA7" t="str">
            <v>Depósitos</v>
          </cell>
          <cell r="AB7" t="str">
            <v>Depósitos $</v>
          </cell>
          <cell r="AC7" t="str">
            <v>Instrumentos de Deuda</v>
          </cell>
          <cell r="AD7" t="str">
            <v>Financieras</v>
          </cell>
          <cell r="AE7" t="str">
            <v>Deposito CLP Banco Cmr</v>
          </cell>
          <cell r="AF7" t="str">
            <v>CMR</v>
          </cell>
        </row>
        <row r="8">
          <cell r="C8" t="str">
            <v>PAGARE NR</v>
          </cell>
          <cell r="D8" t="str">
            <v>FCODELC</v>
          </cell>
          <cell r="E8">
            <v>165122806</v>
          </cell>
          <cell r="F8">
            <v>165513927</v>
          </cell>
          <cell r="G8">
            <v>1.0836E-2</v>
          </cell>
          <cell r="H8">
            <v>0.374</v>
          </cell>
          <cell r="I8" t="str">
            <v>2016-12-12</v>
          </cell>
          <cell r="J8">
            <v>18</v>
          </cell>
          <cell r="K8">
            <v>0.05</v>
          </cell>
          <cell r="L8">
            <v>0</v>
          </cell>
          <cell r="M8" t="str">
            <v>$</v>
          </cell>
          <cell r="N8" t="str">
            <v>RFL</v>
          </cell>
          <cell r="O8" t="str">
            <v>Renta Fija Local</v>
          </cell>
          <cell r="P8" t="str">
            <v>NA</v>
          </cell>
          <cell r="Q8" t="str">
            <v>Corto</v>
          </cell>
          <cell r="R8" t="str">
            <v>Depósitos $</v>
          </cell>
          <cell r="S8">
            <v>1.5814790000000001</v>
          </cell>
          <cell r="T8" t="str">
            <v>Gob</v>
          </cell>
          <cell r="U8" t="str">
            <v>0</v>
          </cell>
          <cell r="V8" t="str">
            <v>Depósitos</v>
          </cell>
          <cell r="W8" t="str">
            <v>Depósitos</v>
          </cell>
          <cell r="X8" t="str">
            <v>Depósitos $</v>
          </cell>
          <cell r="Y8" t="str">
            <v>Depósitos</v>
          </cell>
          <cell r="Z8" t="str">
            <v>Corto $</v>
          </cell>
          <cell r="AA8" t="str">
            <v>Depósitos</v>
          </cell>
          <cell r="AB8" t="str">
            <v>Depósitos $</v>
          </cell>
          <cell r="AC8" t="str">
            <v>Instrumentos de Deuda</v>
          </cell>
          <cell r="AD8" t="str">
            <v>Financieras</v>
          </cell>
          <cell r="AE8" t="str">
            <v>Factura Codelco</v>
          </cell>
          <cell r="AF8" t="str">
            <v>Codelco</v>
          </cell>
        </row>
        <row r="9">
          <cell r="C9" t="str">
            <v>PAGARE NR</v>
          </cell>
          <cell r="D9" t="str">
            <v>FMOP</v>
          </cell>
          <cell r="E9">
            <v>18219928</v>
          </cell>
          <cell r="F9">
            <v>18274952</v>
          </cell>
          <cell r="G9">
            <v>1.1950000000000001E-3</v>
          </cell>
          <cell r="H9">
            <v>0.45300000000000001</v>
          </cell>
          <cell r="I9" t="str">
            <v>2016-12-13</v>
          </cell>
          <cell r="J9">
            <v>19</v>
          </cell>
          <cell r="K9">
            <v>0.05</v>
          </cell>
          <cell r="L9">
            <v>0</v>
          </cell>
          <cell r="M9" t="str">
            <v>$</v>
          </cell>
          <cell r="N9" t="str">
            <v>RFL</v>
          </cell>
          <cell r="O9" t="str">
            <v>Renta Fija Local</v>
          </cell>
          <cell r="P9" t="str">
            <v>NA</v>
          </cell>
          <cell r="Q9" t="str">
            <v>Corto</v>
          </cell>
          <cell r="R9" t="str">
            <v>Depósitos $</v>
          </cell>
          <cell r="S9">
            <v>2.5735039999999998</v>
          </cell>
          <cell r="T9" t="str">
            <v>Gob</v>
          </cell>
          <cell r="U9" t="str">
            <v>0</v>
          </cell>
          <cell r="V9" t="str">
            <v>Depósitos</v>
          </cell>
          <cell r="W9" t="str">
            <v>Depósitos</v>
          </cell>
          <cell r="X9" t="str">
            <v>Depósitos $</v>
          </cell>
          <cell r="Y9" t="str">
            <v>Depósitos</v>
          </cell>
          <cell r="Z9" t="str">
            <v>Corto $</v>
          </cell>
          <cell r="AA9" t="str">
            <v>Depósitos</v>
          </cell>
          <cell r="AB9" t="str">
            <v>Depósitos $</v>
          </cell>
          <cell r="AC9" t="str">
            <v>Instrumentos de Deuda</v>
          </cell>
          <cell r="AD9" t="str">
            <v>Financieras</v>
          </cell>
          <cell r="AE9"/>
          <cell r="AF9"/>
        </row>
        <row r="10">
          <cell r="C10" t="str">
            <v>PAGARE NR</v>
          </cell>
          <cell r="D10" t="str">
            <v>ESTADO</v>
          </cell>
          <cell r="E10">
            <v>84343630</v>
          </cell>
          <cell r="F10">
            <v>84512317</v>
          </cell>
          <cell r="G10">
            <v>5.535E-3</v>
          </cell>
          <cell r="H10">
            <v>0.3</v>
          </cell>
          <cell r="I10" t="str">
            <v>2016-12-13</v>
          </cell>
          <cell r="J10">
            <v>19</v>
          </cell>
          <cell r="K10">
            <v>0.05</v>
          </cell>
          <cell r="L10">
            <v>0</v>
          </cell>
          <cell r="M10" t="str">
            <v>$</v>
          </cell>
          <cell r="N10" t="str">
            <v>RFL</v>
          </cell>
          <cell r="O10" t="str">
            <v>Renta Fija Local</v>
          </cell>
          <cell r="P10" t="str">
            <v>N-1</v>
          </cell>
          <cell r="Q10" t="str">
            <v>Corto</v>
          </cell>
          <cell r="R10" t="str">
            <v>Depósitos $</v>
          </cell>
          <cell r="S10">
            <v>0.65999799999999997</v>
          </cell>
          <cell r="T10" t="str">
            <v>N-1</v>
          </cell>
          <cell r="U10" t="str">
            <v>25</v>
          </cell>
          <cell r="V10" t="str">
            <v>Depósitos</v>
          </cell>
          <cell r="W10" t="str">
            <v>Depósitos</v>
          </cell>
          <cell r="X10" t="str">
            <v>Depósitos $</v>
          </cell>
          <cell r="Y10" t="str">
            <v>Depósitos</v>
          </cell>
          <cell r="Z10" t="str">
            <v>Corto $</v>
          </cell>
          <cell r="AA10" t="str">
            <v>Depósitos</v>
          </cell>
          <cell r="AB10" t="str">
            <v>Depósitos $</v>
          </cell>
          <cell r="AC10" t="str">
            <v>Instrumentos de Deuda</v>
          </cell>
          <cell r="AD10" t="str">
            <v>Financieras</v>
          </cell>
          <cell r="AE10" t="str">
            <v>Deposito CLP Banco Estado</v>
          </cell>
          <cell r="AF10" t="str">
            <v>Banco Estado</v>
          </cell>
        </row>
        <row r="11">
          <cell r="C11" t="str">
            <v>PAGARE NR</v>
          </cell>
          <cell r="D11" t="str">
            <v>BICECORP</v>
          </cell>
          <cell r="E11">
            <v>249407242</v>
          </cell>
          <cell r="F11">
            <v>250000000</v>
          </cell>
          <cell r="G11">
            <v>1.6367E-2</v>
          </cell>
          <cell r="H11">
            <v>0.31</v>
          </cell>
          <cell r="I11" t="str">
            <v>2016-12-16</v>
          </cell>
          <cell r="J11">
            <v>22</v>
          </cell>
          <cell r="K11">
            <v>0.06</v>
          </cell>
          <cell r="L11">
            <v>0</v>
          </cell>
          <cell r="M11" t="str">
            <v>$</v>
          </cell>
          <cell r="N11" t="str">
            <v>RFL</v>
          </cell>
          <cell r="O11" t="str">
            <v>Renta Fija Local</v>
          </cell>
          <cell r="P11" t="str">
            <v>N-1</v>
          </cell>
          <cell r="Q11" t="str">
            <v>Corto</v>
          </cell>
          <cell r="R11" t="str">
            <v>Depósitos $</v>
          </cell>
          <cell r="S11">
            <v>0.78408599999999995</v>
          </cell>
          <cell r="T11" t="str">
            <v>N-1</v>
          </cell>
          <cell r="U11" t="str">
            <v>25</v>
          </cell>
          <cell r="V11" t="str">
            <v>Depósitos</v>
          </cell>
          <cell r="W11" t="str">
            <v>Depósitos</v>
          </cell>
          <cell r="X11" t="str">
            <v>Depósitos $</v>
          </cell>
          <cell r="Y11" t="str">
            <v>Depósitos</v>
          </cell>
          <cell r="Z11" t="str">
            <v>Corto $</v>
          </cell>
          <cell r="AA11" t="str">
            <v>Depósitos</v>
          </cell>
          <cell r="AB11" t="str">
            <v>Depósitos $</v>
          </cell>
          <cell r="AC11" t="str">
            <v>Instrumentos de Deuda</v>
          </cell>
          <cell r="AD11" t="str">
            <v>Financieras</v>
          </cell>
          <cell r="AE11" t="str">
            <v>Deposito CLP Banco Bicecorp</v>
          </cell>
          <cell r="AF11" t="str">
            <v>BICECORP</v>
          </cell>
        </row>
        <row r="12">
          <cell r="C12" t="str">
            <v>PAGARE NR</v>
          </cell>
          <cell r="D12" t="str">
            <v>CONSORCIO</v>
          </cell>
          <cell r="E12">
            <v>149644345</v>
          </cell>
          <cell r="F12">
            <v>150000000</v>
          </cell>
          <cell r="G12">
            <v>9.8200000000000006E-3</v>
          </cell>
          <cell r="H12">
            <v>0.31</v>
          </cell>
          <cell r="I12" t="str">
            <v>2016-12-16</v>
          </cell>
          <cell r="J12">
            <v>22</v>
          </cell>
          <cell r="K12">
            <v>0.06</v>
          </cell>
          <cell r="L12">
            <v>0</v>
          </cell>
          <cell r="M12" t="str">
            <v>$</v>
          </cell>
          <cell r="N12" t="str">
            <v>RFL</v>
          </cell>
          <cell r="O12" t="str">
            <v>Renta Fija Local</v>
          </cell>
          <cell r="P12" t="str">
            <v>N-1</v>
          </cell>
          <cell r="Q12" t="str">
            <v>Corto</v>
          </cell>
          <cell r="R12" t="str">
            <v>Depósitos $</v>
          </cell>
          <cell r="S12">
            <v>0.78408599999999995</v>
          </cell>
          <cell r="T12" t="str">
            <v>N-1</v>
          </cell>
          <cell r="U12" t="str">
            <v>25</v>
          </cell>
          <cell r="V12" t="str">
            <v>Depósitos</v>
          </cell>
          <cell r="W12" t="str">
            <v>Depósitos</v>
          </cell>
          <cell r="X12" t="str">
            <v>Depósitos $</v>
          </cell>
          <cell r="Y12" t="str">
            <v>Depósitos</v>
          </cell>
          <cell r="Z12" t="str">
            <v>Corto $</v>
          </cell>
          <cell r="AA12" t="str">
            <v>Depósitos</v>
          </cell>
          <cell r="AB12" t="str">
            <v>Depósitos $</v>
          </cell>
          <cell r="AC12" t="str">
            <v>Instrumentos de Deuda</v>
          </cell>
          <cell r="AD12" t="str">
            <v>Financieras</v>
          </cell>
          <cell r="AE12" t="str">
            <v>Deposito CLP Banco Consorcio</v>
          </cell>
          <cell r="AF12" t="str">
            <v>Banco Consorcio</v>
          </cell>
        </row>
        <row r="13">
          <cell r="C13" t="str">
            <v>PAGARE NR</v>
          </cell>
          <cell r="D13" t="str">
            <v>SECURITY</v>
          </cell>
          <cell r="E13">
            <v>61676480</v>
          </cell>
          <cell r="F13">
            <v>62012000</v>
          </cell>
          <cell r="G13">
            <v>4.0470000000000002E-3</v>
          </cell>
          <cell r="H13">
            <v>0.32</v>
          </cell>
          <cell r="I13" t="str">
            <v>2017-01-13</v>
          </cell>
          <cell r="J13">
            <v>50</v>
          </cell>
          <cell r="K13">
            <v>0.14000000000000001</v>
          </cell>
          <cell r="L13">
            <v>0</v>
          </cell>
          <cell r="M13" t="str">
            <v>$</v>
          </cell>
          <cell r="N13" t="str">
            <v>RFL</v>
          </cell>
          <cell r="O13" t="str">
            <v>Renta Fija Local</v>
          </cell>
          <cell r="P13" t="str">
            <v>N-1</v>
          </cell>
          <cell r="Q13" t="str">
            <v>Corto</v>
          </cell>
          <cell r="R13" t="str">
            <v>Depósitos $</v>
          </cell>
          <cell r="S13">
            <v>0.90830999999999995</v>
          </cell>
          <cell r="T13" t="str">
            <v>N-1</v>
          </cell>
          <cell r="U13" t="str">
            <v>25</v>
          </cell>
          <cell r="V13" t="str">
            <v>Depósitos</v>
          </cell>
          <cell r="W13" t="str">
            <v>Depósitos</v>
          </cell>
          <cell r="X13" t="str">
            <v>Depósitos $</v>
          </cell>
          <cell r="Y13" t="str">
            <v>Depósitos</v>
          </cell>
          <cell r="Z13" t="str">
            <v>Corto $</v>
          </cell>
          <cell r="AA13" t="str">
            <v>Depósitos</v>
          </cell>
          <cell r="AB13" t="str">
            <v>Depósitos $</v>
          </cell>
          <cell r="AC13" t="str">
            <v>Instrumentos de Deuda</v>
          </cell>
          <cell r="AD13" t="str">
            <v>Financieras</v>
          </cell>
          <cell r="AE13" t="str">
            <v>Deposito CLP Banco Security</v>
          </cell>
          <cell r="AF13" t="str">
            <v>Banco Security</v>
          </cell>
        </row>
        <row r="14">
          <cell r="C14" t="str">
            <v>PAGARE NR</v>
          </cell>
          <cell r="D14" t="str">
            <v>BCI</v>
          </cell>
          <cell r="E14">
            <v>49713649</v>
          </cell>
          <cell r="F14">
            <v>50000000</v>
          </cell>
          <cell r="G14">
            <v>3.2620000000000001E-3</v>
          </cell>
          <cell r="H14">
            <v>0.32</v>
          </cell>
          <cell r="I14" t="str">
            <v>2017-01-16</v>
          </cell>
          <cell r="J14">
            <v>53</v>
          </cell>
          <cell r="K14">
            <v>0.15</v>
          </cell>
          <cell r="L14">
            <v>0</v>
          </cell>
          <cell r="M14" t="str">
            <v>$</v>
          </cell>
          <cell r="N14" t="str">
            <v>RFL</v>
          </cell>
          <cell r="O14" t="str">
            <v>Renta Fija Local</v>
          </cell>
          <cell r="P14" t="str">
            <v>N-1</v>
          </cell>
          <cell r="Q14" t="str">
            <v>Corto</v>
          </cell>
          <cell r="R14" t="str">
            <v>Depósitos $</v>
          </cell>
          <cell r="S14">
            <v>0.90830999999999995</v>
          </cell>
          <cell r="T14" t="str">
            <v>N-1</v>
          </cell>
          <cell r="U14" t="str">
            <v>25</v>
          </cell>
          <cell r="V14" t="str">
            <v>Depósitos</v>
          </cell>
          <cell r="W14" t="str">
            <v>Depósitos</v>
          </cell>
          <cell r="X14" t="str">
            <v>Depósitos $</v>
          </cell>
          <cell r="Y14" t="str">
            <v>Depósitos</v>
          </cell>
          <cell r="Z14" t="str">
            <v>Corto $</v>
          </cell>
          <cell r="AA14" t="str">
            <v>Depósitos</v>
          </cell>
          <cell r="AB14" t="str">
            <v>Depósitos $</v>
          </cell>
          <cell r="AC14" t="str">
            <v>Instrumentos de Deuda</v>
          </cell>
          <cell r="AD14" t="str">
            <v>Financieras</v>
          </cell>
          <cell r="AE14" t="str">
            <v>Deposito CLP Banco Bci</v>
          </cell>
          <cell r="AF14" t="str">
            <v>BCI</v>
          </cell>
        </row>
        <row r="15">
          <cell r="C15" t="str">
            <v>PAGARE NR</v>
          </cell>
          <cell r="D15" t="str">
            <v>ESTADO</v>
          </cell>
          <cell r="E15">
            <v>16894074</v>
          </cell>
          <cell r="F15">
            <v>17000000</v>
          </cell>
          <cell r="G15">
            <v>1.108E-3</v>
          </cell>
          <cell r="H15">
            <v>0.33</v>
          </cell>
          <cell r="I15" t="str">
            <v>2017-01-19</v>
          </cell>
          <cell r="J15">
            <v>56</v>
          </cell>
          <cell r="K15">
            <v>0.16</v>
          </cell>
          <cell r="L15">
            <v>0</v>
          </cell>
          <cell r="M15" t="str">
            <v>$</v>
          </cell>
          <cell r="N15" t="str">
            <v>RFL</v>
          </cell>
          <cell r="O15" t="str">
            <v>Renta Fija Local</v>
          </cell>
          <cell r="P15" t="str">
            <v>N-1</v>
          </cell>
          <cell r="Q15" t="str">
            <v>Corto</v>
          </cell>
          <cell r="R15" t="str">
            <v>Depósitos $</v>
          </cell>
          <cell r="S15">
            <v>1.0326709999999999</v>
          </cell>
          <cell r="T15" t="str">
            <v>N-1</v>
          </cell>
          <cell r="U15" t="str">
            <v>25</v>
          </cell>
          <cell r="V15" t="str">
            <v>Depósitos</v>
          </cell>
          <cell r="W15" t="str">
            <v>Depósitos</v>
          </cell>
          <cell r="X15" t="str">
            <v>Depósitos $</v>
          </cell>
          <cell r="Y15" t="str">
            <v>Depósitos</v>
          </cell>
          <cell r="Z15" t="str">
            <v>Corto $</v>
          </cell>
          <cell r="AA15" t="str">
            <v>Depósitos</v>
          </cell>
          <cell r="AB15" t="str">
            <v>Depósitos $</v>
          </cell>
          <cell r="AC15" t="str">
            <v>Instrumentos de Deuda</v>
          </cell>
          <cell r="AD15" t="str">
            <v>Financieras</v>
          </cell>
          <cell r="AE15" t="str">
            <v>Deposito CLP Banco Estado</v>
          </cell>
          <cell r="AF15" t="str">
            <v>Banco Estado</v>
          </cell>
        </row>
        <row r="16">
          <cell r="C16" t="str">
            <v>PAGARE NR</v>
          </cell>
          <cell r="D16" t="str">
            <v>BICE</v>
          </cell>
          <cell r="E16">
            <v>49692569</v>
          </cell>
          <cell r="F16">
            <v>50000000</v>
          </cell>
          <cell r="G16">
            <v>3.261E-3</v>
          </cell>
          <cell r="H16">
            <v>0.32</v>
          </cell>
          <cell r="I16" t="str">
            <v>2017-01-20</v>
          </cell>
          <cell r="J16">
            <v>57</v>
          </cell>
          <cell r="K16">
            <v>0.16</v>
          </cell>
          <cell r="L16">
            <v>0</v>
          </cell>
          <cell r="M16" t="str">
            <v>$</v>
          </cell>
          <cell r="N16" t="str">
            <v>RFL</v>
          </cell>
          <cell r="O16" t="str">
            <v>Renta Fija Local</v>
          </cell>
          <cell r="P16" t="str">
            <v>N-1</v>
          </cell>
          <cell r="Q16" t="str">
            <v>Corto</v>
          </cell>
          <cell r="R16" t="str">
            <v>Depósitos $</v>
          </cell>
          <cell r="S16">
            <v>0.90830999999999995</v>
          </cell>
          <cell r="T16" t="str">
            <v>N-1</v>
          </cell>
          <cell r="U16" t="str">
            <v>25</v>
          </cell>
          <cell r="V16" t="str">
            <v>Depósitos</v>
          </cell>
          <cell r="W16" t="str">
            <v>Depósitos</v>
          </cell>
          <cell r="X16" t="str">
            <v>Depósitos $</v>
          </cell>
          <cell r="Y16" t="str">
            <v>Depósitos</v>
          </cell>
          <cell r="Z16" t="str">
            <v>Corto $</v>
          </cell>
          <cell r="AA16" t="str">
            <v>Depósitos</v>
          </cell>
          <cell r="AB16" t="str">
            <v>Depósitos $</v>
          </cell>
          <cell r="AC16" t="str">
            <v>Instrumentos de Deuda</v>
          </cell>
          <cell r="AD16" t="str">
            <v>Financieras</v>
          </cell>
          <cell r="AE16" t="str">
            <v>Deposito CLP Banco Bice</v>
          </cell>
          <cell r="AF16" t="str">
            <v>BICE</v>
          </cell>
        </row>
        <row r="17">
          <cell r="C17" t="str">
            <v>PAGARE NR</v>
          </cell>
          <cell r="D17" t="str">
            <v>SANTANDER</v>
          </cell>
          <cell r="E17">
            <v>99353540</v>
          </cell>
          <cell r="F17">
            <v>100000000</v>
          </cell>
          <cell r="G17">
            <v>6.5199999999999998E-3</v>
          </cell>
          <cell r="H17">
            <v>0.32</v>
          </cell>
          <cell r="I17" t="str">
            <v>2017-01-23</v>
          </cell>
          <cell r="J17">
            <v>60</v>
          </cell>
          <cell r="K17">
            <v>0.17</v>
          </cell>
          <cell r="L17">
            <v>0</v>
          </cell>
          <cell r="M17" t="str">
            <v>$</v>
          </cell>
          <cell r="N17" t="str">
            <v>RFL</v>
          </cell>
          <cell r="O17" t="str">
            <v>Renta Fija Local</v>
          </cell>
          <cell r="P17" t="str">
            <v>N-1</v>
          </cell>
          <cell r="Q17" t="str">
            <v>Corto</v>
          </cell>
          <cell r="R17" t="str">
            <v>Depósitos $</v>
          </cell>
          <cell r="S17">
            <v>0.90830999999999995</v>
          </cell>
          <cell r="T17" t="str">
            <v>N-1</v>
          </cell>
          <cell r="U17" t="str">
            <v>25</v>
          </cell>
          <cell r="V17" t="str">
            <v>Depósitos</v>
          </cell>
          <cell r="W17" t="str">
            <v>Depósitos</v>
          </cell>
          <cell r="X17" t="str">
            <v>Depósitos $</v>
          </cell>
          <cell r="Y17" t="str">
            <v>Depósitos</v>
          </cell>
          <cell r="Z17" t="str">
            <v>Corto $</v>
          </cell>
          <cell r="AA17" t="str">
            <v>Depósitos</v>
          </cell>
          <cell r="AB17" t="str">
            <v>Depósitos $</v>
          </cell>
          <cell r="AC17" t="str">
            <v>Instrumentos de Deuda</v>
          </cell>
          <cell r="AD17" t="str">
            <v>Financieras</v>
          </cell>
          <cell r="AE17" t="str">
            <v>Deposito CLP Banco Santander</v>
          </cell>
          <cell r="AF17" t="str">
            <v>Banco Santander</v>
          </cell>
        </row>
        <row r="18">
          <cell r="C18" t="str">
            <v>PAGARE NR</v>
          </cell>
          <cell r="D18" t="str">
            <v>BCI</v>
          </cell>
          <cell r="E18">
            <v>49628777</v>
          </cell>
          <cell r="F18">
            <v>50000000</v>
          </cell>
          <cell r="G18">
            <v>3.2569999999999999E-3</v>
          </cell>
          <cell r="H18">
            <v>0.33</v>
          </cell>
          <cell r="I18" t="str">
            <v>2017-01-30</v>
          </cell>
          <cell r="J18">
            <v>67</v>
          </cell>
          <cell r="K18">
            <v>0.19</v>
          </cell>
          <cell r="L18">
            <v>0</v>
          </cell>
          <cell r="M18" t="str">
            <v>$</v>
          </cell>
          <cell r="N18" t="str">
            <v>RFL</v>
          </cell>
          <cell r="O18" t="str">
            <v>Renta Fija Local</v>
          </cell>
          <cell r="P18" t="str">
            <v>N-1</v>
          </cell>
          <cell r="Q18" t="str">
            <v>Corto</v>
          </cell>
          <cell r="R18" t="str">
            <v>Depósitos $</v>
          </cell>
          <cell r="S18">
            <v>1.0326709999999999</v>
          </cell>
          <cell r="T18" t="str">
            <v>N-1</v>
          </cell>
          <cell r="U18" t="str">
            <v>25</v>
          </cell>
          <cell r="V18" t="str">
            <v>Depósitos</v>
          </cell>
          <cell r="W18" t="str">
            <v>Depósitos</v>
          </cell>
          <cell r="X18" t="str">
            <v>Depósitos $</v>
          </cell>
          <cell r="Y18" t="str">
            <v>Depósitos</v>
          </cell>
          <cell r="Z18" t="str">
            <v>Corto $</v>
          </cell>
          <cell r="AA18" t="str">
            <v>Depósitos</v>
          </cell>
          <cell r="AB18" t="str">
            <v>Depósitos $</v>
          </cell>
          <cell r="AC18" t="str">
            <v>Instrumentos de Deuda</v>
          </cell>
          <cell r="AD18" t="str">
            <v>Financieras</v>
          </cell>
          <cell r="AE18" t="str">
            <v>Deposito CLP Banco Bci</v>
          </cell>
          <cell r="AF18" t="str">
            <v>BCI</v>
          </cell>
        </row>
        <row r="19">
          <cell r="C19" t="str">
            <v>PAGARE NR</v>
          </cell>
          <cell r="D19" t="str">
            <v>CONSORCIO</v>
          </cell>
          <cell r="E19">
            <v>198515106</v>
          </cell>
          <cell r="F19">
            <v>200000000</v>
          </cell>
          <cell r="G19">
            <v>1.3028E-2</v>
          </cell>
          <cell r="H19">
            <v>0.33</v>
          </cell>
          <cell r="I19" t="str">
            <v>2017-01-30</v>
          </cell>
          <cell r="J19">
            <v>67</v>
          </cell>
          <cell r="K19">
            <v>0.19</v>
          </cell>
          <cell r="L19">
            <v>0</v>
          </cell>
          <cell r="M19" t="str">
            <v>$</v>
          </cell>
          <cell r="N19" t="str">
            <v>RFL</v>
          </cell>
          <cell r="O19" t="str">
            <v>Renta Fija Local</v>
          </cell>
          <cell r="P19" t="str">
            <v>N-1</v>
          </cell>
          <cell r="Q19" t="str">
            <v>Corto</v>
          </cell>
          <cell r="R19" t="str">
            <v>Depósitos $</v>
          </cell>
          <cell r="S19">
            <v>1.0326709999999999</v>
          </cell>
          <cell r="T19" t="str">
            <v>N-1</v>
          </cell>
          <cell r="U19" t="str">
            <v>25</v>
          </cell>
          <cell r="V19" t="str">
            <v>Depósitos</v>
          </cell>
          <cell r="W19" t="str">
            <v>Depósitos</v>
          </cell>
          <cell r="X19" t="str">
            <v>Depósitos $</v>
          </cell>
          <cell r="Y19" t="str">
            <v>Depósitos</v>
          </cell>
          <cell r="Z19" t="str">
            <v>Corto $</v>
          </cell>
          <cell r="AA19" t="str">
            <v>Depósitos</v>
          </cell>
          <cell r="AB19" t="str">
            <v>Depósitos $</v>
          </cell>
          <cell r="AC19" t="str">
            <v>Instrumentos de Deuda</v>
          </cell>
          <cell r="AD19" t="str">
            <v>Financieras</v>
          </cell>
          <cell r="AE19" t="str">
            <v>Deposito CLP Banco Consorcio</v>
          </cell>
          <cell r="AF19" t="str">
            <v>Banco Consorcio</v>
          </cell>
        </row>
        <row r="20">
          <cell r="C20" t="str">
            <v>PAGARE NR</v>
          </cell>
          <cell r="D20" t="str">
            <v>SANTANDER</v>
          </cell>
          <cell r="E20">
            <v>99269377</v>
          </cell>
          <cell r="F20">
            <v>100000000</v>
          </cell>
          <cell r="G20">
            <v>6.5139999999999998E-3</v>
          </cell>
          <cell r="H20">
            <v>0.32</v>
          </cell>
          <cell r="I20" t="str">
            <v>2017-01-31</v>
          </cell>
          <cell r="J20">
            <v>68</v>
          </cell>
          <cell r="K20">
            <v>0.19</v>
          </cell>
          <cell r="L20">
            <v>0</v>
          </cell>
          <cell r="M20" t="str">
            <v>$</v>
          </cell>
          <cell r="N20" t="str">
            <v>RFL</v>
          </cell>
          <cell r="O20" t="str">
            <v>Renta Fija Local</v>
          </cell>
          <cell r="P20" t="str">
            <v>N-1</v>
          </cell>
          <cell r="Q20" t="str">
            <v>Corto</v>
          </cell>
          <cell r="R20" t="str">
            <v>Depósitos $</v>
          </cell>
          <cell r="S20">
            <v>0.90830999999999995</v>
          </cell>
          <cell r="T20" t="str">
            <v>N-1</v>
          </cell>
          <cell r="U20" t="str">
            <v>25</v>
          </cell>
          <cell r="V20" t="str">
            <v>Depósitos</v>
          </cell>
          <cell r="W20" t="str">
            <v>Depósitos</v>
          </cell>
          <cell r="X20" t="str">
            <v>Depósitos $</v>
          </cell>
          <cell r="Y20" t="str">
            <v>Depósitos</v>
          </cell>
          <cell r="Z20" t="str">
            <v>Corto $</v>
          </cell>
          <cell r="AA20" t="str">
            <v>Depósitos</v>
          </cell>
          <cell r="AB20" t="str">
            <v>Depósitos $</v>
          </cell>
          <cell r="AC20" t="str">
            <v>Instrumentos de Deuda</v>
          </cell>
          <cell r="AD20" t="str">
            <v>Financieras</v>
          </cell>
          <cell r="AE20" t="str">
            <v>Deposito CLP Banco Santander</v>
          </cell>
          <cell r="AF20" t="str">
            <v>Banco Santander</v>
          </cell>
        </row>
        <row r="21">
          <cell r="C21" t="str">
            <v>PAGARE NR</v>
          </cell>
          <cell r="D21" t="str">
            <v>ESTADO</v>
          </cell>
          <cell r="E21">
            <v>198471767</v>
          </cell>
          <cell r="F21">
            <v>200000000</v>
          </cell>
          <cell r="G21">
            <v>1.3025E-2</v>
          </cell>
          <cell r="H21">
            <v>0.33</v>
          </cell>
          <cell r="I21" t="str">
            <v>2017-02-01</v>
          </cell>
          <cell r="J21">
            <v>69</v>
          </cell>
          <cell r="K21">
            <v>0.19</v>
          </cell>
          <cell r="L21">
            <v>0</v>
          </cell>
          <cell r="M21" t="str">
            <v>$</v>
          </cell>
          <cell r="N21" t="str">
            <v>RFL</v>
          </cell>
          <cell r="O21" t="str">
            <v>Renta Fija Local</v>
          </cell>
          <cell r="P21" t="str">
            <v>N-1</v>
          </cell>
          <cell r="Q21" t="str">
            <v>Corto</v>
          </cell>
          <cell r="R21" t="str">
            <v>Depósitos $</v>
          </cell>
          <cell r="S21">
            <v>1.0326709999999999</v>
          </cell>
          <cell r="T21" t="str">
            <v>N-1</v>
          </cell>
          <cell r="U21" t="str">
            <v>25</v>
          </cell>
          <cell r="V21" t="str">
            <v>Depósitos</v>
          </cell>
          <cell r="W21" t="str">
            <v>Depósitos</v>
          </cell>
          <cell r="X21" t="str">
            <v>Depósitos $</v>
          </cell>
          <cell r="Y21" t="str">
            <v>Depósitos</v>
          </cell>
          <cell r="Z21" t="str">
            <v>Corto $</v>
          </cell>
          <cell r="AA21" t="str">
            <v>Depósitos</v>
          </cell>
          <cell r="AB21" t="str">
            <v>Depósitos $</v>
          </cell>
          <cell r="AC21" t="str">
            <v>Instrumentos de Deuda</v>
          </cell>
          <cell r="AD21" t="str">
            <v>Financieras</v>
          </cell>
          <cell r="AE21" t="str">
            <v>Deposito CLP Banco Estado</v>
          </cell>
          <cell r="AF21" t="str">
            <v>Banco Estado</v>
          </cell>
        </row>
        <row r="22">
          <cell r="C22" t="str">
            <v>PAGARE NR</v>
          </cell>
          <cell r="D22" t="str">
            <v>BCI</v>
          </cell>
          <cell r="E22">
            <v>126715376</v>
          </cell>
          <cell r="F22">
            <v>127691084</v>
          </cell>
          <cell r="G22">
            <v>8.3160000000000005E-3</v>
          </cell>
          <cell r="H22">
            <v>0.33</v>
          </cell>
          <cell r="I22" t="str">
            <v>2017-02-01</v>
          </cell>
          <cell r="J22">
            <v>69</v>
          </cell>
          <cell r="K22">
            <v>0.19</v>
          </cell>
          <cell r="L22">
            <v>0</v>
          </cell>
          <cell r="M22" t="str">
            <v>$</v>
          </cell>
          <cell r="N22" t="str">
            <v>RFL</v>
          </cell>
          <cell r="O22" t="str">
            <v>Renta Fija Local</v>
          </cell>
          <cell r="P22" t="str">
            <v>N-1</v>
          </cell>
          <cell r="Q22" t="str">
            <v>Corto</v>
          </cell>
          <cell r="R22" t="str">
            <v>Depósitos $</v>
          </cell>
          <cell r="S22">
            <v>1.0326709999999999</v>
          </cell>
          <cell r="T22" t="str">
            <v>N-1</v>
          </cell>
          <cell r="U22" t="str">
            <v>25</v>
          </cell>
          <cell r="V22" t="str">
            <v>Depósitos</v>
          </cell>
          <cell r="W22" t="str">
            <v>Depósitos</v>
          </cell>
          <cell r="X22" t="str">
            <v>Depósitos $</v>
          </cell>
          <cell r="Y22" t="str">
            <v>Depósitos</v>
          </cell>
          <cell r="Z22" t="str">
            <v>Corto $</v>
          </cell>
          <cell r="AA22" t="str">
            <v>Depósitos</v>
          </cell>
          <cell r="AB22" t="str">
            <v>Depósitos $</v>
          </cell>
          <cell r="AC22" t="str">
            <v>Instrumentos de Deuda</v>
          </cell>
          <cell r="AD22" t="str">
            <v>Financieras</v>
          </cell>
          <cell r="AE22" t="str">
            <v>Deposito CLP Banco Bci</v>
          </cell>
          <cell r="AF22" t="str">
            <v>BCI</v>
          </cell>
        </row>
        <row r="23">
          <cell r="C23" t="str">
            <v>BBNS-T0214</v>
          </cell>
          <cell r="D23" t="str">
            <v>BBSCOTIABA</v>
          </cell>
          <cell r="E23">
            <v>81537045</v>
          </cell>
          <cell r="F23">
            <v>80000000</v>
          </cell>
          <cell r="G23">
            <v>5.3509999999999999E-3</v>
          </cell>
          <cell r="H23">
            <v>4.32</v>
          </cell>
          <cell r="I23" t="str">
            <v>2017-02-01</v>
          </cell>
          <cell r="J23">
            <v>69</v>
          </cell>
          <cell r="K23">
            <v>0.19</v>
          </cell>
          <cell r="L23">
            <v>100.21</v>
          </cell>
          <cell r="M23" t="str">
            <v>$</v>
          </cell>
          <cell r="N23" t="str">
            <v>RFL</v>
          </cell>
          <cell r="O23" t="str">
            <v>Renta Fija Local</v>
          </cell>
          <cell r="P23" t="str">
            <v>AAA ; AAA</v>
          </cell>
          <cell r="Q23" t="str">
            <v>Corto</v>
          </cell>
          <cell r="R23" t="str">
            <v>Corporativo Bajo Riesgo Corto</v>
          </cell>
          <cell r="S23">
            <v>1.32</v>
          </cell>
          <cell r="T23" t="str">
            <v>AAA</v>
          </cell>
          <cell r="U23" t="str">
            <v>1</v>
          </cell>
          <cell r="V23" t="str">
            <v>Bajo Riesgo</v>
          </cell>
          <cell r="W23" t="str">
            <v>Corporativo</v>
          </cell>
          <cell r="X23" t="str">
            <v>Bajo Riesgo Corto $</v>
          </cell>
          <cell r="Y23" t="str">
            <v>Corporativo Bajo Riesgo Corto</v>
          </cell>
          <cell r="Z23" t="str">
            <v>Corto $</v>
          </cell>
          <cell r="AA23" t="str">
            <v>Corporativo Corto</v>
          </cell>
          <cell r="AB23" t="str">
            <v>Corporativo $</v>
          </cell>
          <cell r="AC23" t="str">
            <v>Instrumentos de Deuda</v>
          </cell>
          <cell r="AD23" t="str">
            <v>Financieras</v>
          </cell>
          <cell r="AE23" t="str">
            <v>Bono Scotiabank Serie T</v>
          </cell>
          <cell r="AF23" t="str">
            <v>Scotiabank</v>
          </cell>
        </row>
        <row r="24">
          <cell r="C24" t="str">
            <v>PAGARE NR</v>
          </cell>
          <cell r="D24" t="str">
            <v>BBVA</v>
          </cell>
          <cell r="E24">
            <v>198450105</v>
          </cell>
          <cell r="F24">
            <v>200000000</v>
          </cell>
          <cell r="G24">
            <v>1.3023E-2</v>
          </cell>
          <cell r="H24">
            <v>0.33</v>
          </cell>
          <cell r="I24" t="str">
            <v>2017-02-02</v>
          </cell>
          <cell r="J24">
            <v>70</v>
          </cell>
          <cell r="K24">
            <v>0.19</v>
          </cell>
          <cell r="L24">
            <v>0</v>
          </cell>
          <cell r="M24" t="str">
            <v>$</v>
          </cell>
          <cell r="N24" t="str">
            <v>RFL</v>
          </cell>
          <cell r="O24" t="str">
            <v>Renta Fija Local</v>
          </cell>
          <cell r="P24" t="str">
            <v>N-1</v>
          </cell>
          <cell r="Q24" t="str">
            <v>Corto</v>
          </cell>
          <cell r="R24" t="str">
            <v>Depósitos $</v>
          </cell>
          <cell r="S24">
            <v>1.0326709999999999</v>
          </cell>
          <cell r="T24" t="str">
            <v>N-1</v>
          </cell>
          <cell r="U24" t="str">
            <v>25</v>
          </cell>
          <cell r="V24" t="str">
            <v>Depósitos</v>
          </cell>
          <cell r="W24" t="str">
            <v>Depósitos</v>
          </cell>
          <cell r="X24" t="str">
            <v>Depósitos $</v>
          </cell>
          <cell r="Y24" t="str">
            <v>Depósitos</v>
          </cell>
          <cell r="Z24" t="str">
            <v>Corto $</v>
          </cell>
          <cell r="AA24" t="str">
            <v>Depósitos</v>
          </cell>
          <cell r="AB24" t="str">
            <v>Depósitos $</v>
          </cell>
          <cell r="AC24" t="str">
            <v>Instrumentos de Deuda</v>
          </cell>
          <cell r="AD24" t="str">
            <v>Financieras</v>
          </cell>
          <cell r="AE24" t="str">
            <v>Deposito CLP Banco Bbva</v>
          </cell>
          <cell r="AF24" t="str">
            <v>BBVA</v>
          </cell>
        </row>
        <row r="25">
          <cell r="C25" t="str">
            <v>PAGARE NR</v>
          </cell>
          <cell r="D25" t="str">
            <v>COOPEUCH</v>
          </cell>
          <cell r="E25">
            <v>148837579</v>
          </cell>
          <cell r="F25">
            <v>150000000</v>
          </cell>
          <cell r="G25">
            <v>9.7669999999999996E-3</v>
          </cell>
          <cell r="H25">
            <v>0.33</v>
          </cell>
          <cell r="I25" t="str">
            <v>2017-02-02</v>
          </cell>
          <cell r="J25">
            <v>70</v>
          </cell>
          <cell r="K25">
            <v>0.19</v>
          </cell>
          <cell r="L25">
            <v>0</v>
          </cell>
          <cell r="M25" t="str">
            <v>$</v>
          </cell>
          <cell r="N25" t="str">
            <v>RFL</v>
          </cell>
          <cell r="O25" t="str">
            <v>Renta Fija Local</v>
          </cell>
          <cell r="P25" t="str">
            <v>N-1</v>
          </cell>
          <cell r="Q25" t="str">
            <v>Corto</v>
          </cell>
          <cell r="R25" t="str">
            <v>Depósitos $</v>
          </cell>
          <cell r="S25">
            <v>1.0326709999999999</v>
          </cell>
          <cell r="T25" t="str">
            <v>N-1</v>
          </cell>
          <cell r="U25" t="str">
            <v>25</v>
          </cell>
          <cell r="V25" t="str">
            <v>Depósitos</v>
          </cell>
          <cell r="W25" t="str">
            <v>Depósitos</v>
          </cell>
          <cell r="X25" t="str">
            <v>Depósitos $</v>
          </cell>
          <cell r="Y25" t="str">
            <v>Depósitos</v>
          </cell>
          <cell r="Z25" t="str">
            <v>Corto $</v>
          </cell>
          <cell r="AA25" t="str">
            <v>Depósitos</v>
          </cell>
          <cell r="AB25" t="str">
            <v>Depósitos $</v>
          </cell>
          <cell r="AC25" t="str">
            <v>Instrumentos de Deuda</v>
          </cell>
          <cell r="AD25" t="str">
            <v>Financieras</v>
          </cell>
          <cell r="AE25" t="str">
            <v>Deposito CLP Banco Coopeuch</v>
          </cell>
          <cell r="AF25" t="str">
            <v>COOPEUCH</v>
          </cell>
        </row>
        <row r="26">
          <cell r="C26" t="str">
            <v>PAGARE NR</v>
          </cell>
          <cell r="D26" t="str">
            <v>SANTANDER</v>
          </cell>
          <cell r="E26">
            <v>39695141</v>
          </cell>
          <cell r="F26">
            <v>40000000</v>
          </cell>
          <cell r="G26">
            <v>2.6050000000000001E-3</v>
          </cell>
          <cell r="H26">
            <v>0.32</v>
          </cell>
          <cell r="I26" t="str">
            <v>2017-02-03</v>
          </cell>
          <cell r="J26">
            <v>71</v>
          </cell>
          <cell r="K26">
            <v>0.2</v>
          </cell>
          <cell r="L26">
            <v>0</v>
          </cell>
          <cell r="M26" t="str">
            <v>$</v>
          </cell>
          <cell r="N26" t="str">
            <v>RFL</v>
          </cell>
          <cell r="O26" t="str">
            <v>Renta Fija Local</v>
          </cell>
          <cell r="P26" t="str">
            <v>N-1</v>
          </cell>
          <cell r="Q26" t="str">
            <v>Corto</v>
          </cell>
          <cell r="R26" t="str">
            <v>Depósitos $</v>
          </cell>
          <cell r="S26">
            <v>0.90830999999999995</v>
          </cell>
          <cell r="T26" t="str">
            <v>N-1</v>
          </cell>
          <cell r="U26" t="str">
            <v>25</v>
          </cell>
          <cell r="V26" t="str">
            <v>Depósitos</v>
          </cell>
          <cell r="W26" t="str">
            <v>Depósitos</v>
          </cell>
          <cell r="X26" t="str">
            <v>Depósitos $</v>
          </cell>
          <cell r="Y26" t="str">
            <v>Depósitos</v>
          </cell>
          <cell r="Z26" t="str">
            <v>Corto $</v>
          </cell>
          <cell r="AA26" t="str">
            <v>Depósitos</v>
          </cell>
          <cell r="AB26" t="str">
            <v>Depósitos $</v>
          </cell>
          <cell r="AC26" t="str">
            <v>Instrumentos de Deuda</v>
          </cell>
          <cell r="AD26" t="str">
            <v>Financieras</v>
          </cell>
          <cell r="AE26" t="str">
            <v>Deposito CLP Banco Santander</v>
          </cell>
          <cell r="AF26" t="str">
            <v>Banco Santander</v>
          </cell>
        </row>
        <row r="27">
          <cell r="C27" t="str">
            <v>PAGARE NR</v>
          </cell>
          <cell r="D27" t="str">
            <v>CORPBANCA</v>
          </cell>
          <cell r="E27">
            <v>92541347</v>
          </cell>
          <cell r="F27">
            <v>93345531</v>
          </cell>
          <cell r="G27">
            <v>6.0730000000000003E-3</v>
          </cell>
          <cell r="H27">
            <v>0.33</v>
          </cell>
          <cell r="I27" t="str">
            <v>2017-02-10</v>
          </cell>
          <cell r="J27">
            <v>78</v>
          </cell>
          <cell r="K27">
            <v>0.22</v>
          </cell>
          <cell r="L27">
            <v>0</v>
          </cell>
          <cell r="M27" t="str">
            <v>$</v>
          </cell>
          <cell r="N27" t="str">
            <v>RFL</v>
          </cell>
          <cell r="O27" t="str">
            <v>Renta Fija Local</v>
          </cell>
          <cell r="P27" t="str">
            <v>N-1</v>
          </cell>
          <cell r="Q27" t="str">
            <v>Corto</v>
          </cell>
          <cell r="R27" t="str">
            <v>Depósitos $</v>
          </cell>
          <cell r="S27">
            <v>1.0326709999999999</v>
          </cell>
          <cell r="T27" t="str">
            <v>N-1</v>
          </cell>
          <cell r="U27" t="str">
            <v>25</v>
          </cell>
          <cell r="V27" t="str">
            <v>Depósitos</v>
          </cell>
          <cell r="W27" t="str">
            <v>Depósitos</v>
          </cell>
          <cell r="X27" t="str">
            <v>Depósitos $</v>
          </cell>
          <cell r="Y27" t="str">
            <v>Depósitos</v>
          </cell>
          <cell r="Z27" t="str">
            <v>Corto $</v>
          </cell>
          <cell r="AA27" t="str">
            <v>Depósitos</v>
          </cell>
          <cell r="AB27" t="str">
            <v>Depósitos $</v>
          </cell>
          <cell r="AC27" t="str">
            <v>Instrumentos de Deuda</v>
          </cell>
          <cell r="AD27" t="str">
            <v>Financieras</v>
          </cell>
          <cell r="AE27" t="str">
            <v>Deposito CLP Banco Corpbanca</v>
          </cell>
          <cell r="AF27" t="str">
            <v>Itau/Corpbanca</v>
          </cell>
        </row>
        <row r="28">
          <cell r="C28" t="str">
            <v>PAGARE NR</v>
          </cell>
          <cell r="D28" t="str">
            <v>ESTADO</v>
          </cell>
          <cell r="E28">
            <v>74670348</v>
          </cell>
          <cell r="F28">
            <v>75319233</v>
          </cell>
          <cell r="G28">
            <v>4.8999999999999998E-3</v>
          </cell>
          <cell r="H28">
            <v>0.33</v>
          </cell>
          <cell r="I28" t="str">
            <v>2017-02-10</v>
          </cell>
          <cell r="J28">
            <v>78</v>
          </cell>
          <cell r="K28">
            <v>0.22</v>
          </cell>
          <cell r="L28">
            <v>0</v>
          </cell>
          <cell r="M28" t="str">
            <v>$</v>
          </cell>
          <cell r="N28" t="str">
            <v>RFL</v>
          </cell>
          <cell r="O28" t="str">
            <v>Renta Fija Local</v>
          </cell>
          <cell r="P28" t="str">
            <v>N-1</v>
          </cell>
          <cell r="Q28" t="str">
            <v>Corto</v>
          </cell>
          <cell r="R28" t="str">
            <v>Depósitos $</v>
          </cell>
          <cell r="S28">
            <v>1.0326709999999999</v>
          </cell>
          <cell r="T28" t="str">
            <v>N-1</v>
          </cell>
          <cell r="U28" t="str">
            <v>25</v>
          </cell>
          <cell r="V28" t="str">
            <v>Depósitos</v>
          </cell>
          <cell r="W28" t="str">
            <v>Depósitos</v>
          </cell>
          <cell r="X28" t="str">
            <v>Depósitos $</v>
          </cell>
          <cell r="Y28" t="str">
            <v>Depósitos</v>
          </cell>
          <cell r="Z28" t="str">
            <v>Corto $</v>
          </cell>
          <cell r="AA28" t="str">
            <v>Depósitos</v>
          </cell>
          <cell r="AB28" t="str">
            <v>Depósitos $</v>
          </cell>
          <cell r="AC28" t="str">
            <v>Instrumentos de Deuda</v>
          </cell>
          <cell r="AD28" t="str">
            <v>Financieras</v>
          </cell>
          <cell r="AE28" t="str">
            <v>Deposito CLP Banco Estado</v>
          </cell>
          <cell r="AF28" t="str">
            <v>Banco Estado</v>
          </cell>
        </row>
        <row r="29">
          <cell r="C29" t="str">
            <v>PAGARE NR</v>
          </cell>
          <cell r="D29" t="str">
            <v>ESTADO</v>
          </cell>
          <cell r="E29">
            <v>99062865</v>
          </cell>
          <cell r="F29">
            <v>100000000</v>
          </cell>
          <cell r="G29">
            <v>6.5009999999999998E-3</v>
          </cell>
          <cell r="H29">
            <v>0.33</v>
          </cell>
          <cell r="I29" t="str">
            <v>2017-02-17</v>
          </cell>
          <cell r="J29">
            <v>85</v>
          </cell>
          <cell r="K29">
            <v>0.24</v>
          </cell>
          <cell r="L29">
            <v>0</v>
          </cell>
          <cell r="M29" t="str">
            <v>$</v>
          </cell>
          <cell r="N29" t="str">
            <v>RFL</v>
          </cell>
          <cell r="O29" t="str">
            <v>Renta Fija Local</v>
          </cell>
          <cell r="P29" t="str">
            <v>N-1</v>
          </cell>
          <cell r="Q29" t="str">
            <v>Corto</v>
          </cell>
          <cell r="R29" t="str">
            <v>Depósitos $</v>
          </cell>
          <cell r="S29">
            <v>1.0326709999999999</v>
          </cell>
          <cell r="T29" t="str">
            <v>N-1</v>
          </cell>
          <cell r="U29" t="str">
            <v>25</v>
          </cell>
          <cell r="V29" t="str">
            <v>Depósitos</v>
          </cell>
          <cell r="W29" t="str">
            <v>Depósitos</v>
          </cell>
          <cell r="X29" t="str">
            <v>Depósitos $</v>
          </cell>
          <cell r="Y29" t="str">
            <v>Depósitos</v>
          </cell>
          <cell r="Z29" t="str">
            <v>Corto $</v>
          </cell>
          <cell r="AA29" t="str">
            <v>Depósitos</v>
          </cell>
          <cell r="AB29" t="str">
            <v>Depósitos $</v>
          </cell>
          <cell r="AC29" t="str">
            <v>Instrumentos de Deuda</v>
          </cell>
          <cell r="AD29" t="str">
            <v>Financieras</v>
          </cell>
          <cell r="AE29" t="str">
            <v>Deposito CLP Banco Estado</v>
          </cell>
          <cell r="AF29" t="str">
            <v>Banco Estado</v>
          </cell>
        </row>
        <row r="30">
          <cell r="C30" t="str">
            <v>PAGARE NR</v>
          </cell>
          <cell r="D30" t="str">
            <v>BBVA</v>
          </cell>
          <cell r="E30">
            <v>148594298</v>
          </cell>
          <cell r="F30">
            <v>150000000</v>
          </cell>
          <cell r="G30">
            <v>9.7509999999999993E-3</v>
          </cell>
          <cell r="H30">
            <v>0.33</v>
          </cell>
          <cell r="I30" t="str">
            <v>2017-02-17</v>
          </cell>
          <cell r="J30">
            <v>85</v>
          </cell>
          <cell r="K30">
            <v>0.24</v>
          </cell>
          <cell r="L30">
            <v>0</v>
          </cell>
          <cell r="M30" t="str">
            <v>$</v>
          </cell>
          <cell r="N30" t="str">
            <v>RFL</v>
          </cell>
          <cell r="O30" t="str">
            <v>Renta Fija Local</v>
          </cell>
          <cell r="P30" t="str">
            <v>N-1</v>
          </cell>
          <cell r="Q30" t="str">
            <v>Corto</v>
          </cell>
          <cell r="R30" t="str">
            <v>Depósitos $</v>
          </cell>
          <cell r="S30">
            <v>1.0326709999999999</v>
          </cell>
          <cell r="T30" t="str">
            <v>N-1</v>
          </cell>
          <cell r="U30" t="str">
            <v>25</v>
          </cell>
          <cell r="V30" t="str">
            <v>Depósitos</v>
          </cell>
          <cell r="W30" t="str">
            <v>Depósitos</v>
          </cell>
          <cell r="X30" t="str">
            <v>Depósitos $</v>
          </cell>
          <cell r="Y30" t="str">
            <v>Depósitos</v>
          </cell>
          <cell r="Z30" t="str">
            <v>Corto $</v>
          </cell>
          <cell r="AA30" t="str">
            <v>Depósitos</v>
          </cell>
          <cell r="AB30" t="str">
            <v>Depósitos $</v>
          </cell>
          <cell r="AC30" t="str">
            <v>Instrumentos de Deuda</v>
          </cell>
          <cell r="AD30" t="str">
            <v>Financieras</v>
          </cell>
          <cell r="AE30" t="str">
            <v>Deposito CLP Banco Bbva</v>
          </cell>
          <cell r="AF30" t="str">
            <v>BBVA</v>
          </cell>
        </row>
        <row r="31">
          <cell r="C31" t="str">
            <v>PAGARE NR</v>
          </cell>
          <cell r="D31" t="str">
            <v>BICE</v>
          </cell>
          <cell r="E31">
            <v>99062865</v>
          </cell>
          <cell r="F31">
            <v>100000000</v>
          </cell>
          <cell r="G31">
            <v>6.5009999999999998E-3</v>
          </cell>
          <cell r="H31">
            <v>0.33</v>
          </cell>
          <cell r="I31" t="str">
            <v>2017-02-17</v>
          </cell>
          <cell r="J31">
            <v>85</v>
          </cell>
          <cell r="K31">
            <v>0.24</v>
          </cell>
          <cell r="L31">
            <v>0</v>
          </cell>
          <cell r="M31" t="str">
            <v>$</v>
          </cell>
          <cell r="N31" t="str">
            <v>RFL</v>
          </cell>
          <cell r="O31" t="str">
            <v>Renta Fija Local</v>
          </cell>
          <cell r="P31" t="str">
            <v>N-1</v>
          </cell>
          <cell r="Q31" t="str">
            <v>Corto</v>
          </cell>
          <cell r="R31" t="str">
            <v>Depósitos $</v>
          </cell>
          <cell r="S31">
            <v>1.0326709999999999</v>
          </cell>
          <cell r="T31" t="str">
            <v>N-1</v>
          </cell>
          <cell r="U31" t="str">
            <v>25</v>
          </cell>
          <cell r="V31" t="str">
            <v>Depósitos</v>
          </cell>
          <cell r="W31" t="str">
            <v>Depósitos</v>
          </cell>
          <cell r="X31" t="str">
            <v>Depósitos $</v>
          </cell>
          <cell r="Y31" t="str">
            <v>Depósitos</v>
          </cell>
          <cell r="Z31" t="str">
            <v>Corto $</v>
          </cell>
          <cell r="AA31" t="str">
            <v>Depósitos</v>
          </cell>
          <cell r="AB31" t="str">
            <v>Depósitos $</v>
          </cell>
          <cell r="AC31" t="str">
            <v>Instrumentos de Deuda</v>
          </cell>
          <cell r="AD31" t="str">
            <v>Financieras</v>
          </cell>
          <cell r="AE31" t="str">
            <v>Deposito CLP Banco Bice</v>
          </cell>
          <cell r="AF31" t="str">
            <v>BICE</v>
          </cell>
        </row>
        <row r="32">
          <cell r="C32" t="str">
            <v>PAGARE NR</v>
          </cell>
          <cell r="D32" t="str">
            <v>ITAUCORP</v>
          </cell>
          <cell r="E32">
            <v>247657163</v>
          </cell>
          <cell r="F32">
            <v>250000000</v>
          </cell>
          <cell r="G32">
            <v>1.6253E-2</v>
          </cell>
          <cell r="H32">
            <v>0.33</v>
          </cell>
          <cell r="I32" t="str">
            <v>2017-02-17</v>
          </cell>
          <cell r="J32">
            <v>85</v>
          </cell>
          <cell r="K32">
            <v>0.24</v>
          </cell>
          <cell r="L32">
            <v>0</v>
          </cell>
          <cell r="M32" t="str">
            <v>$</v>
          </cell>
          <cell r="N32" t="str">
            <v>RFL</v>
          </cell>
          <cell r="O32" t="str">
            <v>Renta Fija Local</v>
          </cell>
          <cell r="P32" t="str">
            <v>N-1</v>
          </cell>
          <cell r="Q32" t="str">
            <v>Corto</v>
          </cell>
          <cell r="R32" t="str">
            <v>Depósitos $</v>
          </cell>
          <cell r="S32">
            <v>1.0326709999999999</v>
          </cell>
          <cell r="T32" t="str">
            <v>N-1</v>
          </cell>
          <cell r="U32" t="str">
            <v>25</v>
          </cell>
          <cell r="V32" t="str">
            <v>Depósitos</v>
          </cell>
          <cell r="W32" t="str">
            <v>Depósitos</v>
          </cell>
          <cell r="X32" t="str">
            <v>Depósitos $</v>
          </cell>
          <cell r="Y32" t="str">
            <v>Depósitos</v>
          </cell>
          <cell r="Z32" t="str">
            <v>Corto $</v>
          </cell>
          <cell r="AA32" t="str">
            <v>Depósitos</v>
          </cell>
          <cell r="AB32" t="str">
            <v>Depósitos $</v>
          </cell>
          <cell r="AC32" t="str">
            <v>Instrumentos de Deuda</v>
          </cell>
          <cell r="AD32" t="str">
            <v>Financieras</v>
          </cell>
          <cell r="AE32" t="str">
            <v>Deposito CLP Banco Itaucorp</v>
          </cell>
          <cell r="AF32" t="str">
            <v>Itau/Corpbanca</v>
          </cell>
        </row>
        <row r="33">
          <cell r="C33" t="str">
            <v>PAGARE NR</v>
          </cell>
          <cell r="D33" t="str">
            <v>FALABELLA</v>
          </cell>
          <cell r="E33">
            <v>20611367</v>
          </cell>
          <cell r="F33">
            <v>20813152</v>
          </cell>
          <cell r="G33">
            <v>1.3519999999999999E-3</v>
          </cell>
          <cell r="H33">
            <v>0.33</v>
          </cell>
          <cell r="I33" t="str">
            <v>2017-02-20</v>
          </cell>
          <cell r="J33">
            <v>88</v>
          </cell>
          <cell r="K33">
            <v>0.24</v>
          </cell>
          <cell r="L33">
            <v>0</v>
          </cell>
          <cell r="M33" t="str">
            <v>$</v>
          </cell>
          <cell r="N33" t="str">
            <v>RFL</v>
          </cell>
          <cell r="O33" t="str">
            <v>Renta Fija Local</v>
          </cell>
          <cell r="P33" t="str">
            <v>N-1</v>
          </cell>
          <cell r="Q33" t="str">
            <v>Corto</v>
          </cell>
          <cell r="R33" t="str">
            <v>Depósitos $</v>
          </cell>
          <cell r="S33">
            <v>1.0326709999999999</v>
          </cell>
          <cell r="T33" t="str">
            <v>N-1</v>
          </cell>
          <cell r="U33" t="str">
            <v>25</v>
          </cell>
          <cell r="V33" t="str">
            <v>Depósitos</v>
          </cell>
          <cell r="W33" t="str">
            <v>Depósitos</v>
          </cell>
          <cell r="X33" t="str">
            <v>Depósitos $</v>
          </cell>
          <cell r="Y33" t="str">
            <v>Depósitos</v>
          </cell>
          <cell r="Z33" t="str">
            <v>Corto $</v>
          </cell>
          <cell r="AA33" t="str">
            <v>Depósitos</v>
          </cell>
          <cell r="AB33" t="str">
            <v>Depósitos $</v>
          </cell>
          <cell r="AC33" t="str">
            <v>Instrumentos de Deuda</v>
          </cell>
          <cell r="AD33" t="str">
            <v>Financieras</v>
          </cell>
          <cell r="AE33" t="str">
            <v>Deposito CLP Banco Falabella</v>
          </cell>
          <cell r="AF33" t="str">
            <v>Banco Falabella</v>
          </cell>
        </row>
        <row r="34">
          <cell r="C34" t="str">
            <v>PAGARE NR</v>
          </cell>
          <cell r="D34" t="str">
            <v>BCI</v>
          </cell>
          <cell r="E34">
            <v>44143433</v>
          </cell>
          <cell r="F34">
            <v>44590164</v>
          </cell>
          <cell r="G34">
            <v>2.8969999999999998E-3</v>
          </cell>
          <cell r="H34">
            <v>0.33</v>
          </cell>
          <cell r="I34" t="str">
            <v>2017-02-23</v>
          </cell>
          <cell r="J34">
            <v>91</v>
          </cell>
          <cell r="K34">
            <v>0.25</v>
          </cell>
          <cell r="L34">
            <v>0</v>
          </cell>
          <cell r="M34" t="str">
            <v>$</v>
          </cell>
          <cell r="N34" t="str">
            <v>RFL</v>
          </cell>
          <cell r="O34" t="str">
            <v>Renta Fija Local</v>
          </cell>
          <cell r="P34" t="str">
            <v>N-1</v>
          </cell>
          <cell r="Q34" t="str">
            <v>Corto</v>
          </cell>
          <cell r="R34" t="str">
            <v>Depósitos $</v>
          </cell>
          <cell r="S34">
            <v>1.0326709999999999</v>
          </cell>
          <cell r="T34" t="str">
            <v>N-1</v>
          </cell>
          <cell r="U34" t="str">
            <v>25</v>
          </cell>
          <cell r="V34" t="str">
            <v>Depósitos</v>
          </cell>
          <cell r="W34" t="str">
            <v>Depósitos</v>
          </cell>
          <cell r="X34" t="str">
            <v>Depósitos $</v>
          </cell>
          <cell r="Y34" t="str">
            <v>Depósitos</v>
          </cell>
          <cell r="Z34" t="str">
            <v>Corto $</v>
          </cell>
          <cell r="AA34" t="str">
            <v>Depósitos</v>
          </cell>
          <cell r="AB34" t="str">
            <v>Depósitos $</v>
          </cell>
          <cell r="AC34" t="str">
            <v>Instrumentos de Deuda</v>
          </cell>
          <cell r="AD34" t="str">
            <v>Financieras</v>
          </cell>
          <cell r="AE34" t="str">
            <v>Deposito CLP Banco Bci</v>
          </cell>
          <cell r="AF34" t="str">
            <v>BCI</v>
          </cell>
        </row>
        <row r="35">
          <cell r="C35" t="str">
            <v>PAGARE NR</v>
          </cell>
          <cell r="D35" t="str">
            <v>INTERNACIO</v>
          </cell>
          <cell r="E35">
            <v>148368931</v>
          </cell>
          <cell r="F35">
            <v>150000000</v>
          </cell>
          <cell r="G35">
            <v>9.7370000000000009E-3</v>
          </cell>
          <cell r="H35">
            <v>0.34</v>
          </cell>
          <cell r="I35" t="str">
            <v>2017-02-28</v>
          </cell>
          <cell r="J35">
            <v>96</v>
          </cell>
          <cell r="K35">
            <v>0.27</v>
          </cell>
          <cell r="L35">
            <v>0</v>
          </cell>
          <cell r="M35" t="str">
            <v>$</v>
          </cell>
          <cell r="N35" t="str">
            <v>RFL</v>
          </cell>
          <cell r="O35" t="str">
            <v>Renta Fija Local</v>
          </cell>
          <cell r="P35" t="str">
            <v>N-1</v>
          </cell>
          <cell r="Q35" t="str">
            <v>Corto</v>
          </cell>
          <cell r="R35" t="str">
            <v>Depósitos $</v>
          </cell>
          <cell r="S35">
            <v>1.1571670000000001</v>
          </cell>
          <cell r="T35" t="str">
            <v>N-1</v>
          </cell>
          <cell r="U35" t="str">
            <v>25</v>
          </cell>
          <cell r="V35" t="str">
            <v>Depósitos</v>
          </cell>
          <cell r="W35" t="str">
            <v>Depósitos</v>
          </cell>
          <cell r="X35" t="str">
            <v>Depósitos $</v>
          </cell>
          <cell r="Y35" t="str">
            <v>Depósitos</v>
          </cell>
          <cell r="Z35" t="str">
            <v>Corto $</v>
          </cell>
          <cell r="AA35" t="str">
            <v>Depósitos</v>
          </cell>
          <cell r="AB35" t="str">
            <v>Depósitos $</v>
          </cell>
          <cell r="AC35" t="str">
            <v>Instrumentos de Deuda</v>
          </cell>
          <cell r="AD35" t="str">
            <v>Financieras</v>
          </cell>
          <cell r="AE35" t="str">
            <v>Deposito CLP Banco Internacio</v>
          </cell>
          <cell r="AF35" t="str">
            <v>Banco Internacional</v>
          </cell>
        </row>
        <row r="36">
          <cell r="C36" t="str">
            <v>BSTDE70312</v>
          </cell>
          <cell r="D36" t="str">
            <v>BBSANT-CHI</v>
          </cell>
          <cell r="E36">
            <v>10206290</v>
          </cell>
          <cell r="F36">
            <v>10000000</v>
          </cell>
          <cell r="G36">
            <v>6.69E-4</v>
          </cell>
          <cell r="H36">
            <v>4.3899999999999997</v>
          </cell>
          <cell r="I36" t="str">
            <v>2017-03-01</v>
          </cell>
          <cell r="J36">
            <v>97</v>
          </cell>
          <cell r="K36">
            <v>0.27</v>
          </cell>
          <cell r="L36">
            <v>100.59</v>
          </cell>
          <cell r="M36" t="str">
            <v>$</v>
          </cell>
          <cell r="N36" t="str">
            <v>RFL</v>
          </cell>
          <cell r="O36" t="str">
            <v>Renta Fija Local</v>
          </cell>
          <cell r="P36" t="str">
            <v>AAA ; AAA</v>
          </cell>
          <cell r="Q36" t="str">
            <v>Corto</v>
          </cell>
          <cell r="R36" t="str">
            <v>Corporativo Bajo Riesgo Corto</v>
          </cell>
          <cell r="S36">
            <v>1.39</v>
          </cell>
          <cell r="T36" t="str">
            <v>AAA</v>
          </cell>
          <cell r="U36" t="str">
            <v>1</v>
          </cell>
          <cell r="V36" t="str">
            <v>Bajo Riesgo</v>
          </cell>
          <cell r="W36" t="str">
            <v>Corporativo</v>
          </cell>
          <cell r="X36" t="str">
            <v>Bajo Riesgo Corto $</v>
          </cell>
          <cell r="Y36" t="str">
            <v>Corporativo Bajo Riesgo Corto</v>
          </cell>
          <cell r="Z36" t="str">
            <v>Corto $</v>
          </cell>
          <cell r="AA36" t="str">
            <v>Corporativo Corto</v>
          </cell>
          <cell r="AB36" t="str">
            <v>Corporativo $</v>
          </cell>
          <cell r="AC36" t="str">
            <v>Instrumentos de Deuda</v>
          </cell>
          <cell r="AD36" t="str">
            <v>Financieras</v>
          </cell>
          <cell r="AE36" t="str">
            <v>Bono Banco Santander Serie E7</v>
          </cell>
          <cell r="AF36" t="str">
            <v>Banco Santander</v>
          </cell>
        </row>
        <row r="37">
          <cell r="C37" t="str">
            <v>BCGVI-A</v>
          </cell>
          <cell r="D37" t="str">
            <v>CG VIDA</v>
          </cell>
          <cell r="E37">
            <v>30624462</v>
          </cell>
          <cell r="F37">
            <v>8000</v>
          </cell>
          <cell r="G37">
            <v>2.0089999999999999E-3</v>
          </cell>
          <cell r="H37">
            <v>4.2699999999999996</v>
          </cell>
          <cell r="I37" t="str">
            <v>2017-03-15</v>
          </cell>
          <cell r="J37">
            <v>111</v>
          </cell>
          <cell r="K37">
            <v>0.31</v>
          </cell>
          <cell r="L37">
            <v>99.68</v>
          </cell>
          <cell r="M37" t="str">
            <v>UF</v>
          </cell>
          <cell r="N37" t="str">
            <v>RFL</v>
          </cell>
          <cell r="O37" t="str">
            <v>Renta Fija Local</v>
          </cell>
          <cell r="P37" t="str">
            <v>AA</v>
          </cell>
          <cell r="Q37" t="str">
            <v>Corto</v>
          </cell>
          <cell r="R37" t="str">
            <v>Corporativo Bajo Riesgo Corto</v>
          </cell>
          <cell r="S37">
            <v>4.2699999999999996</v>
          </cell>
          <cell r="T37" t="str">
            <v>AA</v>
          </cell>
          <cell r="U37" t="str">
            <v>3</v>
          </cell>
          <cell r="V37" t="str">
            <v>Bajo Riesgo</v>
          </cell>
          <cell r="W37" t="str">
            <v>Corporativo</v>
          </cell>
          <cell r="X37" t="str">
            <v>Bajo Riesgo Corto UF</v>
          </cell>
          <cell r="Y37" t="str">
            <v>Corporativo Bajo Riesgo Corto</v>
          </cell>
          <cell r="Z37" t="str">
            <v>Corto UF</v>
          </cell>
          <cell r="AA37" t="str">
            <v>Corporativo Corto</v>
          </cell>
          <cell r="AB37" t="str">
            <v>Corporativo UF</v>
          </cell>
          <cell r="AC37" t="str">
            <v>Instrumentos de Deuda</v>
          </cell>
          <cell r="AD37" t="str">
            <v>Financieras</v>
          </cell>
          <cell r="AE37" t="str">
            <v>Bono Corpgroup Vida Chile Serie A</v>
          </cell>
          <cell r="AF37" t="str">
            <v>Corpgroup Vida Chile</v>
          </cell>
        </row>
        <row r="38">
          <cell r="C38" t="str">
            <v>PAGARE NR</v>
          </cell>
          <cell r="D38" t="str">
            <v>COOPEUCH</v>
          </cell>
          <cell r="E38">
            <v>98772261</v>
          </cell>
          <cell r="F38">
            <v>100000000</v>
          </cell>
          <cell r="G38">
            <v>6.4819999999999999E-3</v>
          </cell>
          <cell r="H38">
            <v>0.33</v>
          </cell>
          <cell r="I38" t="str">
            <v>2017-03-16</v>
          </cell>
          <cell r="J38">
            <v>112</v>
          </cell>
          <cell r="K38">
            <v>0.31</v>
          </cell>
          <cell r="L38">
            <v>0</v>
          </cell>
          <cell r="M38" t="str">
            <v>$</v>
          </cell>
          <cell r="N38" t="str">
            <v>RFL</v>
          </cell>
          <cell r="O38" t="str">
            <v>Renta Fija Local</v>
          </cell>
          <cell r="P38" t="str">
            <v>N-1</v>
          </cell>
          <cell r="Q38" t="str">
            <v>Corto</v>
          </cell>
          <cell r="R38" t="str">
            <v>Depósitos $</v>
          </cell>
          <cell r="S38">
            <v>1.0326709999999999</v>
          </cell>
          <cell r="T38" t="str">
            <v>N-1</v>
          </cell>
          <cell r="U38" t="str">
            <v>25</v>
          </cell>
          <cell r="V38" t="str">
            <v>Depósitos</v>
          </cell>
          <cell r="W38" t="str">
            <v>Depósitos</v>
          </cell>
          <cell r="X38" t="str">
            <v>Depósitos $</v>
          </cell>
          <cell r="Y38" t="str">
            <v>Depósitos</v>
          </cell>
          <cell r="Z38" t="str">
            <v>Corto $</v>
          </cell>
          <cell r="AA38" t="str">
            <v>Depósitos</v>
          </cell>
          <cell r="AB38" t="str">
            <v>Depósitos $</v>
          </cell>
          <cell r="AC38" t="str">
            <v>Instrumentos de Deuda</v>
          </cell>
          <cell r="AD38" t="str">
            <v>Financieras</v>
          </cell>
          <cell r="AE38" t="str">
            <v>Deposito CLP Banco Coopeuch</v>
          </cell>
          <cell r="AF38" t="str">
            <v>COOPEUCH</v>
          </cell>
        </row>
        <row r="39">
          <cell r="C39" t="str">
            <v>PAGARE NR</v>
          </cell>
          <cell r="D39" t="str">
            <v>BCI</v>
          </cell>
          <cell r="E39">
            <v>79009224</v>
          </cell>
          <cell r="F39">
            <v>80000000</v>
          </cell>
          <cell r="G39">
            <v>5.1850000000000004E-3</v>
          </cell>
          <cell r="H39">
            <v>0.33</v>
          </cell>
          <cell r="I39" t="str">
            <v>2017-03-17</v>
          </cell>
          <cell r="J39">
            <v>113</v>
          </cell>
          <cell r="K39">
            <v>0.31</v>
          </cell>
          <cell r="L39">
            <v>0</v>
          </cell>
          <cell r="M39" t="str">
            <v>$</v>
          </cell>
          <cell r="N39" t="str">
            <v>RFL</v>
          </cell>
          <cell r="O39" t="str">
            <v>Renta Fija Local</v>
          </cell>
          <cell r="P39" t="str">
            <v>N-1</v>
          </cell>
          <cell r="Q39" t="str">
            <v>Corto</v>
          </cell>
          <cell r="R39" t="str">
            <v>Depósitos $</v>
          </cell>
          <cell r="S39">
            <v>1.0326709999999999</v>
          </cell>
          <cell r="T39" t="str">
            <v>N-1</v>
          </cell>
          <cell r="U39" t="str">
            <v>25</v>
          </cell>
          <cell r="V39" t="str">
            <v>Depósitos</v>
          </cell>
          <cell r="W39" t="str">
            <v>Depósitos</v>
          </cell>
          <cell r="X39" t="str">
            <v>Depósitos $</v>
          </cell>
          <cell r="Y39" t="str">
            <v>Depósitos</v>
          </cell>
          <cell r="Z39" t="str">
            <v>Corto $</v>
          </cell>
          <cell r="AA39" t="str">
            <v>Depósitos</v>
          </cell>
          <cell r="AB39" t="str">
            <v>Depósitos $</v>
          </cell>
          <cell r="AC39" t="str">
            <v>Instrumentos de Deuda</v>
          </cell>
          <cell r="AD39" t="str">
            <v>Financieras</v>
          </cell>
          <cell r="AE39" t="str">
            <v>Deposito CLP Banco Bci</v>
          </cell>
          <cell r="AF39" t="str">
            <v>BCI</v>
          </cell>
        </row>
        <row r="40">
          <cell r="C40" t="str">
            <v>PAGARE NR</v>
          </cell>
          <cell r="D40" t="str">
            <v>SCOTIABANK</v>
          </cell>
          <cell r="E40">
            <v>197394394</v>
          </cell>
          <cell r="F40">
            <v>200000000</v>
          </cell>
          <cell r="G40">
            <v>1.2954E-2</v>
          </cell>
          <cell r="H40">
            <v>0.33</v>
          </cell>
          <cell r="I40" t="str">
            <v>2017-03-23</v>
          </cell>
          <cell r="J40">
            <v>119</v>
          </cell>
          <cell r="K40">
            <v>0.33</v>
          </cell>
          <cell r="L40">
            <v>0</v>
          </cell>
          <cell r="M40" t="str">
            <v>$</v>
          </cell>
          <cell r="N40" t="str">
            <v>RFL</v>
          </cell>
          <cell r="O40" t="str">
            <v>Renta Fija Local</v>
          </cell>
          <cell r="P40" t="str">
            <v>N-1</v>
          </cell>
          <cell r="Q40" t="str">
            <v>Corto</v>
          </cell>
          <cell r="R40" t="str">
            <v>Depósitos $</v>
          </cell>
          <cell r="S40">
            <v>1.0326709999999999</v>
          </cell>
          <cell r="T40" t="str">
            <v>N-1</v>
          </cell>
          <cell r="U40" t="str">
            <v>25</v>
          </cell>
          <cell r="V40" t="str">
            <v>Depósitos</v>
          </cell>
          <cell r="W40" t="str">
            <v>Depósitos</v>
          </cell>
          <cell r="X40" t="str">
            <v>Depósitos $</v>
          </cell>
          <cell r="Y40" t="str">
            <v>Depósitos</v>
          </cell>
          <cell r="Z40" t="str">
            <v>Corto $</v>
          </cell>
          <cell r="AA40" t="str">
            <v>Depósitos</v>
          </cell>
          <cell r="AB40" t="str">
            <v>Depósitos $</v>
          </cell>
          <cell r="AC40" t="str">
            <v>Instrumentos de Deuda</v>
          </cell>
          <cell r="AD40" t="str">
            <v>Financieras</v>
          </cell>
          <cell r="AE40" t="str">
            <v>Deposito CLP Banco Scotiabank</v>
          </cell>
          <cell r="AF40" t="str">
            <v>Scotiabank</v>
          </cell>
        </row>
        <row r="41">
          <cell r="C41" t="str">
            <v>PAGARE NR</v>
          </cell>
          <cell r="D41" t="str">
            <v>SCOTIABANK</v>
          </cell>
          <cell r="E41">
            <v>197308709</v>
          </cell>
          <cell r="F41">
            <v>200000000</v>
          </cell>
          <cell r="G41">
            <v>1.2947999999999999E-2</v>
          </cell>
          <cell r="H41">
            <v>0.33</v>
          </cell>
          <cell r="I41" t="str">
            <v>2017-03-27</v>
          </cell>
          <cell r="J41">
            <v>123</v>
          </cell>
          <cell r="K41">
            <v>0.34</v>
          </cell>
          <cell r="L41">
            <v>0</v>
          </cell>
          <cell r="M41" t="str">
            <v>$</v>
          </cell>
          <cell r="N41" t="str">
            <v>RFL</v>
          </cell>
          <cell r="O41" t="str">
            <v>Renta Fija Local</v>
          </cell>
          <cell r="P41" t="str">
            <v>N-1</v>
          </cell>
          <cell r="Q41" t="str">
            <v>Corto</v>
          </cell>
          <cell r="R41" t="str">
            <v>Depósitos $</v>
          </cell>
          <cell r="S41">
            <v>1.0326709999999999</v>
          </cell>
          <cell r="T41" t="str">
            <v>N-1</v>
          </cell>
          <cell r="U41" t="str">
            <v>25</v>
          </cell>
          <cell r="V41" t="str">
            <v>Depósitos</v>
          </cell>
          <cell r="W41" t="str">
            <v>Depósitos</v>
          </cell>
          <cell r="X41" t="str">
            <v>Depósitos $</v>
          </cell>
          <cell r="Y41" t="str">
            <v>Depósitos</v>
          </cell>
          <cell r="Z41" t="str">
            <v>Corto $</v>
          </cell>
          <cell r="AA41" t="str">
            <v>Depósitos</v>
          </cell>
          <cell r="AB41" t="str">
            <v>Depósitos $</v>
          </cell>
          <cell r="AC41" t="str">
            <v>Instrumentos de Deuda</v>
          </cell>
          <cell r="AD41" t="str">
            <v>Financieras</v>
          </cell>
          <cell r="AE41" t="str">
            <v>Deposito CLP Banco Scotiabank</v>
          </cell>
          <cell r="AF41" t="str">
            <v>Scotiabank</v>
          </cell>
        </row>
        <row r="42">
          <cell r="C42" t="str">
            <v>PAGARE NR</v>
          </cell>
          <cell r="D42" t="str">
            <v>CHILE</v>
          </cell>
          <cell r="E42">
            <v>125017839</v>
          </cell>
          <cell r="F42">
            <v>126764338</v>
          </cell>
          <cell r="G42">
            <v>8.2039999999999995E-3</v>
          </cell>
          <cell r="H42">
            <v>0.33</v>
          </cell>
          <cell r="I42" t="str">
            <v>2017-03-30</v>
          </cell>
          <cell r="J42">
            <v>126</v>
          </cell>
          <cell r="K42">
            <v>0.35</v>
          </cell>
          <cell r="L42">
            <v>0</v>
          </cell>
          <cell r="M42" t="str">
            <v>$</v>
          </cell>
          <cell r="N42" t="str">
            <v>RFL</v>
          </cell>
          <cell r="O42" t="str">
            <v>Renta Fija Local</v>
          </cell>
          <cell r="P42" t="str">
            <v>N-1</v>
          </cell>
          <cell r="Q42" t="str">
            <v>Corto</v>
          </cell>
          <cell r="R42" t="str">
            <v>Depósitos $</v>
          </cell>
          <cell r="S42">
            <v>1.0326709999999999</v>
          </cell>
          <cell r="T42" t="str">
            <v>N-1</v>
          </cell>
          <cell r="U42" t="str">
            <v>25</v>
          </cell>
          <cell r="V42" t="str">
            <v>Depósitos</v>
          </cell>
          <cell r="W42" t="str">
            <v>Depósitos</v>
          </cell>
          <cell r="X42" t="str">
            <v>Depósitos $</v>
          </cell>
          <cell r="Y42" t="str">
            <v>Depósitos</v>
          </cell>
          <cell r="Z42" t="str">
            <v>Corto $</v>
          </cell>
          <cell r="AA42" t="str">
            <v>Depósitos</v>
          </cell>
          <cell r="AB42" t="str">
            <v>Depósitos $</v>
          </cell>
          <cell r="AC42" t="str">
            <v>Instrumentos de Deuda</v>
          </cell>
          <cell r="AD42" t="str">
            <v>Financieras</v>
          </cell>
          <cell r="AE42" t="str">
            <v>Deposito CLP Banco Chile</v>
          </cell>
          <cell r="AF42" t="str">
            <v>Banco de Chile</v>
          </cell>
        </row>
        <row r="43">
          <cell r="C43" t="str">
            <v>PAGARE NR</v>
          </cell>
          <cell r="D43" t="str">
            <v>SANTANDER</v>
          </cell>
          <cell r="E43">
            <v>394148213</v>
          </cell>
          <cell r="F43">
            <v>400000000</v>
          </cell>
          <cell r="G43">
            <v>2.5866E-2</v>
          </cell>
          <cell r="H43">
            <v>0.34</v>
          </cell>
          <cell r="I43" t="str">
            <v>2017-04-03</v>
          </cell>
          <cell r="J43">
            <v>130</v>
          </cell>
          <cell r="K43">
            <v>0.36</v>
          </cell>
          <cell r="L43">
            <v>0</v>
          </cell>
          <cell r="M43" t="str">
            <v>$</v>
          </cell>
          <cell r="N43" t="str">
            <v>RFL</v>
          </cell>
          <cell r="O43" t="str">
            <v>Renta Fija Local</v>
          </cell>
          <cell r="P43" t="str">
            <v>N-1</v>
          </cell>
          <cell r="Q43" t="str">
            <v>Corto</v>
          </cell>
          <cell r="R43" t="str">
            <v>Depósitos $</v>
          </cell>
          <cell r="S43">
            <v>1.1571670000000001</v>
          </cell>
          <cell r="T43" t="str">
            <v>N-1</v>
          </cell>
          <cell r="U43" t="str">
            <v>25</v>
          </cell>
          <cell r="V43" t="str">
            <v>Depósitos</v>
          </cell>
          <cell r="W43" t="str">
            <v>Depósitos</v>
          </cell>
          <cell r="X43" t="str">
            <v>Depósitos $</v>
          </cell>
          <cell r="Y43" t="str">
            <v>Depósitos</v>
          </cell>
          <cell r="Z43" t="str">
            <v>Corto $</v>
          </cell>
          <cell r="AA43" t="str">
            <v>Depósitos</v>
          </cell>
          <cell r="AB43" t="str">
            <v>Depósitos $</v>
          </cell>
          <cell r="AC43" t="str">
            <v>Instrumentos de Deuda</v>
          </cell>
          <cell r="AD43" t="str">
            <v>Financieras</v>
          </cell>
          <cell r="AE43" t="str">
            <v>Deposito CLP Banco Santander</v>
          </cell>
          <cell r="AF43" t="str">
            <v>Banco Santander</v>
          </cell>
        </row>
        <row r="44">
          <cell r="C44" t="str">
            <v>PAGARE NR</v>
          </cell>
          <cell r="D44" t="str">
            <v>SCOTIABANK</v>
          </cell>
          <cell r="E44">
            <v>19707411</v>
          </cell>
          <cell r="F44">
            <v>20000000</v>
          </cell>
          <cell r="G44">
            <v>1.2930000000000001E-3</v>
          </cell>
          <cell r="H44">
            <v>0.34</v>
          </cell>
          <cell r="I44" t="str">
            <v>2017-04-03</v>
          </cell>
          <cell r="J44">
            <v>130</v>
          </cell>
          <cell r="K44">
            <v>0.36</v>
          </cell>
          <cell r="L44">
            <v>0</v>
          </cell>
          <cell r="M44" t="str">
            <v>$</v>
          </cell>
          <cell r="N44" t="str">
            <v>RFL</v>
          </cell>
          <cell r="O44" t="str">
            <v>Renta Fija Local</v>
          </cell>
          <cell r="P44" t="str">
            <v>N-1</v>
          </cell>
          <cell r="Q44" t="str">
            <v>Corto</v>
          </cell>
          <cell r="R44" t="str">
            <v>Depósitos $</v>
          </cell>
          <cell r="S44">
            <v>1.1571670000000001</v>
          </cell>
          <cell r="T44" t="str">
            <v>N-1</v>
          </cell>
          <cell r="U44" t="str">
            <v>25</v>
          </cell>
          <cell r="V44" t="str">
            <v>Depósitos</v>
          </cell>
          <cell r="W44" t="str">
            <v>Depósitos</v>
          </cell>
          <cell r="X44" t="str">
            <v>Depósitos $</v>
          </cell>
          <cell r="Y44" t="str">
            <v>Depósitos</v>
          </cell>
          <cell r="Z44" t="str">
            <v>Corto $</v>
          </cell>
          <cell r="AA44" t="str">
            <v>Depósitos</v>
          </cell>
          <cell r="AB44" t="str">
            <v>Depósitos $</v>
          </cell>
          <cell r="AC44" t="str">
            <v>Instrumentos de Deuda</v>
          </cell>
          <cell r="AD44" t="str">
            <v>Financieras</v>
          </cell>
          <cell r="AE44" t="str">
            <v>Deposito CLP Banco Scotiabank</v>
          </cell>
          <cell r="AF44" t="str">
            <v>Scotiabank</v>
          </cell>
        </row>
        <row r="45">
          <cell r="C45" t="str">
            <v>PAGARE NR</v>
          </cell>
          <cell r="D45" t="str">
            <v>SCOTIABANK</v>
          </cell>
          <cell r="E45">
            <v>319566627</v>
          </cell>
          <cell r="F45">
            <v>324206734</v>
          </cell>
          <cell r="G45">
            <v>2.0972000000000001E-2</v>
          </cell>
          <cell r="H45">
            <v>0.33</v>
          </cell>
          <cell r="I45" t="str">
            <v>2017-04-04</v>
          </cell>
          <cell r="J45">
            <v>131</v>
          </cell>
          <cell r="K45">
            <v>0.36</v>
          </cell>
          <cell r="L45">
            <v>0</v>
          </cell>
          <cell r="M45" t="str">
            <v>$</v>
          </cell>
          <cell r="N45" t="str">
            <v>RFL</v>
          </cell>
          <cell r="O45" t="str">
            <v>Renta Fija Local</v>
          </cell>
          <cell r="P45" t="str">
            <v>N-1</v>
          </cell>
          <cell r="Q45" t="str">
            <v>Corto</v>
          </cell>
          <cell r="R45" t="str">
            <v>Depósitos $</v>
          </cell>
          <cell r="S45">
            <v>1.0326709999999999</v>
          </cell>
          <cell r="T45" t="str">
            <v>N-1</v>
          </cell>
          <cell r="U45" t="str">
            <v>25</v>
          </cell>
          <cell r="V45" t="str">
            <v>Depósitos</v>
          </cell>
          <cell r="W45" t="str">
            <v>Depósitos</v>
          </cell>
          <cell r="X45" t="str">
            <v>Depósitos $</v>
          </cell>
          <cell r="Y45" t="str">
            <v>Depósitos</v>
          </cell>
          <cell r="Z45" t="str">
            <v>Corto $</v>
          </cell>
          <cell r="AA45" t="str">
            <v>Depósitos</v>
          </cell>
          <cell r="AB45" t="str">
            <v>Depósitos $</v>
          </cell>
          <cell r="AC45" t="str">
            <v>Instrumentos de Deuda</v>
          </cell>
          <cell r="AD45" t="str">
            <v>Financieras</v>
          </cell>
          <cell r="AE45" t="str">
            <v>Deposito CLP Banco Scotiabank</v>
          </cell>
          <cell r="AF45" t="str">
            <v>Scotiabank</v>
          </cell>
        </row>
        <row r="46">
          <cell r="C46" t="str">
            <v>PAGARE NR</v>
          </cell>
          <cell r="D46" t="str">
            <v>BCI</v>
          </cell>
          <cell r="E46">
            <v>201029811</v>
          </cell>
          <cell r="F46">
            <v>204060000</v>
          </cell>
          <cell r="G46">
            <v>1.3193E-2</v>
          </cell>
          <cell r="H46">
            <v>0.34</v>
          </cell>
          <cell r="I46" t="str">
            <v>2017-04-05</v>
          </cell>
          <cell r="J46">
            <v>132</v>
          </cell>
          <cell r="K46">
            <v>0.36</v>
          </cell>
          <cell r="L46">
            <v>0</v>
          </cell>
          <cell r="M46" t="str">
            <v>$</v>
          </cell>
          <cell r="N46" t="str">
            <v>RFL</v>
          </cell>
          <cell r="O46" t="str">
            <v>Renta Fija Local</v>
          </cell>
          <cell r="P46" t="str">
            <v>N-1</v>
          </cell>
          <cell r="Q46" t="str">
            <v>Corto</v>
          </cell>
          <cell r="R46" t="str">
            <v>Depósitos $</v>
          </cell>
          <cell r="S46">
            <v>1.1571670000000001</v>
          </cell>
          <cell r="T46" t="str">
            <v>N-1</v>
          </cell>
          <cell r="U46" t="str">
            <v>25</v>
          </cell>
          <cell r="V46" t="str">
            <v>Depósitos</v>
          </cell>
          <cell r="W46" t="str">
            <v>Depósitos</v>
          </cell>
          <cell r="X46" t="str">
            <v>Depósitos $</v>
          </cell>
          <cell r="Y46" t="str">
            <v>Depósitos</v>
          </cell>
          <cell r="Z46" t="str">
            <v>Corto $</v>
          </cell>
          <cell r="AA46" t="str">
            <v>Depósitos</v>
          </cell>
          <cell r="AB46" t="str">
            <v>Depósitos $</v>
          </cell>
          <cell r="AC46" t="str">
            <v>Instrumentos de Deuda</v>
          </cell>
          <cell r="AD46" t="str">
            <v>Financieras</v>
          </cell>
          <cell r="AE46" t="str">
            <v>Deposito CLP Banco Bci</v>
          </cell>
          <cell r="AF46" t="str">
            <v>BCI</v>
          </cell>
        </row>
        <row r="47">
          <cell r="C47" t="str">
            <v>PAGARE NR</v>
          </cell>
          <cell r="D47" t="str">
            <v>BBVA</v>
          </cell>
          <cell r="E47">
            <v>295674285</v>
          </cell>
          <cell r="F47">
            <v>300000000</v>
          </cell>
          <cell r="G47">
            <v>1.9404000000000001E-2</v>
          </cell>
          <cell r="H47">
            <v>0.33</v>
          </cell>
          <cell r="I47" t="str">
            <v>2017-04-05</v>
          </cell>
          <cell r="J47">
            <v>132</v>
          </cell>
          <cell r="K47">
            <v>0.36</v>
          </cell>
          <cell r="L47">
            <v>0</v>
          </cell>
          <cell r="M47" t="str">
            <v>$</v>
          </cell>
          <cell r="N47" t="str">
            <v>RFL</v>
          </cell>
          <cell r="O47" t="str">
            <v>Renta Fija Local</v>
          </cell>
          <cell r="P47" t="str">
            <v>N-1</v>
          </cell>
          <cell r="Q47" t="str">
            <v>Corto</v>
          </cell>
          <cell r="R47" t="str">
            <v>Depósitos $</v>
          </cell>
          <cell r="S47">
            <v>1.0326709999999999</v>
          </cell>
          <cell r="T47" t="str">
            <v>N-1</v>
          </cell>
          <cell r="U47" t="str">
            <v>25</v>
          </cell>
          <cell r="V47" t="str">
            <v>Depósitos</v>
          </cell>
          <cell r="W47" t="str">
            <v>Depósitos</v>
          </cell>
          <cell r="X47" t="str">
            <v>Depósitos $</v>
          </cell>
          <cell r="Y47" t="str">
            <v>Depósitos</v>
          </cell>
          <cell r="Z47" t="str">
            <v>Corto $</v>
          </cell>
          <cell r="AA47" t="str">
            <v>Depósitos</v>
          </cell>
          <cell r="AB47" t="str">
            <v>Depósitos $</v>
          </cell>
          <cell r="AC47" t="str">
            <v>Instrumentos de Deuda</v>
          </cell>
          <cell r="AD47" t="str">
            <v>Financieras</v>
          </cell>
          <cell r="AE47" t="str">
            <v>Deposito CLP Banco Bbva</v>
          </cell>
          <cell r="AF47" t="str">
            <v>BBVA</v>
          </cell>
        </row>
        <row r="48">
          <cell r="C48" t="str">
            <v>PAGARE NR</v>
          </cell>
          <cell r="D48" t="str">
            <v>BICE</v>
          </cell>
          <cell r="E48">
            <v>197094822</v>
          </cell>
          <cell r="F48">
            <v>200000000</v>
          </cell>
          <cell r="G48">
            <v>1.2933999999999999E-2</v>
          </cell>
          <cell r="H48">
            <v>0.33</v>
          </cell>
          <cell r="I48" t="str">
            <v>2017-04-06</v>
          </cell>
          <cell r="J48">
            <v>133</v>
          </cell>
          <cell r="K48">
            <v>0.37</v>
          </cell>
          <cell r="L48">
            <v>0</v>
          </cell>
          <cell r="M48" t="str">
            <v>$</v>
          </cell>
          <cell r="N48" t="str">
            <v>RFL</v>
          </cell>
          <cell r="O48" t="str">
            <v>Renta Fija Local</v>
          </cell>
          <cell r="P48" t="str">
            <v>N-1</v>
          </cell>
          <cell r="Q48" t="str">
            <v>Corto</v>
          </cell>
          <cell r="R48" t="str">
            <v>Depósitos $</v>
          </cell>
          <cell r="S48">
            <v>1.0326709999999999</v>
          </cell>
          <cell r="T48" t="str">
            <v>N-1</v>
          </cell>
          <cell r="U48" t="str">
            <v>25</v>
          </cell>
          <cell r="V48" t="str">
            <v>Depósitos</v>
          </cell>
          <cell r="W48" t="str">
            <v>Depósitos</v>
          </cell>
          <cell r="X48" t="str">
            <v>Depósitos $</v>
          </cell>
          <cell r="Y48" t="str">
            <v>Depósitos</v>
          </cell>
          <cell r="Z48" t="str">
            <v>Corto $</v>
          </cell>
          <cell r="AA48" t="str">
            <v>Depósitos</v>
          </cell>
          <cell r="AB48" t="str">
            <v>Depósitos $</v>
          </cell>
          <cell r="AC48" t="str">
            <v>Instrumentos de Deuda</v>
          </cell>
          <cell r="AD48" t="str">
            <v>Financieras</v>
          </cell>
          <cell r="AE48" t="str">
            <v>Deposito CLP Banco Bice</v>
          </cell>
          <cell r="AF48" t="str">
            <v>BICE</v>
          </cell>
        </row>
        <row r="49">
          <cell r="C49" t="str">
            <v>PAGARE NR</v>
          </cell>
          <cell r="D49" t="str">
            <v>CONSORCIO</v>
          </cell>
          <cell r="E49">
            <v>196921461</v>
          </cell>
          <cell r="F49">
            <v>200000000</v>
          </cell>
          <cell r="G49">
            <v>1.2923E-2</v>
          </cell>
          <cell r="H49">
            <v>0.35</v>
          </cell>
          <cell r="I49" t="str">
            <v>2017-04-06</v>
          </cell>
          <cell r="J49">
            <v>133</v>
          </cell>
          <cell r="K49">
            <v>0.37</v>
          </cell>
          <cell r="L49">
            <v>0</v>
          </cell>
          <cell r="M49" t="str">
            <v>$</v>
          </cell>
          <cell r="N49" t="str">
            <v>RFL</v>
          </cell>
          <cell r="O49" t="str">
            <v>Renta Fija Local</v>
          </cell>
          <cell r="P49" t="str">
            <v>N-1</v>
          </cell>
          <cell r="Q49" t="str">
            <v>Corto</v>
          </cell>
          <cell r="R49" t="str">
            <v>Depósitos $</v>
          </cell>
          <cell r="S49">
            <v>1.281801</v>
          </cell>
          <cell r="T49" t="str">
            <v>N-1</v>
          </cell>
          <cell r="U49" t="str">
            <v>25</v>
          </cell>
          <cell r="V49" t="str">
            <v>Depósitos</v>
          </cell>
          <cell r="W49" t="str">
            <v>Depósitos</v>
          </cell>
          <cell r="X49" t="str">
            <v>Depósitos $</v>
          </cell>
          <cell r="Y49" t="str">
            <v>Depósitos</v>
          </cell>
          <cell r="Z49" t="str">
            <v>Corto $</v>
          </cell>
          <cell r="AA49" t="str">
            <v>Depósitos</v>
          </cell>
          <cell r="AB49" t="str">
            <v>Depósitos $</v>
          </cell>
          <cell r="AC49" t="str">
            <v>Instrumentos de Deuda</v>
          </cell>
          <cell r="AD49" t="str">
            <v>Financieras</v>
          </cell>
          <cell r="AE49" t="str">
            <v>Deposito CLP Banco Consorcio</v>
          </cell>
          <cell r="AF49" t="str">
            <v>Banco Consorcio</v>
          </cell>
        </row>
        <row r="50">
          <cell r="C50" t="str">
            <v>PAGARE NR</v>
          </cell>
          <cell r="D50" t="str">
            <v>SECURITY</v>
          </cell>
          <cell r="E50">
            <v>21680430</v>
          </cell>
          <cell r="F50">
            <v>22000000</v>
          </cell>
          <cell r="G50">
            <v>1.4220000000000001E-3</v>
          </cell>
          <cell r="H50">
            <v>0.33</v>
          </cell>
          <cell r="I50" t="str">
            <v>2017-04-06</v>
          </cell>
          <cell r="J50">
            <v>133</v>
          </cell>
          <cell r="K50">
            <v>0.37</v>
          </cell>
          <cell r="L50">
            <v>0</v>
          </cell>
          <cell r="M50" t="str">
            <v>$</v>
          </cell>
          <cell r="N50" t="str">
            <v>RFL</v>
          </cell>
          <cell r="O50" t="str">
            <v>Renta Fija Local</v>
          </cell>
          <cell r="P50" t="str">
            <v>N-1</v>
          </cell>
          <cell r="Q50" t="str">
            <v>Corto</v>
          </cell>
          <cell r="R50" t="str">
            <v>Depósitos $</v>
          </cell>
          <cell r="S50">
            <v>1.0326709999999999</v>
          </cell>
          <cell r="T50" t="str">
            <v>N-1</v>
          </cell>
          <cell r="U50" t="str">
            <v>25</v>
          </cell>
          <cell r="V50" t="str">
            <v>Depósitos</v>
          </cell>
          <cell r="W50" t="str">
            <v>Depósitos</v>
          </cell>
          <cell r="X50" t="str">
            <v>Depósitos $</v>
          </cell>
          <cell r="Y50" t="str">
            <v>Depósitos</v>
          </cell>
          <cell r="Z50" t="str">
            <v>Corto $</v>
          </cell>
          <cell r="AA50" t="str">
            <v>Depósitos</v>
          </cell>
          <cell r="AB50" t="str">
            <v>Depósitos $</v>
          </cell>
          <cell r="AC50" t="str">
            <v>Instrumentos de Deuda</v>
          </cell>
          <cell r="AD50" t="str">
            <v>Financieras</v>
          </cell>
          <cell r="AE50" t="str">
            <v>Deposito CLP Banco Security</v>
          </cell>
          <cell r="AF50" t="str">
            <v>Banco Security</v>
          </cell>
        </row>
        <row r="51">
          <cell r="C51" t="str">
            <v>PAGARE NR</v>
          </cell>
          <cell r="D51" t="str">
            <v>SANTANDER</v>
          </cell>
          <cell r="E51">
            <v>197073459</v>
          </cell>
          <cell r="F51">
            <v>200000000</v>
          </cell>
          <cell r="G51">
            <v>1.2933E-2</v>
          </cell>
          <cell r="H51">
            <v>0.33</v>
          </cell>
          <cell r="I51" t="str">
            <v>2017-04-07</v>
          </cell>
          <cell r="J51">
            <v>134</v>
          </cell>
          <cell r="K51">
            <v>0.37</v>
          </cell>
          <cell r="L51">
            <v>0</v>
          </cell>
          <cell r="M51" t="str">
            <v>$</v>
          </cell>
          <cell r="N51" t="str">
            <v>RFL</v>
          </cell>
          <cell r="O51" t="str">
            <v>Renta Fija Local</v>
          </cell>
          <cell r="P51" t="str">
            <v>N-1</v>
          </cell>
          <cell r="Q51" t="str">
            <v>Corto</v>
          </cell>
          <cell r="R51" t="str">
            <v>Depósitos $</v>
          </cell>
          <cell r="S51">
            <v>1.0326709999999999</v>
          </cell>
          <cell r="T51" t="str">
            <v>N-1</v>
          </cell>
          <cell r="U51" t="str">
            <v>25</v>
          </cell>
          <cell r="V51" t="str">
            <v>Depósitos</v>
          </cell>
          <cell r="W51" t="str">
            <v>Depósitos</v>
          </cell>
          <cell r="X51" t="str">
            <v>Depósitos $</v>
          </cell>
          <cell r="Y51" t="str">
            <v>Depósitos</v>
          </cell>
          <cell r="Z51" t="str">
            <v>Corto $</v>
          </cell>
          <cell r="AA51" t="str">
            <v>Depósitos</v>
          </cell>
          <cell r="AB51" t="str">
            <v>Depósitos $</v>
          </cell>
          <cell r="AC51" t="str">
            <v>Instrumentos de Deuda</v>
          </cell>
          <cell r="AD51" t="str">
            <v>Financieras</v>
          </cell>
          <cell r="AE51" t="str">
            <v>Deposito CLP Banco Santander</v>
          </cell>
          <cell r="AF51" t="str">
            <v>Banco Santander</v>
          </cell>
        </row>
        <row r="52">
          <cell r="C52" t="str">
            <v>PAGARE NR</v>
          </cell>
          <cell r="D52" t="str">
            <v>CHILE</v>
          </cell>
          <cell r="E52">
            <v>180220246</v>
          </cell>
          <cell r="F52">
            <v>182896517</v>
          </cell>
          <cell r="G52">
            <v>1.1827000000000001E-2</v>
          </cell>
          <cell r="H52">
            <v>0.33</v>
          </cell>
          <cell r="I52" t="str">
            <v>2017-04-07</v>
          </cell>
          <cell r="J52">
            <v>134</v>
          </cell>
          <cell r="K52">
            <v>0.37</v>
          </cell>
          <cell r="L52">
            <v>0</v>
          </cell>
          <cell r="M52" t="str">
            <v>$</v>
          </cell>
          <cell r="N52" t="str">
            <v>RFL</v>
          </cell>
          <cell r="O52" t="str">
            <v>Renta Fija Local</v>
          </cell>
          <cell r="P52" t="str">
            <v>N-1</v>
          </cell>
          <cell r="Q52" t="str">
            <v>Corto</v>
          </cell>
          <cell r="R52" t="str">
            <v>Depósitos $</v>
          </cell>
          <cell r="S52">
            <v>1.0326709999999999</v>
          </cell>
          <cell r="T52" t="str">
            <v>N-1</v>
          </cell>
          <cell r="U52" t="str">
            <v>25</v>
          </cell>
          <cell r="V52" t="str">
            <v>Depósitos</v>
          </cell>
          <cell r="W52" t="str">
            <v>Depósitos</v>
          </cell>
          <cell r="X52" t="str">
            <v>Depósitos $</v>
          </cell>
          <cell r="Y52" t="str">
            <v>Depósitos</v>
          </cell>
          <cell r="Z52" t="str">
            <v>Corto $</v>
          </cell>
          <cell r="AA52" t="str">
            <v>Depósitos</v>
          </cell>
          <cell r="AB52" t="str">
            <v>Depósitos $</v>
          </cell>
          <cell r="AC52" t="str">
            <v>Instrumentos de Deuda</v>
          </cell>
          <cell r="AD52" t="str">
            <v>Financieras</v>
          </cell>
          <cell r="AE52" t="str">
            <v>Deposito CLP Banco Chile</v>
          </cell>
          <cell r="AF52" t="str">
            <v>Banco de Chile</v>
          </cell>
        </row>
        <row r="53">
          <cell r="C53" t="str">
            <v>BBBVJ31011</v>
          </cell>
          <cell r="D53" t="str">
            <v>BBBVA</v>
          </cell>
          <cell r="E53">
            <v>26288982</v>
          </cell>
          <cell r="F53">
            <v>1000</v>
          </cell>
          <cell r="G53">
            <v>1.725E-3</v>
          </cell>
          <cell r="H53">
            <v>4.1399999999999997</v>
          </cell>
          <cell r="I53" t="str">
            <v>2017-04-09</v>
          </cell>
          <cell r="J53">
            <v>136</v>
          </cell>
          <cell r="K53">
            <v>0.38</v>
          </cell>
          <cell r="L53">
            <v>99.59</v>
          </cell>
          <cell r="M53" t="str">
            <v>UF</v>
          </cell>
          <cell r="N53" t="str">
            <v>RFL</v>
          </cell>
          <cell r="O53" t="str">
            <v>Renta Fija Local</v>
          </cell>
          <cell r="P53" t="str">
            <v>AA ; AA+</v>
          </cell>
          <cell r="Q53" t="str">
            <v>Corto</v>
          </cell>
          <cell r="R53" t="str">
            <v>Corporativo Bajo Riesgo Corto</v>
          </cell>
          <cell r="S53">
            <v>4.1399999999999997</v>
          </cell>
          <cell r="T53" t="str">
            <v>AA</v>
          </cell>
          <cell r="U53" t="str">
            <v>3</v>
          </cell>
          <cell r="V53" t="str">
            <v>Bajo Riesgo</v>
          </cell>
          <cell r="W53" t="str">
            <v>Corporativo</v>
          </cell>
          <cell r="X53" t="str">
            <v>Bajo Riesgo Corto UF</v>
          </cell>
          <cell r="Y53" t="str">
            <v>Corporativo Bajo Riesgo Corto</v>
          </cell>
          <cell r="Z53" t="str">
            <v>Corto UF</v>
          </cell>
          <cell r="AA53" t="str">
            <v>Corporativo Corto</v>
          </cell>
          <cell r="AB53" t="str">
            <v>Corporativo UF</v>
          </cell>
          <cell r="AC53" t="str">
            <v>Instrumentos de Deuda</v>
          </cell>
          <cell r="AD53" t="str">
            <v>Financieras</v>
          </cell>
          <cell r="AE53" t="str">
            <v>Banco Bilbao Vizcaya Argentaria Chile</v>
          </cell>
          <cell r="AF53" t="str">
            <v>BBVA</v>
          </cell>
        </row>
        <row r="54">
          <cell r="C54" t="str">
            <v>PAGARE NR</v>
          </cell>
          <cell r="D54" t="str">
            <v>BCI</v>
          </cell>
          <cell r="E54">
            <v>196920169</v>
          </cell>
          <cell r="F54">
            <v>200000000</v>
          </cell>
          <cell r="G54">
            <v>1.2923E-2</v>
          </cell>
          <cell r="H54">
            <v>0.34</v>
          </cell>
          <cell r="I54" t="str">
            <v>2017-04-10</v>
          </cell>
          <cell r="J54">
            <v>137</v>
          </cell>
          <cell r="K54">
            <v>0.38</v>
          </cell>
          <cell r="L54">
            <v>0</v>
          </cell>
          <cell r="M54" t="str">
            <v>$</v>
          </cell>
          <cell r="N54" t="str">
            <v>RFL</v>
          </cell>
          <cell r="O54" t="str">
            <v>Renta Fija Local</v>
          </cell>
          <cell r="P54" t="str">
            <v>N-1</v>
          </cell>
          <cell r="Q54" t="str">
            <v>Corto</v>
          </cell>
          <cell r="R54" t="str">
            <v>Depósitos $</v>
          </cell>
          <cell r="S54">
            <v>1.1571670000000001</v>
          </cell>
          <cell r="T54" t="str">
            <v>N-1</v>
          </cell>
          <cell r="U54" t="str">
            <v>25</v>
          </cell>
          <cell r="V54" t="str">
            <v>Depósitos</v>
          </cell>
          <cell r="W54" t="str">
            <v>Depósitos</v>
          </cell>
          <cell r="X54" t="str">
            <v>Depósitos $</v>
          </cell>
          <cell r="Y54" t="str">
            <v>Depósitos</v>
          </cell>
          <cell r="Z54" t="str">
            <v>Corto $</v>
          </cell>
          <cell r="AA54" t="str">
            <v>Depósitos</v>
          </cell>
          <cell r="AB54" t="str">
            <v>Depósitos $</v>
          </cell>
          <cell r="AC54" t="str">
            <v>Instrumentos de Deuda</v>
          </cell>
          <cell r="AD54" t="str">
            <v>Financieras</v>
          </cell>
          <cell r="AE54" t="str">
            <v>Deposito CLP Banco Bci</v>
          </cell>
          <cell r="AF54" t="str">
            <v>BCI</v>
          </cell>
        </row>
        <row r="55">
          <cell r="C55" t="str">
            <v>PAGARE NR</v>
          </cell>
          <cell r="D55" t="str">
            <v>ESTADO</v>
          </cell>
          <cell r="E55">
            <v>147719826</v>
          </cell>
          <cell r="F55">
            <v>149994711</v>
          </cell>
          <cell r="G55">
            <v>9.6939999999999995E-3</v>
          </cell>
          <cell r="H55">
            <v>0.33</v>
          </cell>
          <cell r="I55" t="str">
            <v>2017-04-12</v>
          </cell>
          <cell r="J55">
            <v>139</v>
          </cell>
          <cell r="K55">
            <v>0.38</v>
          </cell>
          <cell r="L55">
            <v>0</v>
          </cell>
          <cell r="M55" t="str">
            <v>$</v>
          </cell>
          <cell r="N55" t="str">
            <v>RFL</v>
          </cell>
          <cell r="O55" t="str">
            <v>Renta Fija Local</v>
          </cell>
          <cell r="P55" t="str">
            <v>N-1</v>
          </cell>
          <cell r="Q55" t="str">
            <v>Corto</v>
          </cell>
          <cell r="R55" t="str">
            <v>Depósitos $</v>
          </cell>
          <cell r="S55">
            <v>1.0326709999999999</v>
          </cell>
          <cell r="T55" t="str">
            <v>N-1</v>
          </cell>
          <cell r="U55" t="str">
            <v>25</v>
          </cell>
          <cell r="V55" t="str">
            <v>Depósitos</v>
          </cell>
          <cell r="W55" t="str">
            <v>Depósitos</v>
          </cell>
          <cell r="X55" t="str">
            <v>Depósitos $</v>
          </cell>
          <cell r="Y55" t="str">
            <v>Depósitos</v>
          </cell>
          <cell r="Z55" t="str">
            <v>Corto $</v>
          </cell>
          <cell r="AA55" t="str">
            <v>Depósitos</v>
          </cell>
          <cell r="AB55" t="str">
            <v>Depósitos $</v>
          </cell>
          <cell r="AC55" t="str">
            <v>Instrumentos de Deuda</v>
          </cell>
          <cell r="AD55" t="str">
            <v>Financieras</v>
          </cell>
          <cell r="AE55" t="str">
            <v>Deposito CLP Banco Estado</v>
          </cell>
          <cell r="AF55" t="str">
            <v>Banco Estado</v>
          </cell>
        </row>
        <row r="56">
          <cell r="C56" t="str">
            <v>PAGARE NR</v>
          </cell>
          <cell r="D56" t="str">
            <v>SECURITY</v>
          </cell>
          <cell r="E56">
            <v>295450069</v>
          </cell>
          <cell r="F56">
            <v>300000000</v>
          </cell>
          <cell r="G56">
            <v>1.9389E-2</v>
          </cell>
          <cell r="H56">
            <v>0.33</v>
          </cell>
          <cell r="I56" t="str">
            <v>2017-04-12</v>
          </cell>
          <cell r="J56">
            <v>139</v>
          </cell>
          <cell r="K56">
            <v>0.38</v>
          </cell>
          <cell r="L56">
            <v>0</v>
          </cell>
          <cell r="M56" t="str">
            <v>$</v>
          </cell>
          <cell r="N56" t="str">
            <v>RFL</v>
          </cell>
          <cell r="O56" t="str">
            <v>Renta Fija Local</v>
          </cell>
          <cell r="P56" t="str">
            <v>N-1</v>
          </cell>
          <cell r="Q56" t="str">
            <v>Corto</v>
          </cell>
          <cell r="R56" t="str">
            <v>Depósitos $</v>
          </cell>
          <cell r="S56">
            <v>1.0326709999999999</v>
          </cell>
          <cell r="T56" t="str">
            <v>N-1</v>
          </cell>
          <cell r="U56" t="str">
            <v>25</v>
          </cell>
          <cell r="V56" t="str">
            <v>Depósitos</v>
          </cell>
          <cell r="W56" t="str">
            <v>Depósitos</v>
          </cell>
          <cell r="X56" t="str">
            <v>Depósitos $</v>
          </cell>
          <cell r="Y56" t="str">
            <v>Depósitos</v>
          </cell>
          <cell r="Z56" t="str">
            <v>Corto $</v>
          </cell>
          <cell r="AA56" t="str">
            <v>Depósitos</v>
          </cell>
          <cell r="AB56" t="str">
            <v>Depósitos $</v>
          </cell>
          <cell r="AC56" t="str">
            <v>Instrumentos de Deuda</v>
          </cell>
          <cell r="AD56" t="str">
            <v>Financieras</v>
          </cell>
          <cell r="AE56" t="str">
            <v>Deposito CLP Banco Security</v>
          </cell>
          <cell r="AF56" t="str">
            <v>Banco Security</v>
          </cell>
        </row>
        <row r="57">
          <cell r="C57" t="str">
            <v>PAGARE NR</v>
          </cell>
          <cell r="D57" t="str">
            <v>SECURITY</v>
          </cell>
          <cell r="E57">
            <v>98472689</v>
          </cell>
          <cell r="F57">
            <v>100000000</v>
          </cell>
          <cell r="G57">
            <v>6.4619999999999999E-3</v>
          </cell>
          <cell r="H57">
            <v>0.33</v>
          </cell>
          <cell r="I57" t="str">
            <v>2017-04-13</v>
          </cell>
          <cell r="J57">
            <v>140</v>
          </cell>
          <cell r="K57">
            <v>0.39</v>
          </cell>
          <cell r="L57">
            <v>0</v>
          </cell>
          <cell r="M57" t="str">
            <v>$</v>
          </cell>
          <cell r="N57" t="str">
            <v>RFL</v>
          </cell>
          <cell r="O57" t="str">
            <v>Renta Fija Local</v>
          </cell>
          <cell r="P57" t="str">
            <v>N-1</v>
          </cell>
          <cell r="Q57" t="str">
            <v>Corto</v>
          </cell>
          <cell r="R57" t="str">
            <v>Depósitos $</v>
          </cell>
          <cell r="S57">
            <v>1.0326709999999999</v>
          </cell>
          <cell r="T57" t="str">
            <v>N-1</v>
          </cell>
          <cell r="U57" t="str">
            <v>25</v>
          </cell>
          <cell r="V57" t="str">
            <v>Depósitos</v>
          </cell>
          <cell r="W57" t="str">
            <v>Depósitos</v>
          </cell>
          <cell r="X57" t="str">
            <v>Depósitos $</v>
          </cell>
          <cell r="Y57" t="str">
            <v>Depósitos</v>
          </cell>
          <cell r="Z57" t="str">
            <v>Corto $</v>
          </cell>
          <cell r="AA57" t="str">
            <v>Depósitos</v>
          </cell>
          <cell r="AB57" t="str">
            <v>Depósitos $</v>
          </cell>
          <cell r="AC57" t="str">
            <v>Instrumentos de Deuda</v>
          </cell>
          <cell r="AD57" t="str">
            <v>Financieras</v>
          </cell>
          <cell r="AE57" t="str">
            <v>Deposito CLP Banco Security</v>
          </cell>
          <cell r="AF57" t="str">
            <v>Banco Security</v>
          </cell>
        </row>
        <row r="58">
          <cell r="C58" t="str">
            <v>PAGARE NR</v>
          </cell>
          <cell r="D58" t="str">
            <v>SECURITY</v>
          </cell>
          <cell r="E58">
            <v>590580245</v>
          </cell>
          <cell r="F58">
            <v>600000000</v>
          </cell>
          <cell r="G58">
            <v>3.8758000000000001E-2</v>
          </cell>
          <cell r="H58">
            <v>0.33</v>
          </cell>
          <cell r="I58" t="str">
            <v>2017-04-17</v>
          </cell>
          <cell r="J58">
            <v>144</v>
          </cell>
          <cell r="K58">
            <v>0.4</v>
          </cell>
          <cell r="L58">
            <v>0</v>
          </cell>
          <cell r="M58" t="str">
            <v>$</v>
          </cell>
          <cell r="N58" t="str">
            <v>RFL</v>
          </cell>
          <cell r="O58" t="str">
            <v>Renta Fija Local</v>
          </cell>
          <cell r="P58" t="str">
            <v>N-1</v>
          </cell>
          <cell r="Q58" t="str">
            <v>Corto</v>
          </cell>
          <cell r="R58" t="str">
            <v>Depósitos $</v>
          </cell>
          <cell r="S58">
            <v>1.0326709999999999</v>
          </cell>
          <cell r="T58" t="str">
            <v>N-1</v>
          </cell>
          <cell r="U58" t="str">
            <v>25</v>
          </cell>
          <cell r="V58" t="str">
            <v>Depósitos</v>
          </cell>
          <cell r="W58" t="str">
            <v>Depósitos</v>
          </cell>
          <cell r="X58" t="str">
            <v>Depósitos $</v>
          </cell>
          <cell r="Y58" t="str">
            <v>Depósitos</v>
          </cell>
          <cell r="Z58" t="str">
            <v>Corto $</v>
          </cell>
          <cell r="AA58" t="str">
            <v>Depósitos</v>
          </cell>
          <cell r="AB58" t="str">
            <v>Depósitos $</v>
          </cell>
          <cell r="AC58" t="str">
            <v>Instrumentos de Deuda</v>
          </cell>
          <cell r="AD58" t="str">
            <v>Financieras</v>
          </cell>
          <cell r="AE58" t="str">
            <v>Deposito CLP Banco Security</v>
          </cell>
          <cell r="AF58" t="str">
            <v>Banco Security</v>
          </cell>
        </row>
        <row r="59">
          <cell r="C59" t="str">
            <v>PAGARE NR</v>
          </cell>
          <cell r="D59" t="str">
            <v>CHILE</v>
          </cell>
          <cell r="E59">
            <v>14587870</v>
          </cell>
          <cell r="F59">
            <v>14820547</v>
          </cell>
          <cell r="G59">
            <v>9.5699999999999995E-4</v>
          </cell>
          <cell r="H59">
            <v>0.33</v>
          </cell>
          <cell r="I59" t="str">
            <v>2017-04-17</v>
          </cell>
          <cell r="J59">
            <v>144</v>
          </cell>
          <cell r="K59">
            <v>0.4</v>
          </cell>
          <cell r="L59">
            <v>0</v>
          </cell>
          <cell r="M59" t="str">
            <v>$</v>
          </cell>
          <cell r="N59" t="str">
            <v>RFL</v>
          </cell>
          <cell r="O59" t="str">
            <v>Renta Fija Local</v>
          </cell>
          <cell r="P59" t="str">
            <v>N-1</v>
          </cell>
          <cell r="Q59" t="str">
            <v>Corto</v>
          </cell>
          <cell r="R59" t="str">
            <v>Depósitos $</v>
          </cell>
          <cell r="S59">
            <v>1.0326709999999999</v>
          </cell>
          <cell r="T59" t="str">
            <v>N-1</v>
          </cell>
          <cell r="U59" t="str">
            <v>25</v>
          </cell>
          <cell r="V59" t="str">
            <v>Depósitos</v>
          </cell>
          <cell r="W59" t="str">
            <v>Depósitos</v>
          </cell>
          <cell r="X59" t="str">
            <v>Depósitos $</v>
          </cell>
          <cell r="Y59" t="str">
            <v>Depósitos</v>
          </cell>
          <cell r="Z59" t="str">
            <v>Corto $</v>
          </cell>
          <cell r="AA59" t="str">
            <v>Depósitos</v>
          </cell>
          <cell r="AB59" t="str">
            <v>Depósitos $</v>
          </cell>
          <cell r="AC59" t="str">
            <v>Instrumentos de Deuda</v>
          </cell>
          <cell r="AD59" t="str">
            <v>Financieras</v>
          </cell>
          <cell r="AE59" t="str">
            <v>Deposito CLP Banco Chile</v>
          </cell>
          <cell r="AF59" t="str">
            <v>Banco de Chile</v>
          </cell>
        </row>
        <row r="60">
          <cell r="C60" t="str">
            <v>PAGARE NR</v>
          </cell>
          <cell r="D60" t="str">
            <v>ESTADO</v>
          </cell>
          <cell r="E60">
            <v>491990396</v>
          </cell>
          <cell r="F60">
            <v>500000000</v>
          </cell>
          <cell r="G60">
            <v>3.2287999999999997E-2</v>
          </cell>
          <cell r="H60">
            <v>0.33</v>
          </cell>
          <cell r="I60" t="str">
            <v>2017-04-20</v>
          </cell>
          <cell r="J60">
            <v>147</v>
          </cell>
          <cell r="K60">
            <v>0.41</v>
          </cell>
          <cell r="L60">
            <v>0</v>
          </cell>
          <cell r="M60" t="str">
            <v>$</v>
          </cell>
          <cell r="N60" t="str">
            <v>RFL</v>
          </cell>
          <cell r="O60" t="str">
            <v>Renta Fija Local</v>
          </cell>
          <cell r="P60" t="str">
            <v>N-1</v>
          </cell>
          <cell r="Q60" t="str">
            <v>Corto</v>
          </cell>
          <cell r="R60" t="str">
            <v>Depósitos $</v>
          </cell>
          <cell r="S60">
            <v>1.0326709999999999</v>
          </cell>
          <cell r="T60" t="str">
            <v>N-1</v>
          </cell>
          <cell r="U60" t="str">
            <v>25</v>
          </cell>
          <cell r="V60" t="str">
            <v>Depósitos</v>
          </cell>
          <cell r="W60" t="str">
            <v>Depósitos</v>
          </cell>
          <cell r="X60" t="str">
            <v>Depósitos $</v>
          </cell>
          <cell r="Y60" t="str">
            <v>Depósitos</v>
          </cell>
          <cell r="Z60" t="str">
            <v>Corto $</v>
          </cell>
          <cell r="AA60" t="str">
            <v>Depósitos</v>
          </cell>
          <cell r="AB60" t="str">
            <v>Depósitos $</v>
          </cell>
          <cell r="AC60" t="str">
            <v>Instrumentos de Deuda</v>
          </cell>
          <cell r="AD60" t="str">
            <v>Financieras</v>
          </cell>
          <cell r="AE60" t="str">
            <v>Deposito CLP Banco Estado</v>
          </cell>
          <cell r="AF60" t="str">
            <v>Banco Estado</v>
          </cell>
        </row>
        <row r="61">
          <cell r="C61" t="str">
            <v>PAGARE NR</v>
          </cell>
          <cell r="D61" t="str">
            <v>BICE</v>
          </cell>
          <cell r="E61">
            <v>196796159</v>
          </cell>
          <cell r="F61">
            <v>200000000</v>
          </cell>
          <cell r="G61">
            <v>1.2914999999999999E-2</v>
          </cell>
          <cell r="H61">
            <v>0.33</v>
          </cell>
          <cell r="I61" t="str">
            <v>2017-04-20</v>
          </cell>
          <cell r="J61">
            <v>147</v>
          </cell>
          <cell r="K61">
            <v>0.41</v>
          </cell>
          <cell r="L61">
            <v>0</v>
          </cell>
          <cell r="M61" t="str">
            <v>$</v>
          </cell>
          <cell r="N61" t="str">
            <v>RFL</v>
          </cell>
          <cell r="O61" t="str">
            <v>Renta Fija Local</v>
          </cell>
          <cell r="P61" t="str">
            <v>N-1</v>
          </cell>
          <cell r="Q61" t="str">
            <v>Corto</v>
          </cell>
          <cell r="R61" t="str">
            <v>Depósitos $</v>
          </cell>
          <cell r="S61">
            <v>1.0326709999999999</v>
          </cell>
          <cell r="T61" t="str">
            <v>N-1</v>
          </cell>
          <cell r="U61" t="str">
            <v>25</v>
          </cell>
          <cell r="V61" t="str">
            <v>Depósitos</v>
          </cell>
          <cell r="W61" t="str">
            <v>Depósitos</v>
          </cell>
          <cell r="X61" t="str">
            <v>Depósitos $</v>
          </cell>
          <cell r="Y61" t="str">
            <v>Depósitos</v>
          </cell>
          <cell r="Z61" t="str">
            <v>Corto $</v>
          </cell>
          <cell r="AA61" t="str">
            <v>Depósitos</v>
          </cell>
          <cell r="AB61" t="str">
            <v>Depósitos $</v>
          </cell>
          <cell r="AC61" t="str">
            <v>Instrumentos de Deuda</v>
          </cell>
          <cell r="AD61" t="str">
            <v>Financieras</v>
          </cell>
          <cell r="AE61" t="str">
            <v>Deposito CLP Banco Bice</v>
          </cell>
          <cell r="AF61" t="str">
            <v>BICE</v>
          </cell>
        </row>
        <row r="62">
          <cell r="C62" t="str">
            <v>PAGARE NR</v>
          </cell>
          <cell r="D62" t="str">
            <v>FALABELLA</v>
          </cell>
          <cell r="E62">
            <v>146151256</v>
          </cell>
          <cell r="F62">
            <v>148702083</v>
          </cell>
          <cell r="G62">
            <v>9.5910000000000006E-3</v>
          </cell>
          <cell r="H62">
            <v>0.34</v>
          </cell>
          <cell r="I62" t="str">
            <v>2017-04-26</v>
          </cell>
          <cell r="J62">
            <v>153</v>
          </cell>
          <cell r="K62">
            <v>0.42</v>
          </cell>
          <cell r="L62">
            <v>0</v>
          </cell>
          <cell r="M62" t="str">
            <v>$</v>
          </cell>
          <cell r="N62" t="str">
            <v>RFL</v>
          </cell>
          <cell r="O62" t="str">
            <v>Renta Fija Local</v>
          </cell>
          <cell r="P62" t="str">
            <v>N-1</v>
          </cell>
          <cell r="Q62" t="str">
            <v>Corto</v>
          </cell>
          <cell r="R62" t="str">
            <v>Depósitos $</v>
          </cell>
          <cell r="S62">
            <v>1.1571670000000001</v>
          </cell>
          <cell r="T62" t="str">
            <v>N-1</v>
          </cell>
          <cell r="U62" t="str">
            <v>25</v>
          </cell>
          <cell r="V62" t="str">
            <v>Depósitos</v>
          </cell>
          <cell r="W62" t="str">
            <v>Depósitos</v>
          </cell>
          <cell r="X62" t="str">
            <v>Depósitos $</v>
          </cell>
          <cell r="Y62" t="str">
            <v>Depósitos</v>
          </cell>
          <cell r="Z62" t="str">
            <v>Corto $</v>
          </cell>
          <cell r="AA62" t="str">
            <v>Depósitos</v>
          </cell>
          <cell r="AB62" t="str">
            <v>Depósitos $</v>
          </cell>
          <cell r="AC62" t="str">
            <v>Instrumentos de Deuda</v>
          </cell>
          <cell r="AD62" t="str">
            <v>Financieras</v>
          </cell>
          <cell r="AE62" t="str">
            <v>Deposito CLP Banco Falabella</v>
          </cell>
          <cell r="AF62" t="str">
            <v>Banco Falabella</v>
          </cell>
        </row>
        <row r="63">
          <cell r="C63" t="str">
            <v>PAGARE NR</v>
          </cell>
          <cell r="D63" t="str">
            <v>CHILE</v>
          </cell>
          <cell r="E63">
            <v>449951361</v>
          </cell>
          <cell r="F63">
            <v>457920000</v>
          </cell>
          <cell r="G63">
            <v>2.9529E-2</v>
          </cell>
          <cell r="H63">
            <v>0.33</v>
          </cell>
          <cell r="I63" t="str">
            <v>2017-05-03</v>
          </cell>
          <cell r="J63">
            <v>160</v>
          </cell>
          <cell r="K63">
            <v>0.44</v>
          </cell>
          <cell r="L63">
            <v>0</v>
          </cell>
          <cell r="M63" t="str">
            <v>$</v>
          </cell>
          <cell r="N63" t="str">
            <v>RFL</v>
          </cell>
          <cell r="O63" t="str">
            <v>Renta Fija Local</v>
          </cell>
          <cell r="P63" t="str">
            <v>N-1</v>
          </cell>
          <cell r="Q63" t="str">
            <v>Corto</v>
          </cell>
          <cell r="R63" t="str">
            <v>Depósitos $</v>
          </cell>
          <cell r="S63">
            <v>1.0326709999999999</v>
          </cell>
          <cell r="T63" t="str">
            <v>N-1</v>
          </cell>
          <cell r="U63" t="str">
            <v>25</v>
          </cell>
          <cell r="V63" t="str">
            <v>Depósitos</v>
          </cell>
          <cell r="W63" t="str">
            <v>Depósitos</v>
          </cell>
          <cell r="X63" t="str">
            <v>Depósitos $</v>
          </cell>
          <cell r="Y63" t="str">
            <v>Depósitos</v>
          </cell>
          <cell r="Z63" t="str">
            <v>Corto $</v>
          </cell>
          <cell r="AA63" t="str">
            <v>Depósitos</v>
          </cell>
          <cell r="AB63" t="str">
            <v>Depósitos $</v>
          </cell>
          <cell r="AC63" t="str">
            <v>Instrumentos de Deuda</v>
          </cell>
          <cell r="AD63" t="str">
            <v>Financieras</v>
          </cell>
          <cell r="AE63" t="str">
            <v>Deposito CLP Banco Chile</v>
          </cell>
          <cell r="AF63" t="str">
            <v>Banco de Chile</v>
          </cell>
        </row>
        <row r="64">
          <cell r="C64" t="str">
            <v>PAGARE NR</v>
          </cell>
          <cell r="D64" t="str">
            <v>SANTANDER</v>
          </cell>
          <cell r="E64">
            <v>156275823</v>
          </cell>
          <cell r="F64">
            <v>159060658</v>
          </cell>
          <cell r="G64">
            <v>1.0255E-2</v>
          </cell>
          <cell r="H64">
            <v>0.33</v>
          </cell>
          <cell r="I64" t="str">
            <v>2017-05-04</v>
          </cell>
          <cell r="J64">
            <v>161</v>
          </cell>
          <cell r="K64">
            <v>0.44</v>
          </cell>
          <cell r="L64">
            <v>0</v>
          </cell>
          <cell r="M64" t="str">
            <v>$</v>
          </cell>
          <cell r="N64" t="str">
            <v>RFL</v>
          </cell>
          <cell r="O64" t="str">
            <v>Renta Fija Local</v>
          </cell>
          <cell r="P64" t="str">
            <v>N-1</v>
          </cell>
          <cell r="Q64" t="str">
            <v>Corto</v>
          </cell>
          <cell r="R64" t="str">
            <v>Depósitos $</v>
          </cell>
          <cell r="S64">
            <v>1.0326709999999999</v>
          </cell>
          <cell r="T64" t="str">
            <v>N-1</v>
          </cell>
          <cell r="U64" t="str">
            <v>25</v>
          </cell>
          <cell r="V64" t="str">
            <v>Depósitos</v>
          </cell>
          <cell r="W64" t="str">
            <v>Depósitos</v>
          </cell>
          <cell r="X64" t="str">
            <v>Depósitos $</v>
          </cell>
          <cell r="Y64" t="str">
            <v>Depósitos</v>
          </cell>
          <cell r="Z64" t="str">
            <v>Corto $</v>
          </cell>
          <cell r="AA64" t="str">
            <v>Depósitos</v>
          </cell>
          <cell r="AB64" t="str">
            <v>Depósitos $</v>
          </cell>
          <cell r="AC64" t="str">
            <v>Instrumentos de Deuda</v>
          </cell>
          <cell r="AD64" t="str">
            <v>Financieras</v>
          </cell>
          <cell r="AE64" t="str">
            <v>Deposito CLP Banco Santander</v>
          </cell>
          <cell r="AF64" t="str">
            <v>Banco Santander</v>
          </cell>
        </row>
        <row r="65">
          <cell r="C65" t="str">
            <v>PAGARE NR</v>
          </cell>
          <cell r="D65" t="str">
            <v>ITAUCORP</v>
          </cell>
          <cell r="E65">
            <v>196394202</v>
          </cell>
          <cell r="F65">
            <v>200000000</v>
          </cell>
          <cell r="G65">
            <v>1.2888E-2</v>
          </cell>
          <cell r="H65">
            <v>0.34</v>
          </cell>
          <cell r="I65" t="str">
            <v>2017-05-04</v>
          </cell>
          <cell r="J65">
            <v>161</v>
          </cell>
          <cell r="K65">
            <v>0.44</v>
          </cell>
          <cell r="L65">
            <v>0</v>
          </cell>
          <cell r="M65" t="str">
            <v>$</v>
          </cell>
          <cell r="N65" t="str">
            <v>RFL</v>
          </cell>
          <cell r="O65" t="str">
            <v>Renta Fija Local</v>
          </cell>
          <cell r="P65" t="str">
            <v>N-1</v>
          </cell>
          <cell r="Q65" t="str">
            <v>Corto</v>
          </cell>
          <cell r="R65" t="str">
            <v>Depósitos $</v>
          </cell>
          <cell r="S65">
            <v>1.1571670000000001</v>
          </cell>
          <cell r="T65" t="str">
            <v>N-1</v>
          </cell>
          <cell r="U65" t="str">
            <v>25</v>
          </cell>
          <cell r="V65" t="str">
            <v>Depósitos</v>
          </cell>
          <cell r="W65" t="str">
            <v>Depósitos</v>
          </cell>
          <cell r="X65" t="str">
            <v>Depósitos $</v>
          </cell>
          <cell r="Y65" t="str">
            <v>Depósitos</v>
          </cell>
          <cell r="Z65" t="str">
            <v>Corto $</v>
          </cell>
          <cell r="AA65" t="str">
            <v>Depósitos</v>
          </cell>
          <cell r="AB65" t="str">
            <v>Depósitos $</v>
          </cell>
          <cell r="AC65" t="str">
            <v>Instrumentos de Deuda</v>
          </cell>
          <cell r="AD65" t="str">
            <v>Financieras</v>
          </cell>
          <cell r="AE65" t="str">
            <v>Deposito CLP Banco Itaucorp</v>
          </cell>
          <cell r="AF65" t="str">
            <v>Itau/Corpbanca</v>
          </cell>
        </row>
        <row r="66">
          <cell r="C66" t="str">
            <v>PAGARE NR</v>
          </cell>
          <cell r="D66" t="str">
            <v>FALABELLA</v>
          </cell>
          <cell r="E66">
            <v>343651609</v>
          </cell>
          <cell r="F66">
            <v>350000000</v>
          </cell>
          <cell r="G66">
            <v>2.2551999999999999E-2</v>
          </cell>
          <cell r="H66">
            <v>0.34</v>
          </cell>
          <cell r="I66" t="str">
            <v>2017-05-05</v>
          </cell>
          <cell r="J66">
            <v>162</v>
          </cell>
          <cell r="K66">
            <v>0.45</v>
          </cell>
          <cell r="L66">
            <v>0</v>
          </cell>
          <cell r="M66" t="str">
            <v>$</v>
          </cell>
          <cell r="N66" t="str">
            <v>RFL</v>
          </cell>
          <cell r="O66" t="str">
            <v>Renta Fija Local</v>
          </cell>
          <cell r="P66" t="str">
            <v>N-1</v>
          </cell>
          <cell r="Q66" t="str">
            <v>Corto</v>
          </cell>
          <cell r="R66" t="str">
            <v>Depósitos $</v>
          </cell>
          <cell r="S66">
            <v>1.1571670000000001</v>
          </cell>
          <cell r="T66" t="str">
            <v>N-1</v>
          </cell>
          <cell r="U66" t="str">
            <v>25</v>
          </cell>
          <cell r="V66" t="str">
            <v>Depósitos</v>
          </cell>
          <cell r="W66" t="str">
            <v>Depósitos</v>
          </cell>
          <cell r="X66" t="str">
            <v>Depósitos $</v>
          </cell>
          <cell r="Y66" t="str">
            <v>Depósitos</v>
          </cell>
          <cell r="Z66" t="str">
            <v>Corto $</v>
          </cell>
          <cell r="AA66" t="str">
            <v>Depósitos</v>
          </cell>
          <cell r="AB66" t="str">
            <v>Depósitos $</v>
          </cell>
          <cell r="AC66" t="str">
            <v>Instrumentos de Deuda</v>
          </cell>
          <cell r="AD66" t="str">
            <v>Financieras</v>
          </cell>
          <cell r="AE66" t="str">
            <v>Deposito CLP Banco Falabella</v>
          </cell>
          <cell r="AF66" t="str">
            <v>Banco Falabella</v>
          </cell>
        </row>
        <row r="67">
          <cell r="C67" t="str">
            <v>PAGARE NR</v>
          </cell>
          <cell r="D67" t="str">
            <v>BICE</v>
          </cell>
          <cell r="E67">
            <v>490330679</v>
          </cell>
          <cell r="F67">
            <v>500000000</v>
          </cell>
          <cell r="G67">
            <v>3.2178999999999999E-2</v>
          </cell>
          <cell r="H67">
            <v>0.34</v>
          </cell>
          <cell r="I67" t="str">
            <v>2017-05-16</v>
          </cell>
          <cell r="J67">
            <v>173</v>
          </cell>
          <cell r="K67">
            <v>0.48</v>
          </cell>
          <cell r="L67">
            <v>0</v>
          </cell>
          <cell r="M67" t="str">
            <v>$</v>
          </cell>
          <cell r="N67" t="str">
            <v>RFL</v>
          </cell>
          <cell r="O67" t="str">
            <v>Renta Fija Local</v>
          </cell>
          <cell r="P67" t="str">
            <v>N-1</v>
          </cell>
          <cell r="Q67" t="str">
            <v>Corto</v>
          </cell>
          <cell r="R67" t="str">
            <v>Depósitos $</v>
          </cell>
          <cell r="S67">
            <v>1.1571670000000001</v>
          </cell>
          <cell r="T67" t="str">
            <v>N-1</v>
          </cell>
          <cell r="U67" t="str">
            <v>25</v>
          </cell>
          <cell r="V67" t="str">
            <v>Depósitos</v>
          </cell>
          <cell r="W67" t="str">
            <v>Depósitos</v>
          </cell>
          <cell r="X67" t="str">
            <v>Depósitos $</v>
          </cell>
          <cell r="Y67" t="str">
            <v>Depósitos</v>
          </cell>
          <cell r="Z67" t="str">
            <v>Corto $</v>
          </cell>
          <cell r="AA67" t="str">
            <v>Depósitos</v>
          </cell>
          <cell r="AB67" t="str">
            <v>Depósitos $</v>
          </cell>
          <cell r="AC67" t="str">
            <v>Instrumentos de Deuda</v>
          </cell>
          <cell r="AD67" t="str">
            <v>Financieras</v>
          </cell>
          <cell r="AE67" t="str">
            <v>Deposito CLP Banco Bice</v>
          </cell>
          <cell r="AF67" t="str">
            <v>BICE</v>
          </cell>
        </row>
        <row r="68">
          <cell r="C68" t="str">
            <v>PAGARE R</v>
          </cell>
          <cell r="D68" t="str">
            <v>CONSORCIO</v>
          </cell>
          <cell r="E68">
            <v>77684717</v>
          </cell>
          <cell r="F68">
            <v>3000</v>
          </cell>
          <cell r="G68">
            <v>5.0980000000000001E-3</v>
          </cell>
          <cell r="H68">
            <v>3.21</v>
          </cell>
          <cell r="I68" t="str">
            <v>2017-05-18</v>
          </cell>
          <cell r="J68">
            <v>175</v>
          </cell>
          <cell r="K68">
            <v>0.48</v>
          </cell>
          <cell r="L68">
            <v>0</v>
          </cell>
          <cell r="M68" t="str">
            <v>UF</v>
          </cell>
          <cell r="N68" t="str">
            <v>RFL</v>
          </cell>
          <cell r="O68" t="str">
            <v>Renta Fija Local</v>
          </cell>
          <cell r="P68" t="str">
            <v>N-1</v>
          </cell>
          <cell r="Q68" t="str">
            <v>Corto</v>
          </cell>
          <cell r="R68" t="str">
            <v>Depósitos UF</v>
          </cell>
          <cell r="S68">
            <v>3.21</v>
          </cell>
          <cell r="T68" t="str">
            <v>N-1</v>
          </cell>
          <cell r="U68" t="str">
            <v>25</v>
          </cell>
          <cell r="V68" t="str">
            <v>Depósitos</v>
          </cell>
          <cell r="W68" t="str">
            <v>Depósitos</v>
          </cell>
          <cell r="X68" t="str">
            <v>Depósitos UF</v>
          </cell>
          <cell r="Y68" t="str">
            <v>Depósitos</v>
          </cell>
          <cell r="Z68" t="str">
            <v>Corto UF</v>
          </cell>
          <cell r="AA68" t="str">
            <v>Depósitos</v>
          </cell>
          <cell r="AB68" t="str">
            <v>Depósitos UF</v>
          </cell>
          <cell r="AC68" t="str">
            <v>Instrumentos de Deuda</v>
          </cell>
          <cell r="AD68" t="str">
            <v>Financieras</v>
          </cell>
          <cell r="AE68" t="str">
            <v>Deposito UF Banco Consorcio</v>
          </cell>
          <cell r="AF68" t="str">
            <v>Banco Consorcio</v>
          </cell>
        </row>
        <row r="69">
          <cell r="C69" t="str">
            <v>PAGARE NR</v>
          </cell>
          <cell r="D69" t="str">
            <v>BICE</v>
          </cell>
          <cell r="E69">
            <v>19606690</v>
          </cell>
          <cell r="F69">
            <v>20000000</v>
          </cell>
          <cell r="G69">
            <v>1.286E-3</v>
          </cell>
          <cell r="H69">
            <v>0.34</v>
          </cell>
          <cell r="I69" t="str">
            <v>2017-05-19</v>
          </cell>
          <cell r="J69">
            <v>176</v>
          </cell>
          <cell r="K69">
            <v>0.48</v>
          </cell>
          <cell r="L69">
            <v>0</v>
          </cell>
          <cell r="M69" t="str">
            <v>$</v>
          </cell>
          <cell r="N69" t="str">
            <v>RFL</v>
          </cell>
          <cell r="O69" t="str">
            <v>Renta Fija Local</v>
          </cell>
          <cell r="P69" t="str">
            <v>N-1</v>
          </cell>
          <cell r="Q69" t="str">
            <v>Corto</v>
          </cell>
          <cell r="R69" t="str">
            <v>Depósitos $</v>
          </cell>
          <cell r="S69">
            <v>1.1571670000000001</v>
          </cell>
          <cell r="T69" t="str">
            <v>N-1</v>
          </cell>
          <cell r="U69" t="str">
            <v>25</v>
          </cell>
          <cell r="V69" t="str">
            <v>Depósitos</v>
          </cell>
          <cell r="W69" t="str">
            <v>Depósitos</v>
          </cell>
          <cell r="X69" t="str">
            <v>Depósitos $</v>
          </cell>
          <cell r="Y69" t="str">
            <v>Depósitos</v>
          </cell>
          <cell r="Z69" t="str">
            <v>Corto $</v>
          </cell>
          <cell r="AA69" t="str">
            <v>Depósitos</v>
          </cell>
          <cell r="AB69" t="str">
            <v>Depósitos $</v>
          </cell>
          <cell r="AC69" t="str">
            <v>Instrumentos de Deuda</v>
          </cell>
          <cell r="AD69" t="str">
            <v>Financieras</v>
          </cell>
          <cell r="AE69" t="str">
            <v>Deposito CLP Banco Bice</v>
          </cell>
          <cell r="AF69" t="str">
            <v>BICE</v>
          </cell>
        </row>
        <row r="70">
          <cell r="C70" t="str">
            <v>PAGARE NR</v>
          </cell>
          <cell r="D70" t="str">
            <v>FALABELLA</v>
          </cell>
          <cell r="E70">
            <v>19524326</v>
          </cell>
          <cell r="F70">
            <v>19938112</v>
          </cell>
          <cell r="G70">
            <v>1.281E-3</v>
          </cell>
          <cell r="H70">
            <v>0.34</v>
          </cell>
          <cell r="I70" t="str">
            <v>2017-05-29</v>
          </cell>
          <cell r="J70">
            <v>186</v>
          </cell>
          <cell r="K70">
            <v>0.51</v>
          </cell>
          <cell r="L70">
            <v>0</v>
          </cell>
          <cell r="M70" t="str">
            <v>$</v>
          </cell>
          <cell r="N70" t="str">
            <v>RFL</v>
          </cell>
          <cell r="O70" t="str">
            <v>Renta Fija Local</v>
          </cell>
          <cell r="P70" t="str">
            <v>N-1</v>
          </cell>
          <cell r="Q70" t="str">
            <v>Corto</v>
          </cell>
          <cell r="R70" t="str">
            <v>Depósitos $</v>
          </cell>
          <cell r="S70">
            <v>1.1571670000000001</v>
          </cell>
          <cell r="T70" t="str">
            <v>N-1</v>
          </cell>
          <cell r="U70" t="str">
            <v>25</v>
          </cell>
          <cell r="V70" t="str">
            <v>Depósitos</v>
          </cell>
          <cell r="W70" t="str">
            <v>Depósitos</v>
          </cell>
          <cell r="X70" t="str">
            <v>Depósitos $</v>
          </cell>
          <cell r="Y70" t="str">
            <v>Depósitos</v>
          </cell>
          <cell r="Z70" t="str">
            <v>Corto $</v>
          </cell>
          <cell r="AA70" t="str">
            <v>Depósitos</v>
          </cell>
          <cell r="AB70" t="str">
            <v>Depósitos $</v>
          </cell>
          <cell r="AC70" t="str">
            <v>Instrumentos de Deuda</v>
          </cell>
          <cell r="AD70" t="str">
            <v>Financieras</v>
          </cell>
          <cell r="AE70" t="str">
            <v>Deposito CLP Banco Falabella</v>
          </cell>
          <cell r="AF70" t="str">
            <v>Banco Falabella</v>
          </cell>
        </row>
        <row r="71">
          <cell r="C71" t="str">
            <v>PAGARE NR</v>
          </cell>
          <cell r="D71" t="str">
            <v>BCI</v>
          </cell>
          <cell r="E71">
            <v>97881198</v>
          </cell>
          <cell r="F71">
            <v>100000000</v>
          </cell>
          <cell r="G71">
            <v>6.4229999999999999E-3</v>
          </cell>
          <cell r="H71">
            <v>0.34</v>
          </cell>
          <cell r="I71" t="str">
            <v>2017-06-02</v>
          </cell>
          <cell r="J71">
            <v>190</v>
          </cell>
          <cell r="K71">
            <v>0.52</v>
          </cell>
          <cell r="L71">
            <v>0</v>
          </cell>
          <cell r="M71" t="str">
            <v>$</v>
          </cell>
          <cell r="N71" t="str">
            <v>RFL</v>
          </cell>
          <cell r="O71" t="str">
            <v>Renta Fija Local</v>
          </cell>
          <cell r="P71" t="str">
            <v>N-1</v>
          </cell>
          <cell r="Q71" t="str">
            <v>Corto</v>
          </cell>
          <cell r="R71" t="str">
            <v>Depósitos $</v>
          </cell>
          <cell r="S71">
            <v>1.1571670000000001</v>
          </cell>
          <cell r="T71" t="str">
            <v>N-1</v>
          </cell>
          <cell r="U71" t="str">
            <v>25</v>
          </cell>
          <cell r="V71" t="str">
            <v>Depósitos</v>
          </cell>
          <cell r="W71" t="str">
            <v>Depósitos</v>
          </cell>
          <cell r="X71" t="str">
            <v>Depósitos $</v>
          </cell>
          <cell r="Y71" t="str">
            <v>Depósitos</v>
          </cell>
          <cell r="Z71" t="str">
            <v>Corto $</v>
          </cell>
          <cell r="AA71" t="str">
            <v>Depósitos</v>
          </cell>
          <cell r="AB71" t="str">
            <v>Depósitos $</v>
          </cell>
          <cell r="AC71" t="str">
            <v>Instrumentos de Deuda</v>
          </cell>
          <cell r="AD71" t="str">
            <v>Financieras</v>
          </cell>
          <cell r="AE71" t="str">
            <v>Deposito CLP Banco Bci</v>
          </cell>
          <cell r="AF71" t="str">
            <v>BCI</v>
          </cell>
        </row>
        <row r="72">
          <cell r="C72" t="str">
            <v>PAGARE NR</v>
          </cell>
          <cell r="D72" t="str">
            <v>ITAU</v>
          </cell>
          <cell r="E72">
            <v>195545474</v>
          </cell>
          <cell r="F72">
            <v>200000000</v>
          </cell>
          <cell r="G72">
            <v>1.2833000000000001E-2</v>
          </cell>
          <cell r="H72">
            <v>0.34</v>
          </cell>
          <cell r="I72" t="str">
            <v>2017-06-12</v>
          </cell>
          <cell r="J72">
            <v>200</v>
          </cell>
          <cell r="K72">
            <v>0.55000000000000004</v>
          </cell>
          <cell r="L72">
            <v>0</v>
          </cell>
          <cell r="M72" t="str">
            <v>$</v>
          </cell>
          <cell r="N72" t="str">
            <v>RFL</v>
          </cell>
          <cell r="O72" t="str">
            <v>Renta Fija Local</v>
          </cell>
          <cell r="P72" t="str">
            <v>N-1</v>
          </cell>
          <cell r="Q72" t="str">
            <v>Corto</v>
          </cell>
          <cell r="R72" t="str">
            <v>Depósitos $</v>
          </cell>
          <cell r="S72">
            <v>1.1571670000000001</v>
          </cell>
          <cell r="T72" t="str">
            <v>N-1</v>
          </cell>
          <cell r="U72" t="str">
            <v>25</v>
          </cell>
          <cell r="V72" t="str">
            <v>Depósitos</v>
          </cell>
          <cell r="W72" t="str">
            <v>Depósitos</v>
          </cell>
          <cell r="X72" t="str">
            <v>Depósitos $</v>
          </cell>
          <cell r="Y72" t="str">
            <v>Depósitos</v>
          </cell>
          <cell r="Z72" t="str">
            <v>Corto $</v>
          </cell>
          <cell r="AA72" t="str">
            <v>Depósitos</v>
          </cell>
          <cell r="AB72" t="str">
            <v>Depósitos $</v>
          </cell>
          <cell r="AC72" t="str">
            <v>Instrumentos de Deuda</v>
          </cell>
          <cell r="AD72" t="str">
            <v>Financieras</v>
          </cell>
          <cell r="AE72" t="str">
            <v>Deposito CLP Banco Itau</v>
          </cell>
          <cell r="AF72" t="str">
            <v>Itau/Corpbanca</v>
          </cell>
        </row>
        <row r="73">
          <cell r="C73" t="str">
            <v>PAGARE NR</v>
          </cell>
          <cell r="D73" t="str">
            <v>CHILE</v>
          </cell>
          <cell r="E73">
            <v>185869969</v>
          </cell>
          <cell r="F73">
            <v>190000000</v>
          </cell>
          <cell r="G73">
            <v>1.2198000000000001E-2</v>
          </cell>
          <cell r="H73">
            <v>0.33</v>
          </cell>
          <cell r="I73" t="str">
            <v>2017-06-13</v>
          </cell>
          <cell r="J73">
            <v>201</v>
          </cell>
          <cell r="K73">
            <v>0.55000000000000004</v>
          </cell>
          <cell r="L73">
            <v>0</v>
          </cell>
          <cell r="M73" t="str">
            <v>$</v>
          </cell>
          <cell r="N73" t="str">
            <v>RFL</v>
          </cell>
          <cell r="O73" t="str">
            <v>Renta Fija Local</v>
          </cell>
          <cell r="P73" t="str">
            <v>N-1</v>
          </cell>
          <cell r="Q73" t="str">
            <v>Corto</v>
          </cell>
          <cell r="R73" t="str">
            <v>Depósitos $</v>
          </cell>
          <cell r="S73">
            <v>1.0326709999999999</v>
          </cell>
          <cell r="T73" t="str">
            <v>N-1</v>
          </cell>
          <cell r="U73" t="str">
            <v>25</v>
          </cell>
          <cell r="V73" t="str">
            <v>Depósitos</v>
          </cell>
          <cell r="W73" t="str">
            <v>Depósitos</v>
          </cell>
          <cell r="X73" t="str">
            <v>Depósitos $</v>
          </cell>
          <cell r="Y73" t="str">
            <v>Depósitos</v>
          </cell>
          <cell r="Z73" t="str">
            <v>Corto $</v>
          </cell>
          <cell r="AA73" t="str">
            <v>Depósitos</v>
          </cell>
          <cell r="AB73" t="str">
            <v>Depósitos $</v>
          </cell>
          <cell r="AC73" t="str">
            <v>Instrumentos de Deuda</v>
          </cell>
          <cell r="AD73" t="str">
            <v>Financieras</v>
          </cell>
          <cell r="AE73" t="str">
            <v>Deposito CLP Banco Chile</v>
          </cell>
          <cell r="AF73" t="str">
            <v>Banco de Chile</v>
          </cell>
        </row>
        <row r="74">
          <cell r="C74" t="str">
            <v>PAGARE NR</v>
          </cell>
          <cell r="D74" t="str">
            <v>CHILE</v>
          </cell>
          <cell r="E74">
            <v>9768800</v>
          </cell>
          <cell r="F74">
            <v>9993548</v>
          </cell>
          <cell r="G74">
            <v>6.4099999999999997E-4</v>
          </cell>
          <cell r="H74">
            <v>0.34</v>
          </cell>
          <cell r="I74" t="str">
            <v>2017-06-14</v>
          </cell>
          <cell r="J74">
            <v>202</v>
          </cell>
          <cell r="K74">
            <v>0.56000000000000005</v>
          </cell>
          <cell r="L74">
            <v>0</v>
          </cell>
          <cell r="M74" t="str">
            <v>$</v>
          </cell>
          <cell r="N74" t="str">
            <v>RFL</v>
          </cell>
          <cell r="O74" t="str">
            <v>Renta Fija Local</v>
          </cell>
          <cell r="P74" t="str">
            <v>N-1</v>
          </cell>
          <cell r="Q74" t="str">
            <v>Corto</v>
          </cell>
          <cell r="R74" t="str">
            <v>Depósitos $</v>
          </cell>
          <cell r="S74">
            <v>1.1571670000000001</v>
          </cell>
          <cell r="T74" t="str">
            <v>N-1</v>
          </cell>
          <cell r="U74" t="str">
            <v>25</v>
          </cell>
          <cell r="V74" t="str">
            <v>Depósitos</v>
          </cell>
          <cell r="W74" t="str">
            <v>Depósitos</v>
          </cell>
          <cell r="X74" t="str">
            <v>Depósitos $</v>
          </cell>
          <cell r="Y74" t="str">
            <v>Depósitos</v>
          </cell>
          <cell r="Z74" t="str">
            <v>Corto $</v>
          </cell>
          <cell r="AA74" t="str">
            <v>Depósitos</v>
          </cell>
          <cell r="AB74" t="str">
            <v>Depósitos $</v>
          </cell>
          <cell r="AC74" t="str">
            <v>Instrumentos de Deuda</v>
          </cell>
          <cell r="AD74" t="str">
            <v>Financieras</v>
          </cell>
          <cell r="AE74" t="str">
            <v>Deposito CLP Banco Chile</v>
          </cell>
          <cell r="AF74" t="str">
            <v>Banco de Chile</v>
          </cell>
        </row>
        <row r="75">
          <cell r="C75" t="str">
            <v>PAGARE NR</v>
          </cell>
          <cell r="D75" t="str">
            <v>INTERNACIO</v>
          </cell>
          <cell r="E75">
            <v>106840020</v>
          </cell>
          <cell r="F75">
            <v>109594000</v>
          </cell>
          <cell r="G75">
            <v>7.0109999999999999E-3</v>
          </cell>
          <cell r="H75">
            <v>0.37</v>
          </cell>
          <cell r="I75" t="str">
            <v>2017-06-20</v>
          </cell>
          <cell r="J75">
            <v>208</v>
          </cell>
          <cell r="K75">
            <v>0.56999999999999995</v>
          </cell>
          <cell r="L75">
            <v>0</v>
          </cell>
          <cell r="M75" t="str">
            <v>$</v>
          </cell>
          <cell r="N75" t="str">
            <v>RFL</v>
          </cell>
          <cell r="O75" t="str">
            <v>Renta Fija Local</v>
          </cell>
          <cell r="P75" t="str">
            <v>N-1</v>
          </cell>
          <cell r="Q75" t="str">
            <v>Corto</v>
          </cell>
          <cell r="R75" t="str">
            <v>Depósitos $</v>
          </cell>
          <cell r="S75">
            <v>1.5314779999999999</v>
          </cell>
          <cell r="T75" t="str">
            <v>N-1</v>
          </cell>
          <cell r="U75" t="str">
            <v>25</v>
          </cell>
          <cell r="V75" t="str">
            <v>Depósitos</v>
          </cell>
          <cell r="W75" t="str">
            <v>Depósitos</v>
          </cell>
          <cell r="X75" t="str">
            <v>Depósitos $</v>
          </cell>
          <cell r="Y75" t="str">
            <v>Depósitos</v>
          </cell>
          <cell r="Z75" t="str">
            <v>Corto $</v>
          </cell>
          <cell r="AA75" t="str">
            <v>Depósitos</v>
          </cell>
          <cell r="AB75" t="str">
            <v>Depósitos $</v>
          </cell>
          <cell r="AC75" t="str">
            <v>Instrumentos de Deuda</v>
          </cell>
          <cell r="AD75" t="str">
            <v>Financieras</v>
          </cell>
          <cell r="AE75" t="str">
            <v>Deposito CLP Banco Internacio</v>
          </cell>
          <cell r="AF75" t="str">
            <v>Banco Internacional</v>
          </cell>
        </row>
        <row r="76">
          <cell r="C76" t="str">
            <v>PAGARE NR</v>
          </cell>
          <cell r="D76" t="str">
            <v>SANTANDER</v>
          </cell>
          <cell r="E76">
            <v>162030746</v>
          </cell>
          <cell r="F76">
            <v>165755833</v>
          </cell>
          <cell r="G76">
            <v>1.0633E-2</v>
          </cell>
          <cell r="H76">
            <v>0.33</v>
          </cell>
          <cell r="I76" t="str">
            <v>2017-06-20</v>
          </cell>
          <cell r="J76">
            <v>208</v>
          </cell>
          <cell r="K76">
            <v>0.56999999999999995</v>
          </cell>
          <cell r="L76">
            <v>0</v>
          </cell>
          <cell r="M76" t="str">
            <v>$</v>
          </cell>
          <cell r="N76" t="str">
            <v>RFL</v>
          </cell>
          <cell r="O76" t="str">
            <v>Renta Fija Local</v>
          </cell>
          <cell r="P76" t="str">
            <v>N-1</v>
          </cell>
          <cell r="Q76" t="str">
            <v>Corto</v>
          </cell>
          <cell r="R76" t="str">
            <v>Depósitos $</v>
          </cell>
          <cell r="S76">
            <v>1.0326709999999999</v>
          </cell>
          <cell r="T76" t="str">
            <v>N-1</v>
          </cell>
          <cell r="U76" t="str">
            <v>25</v>
          </cell>
          <cell r="V76" t="str">
            <v>Depósitos</v>
          </cell>
          <cell r="W76" t="str">
            <v>Depósitos</v>
          </cell>
          <cell r="X76" t="str">
            <v>Depósitos $</v>
          </cell>
          <cell r="Y76" t="str">
            <v>Depósitos</v>
          </cell>
          <cell r="Z76" t="str">
            <v>Corto $</v>
          </cell>
          <cell r="AA76" t="str">
            <v>Depósitos</v>
          </cell>
          <cell r="AB76" t="str">
            <v>Depósitos $</v>
          </cell>
          <cell r="AC76" t="str">
            <v>Instrumentos de Deuda</v>
          </cell>
          <cell r="AD76" t="str">
            <v>Financieras</v>
          </cell>
          <cell r="AE76" t="str">
            <v>Deposito CLP Banco Santander</v>
          </cell>
          <cell r="AF76" t="str">
            <v>Banco Santander</v>
          </cell>
        </row>
        <row r="77">
          <cell r="C77" t="str">
            <v>BCOR-L0707</v>
          </cell>
          <cell r="D77" t="str">
            <v>BBCORPBANC</v>
          </cell>
          <cell r="E77">
            <v>53321220</v>
          </cell>
          <cell r="F77">
            <v>2000</v>
          </cell>
          <cell r="G77">
            <v>3.4989999999999999E-3</v>
          </cell>
          <cell r="H77">
            <v>3.35</v>
          </cell>
          <cell r="I77" t="str">
            <v>2017-07-01</v>
          </cell>
          <cell r="J77">
            <v>219</v>
          </cell>
          <cell r="K77">
            <v>0.59</v>
          </cell>
          <cell r="L77">
            <v>100.03</v>
          </cell>
          <cell r="M77" t="str">
            <v>UF</v>
          </cell>
          <cell r="N77" t="str">
            <v>RFL</v>
          </cell>
          <cell r="O77" t="str">
            <v>Renta Fija Local</v>
          </cell>
          <cell r="P77" t="str">
            <v>AA ; AA-</v>
          </cell>
          <cell r="Q77" t="str">
            <v>Corto</v>
          </cell>
          <cell r="R77" t="str">
            <v>Corporativo Bajo Riesgo Corto</v>
          </cell>
          <cell r="S77">
            <v>3.35</v>
          </cell>
          <cell r="T77" t="str">
            <v>AA-</v>
          </cell>
          <cell r="U77" t="str">
            <v>4</v>
          </cell>
          <cell r="V77" t="str">
            <v>Bajo Riesgo</v>
          </cell>
          <cell r="W77" t="str">
            <v>Corporativo</v>
          </cell>
          <cell r="X77" t="str">
            <v>Bajo Riesgo Corto UF</v>
          </cell>
          <cell r="Y77" t="str">
            <v>Corporativo Bajo Riesgo Corto</v>
          </cell>
          <cell r="Z77" t="str">
            <v>Corto UF</v>
          </cell>
          <cell r="AA77" t="str">
            <v>Corporativo Corto</v>
          </cell>
          <cell r="AB77" t="str">
            <v>Corporativo UF</v>
          </cell>
          <cell r="AC77" t="str">
            <v>Instrumentos de Deuda</v>
          </cell>
          <cell r="AD77" t="str">
            <v>Financieras</v>
          </cell>
          <cell r="AE77" t="str">
            <v>Bono Corpbanca Serie L</v>
          </cell>
          <cell r="AF77" t="str">
            <v>Itau/Corpbanca</v>
          </cell>
        </row>
        <row r="78">
          <cell r="C78" t="str">
            <v>BCORAF0710</v>
          </cell>
          <cell r="D78" t="str">
            <v>BBCORPBANC</v>
          </cell>
          <cell r="E78">
            <v>26560738</v>
          </cell>
          <cell r="F78">
            <v>1000</v>
          </cell>
          <cell r="G78">
            <v>1.743E-3</v>
          </cell>
          <cell r="H78">
            <v>3.37</v>
          </cell>
          <cell r="I78" t="str">
            <v>2017-07-01</v>
          </cell>
          <cell r="J78">
            <v>219</v>
          </cell>
          <cell r="K78">
            <v>0.6</v>
          </cell>
          <cell r="L78">
            <v>99.8</v>
          </cell>
          <cell r="M78" t="str">
            <v>UF</v>
          </cell>
          <cell r="N78" t="str">
            <v>RFL</v>
          </cell>
          <cell r="O78" t="str">
            <v>Renta Fija Local</v>
          </cell>
          <cell r="P78" t="str">
            <v>AA ; AA-</v>
          </cell>
          <cell r="Q78" t="str">
            <v>Corto</v>
          </cell>
          <cell r="R78" t="str">
            <v>Corporativo Bajo Riesgo Corto</v>
          </cell>
          <cell r="S78">
            <v>3.37</v>
          </cell>
          <cell r="T78" t="str">
            <v>AA-</v>
          </cell>
          <cell r="U78" t="str">
            <v>4</v>
          </cell>
          <cell r="V78" t="str">
            <v>Bajo Riesgo</v>
          </cell>
          <cell r="W78" t="str">
            <v>Corporativo</v>
          </cell>
          <cell r="X78" t="str">
            <v>Bajo Riesgo Corto UF</v>
          </cell>
          <cell r="Y78" t="str">
            <v>Corporativo Bajo Riesgo Corto</v>
          </cell>
          <cell r="Z78" t="str">
            <v>Corto UF</v>
          </cell>
          <cell r="AA78" t="str">
            <v>Corporativo Corto</v>
          </cell>
          <cell r="AB78" t="str">
            <v>Corporativo UF</v>
          </cell>
          <cell r="AC78" t="str">
            <v>Instrumentos de Deuda</v>
          </cell>
          <cell r="AD78" t="str">
            <v>Financieras</v>
          </cell>
          <cell r="AE78" t="str">
            <v>Bono Corpbanca Serie Af</v>
          </cell>
          <cell r="AF78" t="str">
            <v>Itau/Corpbanca</v>
          </cell>
        </row>
        <row r="79">
          <cell r="C79" t="str">
            <v>PAGARE NR</v>
          </cell>
          <cell r="D79" t="str">
            <v>ESTADO</v>
          </cell>
          <cell r="E79">
            <v>11254860</v>
          </cell>
          <cell r="F79">
            <v>11540583</v>
          </cell>
          <cell r="G79">
            <v>7.3800000000000005E-4</v>
          </cell>
          <cell r="H79">
            <v>0.34</v>
          </cell>
          <cell r="I79" t="str">
            <v>2017-07-05</v>
          </cell>
          <cell r="J79">
            <v>223</v>
          </cell>
          <cell r="K79">
            <v>0.61</v>
          </cell>
          <cell r="L79">
            <v>0</v>
          </cell>
          <cell r="M79" t="str">
            <v>$</v>
          </cell>
          <cell r="N79" t="str">
            <v>RFL</v>
          </cell>
          <cell r="O79" t="str">
            <v>Renta Fija Local</v>
          </cell>
          <cell r="P79" t="str">
            <v>N-1</v>
          </cell>
          <cell r="Q79" t="str">
            <v>Corto</v>
          </cell>
          <cell r="R79" t="str">
            <v>Depósitos $</v>
          </cell>
          <cell r="S79">
            <v>1.1571670000000001</v>
          </cell>
          <cell r="T79" t="str">
            <v>N-1</v>
          </cell>
          <cell r="U79" t="str">
            <v>25</v>
          </cell>
          <cell r="V79" t="str">
            <v>Depósitos</v>
          </cell>
          <cell r="W79" t="str">
            <v>Depósitos</v>
          </cell>
          <cell r="X79" t="str">
            <v>Depósitos $</v>
          </cell>
          <cell r="Y79" t="str">
            <v>Depósitos</v>
          </cell>
          <cell r="Z79" t="str">
            <v>Corto $</v>
          </cell>
          <cell r="AA79" t="str">
            <v>Depósitos</v>
          </cell>
          <cell r="AB79" t="str">
            <v>Depósitos $</v>
          </cell>
          <cell r="AC79" t="str">
            <v>Instrumentos de Deuda</v>
          </cell>
          <cell r="AD79" t="str">
            <v>Financieras</v>
          </cell>
          <cell r="AE79" t="str">
            <v>Deposito CLP Banco Estado</v>
          </cell>
          <cell r="AF79" t="str">
            <v>Banco Estado</v>
          </cell>
        </row>
        <row r="80">
          <cell r="C80" t="str">
            <v>PAGARE NR</v>
          </cell>
          <cell r="D80" t="str">
            <v>SCOTIABANK</v>
          </cell>
          <cell r="E80">
            <v>99116906</v>
          </cell>
          <cell r="F80">
            <v>101689320</v>
          </cell>
          <cell r="G80">
            <v>6.5040000000000002E-3</v>
          </cell>
          <cell r="H80">
            <v>0.34</v>
          </cell>
          <cell r="I80" t="str">
            <v>2017-07-10</v>
          </cell>
          <cell r="J80">
            <v>228</v>
          </cell>
          <cell r="K80">
            <v>0.63</v>
          </cell>
          <cell r="L80">
            <v>0</v>
          </cell>
          <cell r="M80" t="str">
            <v>$</v>
          </cell>
          <cell r="N80" t="str">
            <v>RFL</v>
          </cell>
          <cell r="O80" t="str">
            <v>Renta Fija Local</v>
          </cell>
          <cell r="P80" t="str">
            <v>N-1</v>
          </cell>
          <cell r="Q80" t="str">
            <v>Corto</v>
          </cell>
          <cell r="R80" t="str">
            <v>Depósitos $</v>
          </cell>
          <cell r="S80">
            <v>1.1571670000000001</v>
          </cell>
          <cell r="T80" t="str">
            <v>N-1</v>
          </cell>
          <cell r="U80" t="str">
            <v>25</v>
          </cell>
          <cell r="V80" t="str">
            <v>Depósitos</v>
          </cell>
          <cell r="W80" t="str">
            <v>Depósitos</v>
          </cell>
          <cell r="X80" t="str">
            <v>Depósitos $</v>
          </cell>
          <cell r="Y80" t="str">
            <v>Depósitos</v>
          </cell>
          <cell r="Z80" t="str">
            <v>Corto $</v>
          </cell>
          <cell r="AA80" t="str">
            <v>Depósitos</v>
          </cell>
          <cell r="AB80" t="str">
            <v>Depósitos $</v>
          </cell>
          <cell r="AC80" t="str">
            <v>Instrumentos de Deuda</v>
          </cell>
          <cell r="AD80" t="str">
            <v>Financieras</v>
          </cell>
          <cell r="AE80" t="str">
            <v>Deposito CLP Banco Scotiabank</v>
          </cell>
          <cell r="AF80" t="str">
            <v>Scotiabank</v>
          </cell>
        </row>
        <row r="81">
          <cell r="C81" t="str">
            <v>BEST-D0807</v>
          </cell>
          <cell r="D81" t="str">
            <v>BBESTADO</v>
          </cell>
          <cell r="E81">
            <v>268541057</v>
          </cell>
          <cell r="F81">
            <v>10000</v>
          </cell>
          <cell r="G81">
            <v>1.7623E-2</v>
          </cell>
          <cell r="H81">
            <v>2.7</v>
          </cell>
          <cell r="I81" t="str">
            <v>2017-08-01</v>
          </cell>
          <cell r="J81">
            <v>250</v>
          </cell>
          <cell r="K81">
            <v>0.68</v>
          </cell>
          <cell r="L81">
            <v>100.86</v>
          </cell>
          <cell r="M81" t="str">
            <v>UF</v>
          </cell>
          <cell r="N81" t="str">
            <v>RFL</v>
          </cell>
          <cell r="O81" t="str">
            <v>Renta Fija Local</v>
          </cell>
          <cell r="P81" t="str">
            <v>AAA ; AAA</v>
          </cell>
          <cell r="Q81" t="str">
            <v>Corto</v>
          </cell>
          <cell r="R81" t="str">
            <v>Corporativo Bajo Riesgo Corto</v>
          </cell>
          <cell r="S81">
            <v>2.7</v>
          </cell>
          <cell r="T81" t="str">
            <v>AAA</v>
          </cell>
          <cell r="U81" t="str">
            <v>1</v>
          </cell>
          <cell r="V81" t="str">
            <v>Bajo Riesgo</v>
          </cell>
          <cell r="W81" t="str">
            <v>Corporativo</v>
          </cell>
          <cell r="X81" t="str">
            <v>Bajo Riesgo Corto UF</v>
          </cell>
          <cell r="Y81" t="str">
            <v>Corporativo Bajo Riesgo Corto</v>
          </cell>
          <cell r="Z81" t="str">
            <v>Corto UF</v>
          </cell>
          <cell r="AA81" t="str">
            <v>Corporativo Corto</v>
          </cell>
          <cell r="AB81" t="str">
            <v>Corporativo UF</v>
          </cell>
          <cell r="AC81" t="str">
            <v>Instrumentos de Deuda</v>
          </cell>
          <cell r="AD81" t="str">
            <v>Financieras</v>
          </cell>
          <cell r="AE81" t="str">
            <v>Bono Banco Estado Serie D</v>
          </cell>
          <cell r="AF81" t="str">
            <v>Banco Estado</v>
          </cell>
        </row>
        <row r="82">
          <cell r="C82" t="str">
            <v>PAGARE NR</v>
          </cell>
          <cell r="D82" t="str">
            <v>SCOTIABANK</v>
          </cell>
          <cell r="E82">
            <v>60936193</v>
          </cell>
          <cell r="F82">
            <v>62807747</v>
          </cell>
          <cell r="G82">
            <v>3.999E-3</v>
          </cell>
          <cell r="H82">
            <v>0.34</v>
          </cell>
          <cell r="I82" t="str">
            <v>2017-08-21</v>
          </cell>
          <cell r="J82">
            <v>270</v>
          </cell>
          <cell r="K82">
            <v>0.74</v>
          </cell>
          <cell r="L82">
            <v>0</v>
          </cell>
          <cell r="M82" t="str">
            <v>$</v>
          </cell>
          <cell r="N82" t="str">
            <v>RFL</v>
          </cell>
          <cell r="O82" t="str">
            <v>Renta Fija Local</v>
          </cell>
          <cell r="P82" t="str">
            <v>N-1</v>
          </cell>
          <cell r="Q82" t="str">
            <v>Corto</v>
          </cell>
          <cell r="R82" t="str">
            <v>Depósitos $</v>
          </cell>
          <cell r="S82">
            <v>1.1571670000000001</v>
          </cell>
          <cell r="T82" t="str">
            <v>N-1</v>
          </cell>
          <cell r="U82" t="str">
            <v>25</v>
          </cell>
          <cell r="V82" t="str">
            <v>Depósitos</v>
          </cell>
          <cell r="W82" t="str">
            <v>Depósitos</v>
          </cell>
          <cell r="X82" t="str">
            <v>Depósitos $</v>
          </cell>
          <cell r="Y82" t="str">
            <v>Depósitos</v>
          </cell>
          <cell r="Z82" t="str">
            <v>Corto $</v>
          </cell>
          <cell r="AA82" t="str">
            <v>Depósitos</v>
          </cell>
          <cell r="AB82" t="str">
            <v>Depósitos $</v>
          </cell>
          <cell r="AC82" t="str">
            <v>Instrumentos de Deuda</v>
          </cell>
          <cell r="AD82" t="str">
            <v>Financieras</v>
          </cell>
          <cell r="AE82" t="str">
            <v>Deposito CLP Banco Scotiabank</v>
          </cell>
          <cell r="AF82" t="str">
            <v>Scotiabank</v>
          </cell>
        </row>
        <row r="83">
          <cell r="C83" t="str">
            <v>PAGARE NR</v>
          </cell>
          <cell r="D83" t="str">
            <v>INTERNACIO</v>
          </cell>
          <cell r="E83">
            <v>96645748</v>
          </cell>
          <cell r="F83">
            <v>100000000</v>
          </cell>
          <cell r="G83">
            <v>6.3420000000000004E-3</v>
          </cell>
          <cell r="H83">
            <v>0.38</v>
          </cell>
          <cell r="I83" t="str">
            <v>2017-08-24</v>
          </cell>
          <cell r="J83">
            <v>273</v>
          </cell>
          <cell r="K83">
            <v>0.75</v>
          </cell>
          <cell r="L83">
            <v>0</v>
          </cell>
          <cell r="M83" t="str">
            <v>$</v>
          </cell>
          <cell r="N83" t="str">
            <v>RFL</v>
          </cell>
          <cell r="O83" t="str">
            <v>Renta Fija Local</v>
          </cell>
          <cell r="P83" t="str">
            <v>N-1</v>
          </cell>
          <cell r="Q83" t="str">
            <v>Corto</v>
          </cell>
          <cell r="R83" t="str">
            <v>Depósitos $</v>
          </cell>
          <cell r="S83">
            <v>1.656522</v>
          </cell>
          <cell r="T83" t="str">
            <v>N-1</v>
          </cell>
          <cell r="U83" t="str">
            <v>25</v>
          </cell>
          <cell r="V83" t="str">
            <v>Depósitos</v>
          </cell>
          <cell r="W83" t="str">
            <v>Depósitos</v>
          </cell>
          <cell r="X83" t="str">
            <v>Depósitos $</v>
          </cell>
          <cell r="Y83" t="str">
            <v>Depósitos</v>
          </cell>
          <cell r="Z83" t="str">
            <v>Corto $</v>
          </cell>
          <cell r="AA83" t="str">
            <v>Depósitos</v>
          </cell>
          <cell r="AB83" t="str">
            <v>Depósitos $</v>
          </cell>
          <cell r="AC83" t="str">
            <v>Instrumentos de Deuda</v>
          </cell>
          <cell r="AD83" t="str">
            <v>Financieras</v>
          </cell>
          <cell r="AE83" t="str">
            <v>Deposito CLP Banco Internacio</v>
          </cell>
          <cell r="AF83" t="str">
            <v>Banco Internacional</v>
          </cell>
        </row>
        <row r="84">
          <cell r="C84" t="str">
            <v>PAGARE NR</v>
          </cell>
          <cell r="D84" t="str">
            <v>CONSORCIO</v>
          </cell>
          <cell r="E84">
            <v>290079288</v>
          </cell>
          <cell r="F84">
            <v>300000000</v>
          </cell>
          <cell r="G84">
            <v>1.9036999999999998E-2</v>
          </cell>
          <cell r="H84">
            <v>0.36</v>
          </cell>
          <cell r="I84" t="str">
            <v>2017-09-04</v>
          </cell>
          <cell r="J84">
            <v>284</v>
          </cell>
          <cell r="K84">
            <v>0.78</v>
          </cell>
          <cell r="L84">
            <v>0</v>
          </cell>
          <cell r="M84" t="str">
            <v>$</v>
          </cell>
          <cell r="N84" t="str">
            <v>RFL</v>
          </cell>
          <cell r="O84" t="str">
            <v>Renta Fija Local</v>
          </cell>
          <cell r="P84" t="str">
            <v>N-1</v>
          </cell>
          <cell r="Q84" t="str">
            <v>Corto</v>
          </cell>
          <cell r="R84" t="str">
            <v>Depósitos $</v>
          </cell>
          <cell r="S84">
            <v>1.406571</v>
          </cell>
          <cell r="T84" t="str">
            <v>N-1</v>
          </cell>
          <cell r="U84" t="str">
            <v>25</v>
          </cell>
          <cell r="V84" t="str">
            <v>Depósitos</v>
          </cell>
          <cell r="W84" t="str">
            <v>Depósitos</v>
          </cell>
          <cell r="X84" t="str">
            <v>Depósitos $</v>
          </cell>
          <cell r="Y84" t="str">
            <v>Depósitos</v>
          </cell>
          <cell r="Z84" t="str">
            <v>Corto $</v>
          </cell>
          <cell r="AA84" t="str">
            <v>Depósitos</v>
          </cell>
          <cell r="AB84" t="str">
            <v>Depósitos $</v>
          </cell>
          <cell r="AC84" t="str">
            <v>Instrumentos de Deuda</v>
          </cell>
          <cell r="AD84" t="str">
            <v>Financieras</v>
          </cell>
          <cell r="AE84" t="str">
            <v>Deposito CLP Banco Consorcio</v>
          </cell>
          <cell r="AF84" t="str">
            <v>Banco Consorcio</v>
          </cell>
        </row>
        <row r="85">
          <cell r="C85" t="str">
            <v>PAGARE NR</v>
          </cell>
          <cell r="D85" t="str">
            <v>RIPLEY</v>
          </cell>
          <cell r="E85">
            <v>108275972</v>
          </cell>
          <cell r="F85">
            <v>112402369</v>
          </cell>
          <cell r="G85">
            <v>7.1050000000000002E-3</v>
          </cell>
          <cell r="H85">
            <v>0.37</v>
          </cell>
          <cell r="I85" t="str">
            <v>2017-09-28</v>
          </cell>
          <cell r="J85">
            <v>308</v>
          </cell>
          <cell r="K85">
            <v>0.85</v>
          </cell>
          <cell r="L85">
            <v>0</v>
          </cell>
          <cell r="M85" t="str">
            <v>$</v>
          </cell>
          <cell r="N85" t="str">
            <v>RFL</v>
          </cell>
          <cell r="O85" t="str">
            <v>Renta Fija Local</v>
          </cell>
          <cell r="P85" t="str">
            <v>N-1</v>
          </cell>
          <cell r="Q85" t="str">
            <v>Corto</v>
          </cell>
          <cell r="R85" t="str">
            <v>Depósitos $</v>
          </cell>
          <cell r="S85">
            <v>1.5314779999999999</v>
          </cell>
          <cell r="T85" t="str">
            <v>N-1</v>
          </cell>
          <cell r="U85" t="str">
            <v>25</v>
          </cell>
          <cell r="V85" t="str">
            <v>Depósitos</v>
          </cell>
          <cell r="W85" t="str">
            <v>Depósitos</v>
          </cell>
          <cell r="X85" t="str">
            <v>Depósitos $</v>
          </cell>
          <cell r="Y85" t="str">
            <v>Depósitos</v>
          </cell>
          <cell r="Z85" t="str">
            <v>Corto $</v>
          </cell>
          <cell r="AA85" t="str">
            <v>Depósitos</v>
          </cell>
          <cell r="AB85" t="str">
            <v>Depósitos $</v>
          </cell>
          <cell r="AC85" t="str">
            <v>Instrumentos de Deuda</v>
          </cell>
          <cell r="AD85" t="str">
            <v>Financieras</v>
          </cell>
          <cell r="AE85" t="str">
            <v>Deposito CLP Banco Ripley</v>
          </cell>
          <cell r="AF85" t="str">
            <v>Banco Ripley</v>
          </cell>
        </row>
        <row r="86">
          <cell r="C86" t="str">
            <v>BBECP-B</v>
          </cell>
          <cell r="D86" t="str">
            <v>BICECORP</v>
          </cell>
          <cell r="E86">
            <v>264026234</v>
          </cell>
          <cell r="F86">
            <v>520000000</v>
          </cell>
          <cell r="G86">
            <v>1.7326999999999999E-2</v>
          </cell>
          <cell r="H86">
            <v>5.03</v>
          </cell>
          <cell r="I86" t="str">
            <v>2018-07-15</v>
          </cell>
          <cell r="J86">
            <v>598</v>
          </cell>
          <cell r="K86">
            <v>0.86</v>
          </cell>
          <cell r="L86">
            <v>99.84</v>
          </cell>
          <cell r="M86" t="str">
            <v>$</v>
          </cell>
          <cell r="N86" t="str">
            <v>RFL</v>
          </cell>
          <cell r="O86" t="str">
            <v>Renta Fija Local</v>
          </cell>
          <cell r="P86" t="str">
            <v>AA ; AA</v>
          </cell>
          <cell r="Q86" t="str">
            <v>Corto</v>
          </cell>
          <cell r="R86" t="str">
            <v>Corporativo Bajo Riesgo Corto</v>
          </cell>
          <cell r="S86">
            <v>2.0299999999999998</v>
          </cell>
          <cell r="T86" t="str">
            <v>AA</v>
          </cell>
          <cell r="U86" t="str">
            <v>3</v>
          </cell>
          <cell r="V86" t="str">
            <v>Bajo Riesgo</v>
          </cell>
          <cell r="W86" t="str">
            <v>Corporativo</v>
          </cell>
          <cell r="X86" t="str">
            <v>Bajo Riesgo Corto $</v>
          </cell>
          <cell r="Y86" t="str">
            <v>Corporativo Bajo Riesgo Corto</v>
          </cell>
          <cell r="Z86" t="str">
            <v>Corto $</v>
          </cell>
          <cell r="AA86" t="str">
            <v>Corporativo Corto</v>
          </cell>
          <cell r="AB86" t="str">
            <v>Corporativo $</v>
          </cell>
          <cell r="AC86" t="str">
            <v>Instrumentos de Deuda</v>
          </cell>
          <cell r="AD86" t="str">
            <v>Financieras</v>
          </cell>
          <cell r="AE86" t="str">
            <v>Bono Bice B</v>
          </cell>
          <cell r="AF86" t="str">
            <v>BICECORP</v>
          </cell>
        </row>
        <row r="87">
          <cell r="C87" t="str">
            <v>PAGARE NR</v>
          </cell>
          <cell r="D87" t="str">
            <v>SCOTIABANK</v>
          </cell>
          <cell r="E87">
            <v>96390187</v>
          </cell>
          <cell r="F87">
            <v>100000000</v>
          </cell>
          <cell r="G87">
            <v>6.3249999999999999E-3</v>
          </cell>
          <cell r="H87">
            <v>0.35</v>
          </cell>
          <cell r="I87" t="str">
            <v>2017-10-10</v>
          </cell>
          <cell r="J87">
            <v>320</v>
          </cell>
          <cell r="K87">
            <v>0.88</v>
          </cell>
          <cell r="L87">
            <v>0</v>
          </cell>
          <cell r="M87" t="str">
            <v>$</v>
          </cell>
          <cell r="N87" t="str">
            <v>RFL</v>
          </cell>
          <cell r="O87" t="str">
            <v>Renta Fija Local</v>
          </cell>
          <cell r="P87" t="str">
            <v>N-1</v>
          </cell>
          <cell r="Q87" t="str">
            <v>Corto</v>
          </cell>
          <cell r="R87" t="str">
            <v>Depósitos $</v>
          </cell>
          <cell r="S87">
            <v>1.281801</v>
          </cell>
          <cell r="T87" t="str">
            <v>N-1</v>
          </cell>
          <cell r="U87" t="str">
            <v>25</v>
          </cell>
          <cell r="V87" t="str">
            <v>Depósitos</v>
          </cell>
          <cell r="W87" t="str">
            <v>Depósitos</v>
          </cell>
          <cell r="X87" t="str">
            <v>Depósitos $</v>
          </cell>
          <cell r="Y87" t="str">
            <v>Depósitos</v>
          </cell>
          <cell r="Z87" t="str">
            <v>Corto $</v>
          </cell>
          <cell r="AA87" t="str">
            <v>Depósitos</v>
          </cell>
          <cell r="AB87" t="str">
            <v>Depósitos $</v>
          </cell>
          <cell r="AC87" t="str">
            <v>Instrumentos de Deuda</v>
          </cell>
          <cell r="AD87" t="str">
            <v>Financieras</v>
          </cell>
          <cell r="AE87" t="str">
            <v>Deposito CLP Banco Scotiabank</v>
          </cell>
          <cell r="AF87" t="str">
            <v>Scotiabank</v>
          </cell>
        </row>
        <row r="88">
          <cell r="C88" t="str">
            <v>PAGARE NR</v>
          </cell>
          <cell r="D88" t="str">
            <v>SCOTIABANK</v>
          </cell>
          <cell r="E88">
            <v>96249479</v>
          </cell>
          <cell r="F88">
            <v>100000000</v>
          </cell>
          <cell r="G88">
            <v>6.3160000000000004E-3</v>
          </cell>
          <cell r="H88">
            <v>0.35</v>
          </cell>
          <cell r="I88" t="str">
            <v>2017-10-23</v>
          </cell>
          <cell r="J88">
            <v>333</v>
          </cell>
          <cell r="K88">
            <v>0.92</v>
          </cell>
          <cell r="L88">
            <v>0</v>
          </cell>
          <cell r="M88" t="str">
            <v>$</v>
          </cell>
          <cell r="N88" t="str">
            <v>RFL</v>
          </cell>
          <cell r="O88" t="str">
            <v>Renta Fija Local</v>
          </cell>
          <cell r="P88" t="str">
            <v>N-1</v>
          </cell>
          <cell r="Q88" t="str">
            <v>Corto</v>
          </cell>
          <cell r="R88" t="str">
            <v>Depósitos $</v>
          </cell>
          <cell r="S88">
            <v>1.281801</v>
          </cell>
          <cell r="T88" t="str">
            <v>N-1</v>
          </cell>
          <cell r="U88" t="str">
            <v>25</v>
          </cell>
          <cell r="V88" t="str">
            <v>Depósitos</v>
          </cell>
          <cell r="W88" t="str">
            <v>Depósitos</v>
          </cell>
          <cell r="X88" t="str">
            <v>Depósitos $</v>
          </cell>
          <cell r="Y88" t="str">
            <v>Depósitos</v>
          </cell>
          <cell r="Z88" t="str">
            <v>Corto $</v>
          </cell>
          <cell r="AA88" t="str">
            <v>Depósitos</v>
          </cell>
          <cell r="AB88" t="str">
            <v>Depósitos $</v>
          </cell>
          <cell r="AC88" t="str">
            <v>Instrumentos de Deuda</v>
          </cell>
          <cell r="AD88" t="str">
            <v>Financieras</v>
          </cell>
          <cell r="AE88" t="str">
            <v>Deposito CLP Banco Scotiabank</v>
          </cell>
          <cell r="AF88" t="str">
            <v>Scotiabank</v>
          </cell>
        </row>
        <row r="89">
          <cell r="C89" t="str">
            <v>BSECB21112</v>
          </cell>
          <cell r="D89" t="str">
            <v>BBSECURITY</v>
          </cell>
          <cell r="E89">
            <v>66236738</v>
          </cell>
          <cell r="F89">
            <v>2500</v>
          </cell>
          <cell r="G89">
            <v>4.346E-3</v>
          </cell>
          <cell r="H89">
            <v>2.68</v>
          </cell>
          <cell r="I89" t="str">
            <v>2017-11-01</v>
          </cell>
          <cell r="J89">
            <v>342</v>
          </cell>
          <cell r="K89">
            <v>0.93</v>
          </cell>
          <cell r="L89">
            <v>100.54</v>
          </cell>
          <cell r="M89" t="str">
            <v>UF</v>
          </cell>
          <cell r="N89" t="str">
            <v>RFL</v>
          </cell>
          <cell r="O89" t="str">
            <v>Renta Fija Local</v>
          </cell>
          <cell r="P89" t="str">
            <v>AA- ; AA-</v>
          </cell>
          <cell r="Q89" t="str">
            <v>Corto</v>
          </cell>
          <cell r="R89" t="str">
            <v>Corporativo Bajo Riesgo Corto</v>
          </cell>
          <cell r="S89">
            <v>2.68</v>
          </cell>
          <cell r="T89" t="str">
            <v>AA-</v>
          </cell>
          <cell r="U89" t="str">
            <v>4</v>
          </cell>
          <cell r="V89" t="str">
            <v>Bajo Riesgo</v>
          </cell>
          <cell r="W89" t="str">
            <v>Corporativo</v>
          </cell>
          <cell r="X89" t="str">
            <v>Bajo Riesgo Corto UF</v>
          </cell>
          <cell r="Y89" t="str">
            <v>Corporativo Bajo Riesgo Corto</v>
          </cell>
          <cell r="Z89" t="str">
            <v>Corto UF</v>
          </cell>
          <cell r="AA89" t="str">
            <v>Corporativo Corto</v>
          </cell>
          <cell r="AB89" t="str">
            <v>Corporativo UF</v>
          </cell>
          <cell r="AC89" t="str">
            <v>Instrumentos de Deuda</v>
          </cell>
          <cell r="AD89" t="str">
            <v>Financieras</v>
          </cell>
          <cell r="AE89" t="str">
            <v>Bono Bancario Security Serie B2</v>
          </cell>
          <cell r="AF89" t="str">
            <v>Banco Security</v>
          </cell>
        </row>
        <row r="90">
          <cell r="C90" t="str">
            <v>PAGARE NR</v>
          </cell>
          <cell r="D90" t="str">
            <v>BCI</v>
          </cell>
          <cell r="E90">
            <v>192261476</v>
          </cell>
          <cell r="F90">
            <v>200000000</v>
          </cell>
          <cell r="G90">
            <v>1.2617E-2</v>
          </cell>
          <cell r="H90">
            <v>0.35</v>
          </cell>
          <cell r="I90" t="str">
            <v>2017-11-03</v>
          </cell>
          <cell r="J90">
            <v>344</v>
          </cell>
          <cell r="K90">
            <v>0.95</v>
          </cell>
          <cell r="L90">
            <v>0</v>
          </cell>
          <cell r="M90" t="str">
            <v>$</v>
          </cell>
          <cell r="N90" t="str">
            <v>RFL</v>
          </cell>
          <cell r="O90" t="str">
            <v>Renta Fija Local</v>
          </cell>
          <cell r="P90" t="str">
            <v>N-1</v>
          </cell>
          <cell r="Q90" t="str">
            <v>Corto</v>
          </cell>
          <cell r="R90" t="str">
            <v>Depósitos $</v>
          </cell>
          <cell r="S90">
            <v>1.281801</v>
          </cell>
          <cell r="T90" t="str">
            <v>N-1</v>
          </cell>
          <cell r="U90" t="str">
            <v>25</v>
          </cell>
          <cell r="V90" t="str">
            <v>Depósitos</v>
          </cell>
          <cell r="W90" t="str">
            <v>Depósitos</v>
          </cell>
          <cell r="X90" t="str">
            <v>Depósitos $</v>
          </cell>
          <cell r="Y90" t="str">
            <v>Depósitos</v>
          </cell>
          <cell r="Z90" t="str">
            <v>Corto $</v>
          </cell>
          <cell r="AA90" t="str">
            <v>Depósitos</v>
          </cell>
          <cell r="AB90" t="str">
            <v>Depósitos $</v>
          </cell>
          <cell r="AC90" t="str">
            <v>Instrumentos de Deuda</v>
          </cell>
          <cell r="AD90" t="str">
            <v>Financieras</v>
          </cell>
          <cell r="AE90" t="str">
            <v>Deposito CLP Banco Bci</v>
          </cell>
          <cell r="AF90" t="str">
            <v>BCI</v>
          </cell>
        </row>
        <row r="91">
          <cell r="C91" t="str">
            <v>BCAJ-I0315</v>
          </cell>
          <cell r="D91" t="str">
            <v>LOS ANDES</v>
          </cell>
          <cell r="E91">
            <v>32307465</v>
          </cell>
          <cell r="F91">
            <v>40000000</v>
          </cell>
          <cell r="G91">
            <v>2.1199999999999999E-3</v>
          </cell>
          <cell r="H91">
            <v>5.21</v>
          </cell>
          <cell r="I91" t="str">
            <v>2018-09-15</v>
          </cell>
          <cell r="J91">
            <v>660</v>
          </cell>
          <cell r="K91">
            <v>1.03</v>
          </cell>
          <cell r="L91">
            <v>100</v>
          </cell>
          <cell r="M91" t="str">
            <v>$</v>
          </cell>
          <cell r="N91" t="str">
            <v>RFL</v>
          </cell>
          <cell r="O91" t="str">
            <v>Renta Fija Local</v>
          </cell>
          <cell r="P91" t="str">
            <v>A</v>
          </cell>
          <cell r="Q91" t="str">
            <v>Corto</v>
          </cell>
          <cell r="R91" t="str">
            <v>Corporativo Alto Riesgo Corto</v>
          </cell>
          <cell r="S91">
            <v>2.21</v>
          </cell>
          <cell r="T91" t="str">
            <v>A</v>
          </cell>
          <cell r="U91" t="str">
            <v>6</v>
          </cell>
          <cell r="V91" t="str">
            <v>Alto Riesgo</v>
          </cell>
          <cell r="W91" t="str">
            <v>Corporativo</v>
          </cell>
          <cell r="X91" t="str">
            <v>Alto Riesgo Corto $</v>
          </cell>
          <cell r="Y91" t="str">
            <v>Corporativo Alto Riesgo Corto</v>
          </cell>
          <cell r="Z91" t="str">
            <v>Corto $</v>
          </cell>
          <cell r="AA91" t="str">
            <v>Corporativo Corto</v>
          </cell>
          <cell r="AB91" t="str">
            <v>Corporativo $</v>
          </cell>
          <cell r="AC91" t="str">
            <v>Instrumentos de Deuda</v>
          </cell>
          <cell r="AD91" t="str">
            <v>Financieras</v>
          </cell>
          <cell r="AE91" t="str">
            <v>Bono Caja Los Andes Serie I</v>
          </cell>
          <cell r="AF91" t="str">
            <v>Caja Los Andes</v>
          </cell>
        </row>
        <row r="92">
          <cell r="C92" t="str">
            <v>BSKSA-B</v>
          </cell>
          <cell r="D92" t="str">
            <v>SK</v>
          </cell>
          <cell r="E92">
            <v>10802376</v>
          </cell>
          <cell r="F92">
            <v>1000</v>
          </cell>
          <cell r="G92">
            <v>7.0799999999999997E-4</v>
          </cell>
          <cell r="H92">
            <v>2.75</v>
          </cell>
          <cell r="I92" t="str">
            <v>2018-09-15</v>
          </cell>
          <cell r="J92">
            <v>660</v>
          </cell>
          <cell r="K92">
            <v>1.04</v>
          </cell>
          <cell r="L92">
            <v>101.82</v>
          </cell>
          <cell r="M92" t="str">
            <v>UF</v>
          </cell>
          <cell r="N92" t="str">
            <v>RFL</v>
          </cell>
          <cell r="O92" t="str">
            <v>Renta Fija Local</v>
          </cell>
          <cell r="P92" t="str">
            <v>A+ ; A+</v>
          </cell>
          <cell r="Q92" t="str">
            <v>Corto</v>
          </cell>
          <cell r="R92" t="str">
            <v>Corporativo Alto Riesgo Corto</v>
          </cell>
          <cell r="S92">
            <v>2.75</v>
          </cell>
          <cell r="T92" t="str">
            <v>A+</v>
          </cell>
          <cell r="U92" t="str">
            <v>5</v>
          </cell>
          <cell r="V92" t="str">
            <v>Alto Riesgo</v>
          </cell>
          <cell r="W92" t="str">
            <v>Corporativo</v>
          </cell>
          <cell r="X92" t="str">
            <v>Alto Riesgo Corto UF</v>
          </cell>
          <cell r="Y92" t="str">
            <v>Corporativo Alto Riesgo Corto</v>
          </cell>
          <cell r="Z92" t="str">
            <v>Corto UF</v>
          </cell>
          <cell r="AA92" t="str">
            <v>Corporativo Corto</v>
          </cell>
          <cell r="AB92" t="str">
            <v>Corporativo UF</v>
          </cell>
          <cell r="AC92" t="str">
            <v>Instrumentos de Deuda</v>
          </cell>
          <cell r="AD92" t="str">
            <v>Industriales</v>
          </cell>
          <cell r="AE92" t="str">
            <v>Bono Sk Serie B</v>
          </cell>
          <cell r="AF92" t="str">
            <v>Sigdo Koppers S.A.</v>
          </cell>
        </row>
        <row r="93">
          <cell r="C93" t="str">
            <v>BSTDY30208</v>
          </cell>
          <cell r="D93" t="str">
            <v>BBSANT-CHI</v>
          </cell>
          <cell r="E93">
            <v>26981981</v>
          </cell>
          <cell r="F93">
            <v>1000</v>
          </cell>
          <cell r="G93">
            <v>1.7700000000000001E-3</v>
          </cell>
          <cell r="H93">
            <v>2.6</v>
          </cell>
          <cell r="I93" t="str">
            <v>2018-02-01</v>
          </cell>
          <cell r="J93">
            <v>434</v>
          </cell>
          <cell r="K93">
            <v>1.1599999999999999</v>
          </cell>
          <cell r="L93">
            <v>101.39</v>
          </cell>
          <cell r="M93" t="str">
            <v>UF</v>
          </cell>
          <cell r="N93" t="str">
            <v>RFL</v>
          </cell>
          <cell r="O93" t="str">
            <v>Renta Fija Local</v>
          </cell>
          <cell r="P93" t="str">
            <v>AAA ; AAA</v>
          </cell>
          <cell r="Q93" t="str">
            <v>Corto</v>
          </cell>
          <cell r="R93" t="str">
            <v>Corporativo Bajo Riesgo Corto</v>
          </cell>
          <cell r="S93">
            <v>2.6</v>
          </cell>
          <cell r="T93" t="str">
            <v>AAA</v>
          </cell>
          <cell r="U93" t="str">
            <v>1</v>
          </cell>
          <cell r="V93" t="str">
            <v>Bajo Riesgo</v>
          </cell>
          <cell r="W93" t="str">
            <v>Corporativo</v>
          </cell>
          <cell r="X93" t="str">
            <v>Bajo Riesgo Corto UF</v>
          </cell>
          <cell r="Y93" t="str">
            <v>Corporativo Bajo Riesgo Corto</v>
          </cell>
          <cell r="Z93" t="str">
            <v>Corto UF</v>
          </cell>
          <cell r="AA93" t="str">
            <v>Corporativo Corto</v>
          </cell>
          <cell r="AB93" t="str">
            <v>Corporativo UF</v>
          </cell>
          <cell r="AC93" t="str">
            <v>Instrumentos de Deuda</v>
          </cell>
          <cell r="AD93" t="str">
            <v>Financieras</v>
          </cell>
          <cell r="AE93" t="str">
            <v>Bono Banco Santander Serie Y3</v>
          </cell>
          <cell r="AF93" t="str">
            <v>Banco Santander</v>
          </cell>
        </row>
        <row r="94">
          <cell r="C94" t="str">
            <v>BCTOR-F</v>
          </cell>
          <cell r="D94" t="str">
            <v>CONCHATORO</v>
          </cell>
          <cell r="E94">
            <v>35479170</v>
          </cell>
          <cell r="F94">
            <v>2000</v>
          </cell>
          <cell r="G94">
            <v>2.3280000000000002E-3</v>
          </cell>
          <cell r="H94">
            <v>2.64</v>
          </cell>
          <cell r="I94" t="str">
            <v>2018-11-05</v>
          </cell>
          <cell r="J94">
            <v>711</v>
          </cell>
          <cell r="K94">
            <v>1.18</v>
          </cell>
          <cell r="L94">
            <v>101</v>
          </cell>
          <cell r="M94" t="str">
            <v>UF</v>
          </cell>
          <cell r="N94" t="str">
            <v>RFL</v>
          </cell>
          <cell r="O94" t="str">
            <v>Renta Fija Local</v>
          </cell>
          <cell r="P94" t="str">
            <v>AA- ; AA-</v>
          </cell>
          <cell r="Q94" t="str">
            <v>Corto</v>
          </cell>
          <cell r="R94" t="str">
            <v>Corporativo Bajo Riesgo Corto</v>
          </cell>
          <cell r="S94">
            <v>2.64</v>
          </cell>
          <cell r="T94" t="str">
            <v>AA-</v>
          </cell>
          <cell r="U94" t="str">
            <v>4</v>
          </cell>
          <cell r="V94" t="str">
            <v>Bajo Riesgo</v>
          </cell>
          <cell r="W94" t="str">
            <v>Corporativo</v>
          </cell>
          <cell r="X94" t="str">
            <v>Bajo Riesgo Corto UF</v>
          </cell>
          <cell r="Y94" t="str">
            <v>Corporativo Bajo Riesgo Corto</v>
          </cell>
          <cell r="Z94" t="str">
            <v>Corto UF</v>
          </cell>
          <cell r="AA94" t="str">
            <v>Corporativo Corto</v>
          </cell>
          <cell r="AB94" t="str">
            <v>Corporativo UF</v>
          </cell>
          <cell r="AC94" t="str">
            <v>Instrumentos de Deuda</v>
          </cell>
          <cell r="AD94" t="str">
            <v>Consumo</v>
          </cell>
          <cell r="AE94" t="str">
            <v>Bono Concha Y Toro Serie F</v>
          </cell>
          <cell r="AF94" t="str">
            <v>Concha y Toro</v>
          </cell>
        </row>
        <row r="95">
          <cell r="C95" t="str">
            <v>BBNS-P0413</v>
          </cell>
          <cell r="D95" t="str">
            <v>BBSCOTIABA</v>
          </cell>
          <cell r="E95">
            <v>26753883</v>
          </cell>
          <cell r="F95">
            <v>1000</v>
          </cell>
          <cell r="G95">
            <v>1.755E-3</v>
          </cell>
          <cell r="H95">
            <v>2.6</v>
          </cell>
          <cell r="I95" t="str">
            <v>2018-04-01</v>
          </cell>
          <cell r="J95">
            <v>493</v>
          </cell>
          <cell r="K95">
            <v>1.33</v>
          </cell>
          <cell r="L95">
            <v>101.21</v>
          </cell>
          <cell r="M95" t="str">
            <v>UF</v>
          </cell>
          <cell r="N95" t="str">
            <v>RFL</v>
          </cell>
          <cell r="O95" t="str">
            <v>Renta Fija Local</v>
          </cell>
          <cell r="P95" t="str">
            <v>AAA ; AAA</v>
          </cell>
          <cell r="Q95" t="str">
            <v>Corto</v>
          </cell>
          <cell r="R95" t="str">
            <v>Corporativo Bajo Riesgo Corto</v>
          </cell>
          <cell r="S95">
            <v>2.6</v>
          </cell>
          <cell r="T95" t="str">
            <v>AAA</v>
          </cell>
          <cell r="U95" t="str">
            <v>1</v>
          </cell>
          <cell r="V95" t="str">
            <v>Bajo Riesgo</v>
          </cell>
          <cell r="W95" t="str">
            <v>Corporativo</v>
          </cell>
          <cell r="X95" t="str">
            <v>Bajo Riesgo Corto UF</v>
          </cell>
          <cell r="Y95" t="str">
            <v>Corporativo Bajo Riesgo Corto</v>
          </cell>
          <cell r="Z95" t="str">
            <v>Corto UF</v>
          </cell>
          <cell r="AA95" t="str">
            <v>Corporativo Corto</v>
          </cell>
          <cell r="AB95" t="str">
            <v>Corporativo UF</v>
          </cell>
          <cell r="AC95" t="str">
            <v>Instrumentos de Deuda</v>
          </cell>
          <cell r="AD95" t="str">
            <v>Financieras</v>
          </cell>
          <cell r="AE95" t="str">
            <v>Bono Scotiabank Serie P</v>
          </cell>
          <cell r="AF95" t="str">
            <v>Scotiabank</v>
          </cell>
        </row>
        <row r="96">
          <cell r="C96" t="str">
            <v>BCFSA-A</v>
          </cell>
          <cell r="D96" t="str">
            <v>CONSOR FIN</v>
          </cell>
          <cell r="E96">
            <v>80352083</v>
          </cell>
          <cell r="F96">
            <v>3000</v>
          </cell>
          <cell r="G96">
            <v>5.2729999999999999E-3</v>
          </cell>
          <cell r="H96">
            <v>2.7</v>
          </cell>
          <cell r="I96" t="str">
            <v>2018-04-01</v>
          </cell>
          <cell r="J96">
            <v>493</v>
          </cell>
          <cell r="K96">
            <v>1.33</v>
          </cell>
          <cell r="L96">
            <v>101.3</v>
          </cell>
          <cell r="M96" t="str">
            <v>UF</v>
          </cell>
          <cell r="N96" t="str">
            <v>RFL</v>
          </cell>
          <cell r="O96" t="str">
            <v>Renta Fija Local</v>
          </cell>
          <cell r="P96" t="str">
            <v>AA- ; AA</v>
          </cell>
          <cell r="Q96" t="str">
            <v>Corto</v>
          </cell>
          <cell r="R96" t="str">
            <v>Corporativo Bajo Riesgo Corto</v>
          </cell>
          <cell r="S96">
            <v>2.7</v>
          </cell>
          <cell r="T96" t="str">
            <v>AA-</v>
          </cell>
          <cell r="U96" t="str">
            <v>4</v>
          </cell>
          <cell r="V96" t="str">
            <v>Bajo Riesgo</v>
          </cell>
          <cell r="W96" t="str">
            <v>Corporativo</v>
          </cell>
          <cell r="X96" t="str">
            <v>Bajo Riesgo Corto UF</v>
          </cell>
          <cell r="Y96" t="str">
            <v>Corporativo Bajo Riesgo Corto</v>
          </cell>
          <cell r="Z96" t="str">
            <v>Corto UF</v>
          </cell>
          <cell r="AA96" t="str">
            <v>Corporativo Corto</v>
          </cell>
          <cell r="AB96" t="str">
            <v>Corporativo UF</v>
          </cell>
          <cell r="AC96" t="str">
            <v>Instrumentos de Deuda</v>
          </cell>
          <cell r="AD96" t="str">
            <v>Financieras</v>
          </cell>
          <cell r="AE96" t="str">
            <v>Bono Consorcio Financiero Serie A</v>
          </cell>
          <cell r="AF96" t="str">
            <v>Consorcio Financiera</v>
          </cell>
        </row>
        <row r="97">
          <cell r="C97" t="str">
            <v>BSECM10109</v>
          </cell>
          <cell r="D97" t="str">
            <v>BBSECURITY</v>
          </cell>
          <cell r="E97">
            <v>8495637</v>
          </cell>
          <cell r="F97">
            <v>1000</v>
          </cell>
          <cell r="G97">
            <v>5.5699999999999999E-4</v>
          </cell>
          <cell r="H97">
            <v>2.7</v>
          </cell>
          <cell r="I97" t="str">
            <v>2019-07-01</v>
          </cell>
          <cell r="J97">
            <v>949</v>
          </cell>
          <cell r="K97">
            <v>1.34</v>
          </cell>
          <cell r="L97">
            <v>100.38</v>
          </cell>
          <cell r="M97" t="str">
            <v>UF</v>
          </cell>
          <cell r="N97" t="str">
            <v>RFL</v>
          </cell>
          <cell r="O97" t="str">
            <v>Renta Fija Local</v>
          </cell>
          <cell r="P97" t="str">
            <v>AA- ; AA-</v>
          </cell>
          <cell r="Q97" t="str">
            <v>Corto</v>
          </cell>
          <cell r="R97" t="str">
            <v>Corporativo Bajo Riesgo Corto</v>
          </cell>
          <cell r="S97">
            <v>2.7</v>
          </cell>
          <cell r="T97" t="str">
            <v>AA-</v>
          </cell>
          <cell r="U97" t="str">
            <v>4</v>
          </cell>
          <cell r="V97" t="str">
            <v>Bajo Riesgo</v>
          </cell>
          <cell r="W97" t="str">
            <v>Corporativo</v>
          </cell>
          <cell r="X97" t="str">
            <v>Bajo Riesgo Corto UF</v>
          </cell>
          <cell r="Y97" t="str">
            <v>Corporativo Bajo Riesgo Corto</v>
          </cell>
          <cell r="Z97" t="str">
            <v>Corto UF</v>
          </cell>
          <cell r="AA97" t="str">
            <v>Corporativo Corto</v>
          </cell>
          <cell r="AB97" t="str">
            <v>Corporativo UF</v>
          </cell>
          <cell r="AC97" t="str">
            <v>Instrumentos de Deuda</v>
          </cell>
          <cell r="AD97" t="str">
            <v>Financieras</v>
          </cell>
          <cell r="AE97" t="str">
            <v>Bono Bancario Security-M1</v>
          </cell>
          <cell r="AF97" t="str">
            <v>Banco Security</v>
          </cell>
        </row>
        <row r="98">
          <cell r="C98" t="str">
            <v>BBBVM21011</v>
          </cell>
          <cell r="D98" t="str">
            <v>BBBVA</v>
          </cell>
          <cell r="E98">
            <v>26523926</v>
          </cell>
          <cell r="F98">
            <v>1000</v>
          </cell>
          <cell r="G98">
            <v>1.74E-3</v>
          </cell>
          <cell r="H98">
            <v>2.64</v>
          </cell>
          <cell r="I98" t="str">
            <v>2018-04-09</v>
          </cell>
          <cell r="J98">
            <v>501</v>
          </cell>
          <cell r="K98">
            <v>1.35</v>
          </cell>
          <cell r="L98">
            <v>100.48</v>
          </cell>
          <cell r="M98" t="str">
            <v>UF</v>
          </cell>
          <cell r="N98" t="str">
            <v>RFL</v>
          </cell>
          <cell r="O98" t="str">
            <v>Renta Fija Local</v>
          </cell>
          <cell r="P98" t="str">
            <v>AA- ; AA+</v>
          </cell>
          <cell r="Q98" t="str">
            <v>Corto</v>
          </cell>
          <cell r="R98" t="str">
            <v>Corporativo Bajo Riesgo Corto</v>
          </cell>
          <cell r="S98">
            <v>2.64</v>
          </cell>
          <cell r="T98" t="str">
            <v>AA-</v>
          </cell>
          <cell r="U98" t="str">
            <v>4</v>
          </cell>
          <cell r="V98" t="str">
            <v>Bajo Riesgo</v>
          </cell>
          <cell r="W98" t="str">
            <v>Corporativo</v>
          </cell>
          <cell r="X98" t="str">
            <v>Bajo Riesgo Corto UF</v>
          </cell>
          <cell r="Y98" t="str">
            <v>Corporativo Bajo Riesgo Corto</v>
          </cell>
          <cell r="Z98" t="str">
            <v>Corto UF</v>
          </cell>
          <cell r="AA98" t="str">
            <v>Corporativo Corto</v>
          </cell>
          <cell r="AB98" t="str">
            <v>Corporativo UF</v>
          </cell>
          <cell r="AC98" t="str">
            <v>Instrumentos de Deuda</v>
          </cell>
          <cell r="AD98" t="str">
            <v>Financieras</v>
          </cell>
          <cell r="AE98" t="str">
            <v>Bono Bancario Bbva Serie M2</v>
          </cell>
          <cell r="AF98" t="str">
            <v>BBVA</v>
          </cell>
        </row>
        <row r="99">
          <cell r="C99" t="str">
            <v>BBCIAG0513</v>
          </cell>
          <cell r="D99" t="str">
            <v>BBCREDITO</v>
          </cell>
          <cell r="E99">
            <v>91837308</v>
          </cell>
          <cell r="F99">
            <v>91400000</v>
          </cell>
          <cell r="G99">
            <v>6.0270000000000002E-3</v>
          </cell>
          <cell r="H99">
            <v>4.9400000000000004</v>
          </cell>
          <cell r="I99" t="str">
            <v>2018-05-01</v>
          </cell>
          <cell r="J99">
            <v>523</v>
          </cell>
          <cell r="K99">
            <v>1.4</v>
          </cell>
          <cell r="L99">
            <v>100.18</v>
          </cell>
          <cell r="M99" t="str">
            <v>$</v>
          </cell>
          <cell r="N99" t="str">
            <v>RFL</v>
          </cell>
          <cell r="O99" t="str">
            <v>Renta Fija Local</v>
          </cell>
          <cell r="P99" t="str">
            <v>AA+ ; AA+</v>
          </cell>
          <cell r="Q99" t="str">
            <v>Corto</v>
          </cell>
          <cell r="R99" t="str">
            <v>Corporativo Bajo Riesgo Corto</v>
          </cell>
          <cell r="S99">
            <v>1.94</v>
          </cell>
          <cell r="T99" t="str">
            <v>AA+</v>
          </cell>
          <cell r="U99" t="str">
            <v>2</v>
          </cell>
          <cell r="V99" t="str">
            <v>Bajo Riesgo</v>
          </cell>
          <cell r="W99" t="str">
            <v>Corporativo</v>
          </cell>
          <cell r="X99" t="str">
            <v>Bajo Riesgo Corto $</v>
          </cell>
          <cell r="Y99" t="str">
            <v>Corporativo Bajo Riesgo Corto</v>
          </cell>
          <cell r="Z99" t="str">
            <v>Corto $</v>
          </cell>
          <cell r="AA99" t="str">
            <v>Corporativo Corto</v>
          </cell>
          <cell r="AB99" t="str">
            <v>Corporativo $</v>
          </cell>
          <cell r="AC99" t="str">
            <v>Instrumentos de Deuda</v>
          </cell>
          <cell r="AD99" t="str">
            <v>Financieras</v>
          </cell>
          <cell r="AE99" t="str">
            <v>Bono Bci Serie Ag</v>
          </cell>
          <cell r="AF99" t="str">
            <v>BCI</v>
          </cell>
        </row>
        <row r="100">
          <cell r="C100" t="str">
            <v>BCENC-E</v>
          </cell>
          <cell r="D100" t="str">
            <v>CENCOSUD</v>
          </cell>
          <cell r="E100">
            <v>53256088</v>
          </cell>
          <cell r="F100">
            <v>2000</v>
          </cell>
          <cell r="G100">
            <v>3.4949999999999998E-3</v>
          </cell>
          <cell r="H100">
            <v>2.73</v>
          </cell>
          <cell r="I100" t="str">
            <v>2018-05-07</v>
          </cell>
          <cell r="J100">
            <v>529</v>
          </cell>
          <cell r="K100">
            <v>1.43</v>
          </cell>
          <cell r="L100">
            <v>101.09</v>
          </cell>
          <cell r="M100" t="str">
            <v>UF</v>
          </cell>
          <cell r="N100" t="str">
            <v>RFL</v>
          </cell>
          <cell r="O100" t="str">
            <v>Renta Fija Local</v>
          </cell>
          <cell r="P100" t="str">
            <v>AA ; AA-</v>
          </cell>
          <cell r="Q100" t="str">
            <v>Corto</v>
          </cell>
          <cell r="R100" t="str">
            <v>Corporativo Bajo Riesgo Corto</v>
          </cell>
          <cell r="S100">
            <v>2.73</v>
          </cell>
          <cell r="T100" t="str">
            <v>AA-</v>
          </cell>
          <cell r="U100" t="str">
            <v>4</v>
          </cell>
          <cell r="V100" t="str">
            <v>Bajo Riesgo</v>
          </cell>
          <cell r="W100" t="str">
            <v>Corporativo</v>
          </cell>
          <cell r="X100" t="str">
            <v>Bajo Riesgo Corto UF</v>
          </cell>
          <cell r="Y100" t="str">
            <v>Corporativo Bajo Riesgo Corto</v>
          </cell>
          <cell r="Z100" t="str">
            <v>Corto UF</v>
          </cell>
          <cell r="AA100" t="str">
            <v>Corporativo Corto</v>
          </cell>
          <cell r="AB100" t="str">
            <v>Corporativo UF</v>
          </cell>
          <cell r="AC100" t="str">
            <v>Instrumentos de Deuda</v>
          </cell>
          <cell r="AD100" t="str">
            <v>Consumo</v>
          </cell>
          <cell r="AE100" t="str">
            <v>Bonos Cencosud Serie E</v>
          </cell>
          <cell r="AF100" t="str">
            <v>Cencosud S.A.</v>
          </cell>
        </row>
        <row r="101">
          <cell r="C101" t="str">
            <v>BITAAA0613</v>
          </cell>
          <cell r="D101" t="str">
            <v>BBITAU</v>
          </cell>
          <cell r="E101">
            <v>73913473</v>
          </cell>
          <cell r="F101">
            <v>70000000</v>
          </cell>
          <cell r="G101">
            <v>4.8500000000000001E-3</v>
          </cell>
          <cell r="H101">
            <v>4.97</v>
          </cell>
          <cell r="I101" t="str">
            <v>2018-06-01</v>
          </cell>
          <cell r="J101">
            <v>554</v>
          </cell>
          <cell r="K101">
            <v>1.43</v>
          </cell>
          <cell r="L101">
            <v>102.36</v>
          </cell>
          <cell r="M101" t="str">
            <v>$</v>
          </cell>
          <cell r="N101" t="str">
            <v>RFL</v>
          </cell>
          <cell r="O101" t="str">
            <v>Renta Fija Local</v>
          </cell>
          <cell r="P101" t="str">
            <v>AA ; AA</v>
          </cell>
          <cell r="Q101" t="str">
            <v>Corto</v>
          </cell>
          <cell r="R101" t="str">
            <v>Corporativo Bajo Riesgo Corto</v>
          </cell>
          <cell r="S101">
            <v>1.97</v>
          </cell>
          <cell r="T101" t="str">
            <v>AA</v>
          </cell>
          <cell r="U101" t="str">
            <v>3</v>
          </cell>
          <cell r="V101" t="str">
            <v>Bajo Riesgo</v>
          </cell>
          <cell r="W101" t="str">
            <v>Corporativo</v>
          </cell>
          <cell r="X101" t="str">
            <v>Bajo Riesgo Corto $</v>
          </cell>
          <cell r="Y101" t="str">
            <v>Corporativo Bajo Riesgo Corto</v>
          </cell>
          <cell r="Z101" t="str">
            <v>Corto $</v>
          </cell>
          <cell r="AA101" t="str">
            <v>Corporativo Corto</v>
          </cell>
          <cell r="AB101" t="str">
            <v>Corporativo $</v>
          </cell>
          <cell r="AC101" t="str">
            <v>Instrumentos de Deuda</v>
          </cell>
          <cell r="AD101" t="str">
            <v>Financieras</v>
          </cell>
          <cell r="AE101" t="str">
            <v>Bono Banco Itau Serie Aa</v>
          </cell>
          <cell r="AF101" t="str">
            <v>Itau/Corpbanca</v>
          </cell>
        </row>
        <row r="102">
          <cell r="C102" t="str">
            <v>BCAJ-J1215</v>
          </cell>
          <cell r="D102" t="str">
            <v>LOS ANDES</v>
          </cell>
          <cell r="E102">
            <v>26986048</v>
          </cell>
          <cell r="F102">
            <v>1000</v>
          </cell>
          <cell r="G102">
            <v>1.771E-3</v>
          </cell>
          <cell r="H102">
            <v>3.18</v>
          </cell>
          <cell r="I102" t="str">
            <v>2019-06-01</v>
          </cell>
          <cell r="J102">
            <v>919</v>
          </cell>
          <cell r="K102">
            <v>1.46</v>
          </cell>
          <cell r="L102">
            <v>100.81</v>
          </cell>
          <cell r="M102" t="str">
            <v>UF</v>
          </cell>
          <cell r="N102" t="str">
            <v>RFL</v>
          </cell>
          <cell r="O102" t="str">
            <v>Renta Fija Local</v>
          </cell>
          <cell r="P102" t="str">
            <v>A</v>
          </cell>
          <cell r="Q102" t="str">
            <v>Corto</v>
          </cell>
          <cell r="R102" t="str">
            <v>Corporativo Alto Riesgo Corto</v>
          </cell>
          <cell r="S102">
            <v>3.18</v>
          </cell>
          <cell r="T102" t="str">
            <v>A</v>
          </cell>
          <cell r="U102" t="str">
            <v>6</v>
          </cell>
          <cell r="V102" t="str">
            <v>Alto Riesgo</v>
          </cell>
          <cell r="W102" t="str">
            <v>Corporativo</v>
          </cell>
          <cell r="X102" t="str">
            <v>Alto Riesgo Corto UF</v>
          </cell>
          <cell r="Y102" t="str">
            <v>Corporativo Alto Riesgo Corto</v>
          </cell>
          <cell r="Z102" t="str">
            <v>Corto UF</v>
          </cell>
          <cell r="AA102" t="str">
            <v>Corporativo Corto</v>
          </cell>
          <cell r="AB102" t="str">
            <v>Corporativo UF</v>
          </cell>
          <cell r="AC102" t="str">
            <v>Instrumentos de Deuda</v>
          </cell>
          <cell r="AD102" t="str">
            <v>Financieras</v>
          </cell>
          <cell r="AE102" t="str">
            <v>Bono Caja Los Andes Serie J</v>
          </cell>
          <cell r="AF102" t="str">
            <v>Caja Los Andes</v>
          </cell>
        </row>
        <row r="103">
          <cell r="C103" t="str">
            <v>BBNS-R0613</v>
          </cell>
          <cell r="D103" t="str">
            <v>BBSCOTIABA</v>
          </cell>
          <cell r="E103">
            <v>162603323</v>
          </cell>
          <cell r="F103">
            <v>6000</v>
          </cell>
          <cell r="G103">
            <v>1.0671E-2</v>
          </cell>
          <cell r="H103">
            <v>2.6</v>
          </cell>
          <cell r="I103" t="str">
            <v>2018-06-01</v>
          </cell>
          <cell r="J103">
            <v>554</v>
          </cell>
          <cell r="K103">
            <v>1.47</v>
          </cell>
          <cell r="L103">
            <v>101.34</v>
          </cell>
          <cell r="M103" t="str">
            <v>UF</v>
          </cell>
          <cell r="N103" t="str">
            <v>RFL</v>
          </cell>
          <cell r="O103" t="str">
            <v>Renta Fija Local</v>
          </cell>
          <cell r="P103" t="str">
            <v>AAA ; AAA</v>
          </cell>
          <cell r="Q103" t="str">
            <v>Corto</v>
          </cell>
          <cell r="R103" t="str">
            <v>Corporativo Bajo Riesgo Corto</v>
          </cell>
          <cell r="S103">
            <v>2.6</v>
          </cell>
          <cell r="T103" t="str">
            <v>AAA</v>
          </cell>
          <cell r="U103" t="str">
            <v>1</v>
          </cell>
          <cell r="V103" t="str">
            <v>Bajo Riesgo</v>
          </cell>
          <cell r="W103" t="str">
            <v>Corporativo</v>
          </cell>
          <cell r="X103" t="str">
            <v>Bajo Riesgo Corto UF</v>
          </cell>
          <cell r="Y103" t="str">
            <v>Corporativo Bajo Riesgo Corto</v>
          </cell>
          <cell r="Z103" t="str">
            <v>Corto UF</v>
          </cell>
          <cell r="AA103" t="str">
            <v>Corporativo Corto</v>
          </cell>
          <cell r="AB103" t="str">
            <v>Corporativo UF</v>
          </cell>
          <cell r="AC103" t="str">
            <v>Instrumentos de Deuda</v>
          </cell>
          <cell r="AD103" t="str">
            <v>Financieras</v>
          </cell>
          <cell r="AE103" t="str">
            <v>Bono Scotiabank Serie R</v>
          </cell>
          <cell r="AF103" t="str">
            <v>Scotiabank</v>
          </cell>
        </row>
        <row r="104">
          <cell r="C104" t="str">
            <v>BCHIUI0611</v>
          </cell>
          <cell r="D104" t="str">
            <v>BBCHILE</v>
          </cell>
          <cell r="E104">
            <v>26968155</v>
          </cell>
          <cell r="F104">
            <v>1000</v>
          </cell>
          <cell r="G104">
            <v>1.769E-3</v>
          </cell>
          <cell r="H104">
            <v>2.5099999999999998</v>
          </cell>
          <cell r="I104" t="str">
            <v>2018-06-01</v>
          </cell>
          <cell r="J104">
            <v>554</v>
          </cell>
          <cell r="K104">
            <v>1.47</v>
          </cell>
          <cell r="L104">
            <v>101</v>
          </cell>
          <cell r="M104" t="str">
            <v>UF</v>
          </cell>
          <cell r="N104" t="str">
            <v>RFL</v>
          </cell>
          <cell r="O104" t="str">
            <v>Renta Fija Local</v>
          </cell>
          <cell r="P104" t="str">
            <v>AAA ; AAA</v>
          </cell>
          <cell r="Q104" t="str">
            <v>Corto</v>
          </cell>
          <cell r="R104" t="str">
            <v>Corporativo Bajo Riesgo Corto</v>
          </cell>
          <cell r="S104">
            <v>2.5099999999999998</v>
          </cell>
          <cell r="T104" t="str">
            <v>AAA</v>
          </cell>
          <cell r="U104" t="str">
            <v>1</v>
          </cell>
          <cell r="V104" t="str">
            <v>Bajo Riesgo</v>
          </cell>
          <cell r="W104" t="str">
            <v>Corporativo</v>
          </cell>
          <cell r="X104" t="str">
            <v>Bajo Riesgo Corto UF</v>
          </cell>
          <cell r="Y104" t="str">
            <v>Corporativo Bajo Riesgo Corto</v>
          </cell>
          <cell r="Z104" t="str">
            <v>Corto UF</v>
          </cell>
          <cell r="AA104" t="str">
            <v>Corporativo Corto</v>
          </cell>
          <cell r="AB104" t="str">
            <v>Corporativo UF</v>
          </cell>
          <cell r="AC104" t="str">
            <v>Instrumentos de Deuda</v>
          </cell>
          <cell r="AD104" t="str">
            <v>Financieras</v>
          </cell>
          <cell r="AE104" t="str">
            <v>Bono Banco Chile Serie Ui</v>
          </cell>
          <cell r="AF104" t="str">
            <v>Banco de Chile</v>
          </cell>
        </row>
        <row r="105">
          <cell r="C105" t="str">
            <v>BSTDE20111</v>
          </cell>
          <cell r="D105" t="str">
            <v>BBSANT-CHI</v>
          </cell>
          <cell r="E105">
            <v>53993779</v>
          </cell>
          <cell r="F105">
            <v>2000</v>
          </cell>
          <cell r="G105">
            <v>3.5430000000000001E-3</v>
          </cell>
          <cell r="H105">
            <v>2.71</v>
          </cell>
          <cell r="I105" t="str">
            <v>2018-07-01</v>
          </cell>
          <cell r="J105">
            <v>584</v>
          </cell>
          <cell r="K105">
            <v>1.55</v>
          </cell>
          <cell r="L105">
            <v>101.24</v>
          </cell>
          <cell r="M105" t="str">
            <v>UF</v>
          </cell>
          <cell r="N105" t="str">
            <v>RFL</v>
          </cell>
          <cell r="O105" t="str">
            <v>Renta Fija Local</v>
          </cell>
          <cell r="P105" t="str">
            <v>AAA ; AAA</v>
          </cell>
          <cell r="Q105" t="str">
            <v>Corto</v>
          </cell>
          <cell r="R105" t="str">
            <v>Corporativo Bajo Riesgo Corto</v>
          </cell>
          <cell r="S105">
            <v>2.71</v>
          </cell>
          <cell r="T105" t="str">
            <v>AAA</v>
          </cell>
          <cell r="U105" t="str">
            <v>1</v>
          </cell>
          <cell r="V105" t="str">
            <v>Bajo Riesgo</v>
          </cell>
          <cell r="W105" t="str">
            <v>Corporativo</v>
          </cell>
          <cell r="X105" t="str">
            <v>Bajo Riesgo Corto UF</v>
          </cell>
          <cell r="Y105" t="str">
            <v>Corporativo Bajo Riesgo Corto</v>
          </cell>
          <cell r="Z105" t="str">
            <v>Corto UF</v>
          </cell>
          <cell r="AA105" t="str">
            <v>Corporativo Corto</v>
          </cell>
          <cell r="AB105" t="str">
            <v>Corporativo UF</v>
          </cell>
          <cell r="AC105" t="str">
            <v>Instrumentos de Deuda</v>
          </cell>
          <cell r="AD105" t="str">
            <v>Financieras</v>
          </cell>
          <cell r="AE105" t="str">
            <v>Bono Banco Santander Serie E2</v>
          </cell>
          <cell r="AF105" t="str">
            <v>Banco Santander</v>
          </cell>
        </row>
        <row r="106">
          <cell r="C106" t="str">
            <v>BCU0300818</v>
          </cell>
          <cell r="D106" t="str">
            <v>BCU</v>
          </cell>
          <cell r="E106">
            <v>135800448</v>
          </cell>
          <cell r="F106">
            <v>5000</v>
          </cell>
          <cell r="G106">
            <v>8.9119999999999998E-3</v>
          </cell>
          <cell r="H106">
            <v>1.6</v>
          </cell>
          <cell r="I106" t="str">
            <v>2018-08-01</v>
          </cell>
          <cell r="J106">
            <v>615</v>
          </cell>
          <cell r="K106">
            <v>1.64</v>
          </cell>
          <cell r="L106">
            <v>102.31</v>
          </cell>
          <cell r="M106" t="str">
            <v>UF</v>
          </cell>
          <cell r="N106" t="str">
            <v>RFL</v>
          </cell>
          <cell r="O106" t="str">
            <v>Renta Fija Local</v>
          </cell>
          <cell r="P106"/>
          <cell r="Q106" t="str">
            <v>Corto</v>
          </cell>
          <cell r="R106" t="str">
            <v>Gobierno UF Corto</v>
          </cell>
          <cell r="S106">
            <v>1.6</v>
          </cell>
          <cell r="T106" t="str">
            <v>Gob</v>
          </cell>
          <cell r="U106" t="str">
            <v>0</v>
          </cell>
          <cell r="V106" t="str">
            <v>Gobierno</v>
          </cell>
          <cell r="W106" t="str">
            <v>Gobierno</v>
          </cell>
          <cell r="X106" t="str">
            <v>Gobierno Corto UF</v>
          </cell>
          <cell r="Y106" t="str">
            <v>Gobierno Corto</v>
          </cell>
          <cell r="Z106" t="str">
            <v>Corto UF</v>
          </cell>
          <cell r="AA106" t="str">
            <v>Gobierno</v>
          </cell>
          <cell r="AB106" t="str">
            <v>Gobierno UF</v>
          </cell>
          <cell r="AC106" t="str">
            <v>Instrumentos de Deuda</v>
          </cell>
          <cell r="AD106" t="str">
            <v>Gobierno</v>
          </cell>
          <cell r="AE106" t="str">
            <v>Bono Bullet Bco Central En Uf</v>
          </cell>
          <cell r="AF106" t="str">
            <v>Banco Central de Chile</v>
          </cell>
        </row>
        <row r="107">
          <cell r="C107" t="str">
            <v>BMETR-H</v>
          </cell>
          <cell r="D107" t="str">
            <v>METRO</v>
          </cell>
          <cell r="E107">
            <v>22019022</v>
          </cell>
          <cell r="F107">
            <v>1000</v>
          </cell>
          <cell r="G107">
            <v>1.4450000000000001E-3</v>
          </cell>
          <cell r="H107">
            <v>2.5499999999999998</v>
          </cell>
          <cell r="I107" t="str">
            <v>2020-07-15</v>
          </cell>
          <cell r="J107">
            <v>1329</v>
          </cell>
          <cell r="K107">
            <v>1.81</v>
          </cell>
          <cell r="L107">
            <v>103.08</v>
          </cell>
          <cell r="M107" t="str">
            <v>UF</v>
          </cell>
          <cell r="N107" t="str">
            <v>RFL</v>
          </cell>
          <cell r="O107" t="str">
            <v>Renta Fija Local</v>
          </cell>
          <cell r="P107" t="str">
            <v>AA ; AA+</v>
          </cell>
          <cell r="Q107" t="str">
            <v>Corto</v>
          </cell>
          <cell r="R107" t="str">
            <v>Corporativo Bajo Riesgo Corto</v>
          </cell>
          <cell r="S107">
            <v>2.5499999999999998</v>
          </cell>
          <cell r="T107" t="str">
            <v>AA</v>
          </cell>
          <cell r="U107" t="str">
            <v>3</v>
          </cell>
          <cell r="V107" t="str">
            <v>Bajo Riesgo</v>
          </cell>
          <cell r="W107" t="str">
            <v>Corporativo</v>
          </cell>
          <cell r="X107" t="str">
            <v>Bajo Riesgo Corto UF</v>
          </cell>
          <cell r="Y107" t="str">
            <v>Corporativo Bajo Riesgo Corto</v>
          </cell>
          <cell r="Z107" t="str">
            <v>Corto UF</v>
          </cell>
          <cell r="AA107" t="str">
            <v>Corporativo Corto</v>
          </cell>
          <cell r="AB107" t="str">
            <v>Corporativo UF</v>
          </cell>
          <cell r="AC107" t="str">
            <v>Instrumentos de Deuda</v>
          </cell>
          <cell r="AD107" t="str">
            <v>Transporte</v>
          </cell>
          <cell r="AE107" t="str">
            <v xml:space="preserve">BONO METRO SERIE H_x000D_
</v>
          </cell>
          <cell r="AF107" t="str">
            <v>Emp. de Transporte de Pasajeros Metro S.A.</v>
          </cell>
        </row>
        <row r="108">
          <cell r="C108" t="str">
            <v>BSCCH-B</v>
          </cell>
          <cell r="D108" t="str">
            <v>SCCH</v>
          </cell>
          <cell r="E108">
            <v>201909445</v>
          </cell>
          <cell r="F108">
            <v>200000000</v>
          </cell>
          <cell r="G108">
            <v>1.325E-2</v>
          </cell>
          <cell r="H108">
            <v>4.6500000000000004</v>
          </cell>
          <cell r="I108" t="str">
            <v>2018-10-15</v>
          </cell>
          <cell r="J108">
            <v>690</v>
          </cell>
          <cell r="K108">
            <v>1.82</v>
          </cell>
          <cell r="L108">
            <v>100.44</v>
          </cell>
          <cell r="M108" t="str">
            <v>$</v>
          </cell>
          <cell r="N108" t="str">
            <v>RFL</v>
          </cell>
          <cell r="O108" t="str">
            <v>Renta Fija Local</v>
          </cell>
          <cell r="P108" t="str">
            <v>AA- ; AA</v>
          </cell>
          <cell r="Q108" t="str">
            <v>Corto</v>
          </cell>
          <cell r="R108" t="str">
            <v>Corporativo Bajo Riesgo Corto</v>
          </cell>
          <cell r="S108">
            <v>1.65</v>
          </cell>
          <cell r="T108" t="str">
            <v>AA-</v>
          </cell>
          <cell r="U108" t="str">
            <v>4</v>
          </cell>
          <cell r="V108" t="str">
            <v>Bajo Riesgo</v>
          </cell>
          <cell r="W108" t="str">
            <v>Corporativo</v>
          </cell>
          <cell r="X108" t="str">
            <v>Bajo Riesgo Corto $</v>
          </cell>
          <cell r="Y108" t="str">
            <v>Corporativo Bajo Riesgo Corto</v>
          </cell>
          <cell r="Z108" t="str">
            <v>Corto $</v>
          </cell>
          <cell r="AA108" t="str">
            <v>Corporativo Corto</v>
          </cell>
          <cell r="AB108" t="str">
            <v>Corporativo $</v>
          </cell>
          <cell r="AC108"/>
          <cell r="AD108"/>
          <cell r="AE108"/>
          <cell r="AF108"/>
        </row>
        <row r="109">
          <cell r="C109" t="str">
            <v>BPLZA-M</v>
          </cell>
          <cell r="D109" t="str">
            <v>PLAZA S.A.</v>
          </cell>
          <cell r="E109">
            <v>107931285</v>
          </cell>
          <cell r="F109">
            <v>4000</v>
          </cell>
          <cell r="G109">
            <v>7.0829999999999999E-3</v>
          </cell>
          <cell r="H109">
            <v>2.62</v>
          </cell>
          <cell r="I109" t="str">
            <v>2020-08-15</v>
          </cell>
          <cell r="J109">
            <v>1360</v>
          </cell>
          <cell r="K109">
            <v>1.9</v>
          </cell>
          <cell r="L109">
            <v>101.63</v>
          </cell>
          <cell r="M109" t="str">
            <v>UF</v>
          </cell>
          <cell r="N109" t="str">
            <v>RFL</v>
          </cell>
          <cell r="O109" t="str">
            <v>Renta Fija Local</v>
          </cell>
          <cell r="P109" t="str">
            <v>AA ; AA+</v>
          </cell>
          <cell r="Q109" t="str">
            <v>Corto</v>
          </cell>
          <cell r="R109" t="str">
            <v>Corporativo Bajo Riesgo Corto</v>
          </cell>
          <cell r="S109">
            <v>2.62</v>
          </cell>
          <cell r="T109" t="str">
            <v>AA</v>
          </cell>
          <cell r="U109" t="str">
            <v>3</v>
          </cell>
          <cell r="V109" t="str">
            <v>Bajo Riesgo</v>
          </cell>
          <cell r="W109" t="str">
            <v>Corporativo</v>
          </cell>
          <cell r="X109" t="str">
            <v>Bajo Riesgo Corto UF</v>
          </cell>
          <cell r="Y109" t="str">
            <v>Corporativo Bajo Riesgo Corto</v>
          </cell>
          <cell r="Z109" t="str">
            <v>Corto UF</v>
          </cell>
          <cell r="AA109" t="str">
            <v>Corporativo Corto</v>
          </cell>
          <cell r="AB109" t="str">
            <v>Corporativo UF</v>
          </cell>
          <cell r="AC109" t="str">
            <v>Instrumentos de Deuda</v>
          </cell>
          <cell r="AD109" t="str">
            <v>Consumo</v>
          </cell>
          <cell r="AE109" t="str">
            <v>Bono Plaza S.A. Serie M</v>
          </cell>
          <cell r="AF109" t="str">
            <v>Plaza S.A.</v>
          </cell>
        </row>
        <row r="110">
          <cell r="C110" t="str">
            <v>BENAP-B</v>
          </cell>
          <cell r="D110" t="str">
            <v>ENAP</v>
          </cell>
          <cell r="E110">
            <v>27814291</v>
          </cell>
          <cell r="F110">
            <v>1000</v>
          </cell>
          <cell r="G110">
            <v>1.825E-3</v>
          </cell>
          <cell r="H110">
            <v>2.52</v>
          </cell>
          <cell r="I110" t="str">
            <v>2019-01-12</v>
          </cell>
          <cell r="J110">
            <v>779</v>
          </cell>
          <cell r="K110">
            <v>2.0299999999999998</v>
          </cell>
          <cell r="L110">
            <v>104.04</v>
          </cell>
          <cell r="M110" t="str">
            <v>UF</v>
          </cell>
          <cell r="N110" t="str">
            <v>RFL</v>
          </cell>
          <cell r="O110" t="str">
            <v>Renta Fija Local</v>
          </cell>
          <cell r="P110" t="str">
            <v>AA</v>
          </cell>
          <cell r="Q110" t="str">
            <v>Corto</v>
          </cell>
          <cell r="R110" t="str">
            <v>Corporativo Bajo Riesgo Corto</v>
          </cell>
          <cell r="S110">
            <v>2.52</v>
          </cell>
          <cell r="T110" t="str">
            <v>AA</v>
          </cell>
          <cell r="U110" t="str">
            <v>3</v>
          </cell>
          <cell r="V110" t="str">
            <v>Bajo Riesgo</v>
          </cell>
          <cell r="W110" t="str">
            <v>Corporativo</v>
          </cell>
          <cell r="X110" t="str">
            <v>Bajo Riesgo Corto UF</v>
          </cell>
          <cell r="Y110" t="str">
            <v>Corporativo Bajo Riesgo Corto</v>
          </cell>
          <cell r="Z110" t="str">
            <v>Corto UF</v>
          </cell>
          <cell r="AA110" t="str">
            <v>Corporativo Corto</v>
          </cell>
          <cell r="AB110" t="str">
            <v>Corporativo UF</v>
          </cell>
          <cell r="AC110" t="str">
            <v>Instrumentos de Deuda</v>
          </cell>
          <cell r="AD110" t="str">
            <v>Energía</v>
          </cell>
          <cell r="AE110" t="str">
            <v>Bonos Enap Serie B</v>
          </cell>
          <cell r="AF110" t="str">
            <v>ENAP</v>
          </cell>
        </row>
        <row r="111">
          <cell r="C111" t="str">
            <v>BCAJ-O0816</v>
          </cell>
          <cell r="D111" t="str">
            <v>LOS ANDES</v>
          </cell>
          <cell r="E111">
            <v>51304923</v>
          </cell>
          <cell r="F111">
            <v>50000000</v>
          </cell>
          <cell r="G111">
            <v>3.3670000000000002E-3</v>
          </cell>
          <cell r="H111">
            <v>5.03</v>
          </cell>
          <cell r="I111" t="str">
            <v>2020-02-01</v>
          </cell>
          <cell r="J111">
            <v>1164</v>
          </cell>
          <cell r="K111">
            <v>2.0499999999999998</v>
          </cell>
          <cell r="L111">
            <v>100.91</v>
          </cell>
          <cell r="M111" t="str">
            <v>$</v>
          </cell>
          <cell r="N111" t="str">
            <v>RFL</v>
          </cell>
          <cell r="O111" t="str">
            <v>Renta Fija Local</v>
          </cell>
          <cell r="P111" t="str">
            <v>A</v>
          </cell>
          <cell r="Q111" t="str">
            <v>Corto</v>
          </cell>
          <cell r="R111" t="str">
            <v>Corporativo Alto Riesgo Corto</v>
          </cell>
          <cell r="S111">
            <v>2.0299999999999998</v>
          </cell>
          <cell r="T111" t="str">
            <v>A</v>
          </cell>
          <cell r="U111" t="str">
            <v>6</v>
          </cell>
          <cell r="V111" t="str">
            <v>Alto Riesgo</v>
          </cell>
          <cell r="W111" t="str">
            <v>Corporativo</v>
          </cell>
          <cell r="X111" t="str">
            <v>Alto Riesgo Corto $</v>
          </cell>
          <cell r="Y111" t="str">
            <v>Corporativo Alto Riesgo Corto</v>
          </cell>
          <cell r="Z111" t="str">
            <v>Corto $</v>
          </cell>
          <cell r="AA111" t="str">
            <v>Corporativo Corto</v>
          </cell>
          <cell r="AB111" t="str">
            <v>Corporativo $</v>
          </cell>
          <cell r="AC111"/>
          <cell r="AD111"/>
          <cell r="AE111"/>
          <cell r="AF111" t="str">
            <v>Caja Los Andes</v>
          </cell>
        </row>
        <row r="112">
          <cell r="C112" t="str">
            <v>BSECR10611</v>
          </cell>
          <cell r="D112" t="str">
            <v>BBSECURITY</v>
          </cell>
          <cell r="E112">
            <v>28428641</v>
          </cell>
          <cell r="F112">
            <v>2000</v>
          </cell>
          <cell r="G112">
            <v>1.8649999999999999E-3</v>
          </cell>
          <cell r="H112">
            <v>2.68</v>
          </cell>
          <cell r="I112" t="str">
            <v>2021-06-01</v>
          </cell>
          <cell r="J112">
            <v>1650</v>
          </cell>
          <cell r="K112">
            <v>2.16</v>
          </cell>
          <cell r="L112">
            <v>100.67</v>
          </cell>
          <cell r="M112" t="str">
            <v>UF</v>
          </cell>
          <cell r="N112" t="str">
            <v>RFL</v>
          </cell>
          <cell r="O112" t="str">
            <v>Renta Fija Local</v>
          </cell>
          <cell r="P112" t="str">
            <v>AA- ; AA-</v>
          </cell>
          <cell r="Q112" t="str">
            <v>Corto</v>
          </cell>
          <cell r="R112" t="str">
            <v>Corporativo Bajo Riesgo Corto</v>
          </cell>
          <cell r="S112">
            <v>2.68</v>
          </cell>
          <cell r="T112" t="str">
            <v>AA-</v>
          </cell>
          <cell r="U112" t="str">
            <v>4</v>
          </cell>
          <cell r="V112" t="str">
            <v>Bajo Riesgo</v>
          </cell>
          <cell r="W112" t="str">
            <v>Corporativo</v>
          </cell>
          <cell r="X112" t="str">
            <v>Bajo Riesgo Corto UF</v>
          </cell>
          <cell r="Y112" t="str">
            <v>Corporativo Bajo Riesgo Corto</v>
          </cell>
          <cell r="Z112" t="str">
            <v>Corto UF</v>
          </cell>
          <cell r="AA112" t="str">
            <v>Corporativo Corto</v>
          </cell>
          <cell r="AB112" t="str">
            <v>Corporativo UF</v>
          </cell>
          <cell r="AC112" t="str">
            <v>Instrumentos de Deuda</v>
          </cell>
          <cell r="AD112" t="str">
            <v>Financieras</v>
          </cell>
          <cell r="AE112" t="str">
            <v>Bono Bancario Security Serie P1</v>
          </cell>
          <cell r="AF112" t="str">
            <v>Banco Security</v>
          </cell>
        </row>
        <row r="113">
          <cell r="C113" t="str">
            <v>BRPL-A0414</v>
          </cell>
          <cell r="D113" t="str">
            <v>BBRIPLEY</v>
          </cell>
          <cell r="E113">
            <v>53635392</v>
          </cell>
          <cell r="F113">
            <v>2000</v>
          </cell>
          <cell r="G113">
            <v>3.519E-3</v>
          </cell>
          <cell r="H113">
            <v>2.74</v>
          </cell>
          <cell r="I113" t="str">
            <v>2019-04-01</v>
          </cell>
          <cell r="J113">
            <v>858</v>
          </cell>
          <cell r="K113">
            <v>2.27</v>
          </cell>
          <cell r="L113">
            <v>101.47</v>
          </cell>
          <cell r="M113" t="str">
            <v>UF</v>
          </cell>
          <cell r="N113" t="str">
            <v>RFL</v>
          </cell>
          <cell r="O113" t="str">
            <v>Renta Fija Local</v>
          </cell>
          <cell r="P113" t="str">
            <v>A+ ; A+</v>
          </cell>
          <cell r="Q113" t="str">
            <v>Corto</v>
          </cell>
          <cell r="R113" t="str">
            <v>Corporativo Alto Riesgo Corto</v>
          </cell>
          <cell r="S113">
            <v>2.74</v>
          </cell>
          <cell r="T113" t="str">
            <v>A+</v>
          </cell>
          <cell r="U113" t="str">
            <v>5</v>
          </cell>
          <cell r="V113" t="str">
            <v>Alto Riesgo</v>
          </cell>
          <cell r="W113" t="str">
            <v>Corporativo</v>
          </cell>
          <cell r="X113" t="str">
            <v>Alto Riesgo Corto UF</v>
          </cell>
          <cell r="Y113" t="str">
            <v>Corporativo Alto Riesgo Corto</v>
          </cell>
          <cell r="Z113" t="str">
            <v>Corto UF</v>
          </cell>
          <cell r="AA113" t="str">
            <v>Corporativo Corto</v>
          </cell>
          <cell r="AB113" t="str">
            <v>Corporativo UF</v>
          </cell>
          <cell r="AC113" t="str">
            <v>Instrumentos de Deuda</v>
          </cell>
          <cell r="AD113" t="str">
            <v>Financieras</v>
          </cell>
          <cell r="AE113" t="str">
            <v>Bono Bancario Ripley Serie A</v>
          </cell>
          <cell r="AF113" t="str">
            <v>Banco Ripley</v>
          </cell>
        </row>
        <row r="114">
          <cell r="C114" t="str">
            <v>BSTDSE0614</v>
          </cell>
          <cell r="D114" t="str">
            <v>BBSANT-CHI</v>
          </cell>
          <cell r="E114">
            <v>20840843</v>
          </cell>
          <cell r="F114">
            <v>20000000</v>
          </cell>
          <cell r="G114">
            <v>1.3669999999999999E-3</v>
          </cell>
          <cell r="H114">
            <v>4.8899999999999997</v>
          </cell>
          <cell r="I114" t="str">
            <v>2019-06-01</v>
          </cell>
          <cell r="J114">
            <v>919</v>
          </cell>
          <cell r="K114">
            <v>2.33</v>
          </cell>
          <cell r="L114">
            <v>101.53</v>
          </cell>
          <cell r="M114" t="str">
            <v>$</v>
          </cell>
          <cell r="N114" t="str">
            <v>RFL</v>
          </cell>
          <cell r="O114" t="str">
            <v>Renta Fija Local</v>
          </cell>
          <cell r="P114" t="str">
            <v>AAA ; AAA</v>
          </cell>
          <cell r="Q114" t="str">
            <v>Corto</v>
          </cell>
          <cell r="R114" t="str">
            <v>Corporativo Bajo Riesgo Corto</v>
          </cell>
          <cell r="S114">
            <v>1.89</v>
          </cell>
          <cell r="T114" t="str">
            <v>AAA</v>
          </cell>
          <cell r="U114" t="str">
            <v>1</v>
          </cell>
          <cell r="V114" t="str">
            <v>Bajo Riesgo</v>
          </cell>
          <cell r="W114" t="str">
            <v>Corporativo</v>
          </cell>
          <cell r="X114" t="str">
            <v>Bajo Riesgo Corto $</v>
          </cell>
          <cell r="Y114" t="str">
            <v>Corporativo Bajo Riesgo Corto</v>
          </cell>
          <cell r="Z114" t="str">
            <v>Corto $</v>
          </cell>
          <cell r="AA114" t="str">
            <v>Corporativo Corto</v>
          </cell>
          <cell r="AB114" t="str">
            <v>Corporativo $</v>
          </cell>
          <cell r="AC114" t="str">
            <v>Instrumentos de Deuda</v>
          </cell>
          <cell r="AD114" t="str">
            <v>Financieras</v>
          </cell>
          <cell r="AE114" t="str">
            <v>Bono Banco Santander Serie Se</v>
          </cell>
          <cell r="AF114" t="str">
            <v>Banco Santander</v>
          </cell>
        </row>
        <row r="115">
          <cell r="C115" t="str">
            <v>BBBVJ51113</v>
          </cell>
          <cell r="D115" t="str">
            <v>BBBVA</v>
          </cell>
          <cell r="E115">
            <v>226064678</v>
          </cell>
          <cell r="F115">
            <v>8500</v>
          </cell>
          <cell r="G115">
            <v>1.4836E-2</v>
          </cell>
          <cell r="H115">
            <v>2.6</v>
          </cell>
          <cell r="I115" t="str">
            <v>2019-05-01</v>
          </cell>
          <cell r="J115">
            <v>888</v>
          </cell>
          <cell r="K115">
            <v>2.36</v>
          </cell>
          <cell r="L115">
            <v>100.94</v>
          </cell>
          <cell r="M115" t="str">
            <v>UF</v>
          </cell>
          <cell r="N115" t="str">
            <v>RFL</v>
          </cell>
          <cell r="O115" t="str">
            <v>Renta Fija Local</v>
          </cell>
          <cell r="P115" t="str">
            <v>AA ; AA+</v>
          </cell>
          <cell r="Q115" t="str">
            <v>Corto</v>
          </cell>
          <cell r="R115" t="str">
            <v>Corporativo Bajo Riesgo Corto</v>
          </cell>
          <cell r="S115">
            <v>2.6</v>
          </cell>
          <cell r="T115" t="str">
            <v>AA</v>
          </cell>
          <cell r="U115" t="str">
            <v>3</v>
          </cell>
          <cell r="V115" t="str">
            <v>Bajo Riesgo</v>
          </cell>
          <cell r="W115" t="str">
            <v>Corporativo</v>
          </cell>
          <cell r="X115" t="str">
            <v>Bajo Riesgo Corto UF</v>
          </cell>
          <cell r="Y115" t="str">
            <v>Corporativo Bajo Riesgo Corto</v>
          </cell>
          <cell r="Z115" t="str">
            <v>Corto UF</v>
          </cell>
          <cell r="AA115" t="str">
            <v>Corporativo Corto</v>
          </cell>
          <cell r="AB115" t="str">
            <v>Corporativo UF</v>
          </cell>
          <cell r="AC115" t="str">
            <v>Instrumentos de Deuda</v>
          </cell>
          <cell r="AD115" t="str">
            <v>Financieras</v>
          </cell>
          <cell r="AE115" t="str">
            <v>Bono Bbva Serie J5</v>
          </cell>
          <cell r="AF115" t="str">
            <v>BBVA</v>
          </cell>
        </row>
        <row r="116">
          <cell r="C116" t="str">
            <v>BARAU-Q</v>
          </cell>
          <cell r="D116" t="str">
            <v>ARAUCO</v>
          </cell>
          <cell r="E116">
            <v>79995676</v>
          </cell>
          <cell r="F116">
            <v>3000</v>
          </cell>
          <cell r="G116">
            <v>5.2490000000000002E-3</v>
          </cell>
          <cell r="H116">
            <v>2.61</v>
          </cell>
          <cell r="I116" t="str">
            <v>2021-04-01</v>
          </cell>
          <cell r="J116">
            <v>1589</v>
          </cell>
          <cell r="K116">
            <v>2.5</v>
          </cell>
          <cell r="L116">
            <v>100.95</v>
          </cell>
          <cell r="M116" t="str">
            <v>UF</v>
          </cell>
          <cell r="N116" t="str">
            <v>RFL</v>
          </cell>
          <cell r="O116" t="str">
            <v>Renta Fija Local</v>
          </cell>
          <cell r="P116" t="str">
            <v>AA- ; AA-</v>
          </cell>
          <cell r="Q116" t="str">
            <v>Corto</v>
          </cell>
          <cell r="R116" t="str">
            <v>Corporativo Bajo Riesgo Corto</v>
          </cell>
          <cell r="S116">
            <v>2.61</v>
          </cell>
          <cell r="T116" t="str">
            <v>AA-</v>
          </cell>
          <cell r="U116" t="str">
            <v>4</v>
          </cell>
          <cell r="V116" t="str">
            <v>Bajo Riesgo</v>
          </cell>
          <cell r="W116" t="str">
            <v>Corporativo</v>
          </cell>
          <cell r="X116" t="str">
            <v>Bajo Riesgo Corto UF</v>
          </cell>
          <cell r="Y116" t="str">
            <v>Corporativo Bajo Riesgo Corto</v>
          </cell>
          <cell r="Z116" t="str">
            <v>Corto UF</v>
          </cell>
          <cell r="AA116" t="str">
            <v>Corporativo Corto</v>
          </cell>
          <cell r="AB116" t="str">
            <v>Corporativo UF</v>
          </cell>
          <cell r="AC116" t="str">
            <v>Instrumentos de Deuda</v>
          </cell>
          <cell r="AD116" t="str">
            <v>Materiales Básicos</v>
          </cell>
          <cell r="AE116" t="str">
            <v>Bono Celulosa Arauco Serie Q</v>
          </cell>
          <cell r="AF116" t="str">
            <v>Celulosa Arauco y Constitución</v>
          </cell>
        </row>
        <row r="117">
          <cell r="C117" t="str">
            <v>BCOSJ-A</v>
          </cell>
          <cell r="D117" t="str">
            <v>TECNOCONTR</v>
          </cell>
          <cell r="E117">
            <v>108193579</v>
          </cell>
          <cell r="F117">
            <v>5500</v>
          </cell>
          <cell r="G117">
            <v>7.1000000000000004E-3</v>
          </cell>
          <cell r="H117">
            <v>2.7</v>
          </cell>
          <cell r="I117" t="str">
            <v>2021-06-30</v>
          </cell>
          <cell r="J117">
            <v>1679</v>
          </cell>
          <cell r="K117">
            <v>2.5499999999999998</v>
          </cell>
          <cell r="L117">
            <v>100.62</v>
          </cell>
          <cell r="M117" t="str">
            <v>UF</v>
          </cell>
          <cell r="N117" t="str">
            <v>RFL</v>
          </cell>
          <cell r="O117" t="str">
            <v>Renta Fija Local</v>
          </cell>
          <cell r="P117" t="str">
            <v>AAA ; AAA</v>
          </cell>
          <cell r="Q117" t="str">
            <v>Corto</v>
          </cell>
          <cell r="R117" t="str">
            <v>Corporativo Bajo Riesgo Corto</v>
          </cell>
          <cell r="S117">
            <v>2.7</v>
          </cell>
          <cell r="T117" t="str">
            <v>AAA</v>
          </cell>
          <cell r="U117" t="str">
            <v>1</v>
          </cell>
          <cell r="V117" t="str">
            <v>Bajo Riesgo</v>
          </cell>
          <cell r="W117" t="str">
            <v>Corporativo</v>
          </cell>
          <cell r="X117" t="str">
            <v>Bajo Riesgo Corto UF</v>
          </cell>
          <cell r="Y117" t="str">
            <v>Corporativo Bajo Riesgo Corto</v>
          </cell>
          <cell r="Z117" t="str">
            <v>Corto UF</v>
          </cell>
          <cell r="AA117" t="str">
            <v>Corporativo Corto</v>
          </cell>
          <cell r="AB117" t="str">
            <v>Corporativo UF</v>
          </cell>
          <cell r="AC117" t="str">
            <v>Instrumentos de Deuda</v>
          </cell>
          <cell r="AD117" t="str">
            <v>Construcción</v>
          </cell>
          <cell r="AE117" t="str">
            <v>Bono Constructora San Jose Serie A</v>
          </cell>
          <cell r="AF117" t="str">
            <v>San José Tecnocontrol</v>
          </cell>
        </row>
        <row r="118">
          <cell r="C118" t="str">
            <v>BBBVP20714</v>
          </cell>
          <cell r="D118" t="str">
            <v>BBBVA</v>
          </cell>
          <cell r="E118">
            <v>52545837</v>
          </cell>
          <cell r="F118">
            <v>50000000</v>
          </cell>
          <cell r="G118">
            <v>3.4480000000000001E-3</v>
          </cell>
          <cell r="H118">
            <v>5</v>
          </cell>
          <cell r="I118" t="str">
            <v>2020-01-01</v>
          </cell>
          <cell r="J118">
            <v>1133</v>
          </cell>
          <cell r="K118">
            <v>2.82</v>
          </cell>
          <cell r="L118">
            <v>102.69</v>
          </cell>
          <cell r="M118" t="str">
            <v>$</v>
          </cell>
          <cell r="N118" t="str">
            <v>RFL</v>
          </cell>
          <cell r="O118" t="str">
            <v>Renta Fija Local</v>
          </cell>
          <cell r="P118" t="str">
            <v>AA ; AA+</v>
          </cell>
          <cell r="Q118" t="str">
            <v>Corto</v>
          </cell>
          <cell r="R118" t="str">
            <v>Corporativo Bajo Riesgo Corto</v>
          </cell>
          <cell r="S118">
            <v>2</v>
          </cell>
          <cell r="T118" t="str">
            <v>AA</v>
          </cell>
          <cell r="U118" t="str">
            <v>3</v>
          </cell>
          <cell r="V118" t="str">
            <v>Bajo Riesgo</v>
          </cell>
          <cell r="W118" t="str">
            <v>Corporativo</v>
          </cell>
          <cell r="X118" t="str">
            <v>Bajo Riesgo Corto $</v>
          </cell>
          <cell r="Y118" t="str">
            <v>Corporativo Bajo Riesgo Corto</v>
          </cell>
          <cell r="Z118" t="str">
            <v>Corto $</v>
          </cell>
          <cell r="AA118" t="str">
            <v>Corporativo Corto</v>
          </cell>
          <cell r="AB118" t="str">
            <v>Corporativo $</v>
          </cell>
          <cell r="AC118" t="str">
            <v>Instrumentos de Deuda</v>
          </cell>
          <cell r="AD118" t="str">
            <v>Financieras</v>
          </cell>
          <cell r="AE118" t="str">
            <v>Bono Bancario Bbva Serie P2</v>
          </cell>
          <cell r="AF118" t="str">
            <v>BBVA</v>
          </cell>
        </row>
        <row r="119">
          <cell r="C119" t="str">
            <v>BBBVM31113</v>
          </cell>
          <cell r="D119" t="str">
            <v>BBBVA</v>
          </cell>
          <cell r="E119">
            <v>53354986</v>
          </cell>
          <cell r="F119">
            <v>2000</v>
          </cell>
          <cell r="G119">
            <v>3.5010000000000002E-3</v>
          </cell>
          <cell r="H119">
            <v>2.5499999999999998</v>
          </cell>
          <cell r="I119" t="str">
            <v>2019-11-01</v>
          </cell>
          <cell r="J119">
            <v>1072</v>
          </cell>
          <cell r="K119">
            <v>2.83</v>
          </cell>
          <cell r="L119">
            <v>101.25</v>
          </cell>
          <cell r="M119" t="str">
            <v>UF</v>
          </cell>
          <cell r="N119" t="str">
            <v>RFL</v>
          </cell>
          <cell r="O119" t="str">
            <v>Renta Fija Local</v>
          </cell>
          <cell r="P119" t="str">
            <v>AA ; AA+</v>
          </cell>
          <cell r="Q119" t="str">
            <v>Corto</v>
          </cell>
          <cell r="R119" t="str">
            <v>Corporativo Bajo Riesgo Corto</v>
          </cell>
          <cell r="S119">
            <v>2.5499999999999998</v>
          </cell>
          <cell r="T119" t="str">
            <v>AA</v>
          </cell>
          <cell r="U119" t="str">
            <v>3</v>
          </cell>
          <cell r="V119" t="str">
            <v>Bajo Riesgo</v>
          </cell>
          <cell r="W119" t="str">
            <v>Corporativo</v>
          </cell>
          <cell r="X119" t="str">
            <v>Bajo Riesgo Corto UF</v>
          </cell>
          <cell r="Y119" t="str">
            <v>Corporativo Bajo Riesgo Corto</v>
          </cell>
          <cell r="Z119" t="str">
            <v>Corto UF</v>
          </cell>
          <cell r="AA119" t="str">
            <v>Corporativo Corto</v>
          </cell>
          <cell r="AB119" t="str">
            <v>Corporativo UF</v>
          </cell>
          <cell r="AC119" t="str">
            <v>Instrumentos de Deuda</v>
          </cell>
          <cell r="AD119" t="str">
            <v>Financieras</v>
          </cell>
          <cell r="AE119" t="str">
            <v>Bono Bancario Bbva Serie M3</v>
          </cell>
          <cell r="AF119" t="str">
            <v>BBVA</v>
          </cell>
        </row>
        <row r="120">
          <cell r="C120" t="str">
            <v>BFORU-AX</v>
          </cell>
          <cell r="D120" t="str">
            <v>LEAS FORUM</v>
          </cell>
          <cell r="E120">
            <v>151520721</v>
          </cell>
          <cell r="F120">
            <v>150000000</v>
          </cell>
          <cell r="G120">
            <v>9.9430000000000004E-3</v>
          </cell>
          <cell r="H120">
            <v>5.21</v>
          </cell>
          <cell r="I120" t="str">
            <v>2020-04-01</v>
          </cell>
          <cell r="J120">
            <v>1224</v>
          </cell>
          <cell r="K120">
            <v>3.1</v>
          </cell>
          <cell r="L120">
            <v>100.26</v>
          </cell>
          <cell r="M120" t="str">
            <v>$</v>
          </cell>
          <cell r="N120" t="str">
            <v>RFL</v>
          </cell>
          <cell r="O120" t="str">
            <v>Renta Fija Local</v>
          </cell>
          <cell r="P120" t="str">
            <v>AA- ; AA</v>
          </cell>
          <cell r="Q120" t="str">
            <v>Corto</v>
          </cell>
          <cell r="R120" t="str">
            <v>Corporativo Bajo Riesgo Corto</v>
          </cell>
          <cell r="S120">
            <v>2.21</v>
          </cell>
          <cell r="T120" t="str">
            <v>AA-</v>
          </cell>
          <cell r="U120" t="str">
            <v>4</v>
          </cell>
          <cell r="V120" t="str">
            <v>Bajo Riesgo</v>
          </cell>
          <cell r="W120" t="str">
            <v>Corporativo</v>
          </cell>
          <cell r="X120" t="str">
            <v>Bajo Riesgo Corto $</v>
          </cell>
          <cell r="Y120" t="str">
            <v>Corporativo Bajo Riesgo Corto</v>
          </cell>
          <cell r="Z120" t="str">
            <v>Corto $</v>
          </cell>
          <cell r="AA120" t="str">
            <v>Corporativo Corto</v>
          </cell>
          <cell r="AB120" t="str">
            <v>Corporativo $</v>
          </cell>
          <cell r="AC120" t="str">
            <v>Instrumentos de Deuda</v>
          </cell>
          <cell r="AD120" t="str">
            <v>Financieras</v>
          </cell>
          <cell r="AE120" t="str">
            <v>Bono Forum Servicios Financieros Serie Ax</v>
          </cell>
          <cell r="AF120" t="str">
            <v>Forum Servicios Financieros S.A.</v>
          </cell>
        </row>
        <row r="121">
          <cell r="C121" t="str">
            <v>BITAAI0415</v>
          </cell>
          <cell r="D121" t="str">
            <v>BBITAU</v>
          </cell>
          <cell r="E121">
            <v>27159721</v>
          </cell>
          <cell r="F121">
            <v>1000</v>
          </cell>
          <cell r="G121">
            <v>1.7819999999999999E-3</v>
          </cell>
          <cell r="H121">
            <v>2.62</v>
          </cell>
          <cell r="I121" t="str">
            <v>2020-04-01</v>
          </cell>
          <cell r="J121">
            <v>1224</v>
          </cell>
          <cell r="K121">
            <v>3.18</v>
          </cell>
          <cell r="L121">
            <v>102.75</v>
          </cell>
          <cell r="M121" t="str">
            <v>UF</v>
          </cell>
          <cell r="N121" t="str">
            <v>RFL</v>
          </cell>
          <cell r="O121" t="str">
            <v>Renta Fija Local</v>
          </cell>
          <cell r="P121" t="str">
            <v>AA ; AA</v>
          </cell>
          <cell r="Q121" t="str">
            <v>Corto</v>
          </cell>
          <cell r="R121" t="str">
            <v>Corporativo Bajo Riesgo Corto</v>
          </cell>
          <cell r="S121">
            <v>2.62</v>
          </cell>
          <cell r="T121" t="str">
            <v>AA</v>
          </cell>
          <cell r="U121" t="str">
            <v>3</v>
          </cell>
          <cell r="V121" t="str">
            <v>Bajo Riesgo</v>
          </cell>
          <cell r="W121" t="str">
            <v>Corporativo</v>
          </cell>
          <cell r="X121" t="str">
            <v>Bajo Riesgo Corto UF</v>
          </cell>
          <cell r="Y121" t="str">
            <v>Corporativo Bajo Riesgo Corto</v>
          </cell>
          <cell r="Z121" t="str">
            <v>Corto UF</v>
          </cell>
          <cell r="AA121" t="str">
            <v>Corporativo Corto</v>
          </cell>
          <cell r="AB121" t="str">
            <v>Corporativo UF</v>
          </cell>
          <cell r="AC121" t="str">
            <v>Instrumentos de Deuda</v>
          </cell>
          <cell r="AD121" t="str">
            <v>Financieras</v>
          </cell>
          <cell r="AE121" t="str">
            <v>Bono Banco Itau Serie Ai</v>
          </cell>
          <cell r="AF121" t="str">
            <v>Itau/Corpbanca</v>
          </cell>
        </row>
        <row r="122">
          <cell r="C122" t="str">
            <v>BCORAI0710</v>
          </cell>
          <cell r="D122" t="str">
            <v>BBCORPBANC</v>
          </cell>
          <cell r="E122">
            <v>40479827</v>
          </cell>
          <cell r="F122">
            <v>1500</v>
          </cell>
          <cell r="G122">
            <v>2.6559999999999999E-3</v>
          </cell>
          <cell r="H122">
            <v>2.6</v>
          </cell>
          <cell r="I122" t="str">
            <v>2020-07-01</v>
          </cell>
          <cell r="J122">
            <v>1315</v>
          </cell>
          <cell r="K122">
            <v>3.41</v>
          </cell>
          <cell r="L122">
            <v>101.4</v>
          </cell>
          <cell r="M122" t="str">
            <v>UF</v>
          </cell>
          <cell r="N122" t="str">
            <v>RFL</v>
          </cell>
          <cell r="O122" t="str">
            <v>Renta Fija Local</v>
          </cell>
          <cell r="P122" t="str">
            <v>AA ; AA-</v>
          </cell>
          <cell r="Q122" t="str">
            <v>Corto</v>
          </cell>
          <cell r="R122" t="str">
            <v>Corporativo Bajo Riesgo Corto</v>
          </cell>
          <cell r="S122">
            <v>2.6</v>
          </cell>
          <cell r="T122" t="str">
            <v>AA-</v>
          </cell>
          <cell r="U122" t="str">
            <v>4</v>
          </cell>
          <cell r="V122" t="str">
            <v>Bajo Riesgo</v>
          </cell>
          <cell r="W122" t="str">
            <v>Corporativo</v>
          </cell>
          <cell r="X122" t="str">
            <v>Bajo Riesgo Corto UF</v>
          </cell>
          <cell r="Y122" t="str">
            <v>Corporativo Bajo Riesgo Corto</v>
          </cell>
          <cell r="Z122" t="str">
            <v>Corto UF</v>
          </cell>
          <cell r="AA122" t="str">
            <v>Corporativo Corto</v>
          </cell>
          <cell r="AB122" t="str">
            <v>Corporativo UF</v>
          </cell>
          <cell r="AC122" t="str">
            <v>Instrumentos de Deuda</v>
          </cell>
          <cell r="AD122" t="str">
            <v>Financieras</v>
          </cell>
          <cell r="AE122" t="str">
            <v>Bono Corpbanca Serie Ai</v>
          </cell>
          <cell r="AF122" t="str">
            <v>Itau/Corpbanca</v>
          </cell>
        </row>
        <row r="123">
          <cell r="C123" t="str">
            <v>BFORU-AZ</v>
          </cell>
          <cell r="D123" t="str">
            <v>LEAS FORUM</v>
          </cell>
          <cell r="E123">
            <v>52049916</v>
          </cell>
          <cell r="F123">
            <v>2000</v>
          </cell>
          <cell r="G123">
            <v>3.4150000000000001E-3</v>
          </cell>
          <cell r="H123">
            <v>2.7</v>
          </cell>
          <cell r="I123" t="str">
            <v>2020-08-01</v>
          </cell>
          <cell r="J123">
            <v>1346</v>
          </cell>
          <cell r="K123">
            <v>3.54</v>
          </cell>
          <cell r="L123">
            <v>98.28</v>
          </cell>
          <cell r="M123" t="str">
            <v>UF</v>
          </cell>
          <cell r="N123" t="str">
            <v>RFL</v>
          </cell>
          <cell r="O123" t="str">
            <v>Renta Fija Local</v>
          </cell>
          <cell r="P123" t="str">
            <v>AA- ; AA</v>
          </cell>
          <cell r="Q123" t="str">
            <v>Corto</v>
          </cell>
          <cell r="R123" t="str">
            <v>Corporativo Bajo Riesgo Corto</v>
          </cell>
          <cell r="S123">
            <v>2.7</v>
          </cell>
          <cell r="T123" t="str">
            <v>AA-</v>
          </cell>
          <cell r="U123" t="str">
            <v>4</v>
          </cell>
          <cell r="V123" t="str">
            <v>Bajo Riesgo</v>
          </cell>
          <cell r="W123" t="str">
            <v>Corporativo</v>
          </cell>
          <cell r="X123" t="str">
            <v>Bajo Riesgo Corto UF</v>
          </cell>
          <cell r="Y123" t="str">
            <v>Corporativo Bajo Riesgo Corto</v>
          </cell>
          <cell r="Z123" t="str">
            <v>Corto UF</v>
          </cell>
          <cell r="AA123" t="str">
            <v>Corporativo Corto</v>
          </cell>
          <cell r="AB123" t="str">
            <v>Corporativo UF</v>
          </cell>
          <cell r="AC123" t="str">
            <v>Instrumentos de Deuda</v>
          </cell>
          <cell r="AD123" t="str">
            <v>Financieras</v>
          </cell>
          <cell r="AE123" t="str">
            <v>Bono Forum Servicios Financieros Serie Az</v>
          </cell>
          <cell r="AF123" t="str">
            <v>Forum Servicios Financieros S.A.</v>
          </cell>
        </row>
        <row r="124">
          <cell r="C124" t="str">
            <v>BBIC640116</v>
          </cell>
          <cell r="D124" t="str">
            <v>BBICE</v>
          </cell>
          <cell r="E124">
            <v>209298597</v>
          </cell>
          <cell r="F124">
            <v>200000000</v>
          </cell>
          <cell r="G124">
            <v>1.3735000000000001E-2</v>
          </cell>
          <cell r="H124">
            <v>4.88</v>
          </cell>
          <cell r="I124" t="str">
            <v>2021-01-01</v>
          </cell>
          <cell r="J124">
            <v>1499</v>
          </cell>
          <cell r="K124">
            <v>3.66</v>
          </cell>
          <cell r="L124">
            <v>102.42</v>
          </cell>
          <cell r="M124" t="str">
            <v>$</v>
          </cell>
          <cell r="N124" t="str">
            <v>RFL</v>
          </cell>
          <cell r="O124" t="str">
            <v>Renta Fija Local</v>
          </cell>
          <cell r="P124" t="str">
            <v>AA ; AA</v>
          </cell>
          <cell r="Q124" t="str">
            <v>Corto</v>
          </cell>
          <cell r="R124" t="str">
            <v>Corporativo Bajo Riesgo Corto</v>
          </cell>
          <cell r="S124">
            <v>1.88</v>
          </cell>
          <cell r="T124" t="str">
            <v>AA</v>
          </cell>
          <cell r="U124" t="str">
            <v>3</v>
          </cell>
          <cell r="V124" t="str">
            <v>Bajo Riesgo</v>
          </cell>
          <cell r="W124" t="str">
            <v>Corporativo</v>
          </cell>
          <cell r="X124" t="str">
            <v>Bajo Riesgo Corto $</v>
          </cell>
          <cell r="Y124" t="str">
            <v>Corporativo Bajo Riesgo Corto</v>
          </cell>
          <cell r="Z124" t="str">
            <v>Corto $</v>
          </cell>
          <cell r="AA124" t="str">
            <v>Corporativo Corto</v>
          </cell>
          <cell r="AB124" t="str">
            <v>Corporativo $</v>
          </cell>
          <cell r="AC124"/>
          <cell r="AD124"/>
          <cell r="AE124"/>
          <cell r="AF124" t="str">
            <v>BICE</v>
          </cell>
        </row>
        <row r="125">
          <cell r="C125" t="str">
            <v>BTU0150321</v>
          </cell>
          <cell r="D125" t="str">
            <v>BTU</v>
          </cell>
          <cell r="E125">
            <v>79156282</v>
          </cell>
          <cell r="F125">
            <v>3000</v>
          </cell>
          <cell r="G125">
            <v>5.1939999999999998E-3</v>
          </cell>
          <cell r="H125">
            <v>1.51</v>
          </cell>
          <cell r="I125" t="str">
            <v>2021-03-01</v>
          </cell>
          <cell r="J125">
            <v>1558</v>
          </cell>
          <cell r="K125">
            <v>4.1399999999999997</v>
          </cell>
          <cell r="L125">
            <v>99.98</v>
          </cell>
          <cell r="M125" t="str">
            <v>UF</v>
          </cell>
          <cell r="N125" t="str">
            <v>RFL</v>
          </cell>
          <cell r="O125" t="str">
            <v>Renta Fija Local</v>
          </cell>
          <cell r="P125"/>
          <cell r="Q125" t="str">
            <v>Corto</v>
          </cell>
          <cell r="R125" t="str">
            <v>Gobierno UF Corto</v>
          </cell>
          <cell r="S125">
            <v>1.51</v>
          </cell>
          <cell r="T125" t="str">
            <v>Gob</v>
          </cell>
          <cell r="U125" t="str">
            <v>0</v>
          </cell>
          <cell r="V125" t="str">
            <v>Gobierno</v>
          </cell>
          <cell r="W125" t="str">
            <v>Gobierno</v>
          </cell>
          <cell r="X125" t="str">
            <v>Gobierno Corto UF</v>
          </cell>
          <cell r="Y125" t="str">
            <v>Gobierno Corto</v>
          </cell>
          <cell r="Z125" t="str">
            <v>Corto UF</v>
          </cell>
          <cell r="AA125" t="str">
            <v>Gobierno</v>
          </cell>
          <cell r="AB125" t="str">
            <v>Gobierno UF</v>
          </cell>
          <cell r="AC125" t="str">
            <v>Instrumentos de Deuda</v>
          </cell>
          <cell r="AD125" t="str">
            <v>Financieras</v>
          </cell>
          <cell r="AE125" t="str">
            <v>Bono Tesoreria En Uf</v>
          </cell>
          <cell r="AF125" t="str">
            <v>Tesorería General de la República</v>
          </cell>
        </row>
        <row r="126">
          <cell r="C126" t="str">
            <v>BBCIE20811</v>
          </cell>
          <cell r="D126" t="str">
            <v>BBCREDITO</v>
          </cell>
          <cell r="E126">
            <v>132544171</v>
          </cell>
          <cell r="F126">
            <v>5000</v>
          </cell>
          <cell r="G126">
            <v>8.6979999999999991E-3</v>
          </cell>
          <cell r="H126">
            <v>2.62</v>
          </cell>
          <cell r="I126" t="str">
            <v>2021-08-01</v>
          </cell>
          <cell r="J126">
            <v>1711</v>
          </cell>
          <cell r="K126">
            <v>4.41</v>
          </cell>
          <cell r="L126">
            <v>99.98</v>
          </cell>
          <cell r="M126" t="str">
            <v>UF</v>
          </cell>
          <cell r="N126" t="str">
            <v>RFL</v>
          </cell>
          <cell r="O126" t="str">
            <v>Renta Fija Local</v>
          </cell>
          <cell r="P126" t="str">
            <v>AA+ ; AA+</v>
          </cell>
          <cell r="Q126" t="str">
            <v>Corto</v>
          </cell>
          <cell r="R126" t="str">
            <v>Corporativo Bajo Riesgo Corto</v>
          </cell>
          <cell r="S126">
            <v>2.62</v>
          </cell>
          <cell r="T126" t="str">
            <v>AA+</v>
          </cell>
          <cell r="U126" t="str">
            <v>2</v>
          </cell>
          <cell r="V126" t="str">
            <v>Bajo Riesgo</v>
          </cell>
          <cell r="W126" t="str">
            <v>Corporativo</v>
          </cell>
          <cell r="X126" t="str">
            <v>Bajo Riesgo Corto UF</v>
          </cell>
          <cell r="Y126" t="str">
            <v>Corporativo Bajo Riesgo Corto</v>
          </cell>
          <cell r="Z126" t="str">
            <v>Corto UF</v>
          </cell>
          <cell r="AA126" t="str">
            <v>Corporativo Corto</v>
          </cell>
          <cell r="AB126" t="str">
            <v>Corporativo UF</v>
          </cell>
          <cell r="AC126" t="str">
            <v>Instrumentos de Deuda</v>
          </cell>
          <cell r="AD126" t="str">
            <v>Financieras</v>
          </cell>
          <cell r="AE126" t="str">
            <v>Bono Bci Serie Ag</v>
          </cell>
          <cell r="AF126" t="str">
            <v>BCI</v>
          </cell>
        </row>
        <row r="127">
          <cell r="C127" t="str">
            <v>CFI9251B</v>
          </cell>
          <cell r="D127" t="str">
            <v>DEUDA CORP</v>
          </cell>
          <cell r="E127">
            <v>0</v>
          </cell>
          <cell r="F127">
            <v>200907</v>
          </cell>
          <cell r="G127">
            <v>0</v>
          </cell>
          <cell r="H127">
            <v>0</v>
          </cell>
          <cell r="I127" t="str">
            <v xml:space="preserve">          </v>
          </cell>
          <cell r="J127">
            <v>-42696</v>
          </cell>
          <cell r="K127">
            <v>0</v>
          </cell>
          <cell r="L127">
            <v>0</v>
          </cell>
          <cell r="M127" t="str">
            <v>$</v>
          </cell>
          <cell r="N127" t="str">
            <v>RFL</v>
          </cell>
          <cell r="O127" t="str">
            <v>Renta Fija Local</v>
          </cell>
          <cell r="P127"/>
          <cell r="Q127" t="str">
            <v>Corto</v>
          </cell>
          <cell r="R127" t="str">
            <v>Cuotas de Fondos</v>
          </cell>
          <cell r="S127">
            <v>0</v>
          </cell>
          <cell r="T127"/>
          <cell r="U127"/>
          <cell r="V127"/>
          <cell r="W127" t="str">
            <v>Corporativo</v>
          </cell>
          <cell r="X127"/>
          <cell r="Y127"/>
          <cell r="Z127" t="str">
            <v>Corto $</v>
          </cell>
          <cell r="AA127" t="str">
            <v>Corporativo Corto</v>
          </cell>
          <cell r="AB127" t="str">
            <v>Corporativo $</v>
          </cell>
          <cell r="AC127" t="str">
            <v>Fondos</v>
          </cell>
          <cell r="AD127" t="str">
            <v>Fondos</v>
          </cell>
          <cell r="AE127"/>
          <cell r="AF127"/>
        </row>
        <row r="128">
          <cell r="C128" t="str">
            <v>CFI9251I</v>
          </cell>
          <cell r="D128" t="str">
            <v>DEUDA CORP</v>
          </cell>
          <cell r="E128">
            <v>0</v>
          </cell>
          <cell r="F128">
            <v>268447</v>
          </cell>
          <cell r="G128">
            <v>0</v>
          </cell>
          <cell r="H128">
            <v>0</v>
          </cell>
          <cell r="I128" t="str">
            <v xml:space="preserve">          </v>
          </cell>
          <cell r="J128">
            <v>-42696</v>
          </cell>
          <cell r="K128">
            <v>0</v>
          </cell>
          <cell r="L128">
            <v>0</v>
          </cell>
          <cell r="M128" t="str">
            <v>$</v>
          </cell>
          <cell r="N128" t="str">
            <v>RFL</v>
          </cell>
          <cell r="O128" t="str">
            <v>Renta Fija Local</v>
          </cell>
          <cell r="P128"/>
          <cell r="Q128" t="str">
            <v>Corto</v>
          </cell>
          <cell r="R128" t="str">
            <v>Cuotas de Fondos</v>
          </cell>
          <cell r="S128">
            <v>0</v>
          </cell>
          <cell r="T128"/>
          <cell r="U128"/>
          <cell r="V128"/>
          <cell r="W128" t="str">
            <v>Corporativo</v>
          </cell>
          <cell r="X128"/>
          <cell r="Y128"/>
          <cell r="Z128" t="str">
            <v>Corto $</v>
          </cell>
          <cell r="AA128" t="str">
            <v>Corporativo Corto</v>
          </cell>
          <cell r="AB128" t="str">
            <v>Corporativo $</v>
          </cell>
          <cell r="AC128" t="str">
            <v>Fondos</v>
          </cell>
          <cell r="AD128" t="str">
            <v>Fondos</v>
          </cell>
          <cell r="AE128"/>
          <cell r="AF128"/>
        </row>
        <row r="129">
          <cell r="C129" t="str">
            <v>PAGARE NR</v>
          </cell>
          <cell r="D129" t="str">
            <v>CODELCO</v>
          </cell>
          <cell r="E129">
            <v>58459519</v>
          </cell>
          <cell r="F129">
            <v>58498979</v>
          </cell>
          <cell r="G129">
            <v>1.993E-3</v>
          </cell>
          <cell r="H129">
            <v>0.40500000000000003</v>
          </cell>
          <cell r="I129" t="str">
            <v>2016-11-28</v>
          </cell>
          <cell r="J129">
            <v>4</v>
          </cell>
          <cell r="K129">
            <v>0.01</v>
          </cell>
          <cell r="L129">
            <v>0.51</v>
          </cell>
          <cell r="M129" t="str">
            <v>$</v>
          </cell>
          <cell r="N129" t="str">
            <v>RFL</v>
          </cell>
          <cell r="O129" t="str">
            <v>Renta Fija Local</v>
          </cell>
          <cell r="P129"/>
          <cell r="Q129" t="str">
            <v>Corto</v>
          </cell>
          <cell r="R129" t="str">
            <v>Depósitos $</v>
          </cell>
          <cell r="S129">
            <v>1.9697309999999999</v>
          </cell>
          <cell r="T129"/>
          <cell r="U129"/>
          <cell r="V129" t="str">
            <v>Depósitos</v>
          </cell>
          <cell r="W129" t="str">
            <v>Depósitos</v>
          </cell>
          <cell r="X129" t="str">
            <v>Depósitos $</v>
          </cell>
          <cell r="Y129" t="str">
            <v>Depósitos</v>
          </cell>
          <cell r="Z129" t="str">
            <v>Corto $</v>
          </cell>
          <cell r="AA129" t="str">
            <v>Depósitos</v>
          </cell>
          <cell r="AB129" t="str">
            <v>Depósitos $</v>
          </cell>
          <cell r="AC129" t="str">
            <v>Instrumentos de Deuda</v>
          </cell>
          <cell r="AD129" t="str">
            <v>Financieras</v>
          </cell>
          <cell r="AE129" t="str">
            <v>Deposito CLP Banco Codelco</v>
          </cell>
          <cell r="AF129" t="str">
            <v>Codelco</v>
          </cell>
        </row>
        <row r="130">
          <cell r="C130" t="str">
            <v>PAGARE NR</v>
          </cell>
          <cell r="D130" t="str">
            <v>LEAS FORUM</v>
          </cell>
          <cell r="E130">
            <v>99941701</v>
          </cell>
          <cell r="F130">
            <v>100000000</v>
          </cell>
          <cell r="G130">
            <v>3.4069999999999999E-3</v>
          </cell>
          <cell r="H130">
            <v>0.35</v>
          </cell>
          <cell r="I130" t="str">
            <v>2016-11-28</v>
          </cell>
          <cell r="J130">
            <v>4</v>
          </cell>
          <cell r="K130">
            <v>0.01</v>
          </cell>
          <cell r="L130">
            <v>0.51</v>
          </cell>
          <cell r="M130" t="str">
            <v>$</v>
          </cell>
          <cell r="N130" t="str">
            <v>RFL</v>
          </cell>
          <cell r="O130" t="str">
            <v>Renta Fija Local</v>
          </cell>
          <cell r="P130" t="str">
            <v>N1 ; N1</v>
          </cell>
          <cell r="Q130" t="str">
            <v>Corto</v>
          </cell>
          <cell r="R130" t="str">
            <v>Depósitos $</v>
          </cell>
          <cell r="S130">
            <v>1.281801</v>
          </cell>
          <cell r="T130" t="str">
            <v>N-1</v>
          </cell>
          <cell r="U130" t="str">
            <v>25</v>
          </cell>
          <cell r="V130" t="str">
            <v>Depósitos</v>
          </cell>
          <cell r="W130" t="str">
            <v>Depósitos</v>
          </cell>
          <cell r="X130" t="str">
            <v>Depósitos $</v>
          </cell>
          <cell r="Y130" t="str">
            <v>Depósitos</v>
          </cell>
          <cell r="Z130" t="str">
            <v>Corto $</v>
          </cell>
          <cell r="AA130" t="str">
            <v>Depósitos</v>
          </cell>
          <cell r="AB130" t="str">
            <v>Depósitos $</v>
          </cell>
          <cell r="AC130" t="str">
            <v>Instrumentos de Deuda</v>
          </cell>
          <cell r="AD130" t="str">
            <v>Financieras</v>
          </cell>
          <cell r="AE130" t="str">
            <v>Deposito CLP Banco Leas Forum</v>
          </cell>
          <cell r="AF130" t="str">
            <v>Forum Servicios Financieros S.A.</v>
          </cell>
        </row>
        <row r="131">
          <cell r="C131" t="str">
            <v>PAGARE NR</v>
          </cell>
          <cell r="D131" t="str">
            <v>ITAUCORP</v>
          </cell>
          <cell r="E131">
            <v>99920064</v>
          </cell>
          <cell r="F131">
            <v>100000000</v>
          </cell>
          <cell r="G131">
            <v>3.4060000000000002E-3</v>
          </cell>
          <cell r="H131">
            <v>0.3</v>
          </cell>
          <cell r="I131" t="str">
            <v>2016-12-01</v>
          </cell>
          <cell r="J131">
            <v>7</v>
          </cell>
          <cell r="K131">
            <v>0.02</v>
          </cell>
          <cell r="L131">
            <v>0.51</v>
          </cell>
          <cell r="M131" t="str">
            <v>$</v>
          </cell>
          <cell r="N131" t="str">
            <v>RFL</v>
          </cell>
          <cell r="O131" t="str">
            <v>Renta Fija Local</v>
          </cell>
          <cell r="P131" t="str">
            <v>N1 ; N1</v>
          </cell>
          <cell r="Q131" t="str">
            <v>Corto</v>
          </cell>
          <cell r="R131" t="str">
            <v>Depósitos $</v>
          </cell>
          <cell r="S131">
            <v>0.65999799999999997</v>
          </cell>
          <cell r="T131" t="str">
            <v>N-1</v>
          </cell>
          <cell r="U131" t="str">
            <v>25</v>
          </cell>
          <cell r="V131" t="str">
            <v>Depósitos</v>
          </cell>
          <cell r="W131" t="str">
            <v>Depósitos</v>
          </cell>
          <cell r="X131" t="str">
            <v>Depósitos $</v>
          </cell>
          <cell r="Y131" t="str">
            <v>Depósitos</v>
          </cell>
          <cell r="Z131" t="str">
            <v>Corto $</v>
          </cell>
          <cell r="AA131" t="str">
            <v>Depósitos</v>
          </cell>
          <cell r="AB131" t="str">
            <v>Depósitos $</v>
          </cell>
          <cell r="AC131" t="str">
            <v>Instrumentos de Deuda</v>
          </cell>
          <cell r="AD131" t="str">
            <v>Financieras</v>
          </cell>
          <cell r="AE131" t="str">
            <v>Deposito CLP Banco Itaucorp</v>
          </cell>
          <cell r="AF131" t="str">
            <v>Itau/Corpbanca</v>
          </cell>
        </row>
        <row r="132">
          <cell r="C132" t="str">
            <v>PAGARE NR</v>
          </cell>
          <cell r="D132" t="str">
            <v>CMR</v>
          </cell>
          <cell r="E132">
            <v>99846237</v>
          </cell>
          <cell r="F132">
            <v>100000000</v>
          </cell>
          <cell r="G132">
            <v>3.4039999999999999E-3</v>
          </cell>
          <cell r="H132">
            <v>0.33</v>
          </cell>
          <cell r="I132" t="str">
            <v>2016-12-07</v>
          </cell>
          <cell r="J132">
            <v>13</v>
          </cell>
          <cell r="K132">
            <v>0.04</v>
          </cell>
          <cell r="L132">
            <v>0.51</v>
          </cell>
          <cell r="M132" t="str">
            <v>$</v>
          </cell>
          <cell r="N132" t="str">
            <v>RFL</v>
          </cell>
          <cell r="O132" t="str">
            <v>Renta Fija Local</v>
          </cell>
          <cell r="P132" t="str">
            <v>N1 ; N1</v>
          </cell>
          <cell r="Q132" t="str">
            <v>Corto</v>
          </cell>
          <cell r="R132" t="str">
            <v>Depósitos $</v>
          </cell>
          <cell r="S132">
            <v>1.0326709999999999</v>
          </cell>
          <cell r="T132" t="str">
            <v>N-1</v>
          </cell>
          <cell r="U132" t="str">
            <v>25</v>
          </cell>
          <cell r="V132" t="str">
            <v>Depósitos</v>
          </cell>
          <cell r="W132" t="str">
            <v>Depósitos</v>
          </cell>
          <cell r="X132" t="str">
            <v>Depósitos $</v>
          </cell>
          <cell r="Y132" t="str">
            <v>Depósitos</v>
          </cell>
          <cell r="Z132" t="str">
            <v>Corto $</v>
          </cell>
          <cell r="AA132" t="str">
            <v>Depósitos</v>
          </cell>
          <cell r="AB132" t="str">
            <v>Depósitos $</v>
          </cell>
          <cell r="AC132" t="str">
            <v>Instrumentos de Deuda</v>
          </cell>
          <cell r="AD132" t="str">
            <v>Financieras</v>
          </cell>
          <cell r="AE132" t="str">
            <v>Deposito CLP Banco Cmr</v>
          </cell>
          <cell r="AF132" t="str">
            <v>CMR</v>
          </cell>
        </row>
        <row r="133">
          <cell r="C133" t="str">
            <v>BESTJ70112</v>
          </cell>
          <cell r="D133" t="str">
            <v>BBESTADO</v>
          </cell>
          <cell r="E133">
            <v>133313899</v>
          </cell>
          <cell r="F133">
            <v>5000</v>
          </cell>
          <cell r="G133">
            <v>4.5450000000000004E-3</v>
          </cell>
          <cell r="H133">
            <v>3.42</v>
          </cell>
          <cell r="I133" t="str">
            <v>2017-01-01</v>
          </cell>
          <cell r="J133">
            <v>38</v>
          </cell>
          <cell r="K133">
            <v>0.1</v>
          </cell>
          <cell r="L133">
            <v>100</v>
          </cell>
          <cell r="M133" t="str">
            <v>UF</v>
          </cell>
          <cell r="N133" t="str">
            <v>RFL</v>
          </cell>
          <cell r="O133" t="str">
            <v>Renta Fija Local</v>
          </cell>
          <cell r="P133" t="str">
            <v>AAA ; AAA</v>
          </cell>
          <cell r="Q133" t="str">
            <v>Corto</v>
          </cell>
          <cell r="R133" t="str">
            <v>Corporativo Bajo Riesgo Corto</v>
          </cell>
          <cell r="S133">
            <v>3.42</v>
          </cell>
          <cell r="T133" t="str">
            <v>AAA</v>
          </cell>
          <cell r="U133" t="str">
            <v>1</v>
          </cell>
          <cell r="V133" t="str">
            <v>Bajo Riesgo</v>
          </cell>
          <cell r="W133" t="str">
            <v>Corporativo</v>
          </cell>
          <cell r="X133" t="str">
            <v>Bajo Riesgo Corto UF</v>
          </cell>
          <cell r="Y133" t="str">
            <v>Corporativo Bajo Riesgo Corto</v>
          </cell>
          <cell r="Z133" t="str">
            <v>Corto UF</v>
          </cell>
          <cell r="AA133" t="str">
            <v>Corporativo Corto</v>
          </cell>
          <cell r="AB133" t="str">
            <v>Corporativo UF</v>
          </cell>
          <cell r="AC133" t="str">
            <v>Instrumentos de Deuda</v>
          </cell>
          <cell r="AD133" t="str">
            <v>Financieras</v>
          </cell>
          <cell r="AE133" t="str">
            <v>Bono Banco Estado Serie J7</v>
          </cell>
          <cell r="AF133" t="str">
            <v>Banco Estado</v>
          </cell>
        </row>
        <row r="134">
          <cell r="C134" t="str">
            <v>PAGARE NR</v>
          </cell>
          <cell r="D134" t="str">
            <v>SANTANDER</v>
          </cell>
          <cell r="E134">
            <v>99543427</v>
          </cell>
          <cell r="F134">
            <v>100000000</v>
          </cell>
          <cell r="G134">
            <v>3.3930000000000002E-3</v>
          </cell>
          <cell r="H134">
            <v>0.32</v>
          </cell>
          <cell r="I134" t="str">
            <v>2017-01-05</v>
          </cell>
          <cell r="J134">
            <v>42</v>
          </cell>
          <cell r="K134">
            <v>0.12</v>
          </cell>
          <cell r="L134">
            <v>0.51</v>
          </cell>
          <cell r="M134" t="str">
            <v>$</v>
          </cell>
          <cell r="N134" t="str">
            <v>RFL</v>
          </cell>
          <cell r="O134" t="str">
            <v>Renta Fija Local</v>
          </cell>
          <cell r="P134" t="str">
            <v>N1 ; N1</v>
          </cell>
          <cell r="Q134" t="str">
            <v>Corto</v>
          </cell>
          <cell r="R134" t="str">
            <v>Depósitos $</v>
          </cell>
          <cell r="S134">
            <v>0.90830999999999995</v>
          </cell>
          <cell r="T134" t="str">
            <v>N-1</v>
          </cell>
          <cell r="U134" t="str">
            <v>25</v>
          </cell>
          <cell r="V134" t="str">
            <v>Depósitos</v>
          </cell>
          <cell r="W134" t="str">
            <v>Depósitos</v>
          </cell>
          <cell r="X134" t="str">
            <v>Depósitos $</v>
          </cell>
          <cell r="Y134" t="str">
            <v>Depósitos</v>
          </cell>
          <cell r="Z134" t="str">
            <v>Corto $</v>
          </cell>
          <cell r="AA134" t="str">
            <v>Depósitos</v>
          </cell>
          <cell r="AB134" t="str">
            <v>Depósitos $</v>
          </cell>
          <cell r="AC134" t="str">
            <v>Instrumentos de Deuda</v>
          </cell>
          <cell r="AD134" t="str">
            <v>Financieras</v>
          </cell>
          <cell r="AE134" t="str">
            <v>Deposito CLP Banco Santander</v>
          </cell>
          <cell r="AF134" t="str">
            <v>Banco Santander</v>
          </cell>
        </row>
        <row r="135">
          <cell r="C135" t="str">
            <v>PAGARE NR</v>
          </cell>
          <cell r="D135" t="str">
            <v>ESTADO</v>
          </cell>
          <cell r="E135">
            <v>99469496</v>
          </cell>
          <cell r="F135">
            <v>100000000</v>
          </cell>
          <cell r="G135">
            <v>3.3909999999999999E-3</v>
          </cell>
          <cell r="H135">
            <v>0.32</v>
          </cell>
          <cell r="I135" t="str">
            <v>2017-01-12</v>
          </cell>
          <cell r="J135">
            <v>49</v>
          </cell>
          <cell r="K135">
            <v>0.14000000000000001</v>
          </cell>
          <cell r="L135">
            <v>0.51</v>
          </cell>
          <cell r="M135" t="str">
            <v>$</v>
          </cell>
          <cell r="N135" t="str">
            <v>RFL</v>
          </cell>
          <cell r="O135" t="str">
            <v>Renta Fija Local</v>
          </cell>
          <cell r="P135" t="str">
            <v>N1 ; N1</v>
          </cell>
          <cell r="Q135" t="str">
            <v>Corto</v>
          </cell>
          <cell r="R135" t="str">
            <v>Depósitos $</v>
          </cell>
          <cell r="S135">
            <v>0.90830999999999995</v>
          </cell>
          <cell r="T135" t="str">
            <v>N-1</v>
          </cell>
          <cell r="U135" t="str">
            <v>25</v>
          </cell>
          <cell r="V135" t="str">
            <v>Depósitos</v>
          </cell>
          <cell r="W135" t="str">
            <v>Depósitos</v>
          </cell>
          <cell r="X135" t="str">
            <v>Depósitos $</v>
          </cell>
          <cell r="Y135" t="str">
            <v>Depósitos</v>
          </cell>
          <cell r="Z135" t="str">
            <v>Corto $</v>
          </cell>
          <cell r="AA135" t="str">
            <v>Depósitos</v>
          </cell>
          <cell r="AB135" t="str">
            <v>Depósitos $</v>
          </cell>
          <cell r="AC135" t="str">
            <v>Instrumentos de Deuda</v>
          </cell>
          <cell r="AD135" t="str">
            <v>Financieras</v>
          </cell>
          <cell r="AE135" t="str">
            <v>Deposito CLP Banco Estado</v>
          </cell>
          <cell r="AF135" t="str">
            <v>Banco Estado</v>
          </cell>
        </row>
        <row r="136">
          <cell r="C136" t="str">
            <v>PAGARE NR</v>
          </cell>
          <cell r="D136" t="str">
            <v>BCI</v>
          </cell>
          <cell r="E136">
            <v>99427299</v>
          </cell>
          <cell r="F136">
            <v>50000000</v>
          </cell>
          <cell r="G136">
            <v>3.3890000000000001E-3</v>
          </cell>
          <cell r="H136">
            <v>0.32</v>
          </cell>
          <cell r="I136" t="str">
            <v>2017-01-16</v>
          </cell>
          <cell r="J136">
            <v>53</v>
          </cell>
          <cell r="K136">
            <v>0.15</v>
          </cell>
          <cell r="L136">
            <v>0.51</v>
          </cell>
          <cell r="M136" t="str">
            <v>$</v>
          </cell>
          <cell r="N136" t="str">
            <v>RFL</v>
          </cell>
          <cell r="O136" t="str">
            <v>Renta Fija Local</v>
          </cell>
          <cell r="P136" t="str">
            <v>N1 ; N1</v>
          </cell>
          <cell r="Q136" t="str">
            <v>Corto</v>
          </cell>
          <cell r="R136" t="str">
            <v>Depósitos $</v>
          </cell>
          <cell r="S136">
            <v>0.90830999999999995</v>
          </cell>
          <cell r="T136" t="str">
            <v>N-1</v>
          </cell>
          <cell r="U136" t="str">
            <v>25</v>
          </cell>
          <cell r="V136" t="str">
            <v>Depósitos</v>
          </cell>
          <cell r="W136" t="str">
            <v>Depósitos</v>
          </cell>
          <cell r="X136" t="str">
            <v>Depósitos $</v>
          </cell>
          <cell r="Y136" t="str">
            <v>Depósitos</v>
          </cell>
          <cell r="Z136" t="str">
            <v>Corto $</v>
          </cell>
          <cell r="AA136" t="str">
            <v>Depósitos</v>
          </cell>
          <cell r="AB136" t="str">
            <v>Depósitos $</v>
          </cell>
          <cell r="AC136" t="str">
            <v>Instrumentos de Deuda</v>
          </cell>
          <cell r="AD136" t="str">
            <v>Financieras</v>
          </cell>
          <cell r="AE136" t="str">
            <v>Deposito CLP Banco Bci</v>
          </cell>
          <cell r="AF136" t="str">
            <v>BCI</v>
          </cell>
        </row>
        <row r="137">
          <cell r="C137" t="str">
            <v>PAGARE NR</v>
          </cell>
          <cell r="D137" t="str">
            <v>TANNER SF</v>
          </cell>
          <cell r="E137">
            <v>297723408</v>
          </cell>
          <cell r="F137">
            <v>300000000</v>
          </cell>
          <cell r="G137">
            <v>1.0149999999999999E-2</v>
          </cell>
          <cell r="H137">
            <v>0.37</v>
          </cell>
          <cell r="I137" t="str">
            <v>2017-01-24</v>
          </cell>
          <cell r="J137">
            <v>61</v>
          </cell>
          <cell r="K137">
            <v>0.17</v>
          </cell>
          <cell r="L137">
            <v>0.51</v>
          </cell>
          <cell r="M137" t="str">
            <v>$</v>
          </cell>
          <cell r="N137" t="str">
            <v>RFL</v>
          </cell>
          <cell r="O137" t="str">
            <v>Renta Fija Local</v>
          </cell>
          <cell r="P137" t="str">
            <v>N1 ; N1</v>
          </cell>
          <cell r="Q137" t="str">
            <v>Corto</v>
          </cell>
          <cell r="R137" t="str">
            <v>Depósitos $</v>
          </cell>
          <cell r="S137">
            <v>1.5314779999999999</v>
          </cell>
          <cell r="T137" t="str">
            <v>N-1</v>
          </cell>
          <cell r="U137" t="str">
            <v>25</v>
          </cell>
          <cell r="V137" t="str">
            <v>Depósitos</v>
          </cell>
          <cell r="W137" t="str">
            <v>Depósitos</v>
          </cell>
          <cell r="X137" t="str">
            <v>Depósitos $</v>
          </cell>
          <cell r="Y137" t="str">
            <v>Depósitos</v>
          </cell>
          <cell r="Z137" t="str">
            <v>Corto $</v>
          </cell>
          <cell r="AA137" t="str">
            <v>Depósitos</v>
          </cell>
          <cell r="AB137" t="str">
            <v>Depósitos $</v>
          </cell>
          <cell r="AC137" t="str">
            <v>Instrumentos de Deuda</v>
          </cell>
          <cell r="AD137" t="str">
            <v>Financieras</v>
          </cell>
          <cell r="AE137" t="str">
            <v>Deposito CLP Banco Tanner Sf</v>
          </cell>
          <cell r="AF137" t="str">
            <v>Tanner</v>
          </cell>
        </row>
        <row r="138">
          <cell r="C138" t="str">
            <v>BSOQU-M</v>
          </cell>
          <cell r="D138" t="str">
            <v>SOQUIMICH</v>
          </cell>
          <cell r="E138">
            <v>92889356</v>
          </cell>
          <cell r="F138">
            <v>3500</v>
          </cell>
          <cell r="G138">
            <v>3.166E-3</v>
          </cell>
          <cell r="H138">
            <v>3.85</v>
          </cell>
          <cell r="I138" t="str">
            <v>2017-02-01</v>
          </cell>
          <cell r="J138">
            <v>69</v>
          </cell>
          <cell r="K138">
            <v>0.19</v>
          </cell>
          <cell r="L138">
            <v>99.89</v>
          </cell>
          <cell r="M138" t="str">
            <v>UF</v>
          </cell>
          <cell r="N138" t="str">
            <v>RFL</v>
          </cell>
          <cell r="O138" t="str">
            <v>Renta Fija Local</v>
          </cell>
          <cell r="P138" t="str">
            <v>AA- ; A+</v>
          </cell>
          <cell r="Q138" t="str">
            <v>Corto</v>
          </cell>
          <cell r="R138" t="str">
            <v>Corporativo Alto Riesgo Corto</v>
          </cell>
          <cell r="S138">
            <v>3.85</v>
          </cell>
          <cell r="T138" t="str">
            <v>A+</v>
          </cell>
          <cell r="U138" t="str">
            <v>5</v>
          </cell>
          <cell r="V138" t="str">
            <v>Alto Riesgo</v>
          </cell>
          <cell r="W138" t="str">
            <v>Corporativo</v>
          </cell>
          <cell r="X138" t="str">
            <v>Alto Riesgo Corto UF</v>
          </cell>
          <cell r="Y138" t="str">
            <v>Corporativo Alto Riesgo Corto</v>
          </cell>
          <cell r="Z138" t="str">
            <v>Corto UF</v>
          </cell>
          <cell r="AA138" t="str">
            <v>Corporativo Corto</v>
          </cell>
          <cell r="AB138" t="str">
            <v>Corporativo UF</v>
          </cell>
          <cell r="AC138" t="str">
            <v>Instrumentos de Deuda</v>
          </cell>
          <cell r="AD138" t="str">
            <v>Materiales Básicos</v>
          </cell>
          <cell r="AE138" t="str">
            <v>Bono Sqm Serie M</v>
          </cell>
          <cell r="AF138" t="str">
            <v>SQM S.A.</v>
          </cell>
        </row>
        <row r="139">
          <cell r="C139" t="str">
            <v>BCGVI-A</v>
          </cell>
          <cell r="D139" t="str">
            <v>CG VIDA</v>
          </cell>
          <cell r="E139">
            <v>3828058</v>
          </cell>
          <cell r="F139">
            <v>1000</v>
          </cell>
          <cell r="G139">
            <v>1.2999999999999999E-4</v>
          </cell>
          <cell r="H139">
            <v>4.2699999999999996</v>
          </cell>
          <cell r="I139" t="str">
            <v>2017-03-15</v>
          </cell>
          <cell r="J139">
            <v>111</v>
          </cell>
          <cell r="K139">
            <v>0.3</v>
          </cell>
          <cell r="L139">
            <v>99.68</v>
          </cell>
          <cell r="M139" t="str">
            <v>UF</v>
          </cell>
          <cell r="N139" t="str">
            <v>RFL</v>
          </cell>
          <cell r="O139" t="str">
            <v>Renta Fija Local</v>
          </cell>
          <cell r="P139" t="str">
            <v>AA ; AA-</v>
          </cell>
          <cell r="Q139" t="str">
            <v>Corto</v>
          </cell>
          <cell r="R139" t="str">
            <v>Corporativo Bajo Riesgo Corto</v>
          </cell>
          <cell r="S139">
            <v>4.2699999999999996</v>
          </cell>
          <cell r="T139" t="str">
            <v>AA-</v>
          </cell>
          <cell r="U139" t="str">
            <v>4</v>
          </cell>
          <cell r="V139" t="str">
            <v>Bajo Riesgo</v>
          </cell>
          <cell r="W139" t="str">
            <v>Corporativo</v>
          </cell>
          <cell r="X139" t="str">
            <v>Bajo Riesgo Corto UF</v>
          </cell>
          <cell r="Y139" t="str">
            <v>Corporativo Bajo Riesgo Corto</v>
          </cell>
          <cell r="Z139" t="str">
            <v>Corto UF</v>
          </cell>
          <cell r="AA139" t="str">
            <v>Corporativo Corto</v>
          </cell>
          <cell r="AB139" t="str">
            <v>Corporativo UF</v>
          </cell>
          <cell r="AC139" t="str">
            <v>Instrumentos de Deuda</v>
          </cell>
          <cell r="AD139" t="str">
            <v>Financieras</v>
          </cell>
          <cell r="AE139" t="str">
            <v>Bono Corpgroup Vida Chile Serie A</v>
          </cell>
          <cell r="AF139" t="str">
            <v>Corpgroup Vida Chile</v>
          </cell>
        </row>
        <row r="140">
          <cell r="C140" t="str">
            <v>BCNO-I0414</v>
          </cell>
          <cell r="D140" t="str">
            <v>BBCONSORC</v>
          </cell>
          <cell r="E140">
            <v>111413540</v>
          </cell>
          <cell r="F140">
            <v>110000000</v>
          </cell>
          <cell r="G140">
            <v>3.7980000000000002E-3</v>
          </cell>
          <cell r="H140">
            <v>4.45</v>
          </cell>
          <cell r="I140" t="str">
            <v>2017-04-01</v>
          </cell>
          <cell r="J140">
            <v>128</v>
          </cell>
          <cell r="K140">
            <v>0.35</v>
          </cell>
          <cell r="L140">
            <v>100.46</v>
          </cell>
          <cell r="M140" t="str">
            <v>$</v>
          </cell>
          <cell r="N140" t="str">
            <v>RFL</v>
          </cell>
          <cell r="O140" t="str">
            <v>Renta Fija Local</v>
          </cell>
          <cell r="P140" t="str">
            <v>AA- ; AA-</v>
          </cell>
          <cell r="Q140" t="str">
            <v>Corto</v>
          </cell>
          <cell r="R140" t="str">
            <v>Corporativo Bajo Riesgo Corto</v>
          </cell>
          <cell r="S140">
            <v>1.45</v>
          </cell>
          <cell r="T140" t="str">
            <v>AA-</v>
          </cell>
          <cell r="U140" t="str">
            <v>4</v>
          </cell>
          <cell r="V140" t="str">
            <v>Bajo Riesgo</v>
          </cell>
          <cell r="W140" t="str">
            <v>Corporativo</v>
          </cell>
          <cell r="X140" t="str">
            <v>Bajo Riesgo Corto $</v>
          </cell>
          <cell r="Y140" t="str">
            <v>Corporativo Bajo Riesgo Corto</v>
          </cell>
          <cell r="Z140" t="str">
            <v>Corto $</v>
          </cell>
          <cell r="AA140" t="str">
            <v>Corporativo Corto</v>
          </cell>
          <cell r="AB140" t="str">
            <v>Corporativo $</v>
          </cell>
          <cell r="AC140" t="str">
            <v>Instrumentos de Deuda</v>
          </cell>
          <cell r="AD140" t="str">
            <v>Financieras</v>
          </cell>
          <cell r="AE140" t="str">
            <v>Bono Banco Consorcio Serie I</v>
          </cell>
          <cell r="AF140" t="str">
            <v>Banco Consorcio</v>
          </cell>
        </row>
        <row r="141">
          <cell r="C141" t="str">
            <v>PAGARE NR</v>
          </cell>
          <cell r="D141" t="str">
            <v>BCI</v>
          </cell>
          <cell r="E141">
            <v>49755267</v>
          </cell>
          <cell r="F141">
            <v>50493967</v>
          </cell>
          <cell r="G141">
            <v>1.696E-3</v>
          </cell>
          <cell r="H141">
            <v>0.34</v>
          </cell>
          <cell r="I141" t="str">
            <v>2017-04-03</v>
          </cell>
          <cell r="J141">
            <v>130</v>
          </cell>
          <cell r="K141">
            <v>0.36</v>
          </cell>
          <cell r="L141">
            <v>0.51</v>
          </cell>
          <cell r="M141" t="str">
            <v>$</v>
          </cell>
          <cell r="N141" t="str">
            <v>RFL</v>
          </cell>
          <cell r="O141" t="str">
            <v>Renta Fija Local</v>
          </cell>
          <cell r="P141" t="str">
            <v>N1 ; N1</v>
          </cell>
          <cell r="Q141" t="str">
            <v>Corto</v>
          </cell>
          <cell r="R141" t="str">
            <v>Depósitos $</v>
          </cell>
          <cell r="S141">
            <v>1.1571670000000001</v>
          </cell>
          <cell r="T141" t="str">
            <v>N-1</v>
          </cell>
          <cell r="U141" t="str">
            <v>25</v>
          </cell>
          <cell r="V141" t="str">
            <v>Depósitos</v>
          </cell>
          <cell r="W141" t="str">
            <v>Depósitos</v>
          </cell>
          <cell r="X141" t="str">
            <v>Depósitos $</v>
          </cell>
          <cell r="Y141" t="str">
            <v>Depósitos</v>
          </cell>
          <cell r="Z141" t="str">
            <v>Corto $</v>
          </cell>
          <cell r="AA141" t="str">
            <v>Depósitos</v>
          </cell>
          <cell r="AB141" t="str">
            <v>Depósitos $</v>
          </cell>
          <cell r="AC141" t="str">
            <v>Instrumentos de Deuda</v>
          </cell>
          <cell r="AD141" t="str">
            <v>Financieras</v>
          </cell>
          <cell r="AE141" t="str">
            <v>Deposito CLP Banco Bci</v>
          </cell>
          <cell r="AF141" t="str">
            <v>BCI</v>
          </cell>
        </row>
        <row r="142">
          <cell r="C142" t="str">
            <v>BBBVJ31011</v>
          </cell>
          <cell r="D142" t="str">
            <v>BBBVA</v>
          </cell>
          <cell r="E142">
            <v>39433473</v>
          </cell>
          <cell r="F142">
            <v>1500</v>
          </cell>
          <cell r="G142">
            <v>1.3439999999999999E-3</v>
          </cell>
          <cell r="H142">
            <v>4.1399999999999997</v>
          </cell>
          <cell r="I142" t="str">
            <v>2017-04-09</v>
          </cell>
          <cell r="J142">
            <v>136</v>
          </cell>
          <cell r="K142">
            <v>0.37</v>
          </cell>
          <cell r="L142">
            <v>99.6</v>
          </cell>
          <cell r="M142" t="str">
            <v>UF</v>
          </cell>
          <cell r="N142" t="str">
            <v>RFL</v>
          </cell>
          <cell r="O142" t="str">
            <v>Renta Fija Local</v>
          </cell>
          <cell r="P142" t="str">
            <v>AA ; AA+</v>
          </cell>
          <cell r="Q142" t="str">
            <v>Corto</v>
          </cell>
          <cell r="R142" t="str">
            <v>Corporativo Bajo Riesgo Corto</v>
          </cell>
          <cell r="S142">
            <v>4.1399999999999997</v>
          </cell>
          <cell r="T142" t="str">
            <v>AA</v>
          </cell>
          <cell r="U142" t="str">
            <v>3</v>
          </cell>
          <cell r="V142" t="str">
            <v>Bajo Riesgo</v>
          </cell>
          <cell r="W142" t="str">
            <v>Corporativo</v>
          </cell>
          <cell r="X142" t="str">
            <v>Bajo Riesgo Corto UF</v>
          </cell>
          <cell r="Y142" t="str">
            <v>Corporativo Bajo Riesgo Corto</v>
          </cell>
          <cell r="Z142" t="str">
            <v>Corto UF</v>
          </cell>
          <cell r="AA142" t="str">
            <v>Corporativo Corto</v>
          </cell>
          <cell r="AB142" t="str">
            <v>Corporativo UF</v>
          </cell>
          <cell r="AC142" t="str">
            <v>Instrumentos de Deuda</v>
          </cell>
          <cell r="AD142" t="str">
            <v>Financieras</v>
          </cell>
          <cell r="AE142" t="str">
            <v>Banco Bilbao Vizcaya Argentaria Chile</v>
          </cell>
          <cell r="AF142" t="str">
            <v>BBVA</v>
          </cell>
        </row>
        <row r="143">
          <cell r="C143" t="str">
            <v>PAGARE NR</v>
          </cell>
          <cell r="D143" t="str">
            <v>CHILE</v>
          </cell>
          <cell r="E143">
            <v>9843004</v>
          </cell>
          <cell r="F143">
            <v>10000000</v>
          </cell>
          <cell r="G143">
            <v>3.3500000000000001E-4</v>
          </cell>
          <cell r="H143">
            <v>0.33</v>
          </cell>
          <cell r="I143" t="str">
            <v>2017-04-17</v>
          </cell>
          <cell r="J143">
            <v>144</v>
          </cell>
          <cell r="K143">
            <v>0.4</v>
          </cell>
          <cell r="L143">
            <v>0.51</v>
          </cell>
          <cell r="M143" t="str">
            <v>$</v>
          </cell>
          <cell r="N143" t="str">
            <v>RFL</v>
          </cell>
          <cell r="O143" t="str">
            <v>Renta Fija Local</v>
          </cell>
          <cell r="P143" t="str">
            <v>N1 ; N1</v>
          </cell>
          <cell r="Q143" t="str">
            <v>Corto</v>
          </cell>
          <cell r="R143" t="str">
            <v>Depósitos $</v>
          </cell>
          <cell r="S143">
            <v>1.0326709999999999</v>
          </cell>
          <cell r="T143" t="str">
            <v>N-1</v>
          </cell>
          <cell r="U143" t="str">
            <v>25</v>
          </cell>
          <cell r="V143" t="str">
            <v>Depósitos</v>
          </cell>
          <cell r="W143" t="str">
            <v>Depósitos</v>
          </cell>
          <cell r="X143" t="str">
            <v>Depósitos $</v>
          </cell>
          <cell r="Y143" t="str">
            <v>Depósitos</v>
          </cell>
          <cell r="Z143" t="str">
            <v>Corto $</v>
          </cell>
          <cell r="AA143" t="str">
            <v>Depósitos</v>
          </cell>
          <cell r="AB143" t="str">
            <v>Depósitos $</v>
          </cell>
          <cell r="AC143" t="str">
            <v>Instrumentos de Deuda</v>
          </cell>
          <cell r="AD143" t="str">
            <v>Financieras</v>
          </cell>
          <cell r="AE143" t="str">
            <v>Deposito CLP Banco Chile</v>
          </cell>
          <cell r="AF143" t="str">
            <v>Banco de Chile</v>
          </cell>
        </row>
        <row r="144">
          <cell r="C144" t="str">
            <v>PAGARE NR</v>
          </cell>
          <cell r="D144" t="str">
            <v>CHILE</v>
          </cell>
          <cell r="E144">
            <v>11673267</v>
          </cell>
          <cell r="F144">
            <v>11880000</v>
          </cell>
          <cell r="G144">
            <v>3.97E-4</v>
          </cell>
          <cell r="H144">
            <v>0.33</v>
          </cell>
          <cell r="I144" t="str">
            <v>2017-05-03</v>
          </cell>
          <cell r="J144">
            <v>160</v>
          </cell>
          <cell r="K144">
            <v>0.44</v>
          </cell>
          <cell r="L144">
            <v>0.51</v>
          </cell>
          <cell r="M144" t="str">
            <v>$</v>
          </cell>
          <cell r="N144" t="str">
            <v>RFL</v>
          </cell>
          <cell r="O144" t="str">
            <v>Renta Fija Local</v>
          </cell>
          <cell r="P144" t="str">
            <v>N1 ; N1</v>
          </cell>
          <cell r="Q144" t="str">
            <v>Corto</v>
          </cell>
          <cell r="R144" t="str">
            <v>Depósitos $</v>
          </cell>
          <cell r="S144">
            <v>1.0326709999999999</v>
          </cell>
          <cell r="T144" t="str">
            <v>N-1</v>
          </cell>
          <cell r="U144" t="str">
            <v>25</v>
          </cell>
          <cell r="V144" t="str">
            <v>Depósitos</v>
          </cell>
          <cell r="W144" t="str">
            <v>Depósitos</v>
          </cell>
          <cell r="X144" t="str">
            <v>Depósitos $</v>
          </cell>
          <cell r="Y144" t="str">
            <v>Depósitos</v>
          </cell>
          <cell r="Z144" t="str">
            <v>Corto $</v>
          </cell>
          <cell r="AA144" t="str">
            <v>Depósitos</v>
          </cell>
          <cell r="AB144" t="str">
            <v>Depósitos $</v>
          </cell>
          <cell r="AC144" t="str">
            <v>Instrumentos de Deuda</v>
          </cell>
          <cell r="AD144" t="str">
            <v>Financieras</v>
          </cell>
          <cell r="AE144" t="str">
            <v>Deposito CLP Banco Chile</v>
          </cell>
          <cell r="AF144" t="str">
            <v>Banco de Chile</v>
          </cell>
        </row>
        <row r="145">
          <cell r="C145" t="str">
            <v>BEKOP-A</v>
          </cell>
          <cell r="D145" t="str">
            <v>KOPOLAR</v>
          </cell>
          <cell r="E145">
            <v>23170354</v>
          </cell>
          <cell r="F145">
            <v>3500</v>
          </cell>
          <cell r="G145">
            <v>7.8899999999999999E-4</v>
          </cell>
          <cell r="H145">
            <v>3.28</v>
          </cell>
          <cell r="I145" t="str">
            <v>2017-08-15</v>
          </cell>
          <cell r="J145">
            <v>264</v>
          </cell>
          <cell r="K145">
            <v>0.47</v>
          </cell>
          <cell r="L145">
            <v>99.87</v>
          </cell>
          <cell r="M145" t="str">
            <v>UF</v>
          </cell>
          <cell r="N145" t="str">
            <v>RFL</v>
          </cell>
          <cell r="O145" t="str">
            <v>Renta Fija Local</v>
          </cell>
          <cell r="P145" t="str">
            <v>AA- ; AA-</v>
          </cell>
          <cell r="Q145" t="str">
            <v>Corto</v>
          </cell>
          <cell r="R145" t="str">
            <v>Corporativo Bajo Riesgo Corto</v>
          </cell>
          <cell r="S145">
            <v>3.28</v>
          </cell>
          <cell r="T145" t="str">
            <v>AA-</v>
          </cell>
          <cell r="U145" t="str">
            <v>4</v>
          </cell>
          <cell r="V145" t="str">
            <v>Bajo Riesgo</v>
          </cell>
          <cell r="W145" t="str">
            <v>Corporativo</v>
          </cell>
          <cell r="X145" t="str">
            <v>Bajo Riesgo Corto UF</v>
          </cell>
          <cell r="Y145" t="str">
            <v>Corporativo Bajo Riesgo Corto</v>
          </cell>
          <cell r="Z145" t="str">
            <v>Corto UF</v>
          </cell>
          <cell r="AA145" t="str">
            <v>Corporativo Corto</v>
          </cell>
          <cell r="AB145" t="str">
            <v>Corporativo UF</v>
          </cell>
          <cell r="AC145" t="str">
            <v>Instrumentos de Deuda</v>
          </cell>
          <cell r="AD145" t="str">
            <v>Industriales</v>
          </cell>
          <cell r="AE145" t="str">
            <v>Bono Kopolar Serie A</v>
          </cell>
          <cell r="AF145" t="str">
            <v>Embotelladoras Coca-Cola Polar S.A.</v>
          </cell>
        </row>
        <row r="146">
          <cell r="C146" t="str">
            <v>BDES-G0607</v>
          </cell>
          <cell r="D146" t="str">
            <v>BBDESARROL</v>
          </cell>
          <cell r="E146">
            <v>40199670</v>
          </cell>
          <cell r="F146">
            <v>1500</v>
          </cell>
          <cell r="G146">
            <v>1.3699999999999999E-3</v>
          </cell>
          <cell r="H146">
            <v>3.04</v>
          </cell>
          <cell r="I146" t="str">
            <v>2017-06-01</v>
          </cell>
          <cell r="J146">
            <v>189</v>
          </cell>
          <cell r="K146">
            <v>0.51</v>
          </cell>
          <cell r="L146">
            <v>100.23</v>
          </cell>
          <cell r="M146" t="str">
            <v>UF</v>
          </cell>
          <cell r="N146" t="str">
            <v>RFL</v>
          </cell>
          <cell r="O146" t="str">
            <v>Renta Fija Local</v>
          </cell>
          <cell r="P146" t="str">
            <v>AAA ; AAA</v>
          </cell>
          <cell r="Q146" t="str">
            <v>Corto</v>
          </cell>
          <cell r="R146" t="str">
            <v>Corporativo Bajo Riesgo Corto</v>
          </cell>
          <cell r="S146">
            <v>3.04</v>
          </cell>
          <cell r="T146" t="str">
            <v>AAA</v>
          </cell>
          <cell r="U146" t="str">
            <v>1</v>
          </cell>
          <cell r="V146" t="str">
            <v>Bajo Riesgo</v>
          </cell>
          <cell r="W146" t="str">
            <v>Corporativo</v>
          </cell>
          <cell r="X146" t="str">
            <v>Bajo Riesgo Corto UF</v>
          </cell>
          <cell r="Y146" t="str">
            <v>Corporativo Bajo Riesgo Corto</v>
          </cell>
          <cell r="Z146" t="str">
            <v>Corto UF</v>
          </cell>
          <cell r="AA146" t="str">
            <v>Corporativo Corto</v>
          </cell>
          <cell r="AB146" t="str">
            <v>Corporativo UF</v>
          </cell>
          <cell r="AC146" t="str">
            <v>Instrumentos de Deuda</v>
          </cell>
          <cell r="AD146" t="str">
            <v>Financieras</v>
          </cell>
          <cell r="AE146" t="str">
            <v>Bono Bco Del Desarrollo Serie G</v>
          </cell>
          <cell r="AF146" t="str">
            <v>Scotiabank</v>
          </cell>
        </row>
        <row r="147">
          <cell r="C147" t="str">
            <v>BCOR-L0707</v>
          </cell>
          <cell r="D147" t="str">
            <v>BBCORPBANC</v>
          </cell>
          <cell r="E147">
            <v>26660610</v>
          </cell>
          <cell r="F147">
            <v>1000</v>
          </cell>
          <cell r="G147">
            <v>9.0799999999999995E-4</v>
          </cell>
          <cell r="H147">
            <v>3.35</v>
          </cell>
          <cell r="I147" t="str">
            <v>2017-07-01</v>
          </cell>
          <cell r="J147">
            <v>219</v>
          </cell>
          <cell r="K147">
            <v>0.59</v>
          </cell>
          <cell r="L147">
            <v>100.03</v>
          </cell>
          <cell r="M147" t="str">
            <v>UF</v>
          </cell>
          <cell r="N147" t="str">
            <v>RFL</v>
          </cell>
          <cell r="O147" t="str">
            <v>Renta Fija Local</v>
          </cell>
          <cell r="P147" t="str">
            <v>AA ; AA</v>
          </cell>
          <cell r="Q147" t="str">
            <v>Corto</v>
          </cell>
          <cell r="R147" t="str">
            <v>Corporativo Bajo Riesgo Corto</v>
          </cell>
          <cell r="S147">
            <v>3.35</v>
          </cell>
          <cell r="T147" t="str">
            <v>AA</v>
          </cell>
          <cell r="U147" t="str">
            <v>3</v>
          </cell>
          <cell r="V147" t="str">
            <v>Bajo Riesgo</v>
          </cell>
          <cell r="W147" t="str">
            <v>Corporativo</v>
          </cell>
          <cell r="X147" t="str">
            <v>Bajo Riesgo Corto UF</v>
          </cell>
          <cell r="Y147" t="str">
            <v>Corporativo Bajo Riesgo Corto</v>
          </cell>
          <cell r="Z147" t="str">
            <v>Corto UF</v>
          </cell>
          <cell r="AA147" t="str">
            <v>Corporativo Corto</v>
          </cell>
          <cell r="AB147" t="str">
            <v>Corporativo UF</v>
          </cell>
          <cell r="AC147" t="str">
            <v>Instrumentos de Deuda</v>
          </cell>
          <cell r="AD147" t="str">
            <v>Financieras</v>
          </cell>
          <cell r="AE147" t="str">
            <v>Bono Corpbanca Serie L</v>
          </cell>
          <cell r="AF147" t="str">
            <v>Itau/Corpbanca</v>
          </cell>
        </row>
        <row r="148">
          <cell r="C148" t="str">
            <v>BCORAF0710</v>
          </cell>
          <cell r="D148" t="str">
            <v>BBCORPBANC</v>
          </cell>
          <cell r="E148">
            <v>172644800</v>
          </cell>
          <cell r="F148">
            <v>6500</v>
          </cell>
          <cell r="G148">
            <v>5.8859999999999997E-3</v>
          </cell>
          <cell r="H148">
            <v>3.37</v>
          </cell>
          <cell r="I148" t="str">
            <v>2017-07-01</v>
          </cell>
          <cell r="J148">
            <v>219</v>
          </cell>
          <cell r="K148">
            <v>0.59</v>
          </cell>
          <cell r="L148">
            <v>99.8</v>
          </cell>
          <cell r="M148" t="str">
            <v>UF</v>
          </cell>
          <cell r="N148" t="str">
            <v>RFL</v>
          </cell>
          <cell r="O148" t="str">
            <v>Renta Fija Local</v>
          </cell>
          <cell r="P148" t="str">
            <v>AA ; AA</v>
          </cell>
          <cell r="Q148" t="str">
            <v>Corto</v>
          </cell>
          <cell r="R148" t="str">
            <v>Corporativo Bajo Riesgo Corto</v>
          </cell>
          <cell r="S148">
            <v>3.37</v>
          </cell>
          <cell r="T148" t="str">
            <v>AA</v>
          </cell>
          <cell r="U148" t="str">
            <v>3</v>
          </cell>
          <cell r="V148" t="str">
            <v>Bajo Riesgo</v>
          </cell>
          <cell r="W148" t="str">
            <v>Corporativo</v>
          </cell>
          <cell r="X148" t="str">
            <v>Bajo Riesgo Corto UF</v>
          </cell>
          <cell r="Y148" t="str">
            <v>Corporativo Bajo Riesgo Corto</v>
          </cell>
          <cell r="Z148" t="str">
            <v>Corto UF</v>
          </cell>
          <cell r="AA148" t="str">
            <v>Corporativo Corto</v>
          </cell>
          <cell r="AB148" t="str">
            <v>Corporativo UF</v>
          </cell>
          <cell r="AC148" t="str">
            <v>Instrumentos de Deuda</v>
          </cell>
          <cell r="AD148" t="str">
            <v>Financieras</v>
          </cell>
          <cell r="AE148" t="str">
            <v>Bono Corpbanca Serie Af</v>
          </cell>
          <cell r="AF148" t="str">
            <v>Itau/Corpbanca</v>
          </cell>
        </row>
        <row r="149">
          <cell r="C149" t="str">
            <v>BEST-D0807</v>
          </cell>
          <cell r="D149" t="str">
            <v>BBESTADO</v>
          </cell>
          <cell r="E149">
            <v>281968111</v>
          </cell>
          <cell r="F149">
            <v>10500</v>
          </cell>
          <cell r="G149">
            <v>9.613E-3</v>
          </cell>
          <cell r="H149">
            <v>2.7</v>
          </cell>
          <cell r="I149" t="str">
            <v>2017-08-01</v>
          </cell>
          <cell r="J149">
            <v>250</v>
          </cell>
          <cell r="K149">
            <v>0.68</v>
          </cell>
          <cell r="L149">
            <v>100.85</v>
          </cell>
          <cell r="M149" t="str">
            <v>UF</v>
          </cell>
          <cell r="N149" t="str">
            <v>RFL</v>
          </cell>
          <cell r="O149" t="str">
            <v>Renta Fija Local</v>
          </cell>
          <cell r="P149" t="str">
            <v>AAA ; AAA</v>
          </cell>
          <cell r="Q149" t="str">
            <v>Corto</v>
          </cell>
          <cell r="R149" t="str">
            <v>Corporativo Bajo Riesgo Corto</v>
          </cell>
          <cell r="S149">
            <v>2.7</v>
          </cell>
          <cell r="T149" t="str">
            <v>AAA</v>
          </cell>
          <cell r="U149" t="str">
            <v>1</v>
          </cell>
          <cell r="V149" t="str">
            <v>Bajo Riesgo</v>
          </cell>
          <cell r="W149" t="str">
            <v>Corporativo</v>
          </cell>
          <cell r="X149" t="str">
            <v>Bajo Riesgo Corto UF</v>
          </cell>
          <cell r="Y149" t="str">
            <v>Corporativo Bajo Riesgo Corto</v>
          </cell>
          <cell r="Z149" t="str">
            <v>Corto UF</v>
          </cell>
          <cell r="AA149" t="str">
            <v>Corporativo Corto</v>
          </cell>
          <cell r="AB149" t="str">
            <v>Corporativo UF</v>
          </cell>
          <cell r="AC149" t="str">
            <v>Instrumentos de Deuda</v>
          </cell>
          <cell r="AD149" t="str">
            <v>Financieras</v>
          </cell>
          <cell r="AE149" t="str">
            <v>Bono Banco Estado Serie D</v>
          </cell>
          <cell r="AF149" t="str">
            <v>Banco Estado</v>
          </cell>
        </row>
        <row r="150">
          <cell r="C150" t="str">
            <v>BBNS-O0812</v>
          </cell>
          <cell r="D150" t="str">
            <v>BBSCOTIABA</v>
          </cell>
          <cell r="E150">
            <v>213871178</v>
          </cell>
          <cell r="F150">
            <v>8000</v>
          </cell>
          <cell r="G150">
            <v>7.2909999999999997E-3</v>
          </cell>
          <cell r="H150">
            <v>2.7</v>
          </cell>
          <cell r="I150" t="str">
            <v>2017-08-01</v>
          </cell>
          <cell r="J150">
            <v>250</v>
          </cell>
          <cell r="K150">
            <v>0.68</v>
          </cell>
          <cell r="L150">
            <v>100.55</v>
          </cell>
          <cell r="M150" t="str">
            <v>UF</v>
          </cell>
          <cell r="N150" t="str">
            <v>RFL</v>
          </cell>
          <cell r="O150" t="str">
            <v>Renta Fija Local</v>
          </cell>
          <cell r="P150" t="str">
            <v>AAA ; AAA</v>
          </cell>
          <cell r="Q150" t="str">
            <v>Corto</v>
          </cell>
          <cell r="R150" t="str">
            <v>Corporativo Bajo Riesgo Corto</v>
          </cell>
          <cell r="S150">
            <v>2.7</v>
          </cell>
          <cell r="T150" t="str">
            <v>AAA</v>
          </cell>
          <cell r="U150" t="str">
            <v>1</v>
          </cell>
          <cell r="V150" t="str">
            <v>Bajo Riesgo</v>
          </cell>
          <cell r="W150" t="str">
            <v>Corporativo</v>
          </cell>
          <cell r="X150" t="str">
            <v>Bajo Riesgo Corto UF</v>
          </cell>
          <cell r="Y150" t="str">
            <v>Corporativo Bajo Riesgo Corto</v>
          </cell>
          <cell r="Z150" t="str">
            <v>Corto UF</v>
          </cell>
          <cell r="AA150" t="str">
            <v>Corporativo Corto</v>
          </cell>
          <cell r="AB150" t="str">
            <v>Corporativo UF</v>
          </cell>
          <cell r="AC150" t="str">
            <v>Instrumentos de Deuda</v>
          </cell>
          <cell r="AD150" t="str">
            <v>Financieras</v>
          </cell>
          <cell r="AE150" t="str">
            <v>Bono Scotiabank Serie O</v>
          </cell>
          <cell r="AF150" t="str">
            <v>Scotiabank</v>
          </cell>
        </row>
        <row r="151">
          <cell r="C151" t="str">
            <v>BBNS-F1109</v>
          </cell>
          <cell r="D151" t="str">
            <v>BBSCOTIABA</v>
          </cell>
          <cell r="E151">
            <v>11056987</v>
          </cell>
          <cell r="F151">
            <v>3000</v>
          </cell>
          <cell r="G151">
            <v>3.7599999999999998E-4</v>
          </cell>
          <cell r="H151">
            <v>2.65</v>
          </cell>
          <cell r="I151" t="str">
            <v>2017-11-01</v>
          </cell>
          <cell r="J151">
            <v>342</v>
          </cell>
          <cell r="K151">
            <v>0.68</v>
          </cell>
          <cell r="L151">
            <v>100.39</v>
          </cell>
          <cell r="M151" t="str">
            <v>UF</v>
          </cell>
          <cell r="N151" t="str">
            <v>RFL</v>
          </cell>
          <cell r="O151" t="str">
            <v>Renta Fija Local</v>
          </cell>
          <cell r="P151" t="str">
            <v>AAA ; AAA</v>
          </cell>
          <cell r="Q151" t="str">
            <v>Corto</v>
          </cell>
          <cell r="R151" t="str">
            <v>Corporativo Bajo Riesgo Corto</v>
          </cell>
          <cell r="S151">
            <v>2.65</v>
          </cell>
          <cell r="T151" t="str">
            <v>AAA</v>
          </cell>
          <cell r="U151" t="str">
            <v>1</v>
          </cell>
          <cell r="V151" t="str">
            <v>Bajo Riesgo</v>
          </cell>
          <cell r="W151" t="str">
            <v>Corporativo</v>
          </cell>
          <cell r="X151" t="str">
            <v>Bajo Riesgo Corto UF</v>
          </cell>
          <cell r="Y151" t="str">
            <v>Corporativo Bajo Riesgo Corto</v>
          </cell>
          <cell r="Z151" t="str">
            <v>Corto UF</v>
          </cell>
          <cell r="AA151" t="str">
            <v>Corporativo Corto</v>
          </cell>
          <cell r="AB151" t="str">
            <v>Corporativo UF</v>
          </cell>
          <cell r="AC151" t="str">
            <v>Instrumentos de Deuda</v>
          </cell>
          <cell r="AD151" t="str">
            <v>Financieras</v>
          </cell>
          <cell r="AE151" t="str">
            <v>Bono Scotiabank Serie F</v>
          </cell>
          <cell r="AF151" t="str">
            <v>Scotiabank</v>
          </cell>
        </row>
        <row r="152">
          <cell r="C152" t="str">
            <v>BAGRS-E</v>
          </cell>
          <cell r="D152" t="str">
            <v>AGROSUPER</v>
          </cell>
          <cell r="E152">
            <v>146346455</v>
          </cell>
          <cell r="F152">
            <v>5500</v>
          </cell>
          <cell r="G152">
            <v>4.9890000000000004E-3</v>
          </cell>
          <cell r="H152">
            <v>2.99</v>
          </cell>
          <cell r="I152" t="str">
            <v>2017-09-01</v>
          </cell>
          <cell r="J152">
            <v>281</v>
          </cell>
          <cell r="K152">
            <v>0.76</v>
          </cell>
          <cell r="L152">
            <v>100.38</v>
          </cell>
          <cell r="M152" t="str">
            <v>UF</v>
          </cell>
          <cell r="N152" t="str">
            <v>RFL</v>
          </cell>
          <cell r="O152" t="str">
            <v>Renta Fija Local</v>
          </cell>
          <cell r="P152" t="str">
            <v>AA- ; AA-</v>
          </cell>
          <cell r="Q152" t="str">
            <v>Corto</v>
          </cell>
          <cell r="R152" t="str">
            <v>Corporativo Bajo Riesgo Corto</v>
          </cell>
          <cell r="S152">
            <v>2.99</v>
          </cell>
          <cell r="T152" t="str">
            <v>AA-</v>
          </cell>
          <cell r="U152" t="str">
            <v>4</v>
          </cell>
          <cell r="V152" t="str">
            <v>Bajo Riesgo</v>
          </cell>
          <cell r="W152" t="str">
            <v>Corporativo</v>
          </cell>
          <cell r="X152" t="str">
            <v>Bajo Riesgo Corto UF</v>
          </cell>
          <cell r="Y152" t="str">
            <v>Corporativo Bajo Riesgo Corto</v>
          </cell>
          <cell r="Z152" t="str">
            <v>Corto UF</v>
          </cell>
          <cell r="AA152" t="str">
            <v>Corporativo Corto</v>
          </cell>
          <cell r="AB152" t="str">
            <v>Corporativo UF</v>
          </cell>
          <cell r="AC152" t="str">
            <v>Instrumentos de Deuda</v>
          </cell>
          <cell r="AD152" t="str">
            <v>Consumo</v>
          </cell>
          <cell r="AE152" t="str">
            <v>Bono Agrosuper Sa Serie E</v>
          </cell>
          <cell r="AF152" t="str">
            <v>Agrosuper</v>
          </cell>
        </row>
        <row r="153">
          <cell r="C153" t="str">
            <v>BITA-B1007</v>
          </cell>
          <cell r="D153" t="str">
            <v>BBITAU</v>
          </cell>
          <cell r="E153">
            <v>53225213</v>
          </cell>
          <cell r="F153">
            <v>2000</v>
          </cell>
          <cell r="G153">
            <v>1.8140000000000001E-3</v>
          </cell>
          <cell r="H153">
            <v>2.67</v>
          </cell>
          <cell r="I153" t="str">
            <v>2017-10-01</v>
          </cell>
          <cell r="J153">
            <v>311</v>
          </cell>
          <cell r="K153">
            <v>0.84</v>
          </cell>
          <cell r="L153">
            <v>100.68</v>
          </cell>
          <cell r="M153" t="str">
            <v>UF</v>
          </cell>
          <cell r="N153" t="str">
            <v>RFL</v>
          </cell>
          <cell r="O153" t="str">
            <v>Renta Fija Local</v>
          </cell>
          <cell r="P153" t="str">
            <v>AA ; AA</v>
          </cell>
          <cell r="Q153" t="str">
            <v>Corto</v>
          </cell>
          <cell r="R153" t="str">
            <v>Corporativo Bajo Riesgo Corto</v>
          </cell>
          <cell r="S153">
            <v>2.67</v>
          </cell>
          <cell r="T153" t="str">
            <v>AA</v>
          </cell>
          <cell r="U153" t="str">
            <v>3</v>
          </cell>
          <cell r="V153" t="str">
            <v>Bajo Riesgo</v>
          </cell>
          <cell r="W153" t="str">
            <v>Corporativo</v>
          </cell>
          <cell r="X153" t="str">
            <v>Bajo Riesgo Corto UF</v>
          </cell>
          <cell r="Y153" t="str">
            <v>Corporativo Bajo Riesgo Corto</v>
          </cell>
          <cell r="Z153" t="str">
            <v>Corto UF</v>
          </cell>
          <cell r="AA153" t="str">
            <v>Corporativo Corto</v>
          </cell>
          <cell r="AB153" t="str">
            <v>Corporativo UF</v>
          </cell>
          <cell r="AC153" t="str">
            <v>Instrumentos de Deuda</v>
          </cell>
          <cell r="AD153" t="str">
            <v>Financieras</v>
          </cell>
          <cell r="AE153" t="str">
            <v>Bono Banco Itau Serie B</v>
          </cell>
          <cell r="AF153" t="str">
            <v>Itau/Corpbanca</v>
          </cell>
        </row>
        <row r="154">
          <cell r="C154" t="str">
            <v>BSTD-W1007</v>
          </cell>
          <cell r="D154" t="str">
            <v>BBSANT-CHI</v>
          </cell>
          <cell r="E154">
            <v>133857120</v>
          </cell>
          <cell r="F154">
            <v>5000</v>
          </cell>
          <cell r="G154">
            <v>4.5630000000000002E-3</v>
          </cell>
          <cell r="H154">
            <v>2.7</v>
          </cell>
          <cell r="I154" t="str">
            <v>2017-10-01</v>
          </cell>
          <cell r="J154">
            <v>311</v>
          </cell>
          <cell r="K154">
            <v>0.84</v>
          </cell>
          <cell r="L154">
            <v>101.18</v>
          </cell>
          <cell r="M154" t="str">
            <v>UF</v>
          </cell>
          <cell r="N154" t="str">
            <v>RFL</v>
          </cell>
          <cell r="O154" t="str">
            <v>Renta Fija Local</v>
          </cell>
          <cell r="P154" t="str">
            <v>AAA ; AAA</v>
          </cell>
          <cell r="Q154" t="str">
            <v>Corto</v>
          </cell>
          <cell r="R154" t="str">
            <v>Corporativo Bajo Riesgo Corto</v>
          </cell>
          <cell r="S154">
            <v>2.7</v>
          </cell>
          <cell r="T154" t="str">
            <v>AAA</v>
          </cell>
          <cell r="U154" t="str">
            <v>1</v>
          </cell>
          <cell r="V154" t="str">
            <v>Bajo Riesgo</v>
          </cell>
          <cell r="W154" t="str">
            <v>Corporativo</v>
          </cell>
          <cell r="X154" t="str">
            <v>Bajo Riesgo Corto UF</v>
          </cell>
          <cell r="Y154" t="str">
            <v>Corporativo Bajo Riesgo Corto</v>
          </cell>
          <cell r="Z154" t="str">
            <v>Corto UF</v>
          </cell>
          <cell r="AA154" t="str">
            <v>Corporativo Corto</v>
          </cell>
          <cell r="AB154" t="str">
            <v>Corporativo UF</v>
          </cell>
          <cell r="AC154" t="str">
            <v>Instrumentos de Deuda</v>
          </cell>
          <cell r="AD154" t="str">
            <v>Financieras</v>
          </cell>
          <cell r="AE154" t="str">
            <v>Bono Banco Santander Serie W</v>
          </cell>
          <cell r="AF154" t="str">
            <v>Banco Santander</v>
          </cell>
        </row>
        <row r="155">
          <cell r="C155" t="str">
            <v>BBBVM11011</v>
          </cell>
          <cell r="D155" t="str">
            <v>BBBVA</v>
          </cell>
          <cell r="E155">
            <v>79389561</v>
          </cell>
          <cell r="F155">
            <v>3000</v>
          </cell>
          <cell r="G155">
            <v>2.7060000000000001E-3</v>
          </cell>
          <cell r="H155">
            <v>2.71</v>
          </cell>
          <cell r="I155" t="str">
            <v>2017-10-09</v>
          </cell>
          <cell r="J155">
            <v>319</v>
          </cell>
          <cell r="K155">
            <v>0.87</v>
          </cell>
          <cell r="L155">
            <v>100.25</v>
          </cell>
          <cell r="M155" t="str">
            <v>UF</v>
          </cell>
          <cell r="N155" t="str">
            <v>RFL</v>
          </cell>
          <cell r="O155" t="str">
            <v>Renta Fija Local</v>
          </cell>
          <cell r="P155" t="str">
            <v>AA ; AA+</v>
          </cell>
          <cell r="Q155" t="str">
            <v>Corto</v>
          </cell>
          <cell r="R155" t="str">
            <v>Corporativo Bajo Riesgo Corto</v>
          </cell>
          <cell r="S155">
            <v>2.71</v>
          </cell>
          <cell r="T155" t="str">
            <v>AA</v>
          </cell>
          <cell r="U155" t="str">
            <v>3</v>
          </cell>
          <cell r="V155" t="str">
            <v>Bajo Riesgo</v>
          </cell>
          <cell r="W155" t="str">
            <v>Corporativo</v>
          </cell>
          <cell r="X155" t="str">
            <v>Bajo Riesgo Corto UF</v>
          </cell>
          <cell r="Y155" t="str">
            <v>Corporativo Bajo Riesgo Corto</v>
          </cell>
          <cell r="Z155" t="str">
            <v>Corto UF</v>
          </cell>
          <cell r="AA155" t="str">
            <v>Corporativo Corto</v>
          </cell>
          <cell r="AB155" t="str">
            <v>Corporativo UF</v>
          </cell>
          <cell r="AC155" t="str">
            <v>Instrumentos de Deuda</v>
          </cell>
          <cell r="AD155" t="str">
            <v>Financieras</v>
          </cell>
          <cell r="AE155" t="str">
            <v>Bono Bancario Bbva Serie M1</v>
          </cell>
          <cell r="AF155" t="str">
            <v>BBVA</v>
          </cell>
        </row>
        <row r="156">
          <cell r="C156" t="str">
            <v>BSECB21112</v>
          </cell>
          <cell r="D156" t="str">
            <v>BBSECURITY</v>
          </cell>
          <cell r="E156">
            <v>66236739</v>
          </cell>
          <cell r="F156">
            <v>2500</v>
          </cell>
          <cell r="G156">
            <v>2.258E-3</v>
          </cell>
          <cell r="H156">
            <v>2.68</v>
          </cell>
          <cell r="I156" t="str">
            <v>2017-11-01</v>
          </cell>
          <cell r="J156">
            <v>342</v>
          </cell>
          <cell r="K156">
            <v>0.93</v>
          </cell>
          <cell r="L156">
            <v>100.54</v>
          </cell>
          <cell r="M156" t="str">
            <v>UF</v>
          </cell>
          <cell r="N156" t="str">
            <v>RFL</v>
          </cell>
          <cell r="O156" t="str">
            <v>Renta Fija Local</v>
          </cell>
          <cell r="P156" t="str">
            <v>AA- ; AA</v>
          </cell>
          <cell r="Q156" t="str">
            <v>Corto</v>
          </cell>
          <cell r="R156" t="str">
            <v>Corporativo Bajo Riesgo Corto</v>
          </cell>
          <cell r="S156">
            <v>2.68</v>
          </cell>
          <cell r="T156" t="str">
            <v>AA-</v>
          </cell>
          <cell r="U156" t="str">
            <v>4</v>
          </cell>
          <cell r="V156" t="str">
            <v>Bajo Riesgo</v>
          </cell>
          <cell r="W156" t="str">
            <v>Corporativo</v>
          </cell>
          <cell r="X156" t="str">
            <v>Bajo Riesgo Corto UF</v>
          </cell>
          <cell r="Y156" t="str">
            <v>Corporativo Bajo Riesgo Corto</v>
          </cell>
          <cell r="Z156" t="str">
            <v>Corto UF</v>
          </cell>
          <cell r="AA156" t="str">
            <v>Corporativo Corto</v>
          </cell>
          <cell r="AB156" t="str">
            <v>Corporativo UF</v>
          </cell>
          <cell r="AC156" t="str">
            <v>Instrumentos de Deuda</v>
          </cell>
          <cell r="AD156" t="str">
            <v>Financieras</v>
          </cell>
          <cell r="AE156" t="str">
            <v>Bono Bancario Security Serie B2</v>
          </cell>
          <cell r="AF156" t="str">
            <v>Banco Security</v>
          </cell>
        </row>
        <row r="157">
          <cell r="C157" t="str">
            <v>BQUIN-G</v>
          </cell>
          <cell r="D157" t="str">
            <v>QUINENCO</v>
          </cell>
          <cell r="E157">
            <v>197369918</v>
          </cell>
          <cell r="F157">
            <v>12000</v>
          </cell>
          <cell r="G157">
            <v>6.7279999999999996E-3</v>
          </cell>
          <cell r="H157">
            <v>2.69</v>
          </cell>
          <cell r="I157" t="str">
            <v>2018-12-01</v>
          </cell>
          <cell r="J157">
            <v>737</v>
          </cell>
          <cell r="K157">
            <v>0.98</v>
          </cell>
          <cell r="L157">
            <v>100.76</v>
          </cell>
          <cell r="M157" t="str">
            <v>UF</v>
          </cell>
          <cell r="N157" t="str">
            <v>RFL</v>
          </cell>
          <cell r="O157" t="str">
            <v>Renta Fija Local</v>
          </cell>
          <cell r="P157" t="str">
            <v>AA ; AA</v>
          </cell>
          <cell r="Q157" t="str">
            <v>Corto</v>
          </cell>
          <cell r="R157" t="str">
            <v>Corporativo Bajo Riesgo Corto</v>
          </cell>
          <cell r="S157">
            <v>2.69</v>
          </cell>
          <cell r="T157" t="str">
            <v>AA</v>
          </cell>
          <cell r="U157" t="str">
            <v>3</v>
          </cell>
          <cell r="V157" t="str">
            <v>Bajo Riesgo</v>
          </cell>
          <cell r="W157" t="str">
            <v>Corporativo</v>
          </cell>
          <cell r="X157" t="str">
            <v>Bajo Riesgo Corto UF</v>
          </cell>
          <cell r="Y157" t="str">
            <v>Corporativo Bajo Riesgo Corto</v>
          </cell>
          <cell r="Z157" t="str">
            <v>Corto UF</v>
          </cell>
          <cell r="AA157" t="str">
            <v>Corporativo Corto</v>
          </cell>
          <cell r="AB157" t="str">
            <v>Corporativo UF</v>
          </cell>
          <cell r="AC157" t="str">
            <v>Instrumentos de Deuda</v>
          </cell>
          <cell r="AD157" t="str">
            <v>Diversificados</v>
          </cell>
          <cell r="AE157" t="str">
            <v>Bono Quinenco Serie G</v>
          </cell>
          <cell r="AF157" t="str">
            <v>Quiñenco S.A.</v>
          </cell>
        </row>
        <row r="158">
          <cell r="C158" t="str">
            <v>BSODI-H</v>
          </cell>
          <cell r="D158" t="str">
            <v>SODIMAC</v>
          </cell>
          <cell r="E158">
            <v>134661348</v>
          </cell>
          <cell r="F158">
            <v>5000</v>
          </cell>
          <cell r="G158">
            <v>4.5909999999999996E-3</v>
          </cell>
          <cell r="H158">
            <v>2.59</v>
          </cell>
          <cell r="I158" t="str">
            <v>2017-12-03</v>
          </cell>
          <cell r="J158">
            <v>374</v>
          </cell>
          <cell r="K158">
            <v>1</v>
          </cell>
          <cell r="L158">
            <v>100.79</v>
          </cell>
          <cell r="M158" t="str">
            <v>UF</v>
          </cell>
          <cell r="N158" t="str">
            <v>RFL</v>
          </cell>
          <cell r="O158" t="str">
            <v>Renta Fija Local</v>
          </cell>
          <cell r="P158" t="str">
            <v>AA+ ; AA</v>
          </cell>
          <cell r="Q158" t="str">
            <v>Corto</v>
          </cell>
          <cell r="R158" t="str">
            <v>Corporativo Bajo Riesgo Corto</v>
          </cell>
          <cell r="S158">
            <v>2.59</v>
          </cell>
          <cell r="T158" t="str">
            <v>AA</v>
          </cell>
          <cell r="U158" t="str">
            <v>3</v>
          </cell>
          <cell r="V158" t="str">
            <v>Bajo Riesgo</v>
          </cell>
          <cell r="W158" t="str">
            <v>Corporativo</v>
          </cell>
          <cell r="X158" t="str">
            <v>Bajo Riesgo Corto UF</v>
          </cell>
          <cell r="Y158" t="str">
            <v>Corporativo Bajo Riesgo Corto</v>
          </cell>
          <cell r="Z158" t="str">
            <v>Corto UF</v>
          </cell>
          <cell r="AA158" t="str">
            <v>Corporativo Corto</v>
          </cell>
          <cell r="AB158" t="str">
            <v>Corporativo UF</v>
          </cell>
          <cell r="AC158" t="str">
            <v>Instrumentos de Deuda</v>
          </cell>
          <cell r="AD158" t="str">
            <v>Consumo</v>
          </cell>
          <cell r="AE158" t="str">
            <v>Bono Sodimac Serie H</v>
          </cell>
          <cell r="AF158" t="str">
            <v>Sodimac</v>
          </cell>
        </row>
        <row r="159">
          <cell r="C159" t="str">
            <v>BSKSA-B</v>
          </cell>
          <cell r="D159" t="str">
            <v>SK</v>
          </cell>
          <cell r="E159">
            <v>10802376</v>
          </cell>
          <cell r="F159">
            <v>1000</v>
          </cell>
          <cell r="G159">
            <v>3.68E-4</v>
          </cell>
          <cell r="H159">
            <v>2.75</v>
          </cell>
          <cell r="I159" t="str">
            <v>2018-09-15</v>
          </cell>
          <cell r="J159">
            <v>660</v>
          </cell>
          <cell r="K159">
            <v>1.03</v>
          </cell>
          <cell r="L159">
            <v>101.82</v>
          </cell>
          <cell r="M159" t="str">
            <v>UF</v>
          </cell>
          <cell r="N159" t="str">
            <v>RFL</v>
          </cell>
          <cell r="O159" t="str">
            <v>Renta Fija Local</v>
          </cell>
          <cell r="P159" t="str">
            <v>A+ ; AA-</v>
          </cell>
          <cell r="Q159" t="str">
            <v>Corto</v>
          </cell>
          <cell r="R159" t="str">
            <v>Corporativo Alto Riesgo Corto</v>
          </cell>
          <cell r="S159">
            <v>2.75</v>
          </cell>
          <cell r="T159" t="str">
            <v>A+</v>
          </cell>
          <cell r="U159" t="str">
            <v>5</v>
          </cell>
          <cell r="V159" t="str">
            <v>Alto Riesgo</v>
          </cell>
          <cell r="W159" t="str">
            <v>Corporativo</v>
          </cell>
          <cell r="X159" t="str">
            <v>Alto Riesgo Corto UF</v>
          </cell>
          <cell r="Y159" t="str">
            <v>Corporativo Alto Riesgo Corto</v>
          </cell>
          <cell r="Z159" t="str">
            <v>Corto UF</v>
          </cell>
          <cell r="AA159" t="str">
            <v>Corporativo Corto</v>
          </cell>
          <cell r="AB159" t="str">
            <v>Corporativo UF</v>
          </cell>
          <cell r="AC159" t="str">
            <v>Instrumentos de Deuda</v>
          </cell>
          <cell r="AD159" t="str">
            <v>Industriales</v>
          </cell>
          <cell r="AE159" t="str">
            <v>Bono Sk Serie B</v>
          </cell>
          <cell r="AF159" t="str">
            <v>Sigdo Koppers S.A.</v>
          </cell>
        </row>
        <row r="160">
          <cell r="C160" t="str">
            <v>BCAJ-I0315</v>
          </cell>
          <cell r="D160" t="str">
            <v>LOS ANDES</v>
          </cell>
          <cell r="E160">
            <v>80768663</v>
          </cell>
          <cell r="F160">
            <v>100000000</v>
          </cell>
          <cell r="G160">
            <v>2.7529999999999998E-3</v>
          </cell>
          <cell r="H160">
            <v>5.21</v>
          </cell>
          <cell r="I160" t="str">
            <v>2018-09-15</v>
          </cell>
          <cell r="J160">
            <v>660</v>
          </cell>
          <cell r="K160">
            <v>1.03</v>
          </cell>
          <cell r="L160">
            <v>100</v>
          </cell>
          <cell r="M160" t="str">
            <v>$</v>
          </cell>
          <cell r="N160" t="str">
            <v>RFL</v>
          </cell>
          <cell r="O160" t="str">
            <v>Renta Fija Local</v>
          </cell>
          <cell r="P160" t="str">
            <v>A+ ; AA-</v>
          </cell>
          <cell r="Q160" t="str">
            <v>Corto</v>
          </cell>
          <cell r="R160" t="str">
            <v>Corporativo Alto Riesgo Corto</v>
          </cell>
          <cell r="S160">
            <v>2.21</v>
          </cell>
          <cell r="T160" t="str">
            <v>A+</v>
          </cell>
          <cell r="U160" t="str">
            <v>5</v>
          </cell>
          <cell r="V160" t="str">
            <v>Alto Riesgo</v>
          </cell>
          <cell r="W160" t="str">
            <v>Corporativo</v>
          </cell>
          <cell r="X160" t="str">
            <v>Alto Riesgo Corto $</v>
          </cell>
          <cell r="Y160" t="str">
            <v>Corporativo Alto Riesgo Corto</v>
          </cell>
          <cell r="Z160" t="str">
            <v>Corto $</v>
          </cell>
          <cell r="AA160" t="str">
            <v>Corporativo Corto</v>
          </cell>
          <cell r="AB160" t="str">
            <v>Corporativo $</v>
          </cell>
          <cell r="AC160" t="str">
            <v>Instrumentos de Deuda</v>
          </cell>
          <cell r="AD160" t="str">
            <v>Financieras</v>
          </cell>
          <cell r="AE160" t="str">
            <v>Bono Caja Los Andes Serie I</v>
          </cell>
          <cell r="AF160" t="str">
            <v>Caja Los Andes</v>
          </cell>
        </row>
        <row r="161">
          <cell r="C161" t="str">
            <v>BSECK10108</v>
          </cell>
          <cell r="D161" t="str">
            <v>BBSECURITY</v>
          </cell>
          <cell r="E161">
            <v>80145360</v>
          </cell>
          <cell r="F161">
            <v>3000</v>
          </cell>
          <cell r="G161">
            <v>2.7320000000000001E-3</v>
          </cell>
          <cell r="H161">
            <v>2.65</v>
          </cell>
          <cell r="I161" t="str">
            <v>2018-01-01</v>
          </cell>
          <cell r="J161">
            <v>403</v>
          </cell>
          <cell r="K161">
            <v>1.08</v>
          </cell>
          <cell r="L161">
            <v>100.38</v>
          </cell>
          <cell r="M161" t="str">
            <v>UF</v>
          </cell>
          <cell r="N161" t="str">
            <v>RFL</v>
          </cell>
          <cell r="O161" t="str">
            <v>Renta Fija Local</v>
          </cell>
          <cell r="P161" t="str">
            <v>AA- ; AA</v>
          </cell>
          <cell r="Q161" t="str">
            <v>Corto</v>
          </cell>
          <cell r="R161" t="str">
            <v>Corporativo Bajo Riesgo Corto</v>
          </cell>
          <cell r="S161">
            <v>2.65</v>
          </cell>
          <cell r="T161" t="str">
            <v>AA-</v>
          </cell>
          <cell r="U161" t="str">
            <v>4</v>
          </cell>
          <cell r="V161" t="str">
            <v>Bajo Riesgo</v>
          </cell>
          <cell r="W161" t="str">
            <v>Corporativo</v>
          </cell>
          <cell r="X161" t="str">
            <v>Bajo Riesgo Corto UF</v>
          </cell>
          <cell r="Y161" t="str">
            <v>Corporativo Bajo Riesgo Corto</v>
          </cell>
          <cell r="Z161" t="str">
            <v>Corto UF</v>
          </cell>
          <cell r="AA161" t="str">
            <v>Corporativo Corto</v>
          </cell>
          <cell r="AB161" t="str">
            <v>Corporativo UF</v>
          </cell>
          <cell r="AC161" t="str">
            <v>Instrumentos de Deuda</v>
          </cell>
          <cell r="AD161" t="str">
            <v>Financieras</v>
          </cell>
          <cell r="AE161" t="str">
            <v>Bono Bancario Security Serie K1</v>
          </cell>
          <cell r="AF161" t="str">
            <v>Banco Security</v>
          </cell>
        </row>
        <row r="162">
          <cell r="C162" t="str">
            <v>BSTDY30208</v>
          </cell>
          <cell r="D162" t="str">
            <v>BBSANT-CHI</v>
          </cell>
          <cell r="E162">
            <v>80945942</v>
          </cell>
          <cell r="F162">
            <v>3000</v>
          </cell>
          <cell r="G162">
            <v>2.7590000000000002E-3</v>
          </cell>
          <cell r="H162">
            <v>2.6</v>
          </cell>
          <cell r="I162" t="str">
            <v>2018-02-01</v>
          </cell>
          <cell r="J162">
            <v>434</v>
          </cell>
          <cell r="K162">
            <v>1.1599999999999999</v>
          </cell>
          <cell r="L162">
            <v>101.39</v>
          </cell>
          <cell r="M162" t="str">
            <v>UF</v>
          </cell>
          <cell r="N162" t="str">
            <v>RFL</v>
          </cell>
          <cell r="O162" t="str">
            <v>Renta Fija Local</v>
          </cell>
          <cell r="P162" t="str">
            <v>AAA ; AAA</v>
          </cell>
          <cell r="Q162" t="str">
            <v>Corto</v>
          </cell>
          <cell r="R162" t="str">
            <v>Corporativo Bajo Riesgo Corto</v>
          </cell>
          <cell r="S162">
            <v>2.6</v>
          </cell>
          <cell r="T162" t="str">
            <v>AAA</v>
          </cell>
          <cell r="U162" t="str">
            <v>1</v>
          </cell>
          <cell r="V162" t="str">
            <v>Bajo Riesgo</v>
          </cell>
          <cell r="W162" t="str">
            <v>Corporativo</v>
          </cell>
          <cell r="X162" t="str">
            <v>Bajo Riesgo Corto UF</v>
          </cell>
          <cell r="Y162" t="str">
            <v>Corporativo Bajo Riesgo Corto</v>
          </cell>
          <cell r="Z162" t="str">
            <v>Corto UF</v>
          </cell>
          <cell r="AA162" t="str">
            <v>Corporativo Corto</v>
          </cell>
          <cell r="AB162" t="str">
            <v>Corporativo UF</v>
          </cell>
          <cell r="AC162" t="str">
            <v>Instrumentos de Deuda</v>
          </cell>
          <cell r="AD162" t="str">
            <v>Financieras</v>
          </cell>
          <cell r="AE162" t="str">
            <v>Bono Banco Santander Serie Y3</v>
          </cell>
          <cell r="AF162" t="str">
            <v>Banco Santander</v>
          </cell>
        </row>
        <row r="163">
          <cell r="C163" t="str">
            <v>BCTOR-F</v>
          </cell>
          <cell r="D163" t="str">
            <v>CONCHATORO</v>
          </cell>
          <cell r="E163">
            <v>124177095</v>
          </cell>
          <cell r="F163">
            <v>7000</v>
          </cell>
          <cell r="G163">
            <v>4.2329999999999998E-3</v>
          </cell>
          <cell r="H163">
            <v>2.64</v>
          </cell>
          <cell r="I163" t="str">
            <v>2018-11-05</v>
          </cell>
          <cell r="J163">
            <v>711</v>
          </cell>
          <cell r="K163">
            <v>1.18</v>
          </cell>
          <cell r="L163">
            <v>100.99</v>
          </cell>
          <cell r="M163" t="str">
            <v>UF</v>
          </cell>
          <cell r="N163" t="str">
            <v>RFL</v>
          </cell>
          <cell r="O163" t="str">
            <v>Renta Fija Local</v>
          </cell>
          <cell r="P163" t="str">
            <v>AA- ; AA-</v>
          </cell>
          <cell r="Q163" t="str">
            <v>Corto</v>
          </cell>
          <cell r="R163" t="str">
            <v>Corporativo Bajo Riesgo Corto</v>
          </cell>
          <cell r="S163">
            <v>2.64</v>
          </cell>
          <cell r="T163" t="str">
            <v>AA-</v>
          </cell>
          <cell r="U163" t="str">
            <v>4</v>
          </cell>
          <cell r="V163" t="str">
            <v>Bajo Riesgo</v>
          </cell>
          <cell r="W163" t="str">
            <v>Corporativo</v>
          </cell>
          <cell r="X163" t="str">
            <v>Bajo Riesgo Corto UF</v>
          </cell>
          <cell r="Y163" t="str">
            <v>Corporativo Bajo Riesgo Corto</v>
          </cell>
          <cell r="Z163" t="str">
            <v>Corto UF</v>
          </cell>
          <cell r="AA163" t="str">
            <v>Corporativo Corto</v>
          </cell>
          <cell r="AB163" t="str">
            <v>Corporativo UF</v>
          </cell>
          <cell r="AC163" t="str">
            <v>Instrumentos de Deuda</v>
          </cell>
          <cell r="AD163" t="str">
            <v>Consumo</v>
          </cell>
          <cell r="AE163" t="str">
            <v>Bono Concha Y Toro Serie F</v>
          </cell>
          <cell r="AF163" t="str">
            <v>Concha y Toro</v>
          </cell>
        </row>
        <row r="164">
          <cell r="C164" t="str">
            <v>BFORU-AQ</v>
          </cell>
          <cell r="D164" t="str">
            <v>LEAS FORUM</v>
          </cell>
          <cell r="E164">
            <v>26861974</v>
          </cell>
          <cell r="F164">
            <v>1000</v>
          </cell>
          <cell r="G164">
            <v>9.1500000000000001E-4</v>
          </cell>
          <cell r="H164">
            <v>2.76</v>
          </cell>
          <cell r="I164" t="str">
            <v>2018-08-05</v>
          </cell>
          <cell r="J164">
            <v>619</v>
          </cell>
          <cell r="K164">
            <v>1.29</v>
          </cell>
          <cell r="L164">
            <v>101.05</v>
          </cell>
          <cell r="M164" t="str">
            <v>UF</v>
          </cell>
          <cell r="N164" t="str">
            <v>RFL</v>
          </cell>
          <cell r="O164" t="str">
            <v>Renta Fija Local</v>
          </cell>
          <cell r="P164" t="str">
            <v>AA ; AA</v>
          </cell>
          <cell r="Q164" t="str">
            <v>Corto</v>
          </cell>
          <cell r="R164" t="str">
            <v>Corporativo Bajo Riesgo Corto</v>
          </cell>
          <cell r="S164">
            <v>2.76</v>
          </cell>
          <cell r="T164" t="str">
            <v>AA</v>
          </cell>
          <cell r="U164" t="str">
            <v>3</v>
          </cell>
          <cell r="V164" t="str">
            <v>Bajo Riesgo</v>
          </cell>
          <cell r="W164" t="str">
            <v>Corporativo</v>
          </cell>
          <cell r="X164" t="str">
            <v>Bajo Riesgo Corto UF</v>
          </cell>
          <cell r="Y164" t="str">
            <v>Corporativo Bajo Riesgo Corto</v>
          </cell>
          <cell r="Z164" t="str">
            <v>Corto UF</v>
          </cell>
          <cell r="AA164" t="str">
            <v>Corporativo Corto</v>
          </cell>
          <cell r="AB164" t="str">
            <v>Corporativo UF</v>
          </cell>
          <cell r="AC164" t="str">
            <v>Instrumentos de Deuda</v>
          </cell>
          <cell r="AD164" t="str">
            <v>Financieras</v>
          </cell>
          <cell r="AE164" t="str">
            <v>Bono Forum Servicios Financieros Serie Aq</v>
          </cell>
          <cell r="AF164" t="str">
            <v>Forum Servicios Financieros S.A.</v>
          </cell>
        </row>
        <row r="165">
          <cell r="C165" t="str">
            <v>BCFSA-A</v>
          </cell>
          <cell r="D165" t="str">
            <v>CONSOR FIN</v>
          </cell>
          <cell r="E165">
            <v>468720485</v>
          </cell>
          <cell r="F165">
            <v>17500</v>
          </cell>
          <cell r="G165">
            <v>1.5980000000000001E-2</v>
          </cell>
          <cell r="H165">
            <v>2.7</v>
          </cell>
          <cell r="I165" t="str">
            <v>2018-04-01</v>
          </cell>
          <cell r="J165">
            <v>493</v>
          </cell>
          <cell r="K165">
            <v>1.32</v>
          </cell>
          <cell r="L165">
            <v>101.3</v>
          </cell>
          <cell r="M165" t="str">
            <v>UF</v>
          </cell>
          <cell r="N165" t="str">
            <v>RFL</v>
          </cell>
          <cell r="O165" t="str">
            <v>Renta Fija Local</v>
          </cell>
          <cell r="P165" t="str">
            <v>AA- ; AA</v>
          </cell>
          <cell r="Q165" t="str">
            <v>Corto</v>
          </cell>
          <cell r="R165" t="str">
            <v>Corporativo Bajo Riesgo Corto</v>
          </cell>
          <cell r="S165">
            <v>2.7</v>
          </cell>
          <cell r="T165" t="str">
            <v>AA-</v>
          </cell>
          <cell r="U165" t="str">
            <v>4</v>
          </cell>
          <cell r="V165" t="str">
            <v>Bajo Riesgo</v>
          </cell>
          <cell r="W165" t="str">
            <v>Corporativo</v>
          </cell>
          <cell r="X165" t="str">
            <v>Bajo Riesgo Corto UF</v>
          </cell>
          <cell r="Y165" t="str">
            <v>Corporativo Bajo Riesgo Corto</v>
          </cell>
          <cell r="Z165" t="str">
            <v>Corto UF</v>
          </cell>
          <cell r="AA165" t="str">
            <v>Corporativo Corto</v>
          </cell>
          <cell r="AB165" t="str">
            <v>Corporativo UF</v>
          </cell>
          <cell r="AC165" t="str">
            <v>Instrumentos de Deuda</v>
          </cell>
          <cell r="AD165" t="str">
            <v>Financieras</v>
          </cell>
          <cell r="AE165" t="str">
            <v>Bono Consorcio Financiero Serie A</v>
          </cell>
          <cell r="AF165" t="str">
            <v>Consorcio Financiera</v>
          </cell>
        </row>
        <row r="166">
          <cell r="C166" t="str">
            <v>BAGUA-R</v>
          </cell>
          <cell r="D166" t="str">
            <v>AGUAS</v>
          </cell>
          <cell r="E166">
            <v>118491781</v>
          </cell>
          <cell r="F166">
            <v>8000</v>
          </cell>
          <cell r="G166">
            <v>4.0390000000000001E-3</v>
          </cell>
          <cell r="H166">
            <v>2.61</v>
          </cell>
          <cell r="I166" t="str">
            <v>2019-04-01</v>
          </cell>
          <cell r="J166">
            <v>858</v>
          </cell>
          <cell r="K166">
            <v>1.32</v>
          </cell>
          <cell r="L166">
            <v>100.89</v>
          </cell>
          <cell r="M166" t="str">
            <v>UF</v>
          </cell>
          <cell r="N166" t="str">
            <v>RFL</v>
          </cell>
          <cell r="O166" t="str">
            <v>Renta Fija Local</v>
          </cell>
          <cell r="P166" t="str">
            <v>AA+ ; AA+</v>
          </cell>
          <cell r="Q166" t="str">
            <v>Corto</v>
          </cell>
          <cell r="R166" t="str">
            <v>Corporativo Bajo Riesgo Corto</v>
          </cell>
          <cell r="S166">
            <v>2.61</v>
          </cell>
          <cell r="T166" t="str">
            <v>AA+</v>
          </cell>
          <cell r="U166" t="str">
            <v>2</v>
          </cell>
          <cell r="V166" t="str">
            <v>Bajo Riesgo</v>
          </cell>
          <cell r="W166" t="str">
            <v>Corporativo</v>
          </cell>
          <cell r="X166" t="str">
            <v>Bajo Riesgo Corto UF</v>
          </cell>
          <cell r="Y166" t="str">
            <v>Corporativo Bajo Riesgo Corto</v>
          </cell>
          <cell r="Z166" t="str">
            <v>Corto UF</v>
          </cell>
          <cell r="AA166" t="str">
            <v>Corporativo Corto</v>
          </cell>
          <cell r="AB166" t="str">
            <v>Corporativo UF</v>
          </cell>
          <cell r="AC166" t="str">
            <v>Instrumentos de Deuda</v>
          </cell>
          <cell r="AD166" t="str">
            <v>Servicios Básicos</v>
          </cell>
          <cell r="AE166" t="str">
            <v>Bono Aguas Andinas Serie R</v>
          </cell>
          <cell r="AF166" t="str">
            <v>Aguas Andina S.A.</v>
          </cell>
        </row>
        <row r="167">
          <cell r="C167" t="str">
            <v>BBBVJ40413</v>
          </cell>
          <cell r="D167" t="str">
            <v>BBBVA</v>
          </cell>
          <cell r="E167">
            <v>159341786</v>
          </cell>
          <cell r="F167">
            <v>6000</v>
          </cell>
          <cell r="G167">
            <v>5.4320000000000002E-3</v>
          </cell>
          <cell r="H167">
            <v>2.59</v>
          </cell>
          <cell r="I167" t="str">
            <v>2018-04-01</v>
          </cell>
          <cell r="J167">
            <v>493</v>
          </cell>
          <cell r="K167">
            <v>1.33</v>
          </cell>
          <cell r="L167">
            <v>100.54</v>
          </cell>
          <cell r="M167" t="str">
            <v>UF</v>
          </cell>
          <cell r="N167" t="str">
            <v>RFL</v>
          </cell>
          <cell r="O167" t="str">
            <v>Renta Fija Local</v>
          </cell>
          <cell r="P167" t="str">
            <v>AA ; AA+</v>
          </cell>
          <cell r="Q167" t="str">
            <v>Corto</v>
          </cell>
          <cell r="R167" t="str">
            <v>Corporativo Bajo Riesgo Corto</v>
          </cell>
          <cell r="S167">
            <v>2.59</v>
          </cell>
          <cell r="T167" t="str">
            <v>AA</v>
          </cell>
          <cell r="U167" t="str">
            <v>3</v>
          </cell>
          <cell r="V167" t="str">
            <v>Bajo Riesgo</v>
          </cell>
          <cell r="W167" t="str">
            <v>Corporativo</v>
          </cell>
          <cell r="X167" t="str">
            <v>Bajo Riesgo Corto UF</v>
          </cell>
          <cell r="Y167" t="str">
            <v>Corporativo Bajo Riesgo Corto</v>
          </cell>
          <cell r="Z167" t="str">
            <v>Corto UF</v>
          </cell>
          <cell r="AA167" t="str">
            <v>Corporativo Corto</v>
          </cell>
          <cell r="AB167" t="str">
            <v>Corporativo UF</v>
          </cell>
          <cell r="AC167" t="str">
            <v>Instrumentos de Deuda</v>
          </cell>
          <cell r="AD167" t="str">
            <v>Financieras</v>
          </cell>
          <cell r="AE167" t="str">
            <v>Bono Bbva Serie J4</v>
          </cell>
          <cell r="AF167" t="str">
            <v>BBVA</v>
          </cell>
        </row>
        <row r="168">
          <cell r="C168" t="str">
            <v>BCENC-E</v>
          </cell>
          <cell r="D168" t="str">
            <v>CENCOSUD</v>
          </cell>
          <cell r="E168">
            <v>53256088</v>
          </cell>
          <cell r="F168">
            <v>2000</v>
          </cell>
          <cell r="G168">
            <v>1.815E-3</v>
          </cell>
          <cell r="H168">
            <v>2.73</v>
          </cell>
          <cell r="I168" t="str">
            <v>2018-05-07</v>
          </cell>
          <cell r="J168">
            <v>529</v>
          </cell>
          <cell r="K168">
            <v>1.42</v>
          </cell>
          <cell r="L168">
            <v>101.08</v>
          </cell>
          <cell r="M168" t="str">
            <v>UF</v>
          </cell>
          <cell r="N168" t="str">
            <v>RFL</v>
          </cell>
          <cell r="O168" t="str">
            <v>Renta Fija Local</v>
          </cell>
          <cell r="P168" t="str">
            <v>AA- ; AA-</v>
          </cell>
          <cell r="Q168" t="str">
            <v>Corto</v>
          </cell>
          <cell r="R168" t="str">
            <v>Corporativo Bajo Riesgo Corto</v>
          </cell>
          <cell r="S168">
            <v>2.73</v>
          </cell>
          <cell r="T168" t="str">
            <v>AA-</v>
          </cell>
          <cell r="U168" t="str">
            <v>4</v>
          </cell>
          <cell r="V168" t="str">
            <v>Bajo Riesgo</v>
          </cell>
          <cell r="W168" t="str">
            <v>Corporativo</v>
          </cell>
          <cell r="X168" t="str">
            <v>Bajo Riesgo Corto UF</v>
          </cell>
          <cell r="Y168" t="str">
            <v>Corporativo Bajo Riesgo Corto</v>
          </cell>
          <cell r="Z168" t="str">
            <v>Corto UF</v>
          </cell>
          <cell r="AA168" t="str">
            <v>Corporativo Corto</v>
          </cell>
          <cell r="AB168" t="str">
            <v>Corporativo UF</v>
          </cell>
          <cell r="AC168" t="str">
            <v>Instrumentos de Deuda</v>
          </cell>
          <cell r="AD168" t="str">
            <v>Consumo</v>
          </cell>
          <cell r="AE168" t="str">
            <v>Bonos Cencosud Serie E</v>
          </cell>
          <cell r="AF168" t="str">
            <v>Cencosud S.A.</v>
          </cell>
        </row>
        <row r="169">
          <cell r="C169" t="str">
            <v>BCAJ-J1215</v>
          </cell>
          <cell r="D169" t="str">
            <v>LOS ANDES</v>
          </cell>
          <cell r="E169">
            <v>67465118</v>
          </cell>
          <cell r="F169">
            <v>2500</v>
          </cell>
          <cell r="G169">
            <v>2.3E-3</v>
          </cell>
          <cell r="H169">
            <v>3.18</v>
          </cell>
          <cell r="I169" t="str">
            <v>2019-06-01</v>
          </cell>
          <cell r="J169">
            <v>919</v>
          </cell>
          <cell r="K169">
            <v>1.46</v>
          </cell>
          <cell r="L169">
            <v>100.81</v>
          </cell>
          <cell r="M169" t="str">
            <v>UF</v>
          </cell>
          <cell r="N169" t="str">
            <v>RFL</v>
          </cell>
          <cell r="O169" t="str">
            <v>Renta Fija Local</v>
          </cell>
          <cell r="P169" t="str">
            <v>A+ ; AA-</v>
          </cell>
          <cell r="Q169" t="str">
            <v>Corto</v>
          </cell>
          <cell r="R169" t="str">
            <v>Corporativo Alto Riesgo Corto</v>
          </cell>
          <cell r="S169">
            <v>3.18</v>
          </cell>
          <cell r="T169" t="str">
            <v>A+</v>
          </cell>
          <cell r="U169" t="str">
            <v>5</v>
          </cell>
          <cell r="V169" t="str">
            <v>Alto Riesgo</v>
          </cell>
          <cell r="W169" t="str">
            <v>Corporativo</v>
          </cell>
          <cell r="X169" t="str">
            <v>Alto Riesgo Corto UF</v>
          </cell>
          <cell r="Y169" t="str">
            <v>Corporativo Alto Riesgo Corto</v>
          </cell>
          <cell r="Z169" t="str">
            <v>Corto UF</v>
          </cell>
          <cell r="AA169" t="str">
            <v>Corporativo Corto</v>
          </cell>
          <cell r="AB169" t="str">
            <v>Corporativo UF</v>
          </cell>
          <cell r="AC169" t="str">
            <v>Instrumentos de Deuda</v>
          </cell>
          <cell r="AD169" t="str">
            <v>Financieras</v>
          </cell>
          <cell r="AE169" t="str">
            <v>Bono Caja Los Andes Serie J</v>
          </cell>
          <cell r="AF169" t="str">
            <v>Caja Los Andes</v>
          </cell>
        </row>
        <row r="170">
          <cell r="C170" t="str">
            <v>BBNS-R0613</v>
          </cell>
          <cell r="D170" t="str">
            <v>BBSCOTIABA</v>
          </cell>
          <cell r="E170">
            <v>271005538</v>
          </cell>
          <cell r="F170">
            <v>10000</v>
          </cell>
          <cell r="G170">
            <v>9.2390000000000007E-3</v>
          </cell>
          <cell r="H170">
            <v>2.6</v>
          </cell>
          <cell r="I170" t="str">
            <v>2018-06-01</v>
          </cell>
          <cell r="J170">
            <v>554</v>
          </cell>
          <cell r="K170">
            <v>1.47</v>
          </cell>
          <cell r="L170">
            <v>101.33</v>
          </cell>
          <cell r="M170" t="str">
            <v>UF</v>
          </cell>
          <cell r="N170" t="str">
            <v>RFL</v>
          </cell>
          <cell r="O170" t="str">
            <v>Renta Fija Local</v>
          </cell>
          <cell r="P170" t="str">
            <v>AAA ; AAA</v>
          </cell>
          <cell r="Q170" t="str">
            <v>Corto</v>
          </cell>
          <cell r="R170" t="str">
            <v>Corporativo Bajo Riesgo Corto</v>
          </cell>
          <cell r="S170">
            <v>2.6</v>
          </cell>
          <cell r="T170" t="str">
            <v>AAA</v>
          </cell>
          <cell r="U170" t="str">
            <v>1</v>
          </cell>
          <cell r="V170" t="str">
            <v>Bajo Riesgo</v>
          </cell>
          <cell r="W170" t="str">
            <v>Corporativo</v>
          </cell>
          <cell r="X170" t="str">
            <v>Bajo Riesgo Corto UF</v>
          </cell>
          <cell r="Y170" t="str">
            <v>Corporativo Bajo Riesgo Corto</v>
          </cell>
          <cell r="Z170" t="str">
            <v>Corto UF</v>
          </cell>
          <cell r="AA170" t="str">
            <v>Corporativo Corto</v>
          </cell>
          <cell r="AB170" t="str">
            <v>Corporativo UF</v>
          </cell>
          <cell r="AC170" t="str">
            <v>Instrumentos de Deuda</v>
          </cell>
          <cell r="AD170" t="str">
            <v>Financieras</v>
          </cell>
          <cell r="AE170" t="str">
            <v>Bono Scotiabank Serie R</v>
          </cell>
          <cell r="AF170" t="str">
            <v>Scotiabank</v>
          </cell>
        </row>
        <row r="171">
          <cell r="C171" t="str">
            <v>BBCIAB0708</v>
          </cell>
          <cell r="D171" t="str">
            <v>BBCREDITO</v>
          </cell>
          <cell r="E171">
            <v>126285500</v>
          </cell>
          <cell r="F171">
            <v>5000</v>
          </cell>
          <cell r="G171">
            <v>4.3049999999999998E-3</v>
          </cell>
          <cell r="H171">
            <v>2.56</v>
          </cell>
          <cell r="I171" t="str">
            <v>2018-07-01</v>
          </cell>
          <cell r="J171">
            <v>584</v>
          </cell>
          <cell r="K171">
            <v>1.6</v>
          </cell>
          <cell r="L171">
            <v>96.04</v>
          </cell>
          <cell r="M171" t="str">
            <v>UF</v>
          </cell>
          <cell r="N171" t="str">
            <v>RFL</v>
          </cell>
          <cell r="O171" t="str">
            <v>Renta Fija Local</v>
          </cell>
          <cell r="P171" t="str">
            <v>AA+ ; AA+</v>
          </cell>
          <cell r="Q171" t="str">
            <v>Corto</v>
          </cell>
          <cell r="R171" t="str">
            <v>Corporativo Bajo Riesgo Corto</v>
          </cell>
          <cell r="S171">
            <v>2.56</v>
          </cell>
          <cell r="T171" t="str">
            <v>AA+</v>
          </cell>
          <cell r="U171" t="str">
            <v>2</v>
          </cell>
          <cell r="V171" t="str">
            <v>Bajo Riesgo</v>
          </cell>
          <cell r="W171" t="str">
            <v>Corporativo</v>
          </cell>
          <cell r="X171" t="str">
            <v>Bajo Riesgo Corto UF</v>
          </cell>
          <cell r="Y171" t="str">
            <v>Corporativo Bajo Riesgo Corto</v>
          </cell>
          <cell r="Z171" t="str">
            <v>Corto UF</v>
          </cell>
          <cell r="AA171" t="str">
            <v>Corporativo Corto</v>
          </cell>
          <cell r="AB171" t="str">
            <v>Corporativo UF</v>
          </cell>
          <cell r="AC171" t="str">
            <v>Instrumentos de Deuda</v>
          </cell>
          <cell r="AD171" t="str">
            <v>Financieras</v>
          </cell>
          <cell r="AE171" t="str">
            <v>Bono Bci Serie Ab</v>
          </cell>
          <cell r="AF171" t="str">
            <v>BCI</v>
          </cell>
        </row>
        <row r="172">
          <cell r="C172" t="str">
            <v>BCHIAI0213</v>
          </cell>
          <cell r="D172" t="str">
            <v>BBCHILE</v>
          </cell>
          <cell r="E172">
            <v>26946852</v>
          </cell>
          <cell r="F172">
            <v>1000</v>
          </cell>
          <cell r="G172">
            <v>9.1799999999999998E-4</v>
          </cell>
          <cell r="H172">
            <v>2.5299999999999998</v>
          </cell>
          <cell r="I172" t="str">
            <v>2018-08-01</v>
          </cell>
          <cell r="J172">
            <v>615</v>
          </cell>
          <cell r="K172">
            <v>1.64</v>
          </cell>
          <cell r="L172">
            <v>101.39</v>
          </cell>
          <cell r="M172" t="str">
            <v>UF</v>
          </cell>
          <cell r="N172" t="str">
            <v>RFL</v>
          </cell>
          <cell r="O172" t="str">
            <v>Renta Fija Local</v>
          </cell>
          <cell r="P172" t="str">
            <v>AAA ; AAA</v>
          </cell>
          <cell r="Q172" t="str">
            <v>Corto</v>
          </cell>
          <cell r="R172" t="str">
            <v>Corporativo Bajo Riesgo Corto</v>
          </cell>
          <cell r="S172">
            <v>2.5299999999999998</v>
          </cell>
          <cell r="T172" t="str">
            <v>AAA</v>
          </cell>
          <cell r="U172" t="str">
            <v>1</v>
          </cell>
          <cell r="V172" t="str">
            <v>Bajo Riesgo</v>
          </cell>
          <cell r="W172" t="str">
            <v>Corporativo</v>
          </cell>
          <cell r="X172" t="str">
            <v>Bajo Riesgo Corto UF</v>
          </cell>
          <cell r="Y172" t="str">
            <v>Corporativo Bajo Riesgo Corto</v>
          </cell>
          <cell r="Z172" t="str">
            <v>Corto UF</v>
          </cell>
          <cell r="AA172" t="str">
            <v>Corporativo Corto</v>
          </cell>
          <cell r="AB172" t="str">
            <v>Corporativo UF</v>
          </cell>
          <cell r="AC172" t="str">
            <v>Instrumentos de Deuda</v>
          </cell>
          <cell r="AD172" t="str">
            <v>Financieras</v>
          </cell>
          <cell r="AE172" t="str">
            <v>Bono Banco Chile Serie Ai</v>
          </cell>
          <cell r="AF172" t="str">
            <v>Banco de Chile</v>
          </cell>
        </row>
        <row r="173">
          <cell r="C173" t="str">
            <v>BBCIS-P26A</v>
          </cell>
          <cell r="D173" t="str">
            <v>BCI SECURI</v>
          </cell>
          <cell r="E173">
            <v>70570856</v>
          </cell>
          <cell r="F173">
            <v>70000000</v>
          </cell>
          <cell r="G173">
            <v>2.405E-3</v>
          </cell>
          <cell r="H173">
            <v>7.11</v>
          </cell>
          <cell r="I173" t="str">
            <v>2020-07-01</v>
          </cell>
          <cell r="J173">
            <v>1315</v>
          </cell>
          <cell r="K173">
            <v>1.68</v>
          </cell>
          <cell r="L173">
            <v>99.83</v>
          </cell>
          <cell r="M173" t="str">
            <v>$</v>
          </cell>
          <cell r="N173" t="str">
            <v>RFL</v>
          </cell>
          <cell r="O173" t="str">
            <v>Renta Fija Local</v>
          </cell>
          <cell r="P173" t="str">
            <v>AA ; AA</v>
          </cell>
          <cell r="Q173" t="str">
            <v>Corto</v>
          </cell>
          <cell r="R173" t="str">
            <v>Corporativo Bajo Riesgo Corto</v>
          </cell>
          <cell r="S173">
            <v>4.1100000000000003</v>
          </cell>
          <cell r="T173" t="str">
            <v>AA</v>
          </cell>
          <cell r="U173" t="str">
            <v>3</v>
          </cell>
          <cell r="V173" t="str">
            <v>Bajo Riesgo</v>
          </cell>
          <cell r="W173" t="str">
            <v>Corporativo</v>
          </cell>
          <cell r="X173" t="str">
            <v>Bajo Riesgo Corto $</v>
          </cell>
          <cell r="Y173" t="str">
            <v>Corporativo Bajo Riesgo Corto</v>
          </cell>
          <cell r="Z173" t="str">
            <v>Corto $</v>
          </cell>
          <cell r="AA173" t="str">
            <v>Corporativo Corto</v>
          </cell>
          <cell r="AB173" t="str">
            <v>Corporativo $</v>
          </cell>
          <cell r="AC173" t="str">
            <v>Instrumentos de Deuda</v>
          </cell>
          <cell r="AD173" t="str">
            <v>Financieras</v>
          </cell>
          <cell r="AE173" t="str">
            <v>Bono Bci Securitizadora P26A</v>
          </cell>
          <cell r="AF173" t="str">
            <v>BCI Securitizadora</v>
          </cell>
        </row>
        <row r="174">
          <cell r="C174" t="str">
            <v>BBANM-I</v>
          </cell>
          <cell r="D174" t="str">
            <v>BANMEDICA</v>
          </cell>
          <cell r="E174">
            <v>213807000</v>
          </cell>
          <cell r="F174">
            <v>200000000</v>
          </cell>
          <cell r="G174">
            <v>7.2890000000000003E-3</v>
          </cell>
          <cell r="H174">
            <v>4.82</v>
          </cell>
          <cell r="I174" t="str">
            <v>2020-04-10</v>
          </cell>
          <cell r="J174">
            <v>1233</v>
          </cell>
          <cell r="K174">
            <v>1.75</v>
          </cell>
          <cell r="L174">
            <v>102.8</v>
          </cell>
          <cell r="M174" t="str">
            <v>$</v>
          </cell>
          <cell r="N174" t="str">
            <v>RFL</v>
          </cell>
          <cell r="O174" t="str">
            <v>Renta Fija Local</v>
          </cell>
          <cell r="P174" t="str">
            <v>AA- ; AA-</v>
          </cell>
          <cell r="Q174" t="str">
            <v>Corto</v>
          </cell>
          <cell r="R174" t="str">
            <v>Corporativo Bajo Riesgo Corto</v>
          </cell>
          <cell r="S174">
            <v>1.82</v>
          </cell>
          <cell r="T174" t="str">
            <v>AA-</v>
          </cell>
          <cell r="U174" t="str">
            <v>4</v>
          </cell>
          <cell r="V174" t="str">
            <v>Bajo Riesgo</v>
          </cell>
          <cell r="W174" t="str">
            <v>Corporativo</v>
          </cell>
          <cell r="X174" t="str">
            <v>Bajo Riesgo Corto $</v>
          </cell>
          <cell r="Y174" t="str">
            <v>Corporativo Bajo Riesgo Corto</v>
          </cell>
          <cell r="Z174" t="str">
            <v>Corto $</v>
          </cell>
          <cell r="AA174" t="str">
            <v>Corporativo Corto</v>
          </cell>
          <cell r="AB174" t="str">
            <v>Corporativo $</v>
          </cell>
          <cell r="AC174" t="str">
            <v>Instrumentos de Deuda</v>
          </cell>
          <cell r="AD174" t="str">
            <v>Salud</v>
          </cell>
          <cell r="AE174" t="str">
            <v>Bono Banmedica Serie I</v>
          </cell>
          <cell r="AF174" t="str">
            <v>Banmedica</v>
          </cell>
        </row>
        <row r="175">
          <cell r="C175" t="str">
            <v>BESTJ31008</v>
          </cell>
          <cell r="D175" t="str">
            <v>BBESTADO</v>
          </cell>
          <cell r="E175">
            <v>26900763</v>
          </cell>
          <cell r="F175">
            <v>1000</v>
          </cell>
          <cell r="G175">
            <v>9.1699999999999995E-4</v>
          </cell>
          <cell r="H175">
            <v>2.5</v>
          </cell>
          <cell r="I175" t="str">
            <v>2018-10-01</v>
          </cell>
          <cell r="J175">
            <v>676</v>
          </cell>
          <cell r="K175">
            <v>1.8</v>
          </cell>
          <cell r="L175">
            <v>101.76</v>
          </cell>
          <cell r="M175" t="str">
            <v>UF</v>
          </cell>
          <cell r="N175" t="str">
            <v>RFL</v>
          </cell>
          <cell r="O175" t="str">
            <v>Renta Fija Local</v>
          </cell>
          <cell r="P175" t="str">
            <v>AAA ; AAA</v>
          </cell>
          <cell r="Q175" t="str">
            <v>Corto</v>
          </cell>
          <cell r="R175" t="str">
            <v>Corporativo Bajo Riesgo Corto</v>
          </cell>
          <cell r="S175">
            <v>2.5</v>
          </cell>
          <cell r="T175" t="str">
            <v>AAA</v>
          </cell>
          <cell r="U175" t="str">
            <v>1</v>
          </cell>
          <cell r="V175" t="str">
            <v>Bajo Riesgo</v>
          </cell>
          <cell r="W175" t="str">
            <v>Corporativo</v>
          </cell>
          <cell r="X175" t="str">
            <v>Bajo Riesgo Corto UF</v>
          </cell>
          <cell r="Y175" t="str">
            <v>Corporativo Bajo Riesgo Corto</v>
          </cell>
          <cell r="Z175" t="str">
            <v>Corto UF</v>
          </cell>
          <cell r="AA175" t="str">
            <v>Corporativo Corto</v>
          </cell>
          <cell r="AB175" t="str">
            <v>Corporativo UF</v>
          </cell>
          <cell r="AC175" t="str">
            <v>Instrumentos de Deuda</v>
          </cell>
          <cell r="AD175" t="str">
            <v>Financieras</v>
          </cell>
          <cell r="AE175" t="str">
            <v>Bono Banco Estado Serie J3</v>
          </cell>
          <cell r="AF175" t="str">
            <v>Banco Estado</v>
          </cell>
        </row>
        <row r="176">
          <cell r="C176" t="str">
            <v>BCHIUN1011</v>
          </cell>
          <cell r="D176" t="str">
            <v>BBCHILE</v>
          </cell>
          <cell r="E176">
            <v>106955183</v>
          </cell>
          <cell r="F176">
            <v>4000</v>
          </cell>
          <cell r="G176">
            <v>3.6459999999999999E-3</v>
          </cell>
          <cell r="H176">
            <v>2.52</v>
          </cell>
          <cell r="I176" t="str">
            <v>2018-10-01</v>
          </cell>
          <cell r="J176">
            <v>676</v>
          </cell>
          <cell r="K176">
            <v>1.81</v>
          </cell>
          <cell r="L176">
            <v>101.2</v>
          </cell>
          <cell r="M176" t="str">
            <v>UF</v>
          </cell>
          <cell r="N176" t="str">
            <v>RFL</v>
          </cell>
          <cell r="O176" t="str">
            <v>Renta Fija Local</v>
          </cell>
          <cell r="P176" t="str">
            <v>AAA ; AAA</v>
          </cell>
          <cell r="Q176" t="str">
            <v>Corto</v>
          </cell>
          <cell r="R176" t="str">
            <v>Corporativo Bajo Riesgo Corto</v>
          </cell>
          <cell r="S176">
            <v>2.52</v>
          </cell>
          <cell r="T176" t="str">
            <v>AAA</v>
          </cell>
          <cell r="U176" t="str">
            <v>1</v>
          </cell>
          <cell r="V176" t="str">
            <v>Bajo Riesgo</v>
          </cell>
          <cell r="W176" t="str">
            <v>Corporativo</v>
          </cell>
          <cell r="X176" t="str">
            <v>Bajo Riesgo Corto UF</v>
          </cell>
          <cell r="Y176" t="str">
            <v>Corporativo Bajo Riesgo Corto</v>
          </cell>
          <cell r="Z176" t="str">
            <v>Corto UF</v>
          </cell>
          <cell r="AA176" t="str">
            <v>Corporativo Corto</v>
          </cell>
          <cell r="AB176" t="str">
            <v>Corporativo UF</v>
          </cell>
          <cell r="AC176" t="str">
            <v>Instrumentos de Deuda</v>
          </cell>
          <cell r="AD176" t="str">
            <v>Financieras</v>
          </cell>
          <cell r="AE176" t="str">
            <v>Bono Banco Chile Serie Un</v>
          </cell>
          <cell r="AF176" t="str">
            <v>Banco de Chile</v>
          </cell>
        </row>
        <row r="177">
          <cell r="C177" t="str">
            <v>BPLZA-M</v>
          </cell>
          <cell r="D177" t="str">
            <v>PLAZA S.A.</v>
          </cell>
          <cell r="E177">
            <v>121422695</v>
          </cell>
          <cell r="F177">
            <v>4500</v>
          </cell>
          <cell r="G177">
            <v>4.1390000000000003E-3</v>
          </cell>
          <cell r="H177">
            <v>2.62</v>
          </cell>
          <cell r="I177" t="str">
            <v>2020-08-15</v>
          </cell>
          <cell r="J177">
            <v>1360</v>
          </cell>
          <cell r="K177">
            <v>1.9</v>
          </cell>
          <cell r="L177">
            <v>101.62</v>
          </cell>
          <cell r="M177" t="str">
            <v>UF</v>
          </cell>
          <cell r="N177" t="str">
            <v>RFL</v>
          </cell>
          <cell r="O177" t="str">
            <v>Renta Fija Local</v>
          </cell>
          <cell r="P177" t="str">
            <v>AA ; AA+</v>
          </cell>
          <cell r="Q177" t="str">
            <v>Corto</v>
          </cell>
          <cell r="R177" t="str">
            <v>Corporativo Bajo Riesgo Corto</v>
          </cell>
          <cell r="S177">
            <v>2.62</v>
          </cell>
          <cell r="T177" t="str">
            <v>AA</v>
          </cell>
          <cell r="U177" t="str">
            <v>3</v>
          </cell>
          <cell r="V177" t="str">
            <v>Bajo Riesgo</v>
          </cell>
          <cell r="W177" t="str">
            <v>Corporativo</v>
          </cell>
          <cell r="X177" t="str">
            <v>Bajo Riesgo Corto UF</v>
          </cell>
          <cell r="Y177" t="str">
            <v>Corporativo Bajo Riesgo Corto</v>
          </cell>
          <cell r="Z177" t="str">
            <v>Corto UF</v>
          </cell>
          <cell r="AA177" t="str">
            <v>Corporativo Corto</v>
          </cell>
          <cell r="AB177" t="str">
            <v>Corporativo UF</v>
          </cell>
          <cell r="AC177" t="str">
            <v>Instrumentos de Deuda</v>
          </cell>
          <cell r="AD177" t="str">
            <v>Consumo</v>
          </cell>
          <cell r="AE177" t="str">
            <v>Bono Plaza S.A. Serie M</v>
          </cell>
          <cell r="AF177" t="str">
            <v>Plaza S.A.</v>
          </cell>
        </row>
        <row r="178">
          <cell r="C178" t="str">
            <v>BESTK30114</v>
          </cell>
          <cell r="D178" t="str">
            <v>BBESTADO</v>
          </cell>
          <cell r="E178">
            <v>108296535</v>
          </cell>
          <cell r="F178">
            <v>4000</v>
          </cell>
          <cell r="G178">
            <v>3.692E-3</v>
          </cell>
          <cell r="H178">
            <v>2.48</v>
          </cell>
          <cell r="I178" t="str">
            <v>2019-01-01</v>
          </cell>
          <cell r="J178">
            <v>768</v>
          </cell>
          <cell r="K178">
            <v>2.0299999999999998</v>
          </cell>
          <cell r="L178">
            <v>101.61</v>
          </cell>
          <cell r="M178" t="str">
            <v>UF</v>
          </cell>
          <cell r="N178" t="str">
            <v>RFL</v>
          </cell>
          <cell r="O178" t="str">
            <v>Renta Fija Local</v>
          </cell>
          <cell r="P178" t="str">
            <v>AAA ; AAA</v>
          </cell>
          <cell r="Q178" t="str">
            <v>Corto</v>
          </cell>
          <cell r="R178" t="str">
            <v>Corporativo Bajo Riesgo Corto</v>
          </cell>
          <cell r="S178">
            <v>2.48</v>
          </cell>
          <cell r="T178" t="str">
            <v>AAA</v>
          </cell>
          <cell r="U178" t="str">
            <v>1</v>
          </cell>
          <cell r="V178" t="str">
            <v>Bajo Riesgo</v>
          </cell>
          <cell r="W178" t="str">
            <v>Corporativo</v>
          </cell>
          <cell r="X178" t="str">
            <v>Bajo Riesgo Corto UF</v>
          </cell>
          <cell r="Y178" t="str">
            <v>Corporativo Bajo Riesgo Corto</v>
          </cell>
          <cell r="Z178" t="str">
            <v>Corto UF</v>
          </cell>
          <cell r="AA178" t="str">
            <v>Corporativo Corto</v>
          </cell>
          <cell r="AB178" t="str">
            <v>Corporativo UF</v>
          </cell>
          <cell r="AC178" t="str">
            <v>Instrumentos de Deuda</v>
          </cell>
          <cell r="AD178" t="str">
            <v>Financieras</v>
          </cell>
          <cell r="AE178" t="str">
            <v>Bono Banco Estado Serie K3</v>
          </cell>
          <cell r="AF178" t="str">
            <v>Banco Estado</v>
          </cell>
        </row>
        <row r="179">
          <cell r="C179" t="str">
            <v>BCAJ-O0816</v>
          </cell>
          <cell r="D179" t="str">
            <v>LOS ANDES</v>
          </cell>
          <cell r="E179">
            <v>256524613</v>
          </cell>
          <cell r="F179">
            <v>250000000</v>
          </cell>
          <cell r="G179">
            <v>8.7449999999999993E-3</v>
          </cell>
          <cell r="H179">
            <v>5.03</v>
          </cell>
          <cell r="I179" t="str">
            <v>2020-02-01</v>
          </cell>
          <cell r="J179">
            <v>1164</v>
          </cell>
          <cell r="K179">
            <v>2.0499999999999998</v>
          </cell>
          <cell r="L179">
            <v>100.91</v>
          </cell>
          <cell r="M179" t="str">
            <v>$</v>
          </cell>
          <cell r="N179" t="str">
            <v>RFL</v>
          </cell>
          <cell r="O179" t="str">
            <v>Renta Fija Local</v>
          </cell>
          <cell r="P179" t="str">
            <v>AA- ; A+</v>
          </cell>
          <cell r="Q179" t="str">
            <v>Corto</v>
          </cell>
          <cell r="R179" t="str">
            <v>Corporativo Alto Riesgo Corto</v>
          </cell>
          <cell r="S179">
            <v>2.0299999999999998</v>
          </cell>
          <cell r="T179" t="str">
            <v>A+</v>
          </cell>
          <cell r="U179" t="str">
            <v>5</v>
          </cell>
          <cell r="V179" t="str">
            <v>Alto Riesgo</v>
          </cell>
          <cell r="W179" t="str">
            <v>Corporativo</v>
          </cell>
          <cell r="X179" t="str">
            <v>Alto Riesgo Corto $</v>
          </cell>
          <cell r="Y179" t="str">
            <v>Corporativo Alto Riesgo Corto</v>
          </cell>
          <cell r="Z179" t="str">
            <v>Corto $</v>
          </cell>
          <cell r="AA179" t="str">
            <v>Corporativo Corto</v>
          </cell>
          <cell r="AB179" t="str">
            <v>Corporativo $</v>
          </cell>
          <cell r="AC179"/>
          <cell r="AD179"/>
          <cell r="AE179"/>
          <cell r="AF179" t="str">
            <v>Caja Los Andes</v>
          </cell>
        </row>
        <row r="180">
          <cell r="C180" t="str">
            <v>BCTCH-Q</v>
          </cell>
          <cell r="D180" t="str">
            <v>TELEFONOS</v>
          </cell>
          <cell r="E180">
            <v>205348475</v>
          </cell>
          <cell r="F180">
            <v>200000000</v>
          </cell>
          <cell r="G180">
            <v>7.0010000000000003E-3</v>
          </cell>
          <cell r="H180">
            <v>5</v>
          </cell>
          <cell r="I180" t="str">
            <v>2019-03-14</v>
          </cell>
          <cell r="J180">
            <v>840</v>
          </cell>
          <cell r="K180">
            <v>2.17</v>
          </cell>
          <cell r="L180">
            <v>101.58</v>
          </cell>
          <cell r="M180" t="str">
            <v>$</v>
          </cell>
          <cell r="N180" t="str">
            <v>RFL</v>
          </cell>
          <cell r="O180" t="str">
            <v>Renta Fija Local</v>
          </cell>
          <cell r="P180" t="str">
            <v>AA ; AA</v>
          </cell>
          <cell r="Q180" t="str">
            <v>Corto</v>
          </cell>
          <cell r="R180" t="str">
            <v>Corporativo Bajo Riesgo Corto</v>
          </cell>
          <cell r="S180">
            <v>2</v>
          </cell>
          <cell r="T180" t="str">
            <v>AA</v>
          </cell>
          <cell r="U180" t="str">
            <v>3</v>
          </cell>
          <cell r="V180" t="str">
            <v>Bajo Riesgo</v>
          </cell>
          <cell r="W180" t="str">
            <v>Corporativo</v>
          </cell>
          <cell r="X180" t="str">
            <v>Bajo Riesgo Corto $</v>
          </cell>
          <cell r="Y180" t="str">
            <v>Corporativo Bajo Riesgo Corto</v>
          </cell>
          <cell r="Z180" t="str">
            <v>Corto $</v>
          </cell>
          <cell r="AA180" t="str">
            <v>Corporativo Corto</v>
          </cell>
          <cell r="AB180" t="str">
            <v>Corporativo $</v>
          </cell>
          <cell r="AC180" t="str">
            <v>Instrumentos de Deuda</v>
          </cell>
          <cell r="AD180" t="str">
            <v>Comunicaciones</v>
          </cell>
          <cell r="AE180" t="str">
            <v>Bono Ctc Serie Q</v>
          </cell>
          <cell r="AF180" t="str">
            <v>CTC S.A.</v>
          </cell>
        </row>
        <row r="181">
          <cell r="C181" t="str">
            <v>BBCIS-P30A</v>
          </cell>
          <cell r="D181" t="str">
            <v>BCI SECURI</v>
          </cell>
          <cell r="E181">
            <v>199829161</v>
          </cell>
          <cell r="F181">
            <v>200000000</v>
          </cell>
          <cell r="G181">
            <v>6.8120000000000003E-3</v>
          </cell>
          <cell r="H181">
            <v>6.23</v>
          </cell>
          <cell r="I181" t="str">
            <v>2020-04-01</v>
          </cell>
          <cell r="J181">
            <v>1224</v>
          </cell>
          <cell r="K181">
            <v>2.2400000000000002</v>
          </cell>
          <cell r="L181">
            <v>99.1</v>
          </cell>
          <cell r="M181" t="str">
            <v>$</v>
          </cell>
          <cell r="N181" t="str">
            <v>RFL</v>
          </cell>
          <cell r="O181" t="str">
            <v>Renta Fija Local</v>
          </cell>
          <cell r="P181" t="str">
            <v>AA ; AA</v>
          </cell>
          <cell r="Q181" t="str">
            <v>Corto</v>
          </cell>
          <cell r="R181" t="str">
            <v>Corporativo Bajo Riesgo Corto</v>
          </cell>
          <cell r="S181">
            <v>3.23</v>
          </cell>
          <cell r="T181" t="str">
            <v>AA</v>
          </cell>
          <cell r="U181" t="str">
            <v>3</v>
          </cell>
          <cell r="V181" t="str">
            <v>Bajo Riesgo</v>
          </cell>
          <cell r="W181" t="str">
            <v>Corporativo</v>
          </cell>
          <cell r="X181" t="str">
            <v>Bajo Riesgo Corto $</v>
          </cell>
          <cell r="Y181" t="str">
            <v>Corporativo Bajo Riesgo Corto</v>
          </cell>
          <cell r="Z181" t="str">
            <v>Corto $</v>
          </cell>
          <cell r="AA181" t="str">
            <v>Corporativo Corto</v>
          </cell>
          <cell r="AB181" t="str">
            <v>Corporativo $</v>
          </cell>
          <cell r="AC181" t="str">
            <v>Instrumentos de Deuda</v>
          </cell>
          <cell r="AD181" t="str">
            <v>Financieras</v>
          </cell>
          <cell r="AE181" t="str">
            <v>Bono Bci Securitizadora P30A</v>
          </cell>
          <cell r="AF181" t="str">
            <v>BCI Securitizadora</v>
          </cell>
        </row>
        <row r="182">
          <cell r="C182" t="str">
            <v>BRPL-A0414</v>
          </cell>
          <cell r="D182" t="str">
            <v>BBRIPLEY</v>
          </cell>
          <cell r="E182">
            <v>227950414</v>
          </cell>
          <cell r="F182">
            <v>8500</v>
          </cell>
          <cell r="G182">
            <v>7.7710000000000001E-3</v>
          </cell>
          <cell r="H182">
            <v>2.74</v>
          </cell>
          <cell r="I182" t="str">
            <v>2019-04-01</v>
          </cell>
          <cell r="J182">
            <v>858</v>
          </cell>
          <cell r="K182">
            <v>2.27</v>
          </cell>
          <cell r="L182">
            <v>101.47</v>
          </cell>
          <cell r="M182" t="str">
            <v>UF</v>
          </cell>
          <cell r="N182" t="str">
            <v>RFL</v>
          </cell>
          <cell r="O182" t="str">
            <v>Renta Fija Local</v>
          </cell>
          <cell r="P182" t="str">
            <v>A+ ; A+</v>
          </cell>
          <cell r="Q182" t="str">
            <v>Corto</v>
          </cell>
          <cell r="R182" t="str">
            <v>Corporativo Alto Riesgo Corto</v>
          </cell>
          <cell r="S182">
            <v>2.74</v>
          </cell>
          <cell r="T182" t="str">
            <v>A+</v>
          </cell>
          <cell r="U182" t="str">
            <v>5</v>
          </cell>
          <cell r="V182" t="str">
            <v>Alto Riesgo</v>
          </cell>
          <cell r="W182" t="str">
            <v>Corporativo</v>
          </cell>
          <cell r="X182" t="str">
            <v>Alto Riesgo Corto UF</v>
          </cell>
          <cell r="Y182" t="str">
            <v>Corporativo Alto Riesgo Corto</v>
          </cell>
          <cell r="Z182" t="str">
            <v>Corto UF</v>
          </cell>
          <cell r="AA182" t="str">
            <v>Corporativo Corto</v>
          </cell>
          <cell r="AB182" t="str">
            <v>Corporativo UF</v>
          </cell>
          <cell r="AC182" t="str">
            <v>Instrumentos de Deuda</v>
          </cell>
          <cell r="AD182" t="str">
            <v>Financieras</v>
          </cell>
          <cell r="AE182" t="str">
            <v>Bono Bancario Ripley Serie A</v>
          </cell>
          <cell r="AF182" t="str">
            <v>Banco Ripley</v>
          </cell>
        </row>
        <row r="183">
          <cell r="C183" t="str">
            <v>BCNO-H0414</v>
          </cell>
          <cell r="D183" t="str">
            <v>BBCONSORC</v>
          </cell>
          <cell r="E183">
            <v>239369238</v>
          </cell>
          <cell r="F183">
            <v>9000</v>
          </cell>
          <cell r="G183">
            <v>8.1600000000000006E-3</v>
          </cell>
          <cell r="H183">
            <v>2.69</v>
          </cell>
          <cell r="I183" t="str">
            <v>2019-04-01</v>
          </cell>
          <cell r="J183">
            <v>858</v>
          </cell>
          <cell r="K183">
            <v>2.2799999999999998</v>
          </cell>
          <cell r="L183">
            <v>100.69</v>
          </cell>
          <cell r="M183" t="str">
            <v>UF</v>
          </cell>
          <cell r="N183" t="str">
            <v>RFL</v>
          </cell>
          <cell r="O183" t="str">
            <v>Renta Fija Local</v>
          </cell>
          <cell r="P183" t="str">
            <v>AA- ; AA-</v>
          </cell>
          <cell r="Q183" t="str">
            <v>Corto</v>
          </cell>
          <cell r="R183" t="str">
            <v>Corporativo Bajo Riesgo Corto</v>
          </cell>
          <cell r="S183">
            <v>2.69</v>
          </cell>
          <cell r="T183" t="str">
            <v>AA-</v>
          </cell>
          <cell r="U183" t="str">
            <v>4</v>
          </cell>
          <cell r="V183" t="str">
            <v>Bajo Riesgo</v>
          </cell>
          <cell r="W183" t="str">
            <v>Corporativo</v>
          </cell>
          <cell r="X183" t="str">
            <v>Bajo Riesgo Corto UF</v>
          </cell>
          <cell r="Y183" t="str">
            <v>Corporativo Bajo Riesgo Corto</v>
          </cell>
          <cell r="Z183" t="str">
            <v>Corto UF</v>
          </cell>
          <cell r="AA183" t="str">
            <v>Corporativo Corto</v>
          </cell>
          <cell r="AB183" t="str">
            <v>Corporativo UF</v>
          </cell>
          <cell r="AC183" t="str">
            <v>Instrumentos de Deuda</v>
          </cell>
          <cell r="AD183" t="str">
            <v>Financieras</v>
          </cell>
          <cell r="AE183" t="str">
            <v>Bono Banco Consorcio Serie H</v>
          </cell>
          <cell r="AF183" t="str">
            <v>Banco Consorcio</v>
          </cell>
        </row>
        <row r="184">
          <cell r="C184" t="str">
            <v>BSTDSE0614</v>
          </cell>
          <cell r="D184" t="str">
            <v>BBSANT-CHI</v>
          </cell>
          <cell r="E184">
            <v>62522528</v>
          </cell>
          <cell r="F184">
            <v>60000000</v>
          </cell>
          <cell r="G184">
            <v>2.1310000000000001E-3</v>
          </cell>
          <cell r="H184">
            <v>4.8899999999999997</v>
          </cell>
          <cell r="I184" t="str">
            <v>2019-06-01</v>
          </cell>
          <cell r="J184">
            <v>919</v>
          </cell>
          <cell r="K184">
            <v>2.33</v>
          </cell>
          <cell r="L184">
            <v>101.53</v>
          </cell>
          <cell r="M184" t="str">
            <v>$</v>
          </cell>
          <cell r="N184" t="str">
            <v>RFL</v>
          </cell>
          <cell r="O184" t="str">
            <v>Renta Fija Local</v>
          </cell>
          <cell r="P184" t="str">
            <v>AAA ; AAA</v>
          </cell>
          <cell r="Q184" t="str">
            <v>Corto</v>
          </cell>
          <cell r="R184" t="str">
            <v>Corporativo Bajo Riesgo Corto</v>
          </cell>
          <cell r="S184">
            <v>1.89</v>
          </cell>
          <cell r="T184" t="str">
            <v>AAA</v>
          </cell>
          <cell r="U184" t="str">
            <v>1</v>
          </cell>
          <cell r="V184" t="str">
            <v>Bajo Riesgo</v>
          </cell>
          <cell r="W184" t="str">
            <v>Corporativo</v>
          </cell>
          <cell r="X184" t="str">
            <v>Bajo Riesgo Corto $</v>
          </cell>
          <cell r="Y184" t="str">
            <v>Corporativo Bajo Riesgo Corto</v>
          </cell>
          <cell r="Z184" t="str">
            <v>Corto $</v>
          </cell>
          <cell r="AA184" t="str">
            <v>Corporativo Corto</v>
          </cell>
          <cell r="AB184" t="str">
            <v>Corporativo $</v>
          </cell>
          <cell r="AC184" t="str">
            <v>Instrumentos de Deuda</v>
          </cell>
          <cell r="AD184" t="str">
            <v>Financieras</v>
          </cell>
          <cell r="AE184" t="str">
            <v>Bono Banco Santander Serie Se</v>
          </cell>
          <cell r="AF184" t="str">
            <v>Banco Santander</v>
          </cell>
        </row>
        <row r="185">
          <cell r="C185" t="str">
            <v>BBBVJ51113</v>
          </cell>
          <cell r="D185" t="str">
            <v>BBBVA</v>
          </cell>
          <cell r="E185">
            <v>186170910</v>
          </cell>
          <cell r="F185">
            <v>7000</v>
          </cell>
          <cell r="G185">
            <v>6.3470000000000002E-3</v>
          </cell>
          <cell r="H185">
            <v>2.6</v>
          </cell>
          <cell r="I185" t="str">
            <v>2019-05-01</v>
          </cell>
          <cell r="J185">
            <v>888</v>
          </cell>
          <cell r="K185">
            <v>2.36</v>
          </cell>
          <cell r="L185">
            <v>100.93</v>
          </cell>
          <cell r="M185" t="str">
            <v>UF</v>
          </cell>
          <cell r="N185" t="str">
            <v>RFL</v>
          </cell>
          <cell r="O185" t="str">
            <v>Renta Fija Local</v>
          </cell>
          <cell r="P185" t="str">
            <v>AA ; AA+</v>
          </cell>
          <cell r="Q185" t="str">
            <v>Corto</v>
          </cell>
          <cell r="R185" t="str">
            <v>Corporativo Bajo Riesgo Corto</v>
          </cell>
          <cell r="S185">
            <v>2.6</v>
          </cell>
          <cell r="T185" t="str">
            <v>AA</v>
          </cell>
          <cell r="U185" t="str">
            <v>3</v>
          </cell>
          <cell r="V185" t="str">
            <v>Bajo Riesgo</v>
          </cell>
          <cell r="W185" t="str">
            <v>Corporativo</v>
          </cell>
          <cell r="X185" t="str">
            <v>Bajo Riesgo Corto UF</v>
          </cell>
          <cell r="Y185" t="str">
            <v>Corporativo Bajo Riesgo Corto</v>
          </cell>
          <cell r="Z185" t="str">
            <v>Corto UF</v>
          </cell>
          <cell r="AA185" t="str">
            <v>Corporativo Corto</v>
          </cell>
          <cell r="AB185" t="str">
            <v>Corporativo UF</v>
          </cell>
          <cell r="AC185" t="str">
            <v>Instrumentos de Deuda</v>
          </cell>
          <cell r="AD185" t="str">
            <v>Financieras</v>
          </cell>
          <cell r="AE185" t="str">
            <v>Bono Bbva Serie J5</v>
          </cell>
          <cell r="AF185" t="str">
            <v>BBVA</v>
          </cell>
        </row>
        <row r="186">
          <cell r="C186" t="str">
            <v>BITA-N0612</v>
          </cell>
          <cell r="D186" t="str">
            <v>BBITAU</v>
          </cell>
          <cell r="E186">
            <v>27265228</v>
          </cell>
          <cell r="F186">
            <v>1000</v>
          </cell>
          <cell r="G186">
            <v>9.2900000000000003E-4</v>
          </cell>
          <cell r="H186">
            <v>2.66</v>
          </cell>
          <cell r="I186" t="str">
            <v>2019-06-01</v>
          </cell>
          <cell r="J186">
            <v>919</v>
          </cell>
          <cell r="K186">
            <v>2.39</v>
          </cell>
          <cell r="L186">
            <v>101.97</v>
          </cell>
          <cell r="M186" t="str">
            <v>UF</v>
          </cell>
          <cell r="N186" t="str">
            <v>RFL</v>
          </cell>
          <cell r="O186" t="str">
            <v>Renta Fija Local</v>
          </cell>
          <cell r="P186" t="str">
            <v>AA- ; AA</v>
          </cell>
          <cell r="Q186" t="str">
            <v>Corto</v>
          </cell>
          <cell r="R186" t="str">
            <v>Corporativo Bajo Riesgo Corto</v>
          </cell>
          <cell r="S186">
            <v>2.66</v>
          </cell>
          <cell r="T186" t="str">
            <v>AA-</v>
          </cell>
          <cell r="U186" t="str">
            <v>4</v>
          </cell>
          <cell r="V186" t="str">
            <v>Bajo Riesgo</v>
          </cell>
          <cell r="W186" t="str">
            <v>Corporativo</v>
          </cell>
          <cell r="X186" t="str">
            <v>Bajo Riesgo Corto UF</v>
          </cell>
          <cell r="Y186" t="str">
            <v>Corporativo Bajo Riesgo Corto</v>
          </cell>
          <cell r="Z186" t="str">
            <v>Corto UF</v>
          </cell>
          <cell r="AA186" t="str">
            <v>Corporativo Corto</v>
          </cell>
          <cell r="AB186" t="str">
            <v>Corporativo UF</v>
          </cell>
          <cell r="AC186" t="str">
            <v>Instrumentos de Deuda</v>
          </cell>
          <cell r="AD186" t="str">
            <v>Financieras</v>
          </cell>
          <cell r="AE186" t="str">
            <v>Bono Banco Itau Serie N</v>
          </cell>
          <cell r="AF186" t="str">
            <v>Itau/Corpbanca</v>
          </cell>
        </row>
        <row r="187">
          <cell r="C187" t="str">
            <v>BESTK50714</v>
          </cell>
          <cell r="D187" t="str">
            <v>BBESTADO</v>
          </cell>
          <cell r="E187">
            <v>54339989</v>
          </cell>
          <cell r="F187">
            <v>2000</v>
          </cell>
          <cell r="G187">
            <v>1.8519999999999999E-3</v>
          </cell>
          <cell r="H187">
            <v>2.4900000000000002</v>
          </cell>
          <cell r="I187" t="str">
            <v>2019-07-01</v>
          </cell>
          <cell r="J187">
            <v>949</v>
          </cell>
          <cell r="K187">
            <v>2.48</v>
          </cell>
          <cell r="L187">
            <v>101.97</v>
          </cell>
          <cell r="M187" t="str">
            <v>UF</v>
          </cell>
          <cell r="N187" t="str">
            <v>RFL</v>
          </cell>
          <cell r="O187" t="str">
            <v>Renta Fija Local</v>
          </cell>
          <cell r="P187" t="str">
            <v>AAA ; AAA</v>
          </cell>
          <cell r="Q187" t="str">
            <v>Corto</v>
          </cell>
          <cell r="R187" t="str">
            <v>Corporativo Bajo Riesgo Corto</v>
          </cell>
          <cell r="S187">
            <v>2.4900000000000002</v>
          </cell>
          <cell r="T187" t="str">
            <v>AAA</v>
          </cell>
          <cell r="U187" t="str">
            <v>1</v>
          </cell>
          <cell r="V187" t="str">
            <v>Bajo Riesgo</v>
          </cell>
          <cell r="W187" t="str">
            <v>Corporativo</v>
          </cell>
          <cell r="X187" t="str">
            <v>Bajo Riesgo Corto UF</v>
          </cell>
          <cell r="Y187" t="str">
            <v>Corporativo Bajo Riesgo Corto</v>
          </cell>
          <cell r="Z187" t="str">
            <v>Corto UF</v>
          </cell>
          <cell r="AA187" t="str">
            <v>Corporativo Corto</v>
          </cell>
          <cell r="AB187" t="str">
            <v>Corporativo UF</v>
          </cell>
          <cell r="AC187" t="str">
            <v>Instrumentos de Deuda</v>
          </cell>
          <cell r="AD187" t="str">
            <v>Financieras</v>
          </cell>
          <cell r="AE187" t="str">
            <v>Bono Banco Estado Serie K5</v>
          </cell>
          <cell r="AF187" t="str">
            <v>Banco Estado</v>
          </cell>
        </row>
        <row r="188">
          <cell r="C188" t="str">
            <v>BSECN10109</v>
          </cell>
          <cell r="D188" t="str">
            <v>BBSECURITY</v>
          </cell>
          <cell r="E188">
            <v>241994865</v>
          </cell>
          <cell r="F188">
            <v>9000</v>
          </cell>
          <cell r="G188">
            <v>8.2500000000000004E-3</v>
          </cell>
          <cell r="H188">
            <v>2.6</v>
          </cell>
          <cell r="I188" t="str">
            <v>2019-07-01</v>
          </cell>
          <cell r="J188">
            <v>949</v>
          </cell>
          <cell r="K188">
            <v>2.4900000000000002</v>
          </cell>
          <cell r="L188">
            <v>101.03</v>
          </cell>
          <cell r="M188" t="str">
            <v>UF</v>
          </cell>
          <cell r="N188" t="str">
            <v>RFL</v>
          </cell>
          <cell r="O188" t="str">
            <v>Renta Fija Local</v>
          </cell>
          <cell r="P188" t="str">
            <v>AA- ; AA</v>
          </cell>
          <cell r="Q188" t="str">
            <v>Corto</v>
          </cell>
          <cell r="R188" t="str">
            <v>Corporativo Bajo Riesgo Corto</v>
          </cell>
          <cell r="S188">
            <v>2.6</v>
          </cell>
          <cell r="T188" t="str">
            <v>AA-</v>
          </cell>
          <cell r="U188" t="str">
            <v>4</v>
          </cell>
          <cell r="V188" t="str">
            <v>Bajo Riesgo</v>
          </cell>
          <cell r="W188" t="str">
            <v>Corporativo</v>
          </cell>
          <cell r="X188" t="str">
            <v>Bajo Riesgo Corto UF</v>
          </cell>
          <cell r="Y188" t="str">
            <v>Corporativo Bajo Riesgo Corto</v>
          </cell>
          <cell r="Z188" t="str">
            <v>Corto UF</v>
          </cell>
          <cell r="AA188" t="str">
            <v>Corporativo Corto</v>
          </cell>
          <cell r="AB188" t="str">
            <v>Corporativo UF</v>
          </cell>
          <cell r="AC188" t="str">
            <v>Instrumentos de Deuda</v>
          </cell>
          <cell r="AD188" t="str">
            <v>Financieras</v>
          </cell>
          <cell r="AE188" t="str">
            <v>Bono Bancario Security-N1</v>
          </cell>
          <cell r="AF188" t="str">
            <v>Banco Security</v>
          </cell>
        </row>
        <row r="189">
          <cell r="C189" t="str">
            <v>BARAU-Q</v>
          </cell>
          <cell r="D189" t="str">
            <v>ARAUCO</v>
          </cell>
          <cell r="E189">
            <v>53330451</v>
          </cell>
          <cell r="F189">
            <v>2000</v>
          </cell>
          <cell r="G189">
            <v>1.818E-3</v>
          </cell>
          <cell r="H189">
            <v>2.61</v>
          </cell>
          <cell r="I189" t="str">
            <v>2021-04-01</v>
          </cell>
          <cell r="J189">
            <v>1589</v>
          </cell>
          <cell r="K189">
            <v>2.5</v>
          </cell>
          <cell r="L189">
            <v>100.95</v>
          </cell>
          <cell r="M189" t="str">
            <v>UF</v>
          </cell>
          <cell r="N189" t="str">
            <v>RFL</v>
          </cell>
          <cell r="O189" t="str">
            <v>Renta Fija Local</v>
          </cell>
          <cell r="P189" t="str">
            <v>AA- ; AA-</v>
          </cell>
          <cell r="Q189" t="str">
            <v>Corto</v>
          </cell>
          <cell r="R189" t="str">
            <v>Corporativo Bajo Riesgo Corto</v>
          </cell>
          <cell r="S189">
            <v>2.61</v>
          </cell>
          <cell r="T189" t="str">
            <v>AA-</v>
          </cell>
          <cell r="U189" t="str">
            <v>4</v>
          </cell>
          <cell r="V189" t="str">
            <v>Bajo Riesgo</v>
          </cell>
          <cell r="W189" t="str">
            <v>Corporativo</v>
          </cell>
          <cell r="X189" t="str">
            <v>Bajo Riesgo Corto UF</v>
          </cell>
          <cell r="Y189" t="str">
            <v>Corporativo Bajo Riesgo Corto</v>
          </cell>
          <cell r="Z189" t="str">
            <v>Corto UF</v>
          </cell>
          <cell r="AA189" t="str">
            <v>Corporativo Corto</v>
          </cell>
          <cell r="AB189" t="str">
            <v>Corporativo UF</v>
          </cell>
          <cell r="AC189" t="str">
            <v>Instrumentos de Deuda</v>
          </cell>
          <cell r="AD189" t="str">
            <v>Materiales Básicos</v>
          </cell>
          <cell r="AE189" t="str">
            <v>Bono Celulosa Arauco Serie Q</v>
          </cell>
          <cell r="AF189" t="str">
            <v>Celulosa Arauco y Constitución</v>
          </cell>
        </row>
        <row r="190">
          <cell r="C190" t="str">
            <v>UCHIC20100</v>
          </cell>
          <cell r="D190" t="str">
            <v>BBCHILE</v>
          </cell>
          <cell r="E190">
            <v>136140165</v>
          </cell>
          <cell r="F190">
            <v>10000</v>
          </cell>
          <cell r="G190">
            <v>4.6410000000000002E-3</v>
          </cell>
          <cell r="H190">
            <v>2.69</v>
          </cell>
          <cell r="I190" t="str">
            <v>2022-01-01</v>
          </cell>
          <cell r="J190">
            <v>1864</v>
          </cell>
          <cell r="K190">
            <v>2.54</v>
          </cell>
          <cell r="L190">
            <v>109.48</v>
          </cell>
          <cell r="M190" t="str">
            <v>UF</v>
          </cell>
          <cell r="N190" t="str">
            <v>RFL</v>
          </cell>
          <cell r="O190" t="str">
            <v>Renta Fija Local</v>
          </cell>
          <cell r="P190" t="str">
            <v>AA+ ; AA</v>
          </cell>
          <cell r="Q190" t="str">
            <v>Corto</v>
          </cell>
          <cell r="R190" t="str">
            <v>Corporativo Bajo Riesgo Corto</v>
          </cell>
          <cell r="S190">
            <v>2.69</v>
          </cell>
          <cell r="T190" t="str">
            <v>AA</v>
          </cell>
          <cell r="U190" t="str">
            <v>3</v>
          </cell>
          <cell r="V190" t="str">
            <v>Bajo Riesgo</v>
          </cell>
          <cell r="W190" t="str">
            <v>Corporativo</v>
          </cell>
          <cell r="X190" t="str">
            <v>Bajo Riesgo Corto UF</v>
          </cell>
          <cell r="Y190" t="str">
            <v>Corporativo Bajo Riesgo Corto</v>
          </cell>
          <cell r="Z190" t="str">
            <v>Corto UF</v>
          </cell>
          <cell r="AA190" t="str">
            <v>Corporativo Corto</v>
          </cell>
          <cell r="AB190" t="str">
            <v>Corporativo UF</v>
          </cell>
          <cell r="AC190" t="str">
            <v>Instrumentos de Deuda</v>
          </cell>
          <cell r="AD190" t="str">
            <v>Financieras</v>
          </cell>
          <cell r="AE190" t="str">
            <v>Bono Subordinado Banco Chile Serie C2</v>
          </cell>
          <cell r="AF190" t="str">
            <v>Banco de Chile</v>
          </cell>
        </row>
        <row r="191">
          <cell r="C191" t="str">
            <v>BCOSJ-A</v>
          </cell>
          <cell r="D191" t="str">
            <v>TECNOCONTR</v>
          </cell>
          <cell r="E191">
            <v>304909178</v>
          </cell>
          <cell r="F191">
            <v>15500</v>
          </cell>
          <cell r="G191">
            <v>1.0395E-2</v>
          </cell>
          <cell r="H191">
            <v>2.7</v>
          </cell>
          <cell r="I191" t="str">
            <v>2021-06-30</v>
          </cell>
          <cell r="J191">
            <v>1679</v>
          </cell>
          <cell r="K191">
            <v>2.5499999999999998</v>
          </cell>
          <cell r="L191">
            <v>100.62</v>
          </cell>
          <cell r="M191" t="str">
            <v>UF</v>
          </cell>
          <cell r="N191" t="str">
            <v>RFL</v>
          </cell>
          <cell r="O191" t="str">
            <v>Renta Fija Local</v>
          </cell>
          <cell r="P191" t="str">
            <v>AAA ; AAA</v>
          </cell>
          <cell r="Q191" t="str">
            <v>Corto</v>
          </cell>
          <cell r="R191" t="str">
            <v>Corporativo Bajo Riesgo Corto</v>
          </cell>
          <cell r="S191">
            <v>2.7</v>
          </cell>
          <cell r="T191" t="str">
            <v>AAA</v>
          </cell>
          <cell r="U191" t="str">
            <v>1</v>
          </cell>
          <cell r="V191" t="str">
            <v>Bajo Riesgo</v>
          </cell>
          <cell r="W191" t="str">
            <v>Corporativo</v>
          </cell>
          <cell r="X191" t="str">
            <v>Bajo Riesgo Corto UF</v>
          </cell>
          <cell r="Y191" t="str">
            <v>Corporativo Bajo Riesgo Corto</v>
          </cell>
          <cell r="Z191" t="str">
            <v>Corto UF</v>
          </cell>
          <cell r="AA191" t="str">
            <v>Corporativo Corto</v>
          </cell>
          <cell r="AB191" t="str">
            <v>Corporativo UF</v>
          </cell>
          <cell r="AC191" t="str">
            <v>Instrumentos de Deuda</v>
          </cell>
          <cell r="AD191" t="str">
            <v>Construcción</v>
          </cell>
          <cell r="AE191" t="str">
            <v>Bono Constructora San Jose Serie A</v>
          </cell>
          <cell r="AF191" t="str">
            <v>San José Tecnocontrol</v>
          </cell>
        </row>
        <row r="192">
          <cell r="C192" t="str">
            <v>BCHIUJ0811</v>
          </cell>
          <cell r="D192" t="str">
            <v>BBCHILE</v>
          </cell>
          <cell r="E192">
            <v>80846634</v>
          </cell>
          <cell r="F192">
            <v>3000</v>
          </cell>
          <cell r="G192">
            <v>2.7560000000000002E-3</v>
          </cell>
          <cell r="H192">
            <v>2.62</v>
          </cell>
          <cell r="I192" t="str">
            <v>2019-08-01</v>
          </cell>
          <cell r="J192">
            <v>980</v>
          </cell>
          <cell r="K192">
            <v>2.57</v>
          </cell>
          <cell r="L192">
            <v>101.46</v>
          </cell>
          <cell r="M192" t="str">
            <v>UF</v>
          </cell>
          <cell r="N192" t="str">
            <v>RFL</v>
          </cell>
          <cell r="O192" t="str">
            <v>Renta Fija Local</v>
          </cell>
          <cell r="P192" t="str">
            <v>AAA ; AAA</v>
          </cell>
          <cell r="Q192" t="str">
            <v>Corto</v>
          </cell>
          <cell r="R192" t="str">
            <v>Corporativo Bajo Riesgo Corto</v>
          </cell>
          <cell r="S192">
            <v>2.62</v>
          </cell>
          <cell r="T192" t="str">
            <v>AAA</v>
          </cell>
          <cell r="U192" t="str">
            <v>1</v>
          </cell>
          <cell r="V192" t="str">
            <v>Bajo Riesgo</v>
          </cell>
          <cell r="W192" t="str">
            <v>Corporativo</v>
          </cell>
          <cell r="X192" t="str">
            <v>Bajo Riesgo Corto UF</v>
          </cell>
          <cell r="Y192" t="str">
            <v>Corporativo Bajo Riesgo Corto</v>
          </cell>
          <cell r="Z192" t="str">
            <v>Corto UF</v>
          </cell>
          <cell r="AA192" t="str">
            <v>Corporativo Corto</v>
          </cell>
          <cell r="AB192" t="str">
            <v>Corporativo UF</v>
          </cell>
          <cell r="AC192" t="str">
            <v>Instrumentos de Deuda</v>
          </cell>
          <cell r="AD192" t="str">
            <v>Financieras</v>
          </cell>
          <cell r="AE192" t="str">
            <v>Bono Banco Chile Serie Uj</v>
          </cell>
          <cell r="AF192" t="str">
            <v>Banco de Chile</v>
          </cell>
        </row>
        <row r="193">
          <cell r="C193" t="str">
            <v>BFRON-C</v>
          </cell>
          <cell r="D193" t="str">
            <v>FRONTEL</v>
          </cell>
          <cell r="E193">
            <v>52525702</v>
          </cell>
          <cell r="F193">
            <v>2000</v>
          </cell>
          <cell r="G193">
            <v>1.7899999999999999E-3</v>
          </cell>
          <cell r="H193">
            <v>2.58</v>
          </cell>
          <cell r="I193" t="str">
            <v>2021-05-15</v>
          </cell>
          <cell r="J193">
            <v>1633</v>
          </cell>
          <cell r="K193">
            <v>2.63</v>
          </cell>
          <cell r="L193">
            <v>99.8</v>
          </cell>
          <cell r="M193" t="str">
            <v>UF</v>
          </cell>
          <cell r="N193" t="str">
            <v>rfl</v>
          </cell>
          <cell r="O193" t="str">
            <v>Renta Fija Local</v>
          </cell>
          <cell r="P193" t="str">
            <v>AA+ ; AA</v>
          </cell>
          <cell r="Q193" t="str">
            <v>Corto</v>
          </cell>
          <cell r="R193" t="str">
            <v>Corporativo Bajo Riesgo Corto</v>
          </cell>
          <cell r="S193">
            <v>2.58</v>
          </cell>
          <cell r="T193" t="str">
            <v>AA</v>
          </cell>
          <cell r="U193" t="str">
            <v>3</v>
          </cell>
          <cell r="V193" t="str">
            <v>Bajo Riesgo</v>
          </cell>
          <cell r="W193" t="str">
            <v>Corporativo</v>
          </cell>
          <cell r="X193" t="str">
            <v>Bajo Riesgo Corto UF</v>
          </cell>
          <cell r="Y193" t="str">
            <v>Corporativo Bajo Riesgo Corto</v>
          </cell>
          <cell r="Z193" t="str">
            <v>Corto UF</v>
          </cell>
          <cell r="AA193" t="str">
            <v>Corporativo Corto</v>
          </cell>
          <cell r="AB193" t="str">
            <v>Corporativo UF</v>
          </cell>
          <cell r="AC193" t="str">
            <v>Instrumentos de Deuda</v>
          </cell>
          <cell r="AD193" t="str">
            <v>Energía</v>
          </cell>
          <cell r="AE193" t="str">
            <v>Bono Frontel Serie C</v>
          </cell>
          <cell r="AF193" t="str">
            <v>Frontel</v>
          </cell>
        </row>
        <row r="194">
          <cell r="C194" t="str">
            <v>BKOEM-C</v>
          </cell>
          <cell r="D194" t="str">
            <v>EMBONOR</v>
          </cell>
          <cell r="E194">
            <v>26339730</v>
          </cell>
          <cell r="F194">
            <v>1000</v>
          </cell>
          <cell r="G194">
            <v>8.9800000000000004E-4</v>
          </cell>
          <cell r="H194">
            <v>2.44</v>
          </cell>
          <cell r="I194" t="str">
            <v>2019-09-01</v>
          </cell>
          <cell r="J194">
            <v>1011</v>
          </cell>
          <cell r="K194">
            <v>2.69</v>
          </cell>
          <cell r="L194">
            <v>99.63</v>
          </cell>
          <cell r="M194" t="str">
            <v>UF</v>
          </cell>
          <cell r="N194" t="str">
            <v>RFL</v>
          </cell>
          <cell r="O194" t="str">
            <v>Renta Fija Local</v>
          </cell>
          <cell r="P194" t="str">
            <v>AA- ; AA-</v>
          </cell>
          <cell r="Q194" t="str">
            <v>Corto</v>
          </cell>
          <cell r="R194" t="str">
            <v>Corporativo Bajo Riesgo Corto</v>
          </cell>
          <cell r="S194">
            <v>2.44</v>
          </cell>
          <cell r="T194" t="str">
            <v>AA-</v>
          </cell>
          <cell r="U194" t="str">
            <v>4</v>
          </cell>
          <cell r="V194" t="str">
            <v>Bajo Riesgo</v>
          </cell>
          <cell r="W194" t="str">
            <v>Corporativo</v>
          </cell>
          <cell r="X194" t="str">
            <v>Bajo Riesgo Corto UF</v>
          </cell>
          <cell r="Y194" t="str">
            <v>Corporativo Bajo Riesgo Corto</v>
          </cell>
          <cell r="Z194" t="str">
            <v>Corto UF</v>
          </cell>
          <cell r="AA194" t="str">
            <v>Corporativo Corto</v>
          </cell>
          <cell r="AB194" t="str">
            <v>Corporativo UF</v>
          </cell>
          <cell r="AC194" t="str">
            <v>Instrumentos de Deuda</v>
          </cell>
          <cell r="AD194" t="str">
            <v>Financieras</v>
          </cell>
          <cell r="AE194" t="str">
            <v>Bono Embonor Serie C</v>
          </cell>
          <cell r="AF194" t="str">
            <v>Coca Cola Embonor S.A.</v>
          </cell>
        </row>
        <row r="195">
          <cell r="C195" t="str">
            <v>BSOND-E</v>
          </cell>
          <cell r="D195" t="str">
            <v>SONDA</v>
          </cell>
          <cell r="E195">
            <v>90953728</v>
          </cell>
          <cell r="F195">
            <v>90000000</v>
          </cell>
          <cell r="G195">
            <v>3.0999999999999999E-3</v>
          </cell>
          <cell r="H195">
            <v>5.12</v>
          </cell>
          <cell r="I195" t="str">
            <v>2019-11-01</v>
          </cell>
          <cell r="J195">
            <v>1072</v>
          </cell>
          <cell r="K195">
            <v>2.75</v>
          </cell>
          <cell r="L195">
            <v>100.74</v>
          </cell>
          <cell r="M195" t="str">
            <v>$</v>
          </cell>
          <cell r="N195" t="str">
            <v>RFL</v>
          </cell>
          <cell r="O195" t="str">
            <v>Renta Fija Local</v>
          </cell>
          <cell r="P195" t="str">
            <v>AA- ; AA</v>
          </cell>
          <cell r="Q195" t="str">
            <v>Corto</v>
          </cell>
          <cell r="R195" t="str">
            <v>Corporativo Bajo Riesgo Corto</v>
          </cell>
          <cell r="S195">
            <v>2.12</v>
          </cell>
          <cell r="T195" t="str">
            <v>AA-</v>
          </cell>
          <cell r="U195" t="str">
            <v>4</v>
          </cell>
          <cell r="V195" t="str">
            <v>Bajo Riesgo</v>
          </cell>
          <cell r="W195" t="str">
            <v>Corporativo</v>
          </cell>
          <cell r="X195" t="str">
            <v>Bajo Riesgo Corto $</v>
          </cell>
          <cell r="Y195" t="str">
            <v>Corporativo Bajo Riesgo Corto</v>
          </cell>
          <cell r="Z195" t="str">
            <v>Corto $</v>
          </cell>
          <cell r="AA195" t="str">
            <v>Corporativo Corto</v>
          </cell>
          <cell r="AB195" t="str">
            <v>Corporativo $</v>
          </cell>
          <cell r="AC195" t="str">
            <v>Instrumentos de Deuda</v>
          </cell>
          <cell r="AD195" t="str">
            <v>Tecnología</v>
          </cell>
          <cell r="AE195" t="str">
            <v>Bono Sonda Serie E</v>
          </cell>
          <cell r="AF195" t="str">
            <v>Sonda S.A.</v>
          </cell>
        </row>
        <row r="196">
          <cell r="C196" t="str">
            <v>BBCIJ11014</v>
          </cell>
          <cell r="D196" t="str">
            <v>BBCREDITO</v>
          </cell>
          <cell r="E196">
            <v>519000364</v>
          </cell>
          <cell r="F196">
            <v>20000</v>
          </cell>
          <cell r="G196">
            <v>1.7694000000000001E-2</v>
          </cell>
          <cell r="H196">
            <v>2.61</v>
          </cell>
          <cell r="I196" t="str">
            <v>2019-10-01</v>
          </cell>
          <cell r="J196">
            <v>1041</v>
          </cell>
          <cell r="K196">
            <v>2.78</v>
          </cell>
          <cell r="L196">
            <v>98.38</v>
          </cell>
          <cell r="M196" t="str">
            <v>UF</v>
          </cell>
          <cell r="N196" t="str">
            <v>RFL</v>
          </cell>
          <cell r="O196" t="str">
            <v>Renta Fija Local</v>
          </cell>
          <cell r="P196" t="str">
            <v>AA+ ; AA+</v>
          </cell>
          <cell r="Q196" t="str">
            <v>Corto</v>
          </cell>
          <cell r="R196" t="str">
            <v>Corporativo Bajo Riesgo Corto</v>
          </cell>
          <cell r="S196">
            <v>2.61</v>
          </cell>
          <cell r="T196" t="str">
            <v>AA+</v>
          </cell>
          <cell r="U196" t="str">
            <v>2</v>
          </cell>
          <cell r="V196" t="str">
            <v>Bajo Riesgo</v>
          </cell>
          <cell r="W196" t="str">
            <v>Corporativo</v>
          </cell>
          <cell r="X196" t="str">
            <v>Bajo Riesgo Corto UF</v>
          </cell>
          <cell r="Y196" t="str">
            <v>Corporativo Bajo Riesgo Corto</v>
          </cell>
          <cell r="Z196" t="str">
            <v>Corto UF</v>
          </cell>
          <cell r="AA196" t="str">
            <v>Corporativo Corto</v>
          </cell>
          <cell r="AB196" t="str">
            <v>Corporativo UF</v>
          </cell>
          <cell r="AC196" t="str">
            <v>Instrumentos de Deuda</v>
          </cell>
          <cell r="AD196" t="str">
            <v>Financieras</v>
          </cell>
          <cell r="AE196" t="str">
            <v>Bono Banc Bci Subserie Aj2, Serie Aj</v>
          </cell>
          <cell r="AF196" t="str">
            <v>BCI</v>
          </cell>
        </row>
        <row r="197">
          <cell r="C197" t="str">
            <v>BBNS-V0514</v>
          </cell>
          <cell r="D197" t="str">
            <v>BBSCOTIABA</v>
          </cell>
          <cell r="E197">
            <v>53387224</v>
          </cell>
          <cell r="F197">
            <v>2000</v>
          </cell>
          <cell r="G197">
            <v>1.82E-3</v>
          </cell>
          <cell r="H197">
            <v>2.5499999999999998</v>
          </cell>
          <cell r="I197" t="str">
            <v>2019-11-01</v>
          </cell>
          <cell r="J197">
            <v>1072</v>
          </cell>
          <cell r="K197">
            <v>2.83</v>
          </cell>
          <cell r="L197">
            <v>101.31</v>
          </cell>
          <cell r="M197" t="str">
            <v>UF</v>
          </cell>
          <cell r="N197" t="str">
            <v>RFL</v>
          </cell>
          <cell r="O197" t="str">
            <v>Renta Fija Local</v>
          </cell>
          <cell r="P197" t="str">
            <v>AAA ; AAA</v>
          </cell>
          <cell r="Q197" t="str">
            <v>Corto</v>
          </cell>
          <cell r="R197" t="str">
            <v>Corporativo Bajo Riesgo Corto</v>
          </cell>
          <cell r="S197">
            <v>2.5499999999999998</v>
          </cell>
          <cell r="T197" t="str">
            <v>AAA</v>
          </cell>
          <cell r="U197" t="str">
            <v>1</v>
          </cell>
          <cell r="V197" t="str">
            <v>Bajo Riesgo</v>
          </cell>
          <cell r="W197" t="str">
            <v>Corporativo</v>
          </cell>
          <cell r="X197" t="str">
            <v>Bajo Riesgo Corto UF</v>
          </cell>
          <cell r="Y197" t="str">
            <v>Corporativo Bajo Riesgo Corto</v>
          </cell>
          <cell r="Z197" t="str">
            <v>Corto UF</v>
          </cell>
          <cell r="AA197" t="str">
            <v>Corporativo Corto</v>
          </cell>
          <cell r="AB197" t="str">
            <v>Corporativo UF</v>
          </cell>
          <cell r="AC197" t="str">
            <v>Instrumentos de Deuda</v>
          </cell>
          <cell r="AD197" t="str">
            <v>Financieras</v>
          </cell>
          <cell r="AE197" t="str">
            <v>Bono Scotiabank Serie V</v>
          </cell>
          <cell r="AF197" t="str">
            <v>Scotiabank</v>
          </cell>
        </row>
        <row r="198">
          <cell r="C198" t="str">
            <v>BSONA-C</v>
          </cell>
          <cell r="D198" t="str">
            <v>SONACOL</v>
          </cell>
          <cell r="E198">
            <v>10140720</v>
          </cell>
          <cell r="F198">
            <v>10000000</v>
          </cell>
          <cell r="G198">
            <v>3.4499999999999998E-4</v>
          </cell>
          <cell r="H198">
            <v>4.9800000000000004</v>
          </cell>
          <cell r="I198" t="str">
            <v>2021-12-01</v>
          </cell>
          <cell r="J198">
            <v>1833</v>
          </cell>
          <cell r="K198">
            <v>2.97</v>
          </cell>
          <cell r="L198">
            <v>99.2</v>
          </cell>
          <cell r="M198" t="str">
            <v>$</v>
          </cell>
          <cell r="N198" t="str">
            <v>RFL</v>
          </cell>
          <cell r="O198" t="str">
            <v>Renta Fija Local</v>
          </cell>
          <cell r="P198" t="str">
            <v>AA ; AA+</v>
          </cell>
          <cell r="Q198" t="str">
            <v>Corto</v>
          </cell>
          <cell r="R198" t="str">
            <v>Corporativo Bajo Riesgo Corto</v>
          </cell>
          <cell r="S198">
            <v>1.98</v>
          </cell>
          <cell r="T198" t="str">
            <v>AA</v>
          </cell>
          <cell r="U198" t="str">
            <v>3</v>
          </cell>
          <cell r="V198" t="str">
            <v>Bajo Riesgo</v>
          </cell>
          <cell r="W198" t="str">
            <v>Corporativo</v>
          </cell>
          <cell r="X198" t="str">
            <v>Bajo Riesgo Corto $</v>
          </cell>
          <cell r="Y198" t="str">
            <v>Corporativo Bajo Riesgo Corto</v>
          </cell>
          <cell r="Z198" t="str">
            <v>Corto $</v>
          </cell>
          <cell r="AA198" t="str">
            <v>Corporativo Corto</v>
          </cell>
          <cell r="AB198" t="str">
            <v>Corporativo $</v>
          </cell>
          <cell r="AC198" t="str">
            <v>Instrumentos de Deuda</v>
          </cell>
          <cell r="AD198" t="str">
            <v>Energía</v>
          </cell>
          <cell r="AE198" t="str">
            <v>Bono Sociedad Nacional De Oleoductos Serie C</v>
          </cell>
          <cell r="AF198" t="str">
            <v>Soc. Nac. Oleoductos</v>
          </cell>
        </row>
        <row r="199">
          <cell r="C199" t="str">
            <v>BSTDP40315</v>
          </cell>
          <cell r="D199" t="str">
            <v>BBSANT-CHI</v>
          </cell>
          <cell r="E199">
            <v>100971968</v>
          </cell>
          <cell r="F199">
            <v>100000000</v>
          </cell>
          <cell r="G199">
            <v>3.4420000000000002E-3</v>
          </cell>
          <cell r="H199">
            <v>4.9000000000000004</v>
          </cell>
          <cell r="I199" t="str">
            <v>2020-03-01</v>
          </cell>
          <cell r="J199">
            <v>1193</v>
          </cell>
          <cell r="K199">
            <v>3.03</v>
          </cell>
          <cell r="L199">
            <v>99.89</v>
          </cell>
          <cell r="M199" t="str">
            <v>$</v>
          </cell>
          <cell r="N199" t="str">
            <v>RFL</v>
          </cell>
          <cell r="O199" t="str">
            <v>Renta Fija Local</v>
          </cell>
          <cell r="P199" t="str">
            <v>AAA ; AAA</v>
          </cell>
          <cell r="Q199" t="str">
            <v>Corto</v>
          </cell>
          <cell r="R199" t="str">
            <v>Corporativo Bajo Riesgo Corto</v>
          </cell>
          <cell r="S199">
            <v>1.9</v>
          </cell>
          <cell r="T199" t="str">
            <v>AAA</v>
          </cell>
          <cell r="U199" t="str">
            <v>1</v>
          </cell>
          <cell r="V199" t="str">
            <v>Bajo Riesgo</v>
          </cell>
          <cell r="W199" t="str">
            <v>Corporativo</v>
          </cell>
          <cell r="X199" t="str">
            <v>Bajo Riesgo Corto $</v>
          </cell>
          <cell r="Y199" t="str">
            <v>Corporativo Bajo Riesgo Corto</v>
          </cell>
          <cell r="Z199" t="str">
            <v>Corto $</v>
          </cell>
          <cell r="AA199" t="str">
            <v>Corporativo Corto</v>
          </cell>
          <cell r="AB199" t="str">
            <v>Corporativo $</v>
          </cell>
          <cell r="AC199" t="str">
            <v>Instrumentos de Deuda</v>
          </cell>
          <cell r="AD199" t="str">
            <v>Financieras</v>
          </cell>
          <cell r="AE199" t="str">
            <v>Bono Banco Santander Serie P4</v>
          </cell>
          <cell r="AF199" t="str">
            <v>Banco Santander</v>
          </cell>
        </row>
        <row r="200">
          <cell r="C200" t="str">
            <v>BFORU-AX</v>
          </cell>
          <cell r="D200" t="str">
            <v>LEAS FORUM</v>
          </cell>
          <cell r="E200">
            <v>333345586</v>
          </cell>
          <cell r="F200">
            <v>330000000</v>
          </cell>
          <cell r="G200">
            <v>1.1364000000000001E-2</v>
          </cell>
          <cell r="H200">
            <v>5.21</v>
          </cell>
          <cell r="I200" t="str">
            <v>2020-04-01</v>
          </cell>
          <cell r="J200">
            <v>1224</v>
          </cell>
          <cell r="K200">
            <v>3.1</v>
          </cell>
          <cell r="L200">
            <v>100.26</v>
          </cell>
          <cell r="M200" t="str">
            <v>$</v>
          </cell>
          <cell r="N200" t="str">
            <v>RFL</v>
          </cell>
          <cell r="O200" t="str">
            <v>Renta Fija Local</v>
          </cell>
          <cell r="P200" t="str">
            <v>AA ; AA</v>
          </cell>
          <cell r="Q200" t="str">
            <v>Corto</v>
          </cell>
          <cell r="R200" t="str">
            <v>Corporativo Bajo Riesgo Corto</v>
          </cell>
          <cell r="S200">
            <v>2.21</v>
          </cell>
          <cell r="T200" t="str">
            <v>AA</v>
          </cell>
          <cell r="U200" t="str">
            <v>3</v>
          </cell>
          <cell r="V200" t="str">
            <v>Bajo Riesgo</v>
          </cell>
          <cell r="W200" t="str">
            <v>Corporativo</v>
          </cell>
          <cell r="X200" t="str">
            <v>Bajo Riesgo Corto $</v>
          </cell>
          <cell r="Y200" t="str">
            <v>Corporativo Bajo Riesgo Corto</v>
          </cell>
          <cell r="Z200" t="str">
            <v>Corto $</v>
          </cell>
          <cell r="AA200" t="str">
            <v>Corporativo Corto</v>
          </cell>
          <cell r="AB200" t="str">
            <v>Corporativo $</v>
          </cell>
          <cell r="AC200" t="str">
            <v>Instrumentos de Deuda</v>
          </cell>
          <cell r="AD200" t="str">
            <v>Financieras</v>
          </cell>
          <cell r="AE200" t="str">
            <v>Bono Forum Servicios Financieros Serie Ax</v>
          </cell>
          <cell r="AF200" t="str">
            <v>Forum Servicios Financieros S.A.</v>
          </cell>
        </row>
        <row r="201">
          <cell r="C201" t="str">
            <v>BESTO20315</v>
          </cell>
          <cell r="D201" t="str">
            <v>BBESTADO</v>
          </cell>
          <cell r="E201">
            <v>106745689</v>
          </cell>
          <cell r="F201">
            <v>4000</v>
          </cell>
          <cell r="G201">
            <v>3.6389999999999999E-3</v>
          </cell>
          <cell r="H201">
            <v>2.5299999999999998</v>
          </cell>
          <cell r="I201" t="str">
            <v>2020-03-01</v>
          </cell>
          <cell r="J201">
            <v>1193</v>
          </cell>
          <cell r="K201">
            <v>3.13</v>
          </cell>
          <cell r="L201">
            <v>100.83</v>
          </cell>
          <cell r="M201" t="str">
            <v>UF</v>
          </cell>
          <cell r="N201" t="str">
            <v>RFL</v>
          </cell>
          <cell r="O201" t="str">
            <v>Renta Fija Local</v>
          </cell>
          <cell r="P201" t="str">
            <v>AAA ; AAA</v>
          </cell>
          <cell r="Q201" t="str">
            <v>Corto</v>
          </cell>
          <cell r="R201" t="str">
            <v>Corporativo Bajo Riesgo Corto</v>
          </cell>
          <cell r="S201">
            <v>2.5299999999999998</v>
          </cell>
          <cell r="T201" t="str">
            <v>AAA</v>
          </cell>
          <cell r="U201" t="str">
            <v>1</v>
          </cell>
          <cell r="V201" t="str">
            <v>Bajo Riesgo</v>
          </cell>
          <cell r="W201" t="str">
            <v>Corporativo</v>
          </cell>
          <cell r="X201" t="str">
            <v>Bajo Riesgo Corto UF</v>
          </cell>
          <cell r="Y201" t="str">
            <v>Corporativo Bajo Riesgo Corto</v>
          </cell>
          <cell r="Z201" t="str">
            <v>Corto UF</v>
          </cell>
          <cell r="AA201" t="str">
            <v>Corporativo Corto</v>
          </cell>
          <cell r="AB201" t="str">
            <v>Corporativo UF</v>
          </cell>
          <cell r="AC201" t="str">
            <v>Instrumentos de Deuda</v>
          </cell>
          <cell r="AD201" t="str">
            <v>Financieras</v>
          </cell>
          <cell r="AE201" t="str">
            <v>Bono Banco Estado Serie O2</v>
          </cell>
          <cell r="AF201" t="str">
            <v>Banco Estado</v>
          </cell>
        </row>
        <row r="202">
          <cell r="C202" t="str">
            <v>BRPL-K0315</v>
          </cell>
          <cell r="D202" t="str">
            <v>BBRIPLEY</v>
          </cell>
          <cell r="E202">
            <v>132116537</v>
          </cell>
          <cell r="F202">
            <v>5000</v>
          </cell>
          <cell r="G202">
            <v>4.5040000000000002E-3</v>
          </cell>
          <cell r="H202">
            <v>2.64</v>
          </cell>
          <cell r="I202" t="str">
            <v>2020-03-01</v>
          </cell>
          <cell r="J202">
            <v>1193</v>
          </cell>
          <cell r="K202">
            <v>3.14</v>
          </cell>
          <cell r="L202">
            <v>99.88</v>
          </cell>
          <cell r="M202" t="str">
            <v>UF</v>
          </cell>
          <cell r="N202" t="str">
            <v>RFL</v>
          </cell>
          <cell r="O202" t="str">
            <v>Renta Fija Local</v>
          </cell>
          <cell r="P202" t="str">
            <v>A+ ; A+</v>
          </cell>
          <cell r="Q202" t="str">
            <v>Corto</v>
          </cell>
          <cell r="R202" t="str">
            <v>Corporativo Alto Riesgo Corto</v>
          </cell>
          <cell r="S202">
            <v>2.64</v>
          </cell>
          <cell r="T202" t="str">
            <v>A+</v>
          </cell>
          <cell r="U202" t="str">
            <v>5</v>
          </cell>
          <cell r="V202" t="str">
            <v>Alto Riesgo</v>
          </cell>
          <cell r="W202" t="str">
            <v>Corporativo</v>
          </cell>
          <cell r="X202" t="str">
            <v>Alto Riesgo Corto UF</v>
          </cell>
          <cell r="Y202" t="str">
            <v>Corporativo Alto Riesgo Corto</v>
          </cell>
          <cell r="Z202" t="str">
            <v>Corto UF</v>
          </cell>
          <cell r="AA202" t="str">
            <v>Corporativo Corto</v>
          </cell>
          <cell r="AB202" t="str">
            <v>Corporativo UF</v>
          </cell>
          <cell r="AC202" t="str">
            <v>Instrumentos de Deuda</v>
          </cell>
          <cell r="AD202" t="str">
            <v>Financieras</v>
          </cell>
          <cell r="AE202" t="str">
            <v>Bono Bancario Ripley Serie E</v>
          </cell>
          <cell r="AF202" t="str">
            <v>Banco Ripley</v>
          </cell>
        </row>
        <row r="203">
          <cell r="C203" t="str">
            <v>BPARC-L</v>
          </cell>
          <cell r="D203" t="str">
            <v>P.ARAUCO</v>
          </cell>
          <cell r="E203">
            <v>13110337</v>
          </cell>
          <cell r="F203">
            <v>500</v>
          </cell>
          <cell r="G203">
            <v>4.46E-4</v>
          </cell>
          <cell r="H203">
            <v>2.57</v>
          </cell>
          <cell r="I203" t="str">
            <v>2020-03-01</v>
          </cell>
          <cell r="J203">
            <v>1193</v>
          </cell>
          <cell r="K203">
            <v>3.15</v>
          </cell>
          <cell r="L203">
            <v>99.18</v>
          </cell>
          <cell r="M203" t="str">
            <v>UF</v>
          </cell>
          <cell r="N203" t="str">
            <v>RFL</v>
          </cell>
          <cell r="O203" t="str">
            <v>Renta Fija Local</v>
          </cell>
          <cell r="P203" t="str">
            <v>AA- ; AA-</v>
          </cell>
          <cell r="Q203" t="str">
            <v>Corto</v>
          </cell>
          <cell r="R203" t="str">
            <v>Corporativo Bajo Riesgo Corto</v>
          </cell>
          <cell r="S203">
            <v>2.57</v>
          </cell>
          <cell r="T203" t="str">
            <v>AA-</v>
          </cell>
          <cell r="U203" t="str">
            <v>4</v>
          </cell>
          <cell r="V203" t="str">
            <v>Bajo Riesgo</v>
          </cell>
          <cell r="W203" t="str">
            <v>Corporativo</v>
          </cell>
          <cell r="X203" t="str">
            <v>Bajo Riesgo Corto UF</v>
          </cell>
          <cell r="Y203" t="str">
            <v>Corporativo Bajo Riesgo Corto</v>
          </cell>
          <cell r="Z203" t="str">
            <v>Corto UF</v>
          </cell>
          <cell r="AA203" t="str">
            <v>Corporativo Corto</v>
          </cell>
          <cell r="AB203" t="str">
            <v>Corporativo UF</v>
          </cell>
          <cell r="AC203" t="str">
            <v>Instrumentos de Deuda</v>
          </cell>
          <cell r="AD203" t="str">
            <v>Consumo</v>
          </cell>
          <cell r="AE203" t="str">
            <v>Bono Parque Arauco Serie L</v>
          </cell>
          <cell r="AF203" t="str">
            <v>Parque Arauco S.A.</v>
          </cell>
        </row>
        <row r="204">
          <cell r="C204" t="str">
            <v>BCNO-O1114</v>
          </cell>
          <cell r="D204" t="str">
            <v>BBCONSORC</v>
          </cell>
          <cell r="E204">
            <v>102443271</v>
          </cell>
          <cell r="F204">
            <v>100000000</v>
          </cell>
          <cell r="G204">
            <v>3.4919999999999999E-3</v>
          </cell>
          <cell r="H204">
            <v>5.21</v>
          </cell>
          <cell r="I204" t="str">
            <v>2020-05-01</v>
          </cell>
          <cell r="J204">
            <v>1254</v>
          </cell>
          <cell r="K204">
            <v>3.16</v>
          </cell>
          <cell r="L204">
            <v>102.09</v>
          </cell>
          <cell r="M204" t="str">
            <v>$</v>
          </cell>
          <cell r="N204" t="str">
            <v>RFL</v>
          </cell>
          <cell r="O204" t="str">
            <v>Renta Fija Local</v>
          </cell>
          <cell r="P204" t="str">
            <v>AA- ; AA-</v>
          </cell>
          <cell r="Q204" t="str">
            <v>Corto</v>
          </cell>
          <cell r="R204" t="str">
            <v>Corporativo Bajo Riesgo Corto</v>
          </cell>
          <cell r="S204">
            <v>2.21</v>
          </cell>
          <cell r="T204" t="str">
            <v>AA-</v>
          </cell>
          <cell r="U204" t="str">
            <v>4</v>
          </cell>
          <cell r="V204" t="str">
            <v>Bajo Riesgo</v>
          </cell>
          <cell r="W204" t="str">
            <v>Corporativo</v>
          </cell>
          <cell r="X204" t="str">
            <v>Bajo Riesgo Corto $</v>
          </cell>
          <cell r="Y204" t="str">
            <v>Corporativo Bajo Riesgo Corto</v>
          </cell>
          <cell r="Z204" t="str">
            <v>Corto $</v>
          </cell>
          <cell r="AA204" t="str">
            <v>Corporativo Corto</v>
          </cell>
          <cell r="AB204" t="str">
            <v>Corporativo $</v>
          </cell>
          <cell r="AC204" t="str">
            <v>Instrumentos de Deuda</v>
          </cell>
          <cell r="AD204" t="str">
            <v>Financieras</v>
          </cell>
          <cell r="AE204" t="str">
            <v>Bono Banco Consorcio Serie O</v>
          </cell>
          <cell r="AF204" t="str">
            <v>Banco Consorcio</v>
          </cell>
        </row>
        <row r="205">
          <cell r="C205" t="str">
            <v>BITAAI0415</v>
          </cell>
          <cell r="D205" t="str">
            <v>BBITAU</v>
          </cell>
          <cell r="E205">
            <v>570354146</v>
          </cell>
          <cell r="F205">
            <v>21000</v>
          </cell>
          <cell r="G205">
            <v>1.9445E-2</v>
          </cell>
          <cell r="H205">
            <v>2.62</v>
          </cell>
          <cell r="I205" t="str">
            <v>2020-04-01</v>
          </cell>
          <cell r="J205">
            <v>1224</v>
          </cell>
          <cell r="K205">
            <v>3.18</v>
          </cell>
          <cell r="L205">
            <v>102.75</v>
          </cell>
          <cell r="M205" t="str">
            <v>UF</v>
          </cell>
          <cell r="N205" t="str">
            <v>RFL</v>
          </cell>
          <cell r="O205" t="str">
            <v>Renta Fija Local</v>
          </cell>
          <cell r="P205" t="str">
            <v>AA ; AA</v>
          </cell>
          <cell r="Q205" t="str">
            <v>Corto</v>
          </cell>
          <cell r="R205" t="str">
            <v>Corporativo Bajo Riesgo Corto</v>
          </cell>
          <cell r="S205">
            <v>2.62</v>
          </cell>
          <cell r="T205" t="str">
            <v>AA</v>
          </cell>
          <cell r="U205" t="str">
            <v>3</v>
          </cell>
          <cell r="V205" t="str">
            <v>Bajo Riesgo</v>
          </cell>
          <cell r="W205" t="str">
            <v>Corporativo</v>
          </cell>
          <cell r="X205" t="str">
            <v>Bajo Riesgo Corto UF</v>
          </cell>
          <cell r="Y205" t="str">
            <v>Corporativo Bajo Riesgo Corto</v>
          </cell>
          <cell r="Z205" t="str">
            <v>Corto UF</v>
          </cell>
          <cell r="AA205" t="str">
            <v>Corporativo Corto</v>
          </cell>
          <cell r="AB205" t="str">
            <v>Corporativo UF</v>
          </cell>
          <cell r="AC205" t="str">
            <v>Instrumentos de Deuda</v>
          </cell>
          <cell r="AD205" t="str">
            <v>Financieras</v>
          </cell>
          <cell r="AE205" t="str">
            <v>Bono Banco Itau Serie Ai</v>
          </cell>
          <cell r="AF205" t="str">
            <v>Itau/Corpbanca</v>
          </cell>
        </row>
        <row r="206">
          <cell r="C206" t="str">
            <v>BSTDSF1014</v>
          </cell>
          <cell r="D206" t="str">
            <v>BBSANT-CHI</v>
          </cell>
          <cell r="E206">
            <v>133951206</v>
          </cell>
          <cell r="F206">
            <v>5000</v>
          </cell>
          <cell r="G206">
            <v>4.5659999999999997E-3</v>
          </cell>
          <cell r="H206">
            <v>2.57</v>
          </cell>
          <cell r="I206" t="str">
            <v>2020-04-01</v>
          </cell>
          <cell r="J206">
            <v>1224</v>
          </cell>
          <cell r="K206">
            <v>3.2</v>
          </cell>
          <cell r="L206">
            <v>101.42</v>
          </cell>
          <cell r="M206" t="str">
            <v>UF</v>
          </cell>
          <cell r="N206" t="str">
            <v>RFL</v>
          </cell>
          <cell r="O206" t="str">
            <v>Renta Fija Local</v>
          </cell>
          <cell r="P206" t="str">
            <v>AAA ; AAA</v>
          </cell>
          <cell r="Q206" t="str">
            <v>Corto</v>
          </cell>
          <cell r="R206" t="str">
            <v>Corporativo Bajo Riesgo Corto</v>
          </cell>
          <cell r="S206">
            <v>2.57</v>
          </cell>
          <cell r="T206" t="str">
            <v>AAA</v>
          </cell>
          <cell r="U206" t="str">
            <v>1</v>
          </cell>
          <cell r="V206" t="str">
            <v>Bajo Riesgo</v>
          </cell>
          <cell r="W206" t="str">
            <v>Corporativo</v>
          </cell>
          <cell r="X206" t="str">
            <v>Bajo Riesgo Corto UF</v>
          </cell>
          <cell r="Y206" t="str">
            <v>Corporativo Bajo Riesgo Corto</v>
          </cell>
          <cell r="Z206" t="str">
            <v>Corto UF</v>
          </cell>
          <cell r="AA206" t="str">
            <v>Corporativo Corto</v>
          </cell>
          <cell r="AB206" t="str">
            <v>Corporativo UF</v>
          </cell>
          <cell r="AC206" t="str">
            <v>Instrumentos de Deuda</v>
          </cell>
          <cell r="AD206" t="str">
            <v>Financieras</v>
          </cell>
          <cell r="AE206" t="str">
            <v>Bono Banco Santander Serie Sf</v>
          </cell>
          <cell r="AF206" t="str">
            <v>Banco Santander</v>
          </cell>
        </row>
        <row r="207">
          <cell r="C207" t="str">
            <v>BFAL-F0615</v>
          </cell>
          <cell r="D207" t="str">
            <v>BBFALABELL</v>
          </cell>
          <cell r="E207">
            <v>10307153</v>
          </cell>
          <cell r="F207">
            <v>10000000</v>
          </cell>
          <cell r="G207">
            <v>3.5100000000000002E-4</v>
          </cell>
          <cell r="H207">
            <v>5.21</v>
          </cell>
          <cell r="I207" t="str">
            <v>2020-06-30</v>
          </cell>
          <cell r="J207">
            <v>1314</v>
          </cell>
          <cell r="K207">
            <v>3.25</v>
          </cell>
          <cell r="L207">
            <v>100.89</v>
          </cell>
          <cell r="M207" t="str">
            <v>$</v>
          </cell>
          <cell r="N207" t="str">
            <v>RFL</v>
          </cell>
          <cell r="O207" t="str">
            <v>Renta Fija Local</v>
          </cell>
          <cell r="P207" t="str">
            <v>AA ; AA</v>
          </cell>
          <cell r="Q207" t="str">
            <v>Corto</v>
          </cell>
          <cell r="R207" t="str">
            <v>Corporativo Bajo Riesgo Corto</v>
          </cell>
          <cell r="S207">
            <v>2.21</v>
          </cell>
          <cell r="T207" t="str">
            <v>AA</v>
          </cell>
          <cell r="U207" t="str">
            <v>3</v>
          </cell>
          <cell r="V207" t="str">
            <v>Bajo Riesgo</v>
          </cell>
          <cell r="W207" t="str">
            <v>Corporativo</v>
          </cell>
          <cell r="X207" t="str">
            <v>Bajo Riesgo Corto $</v>
          </cell>
          <cell r="Y207" t="str">
            <v>Corporativo Bajo Riesgo Corto</v>
          </cell>
          <cell r="Z207" t="str">
            <v>Corto $</v>
          </cell>
          <cell r="AA207" t="str">
            <v>Corporativo Corto</v>
          </cell>
          <cell r="AB207" t="str">
            <v>Corporativo $</v>
          </cell>
          <cell r="AC207" t="str">
            <v>Instrumentos de Deuda</v>
          </cell>
          <cell r="AD207" t="str">
            <v>Financieras</v>
          </cell>
          <cell r="AE207" t="str">
            <v>Bono Banco Falabella Serie F</v>
          </cell>
          <cell r="AF207" t="str">
            <v>Banco Falabella</v>
          </cell>
        </row>
        <row r="208">
          <cell r="C208" t="str">
            <v>BBIC480510</v>
          </cell>
          <cell r="D208" t="str">
            <v>BBICE</v>
          </cell>
          <cell r="E208">
            <v>108724904</v>
          </cell>
          <cell r="F208">
            <v>4000</v>
          </cell>
          <cell r="G208">
            <v>3.7060000000000001E-3</v>
          </cell>
          <cell r="H208">
            <v>2.56</v>
          </cell>
          <cell r="I208" t="str">
            <v>2020-05-01</v>
          </cell>
          <cell r="J208">
            <v>1254</v>
          </cell>
          <cell r="K208">
            <v>3.26</v>
          </cell>
          <cell r="L208">
            <v>103.13</v>
          </cell>
          <cell r="M208" t="str">
            <v>UF</v>
          </cell>
          <cell r="N208" t="str">
            <v>RFL</v>
          </cell>
          <cell r="O208" t="str">
            <v>Renta Fija Local</v>
          </cell>
          <cell r="P208" t="str">
            <v>AA ; AA</v>
          </cell>
          <cell r="Q208" t="str">
            <v>Corto</v>
          </cell>
          <cell r="R208" t="str">
            <v>Corporativo Bajo Riesgo Corto</v>
          </cell>
          <cell r="S208">
            <v>2.56</v>
          </cell>
          <cell r="T208" t="str">
            <v>AA</v>
          </cell>
          <cell r="U208" t="str">
            <v>3</v>
          </cell>
          <cell r="V208" t="str">
            <v>Bajo Riesgo</v>
          </cell>
          <cell r="W208" t="str">
            <v>Corporativo</v>
          </cell>
          <cell r="X208" t="str">
            <v>Bajo Riesgo Corto UF</v>
          </cell>
          <cell r="Y208" t="str">
            <v>Corporativo Bajo Riesgo Corto</v>
          </cell>
          <cell r="Z208" t="str">
            <v>Corto UF</v>
          </cell>
          <cell r="AA208" t="str">
            <v>Corporativo Corto</v>
          </cell>
          <cell r="AB208" t="str">
            <v>Corporativo UF</v>
          </cell>
          <cell r="AC208" t="str">
            <v>Instrumentos de Deuda</v>
          </cell>
          <cell r="AD208" t="str">
            <v>Financieras</v>
          </cell>
          <cell r="AE208" t="str">
            <v>Bono Bancario Bice 48</v>
          </cell>
          <cell r="AF208" t="str">
            <v>BICE</v>
          </cell>
        </row>
        <row r="209">
          <cell r="C209" t="str">
            <v>BSECZ10715</v>
          </cell>
          <cell r="D209" t="str">
            <v>BBSECURITY</v>
          </cell>
          <cell r="E209">
            <v>102986035</v>
          </cell>
          <cell r="F209">
            <v>100000000</v>
          </cell>
          <cell r="G209">
            <v>3.5109999999999998E-3</v>
          </cell>
          <cell r="H209">
            <v>5.03</v>
          </cell>
          <cell r="I209" t="str">
            <v>2020-07-01</v>
          </cell>
          <cell r="J209">
            <v>1315</v>
          </cell>
          <cell r="K209">
            <v>3.26</v>
          </cell>
          <cell r="L209">
            <v>100.89</v>
          </cell>
          <cell r="M209" t="str">
            <v>$</v>
          </cell>
          <cell r="N209" t="str">
            <v>RFL</v>
          </cell>
          <cell r="O209" t="str">
            <v>Renta Fija Local</v>
          </cell>
          <cell r="P209" t="str">
            <v>AA- ; AA</v>
          </cell>
          <cell r="Q209" t="str">
            <v>Corto</v>
          </cell>
          <cell r="R209" t="str">
            <v>Corporativo Bajo Riesgo Corto</v>
          </cell>
          <cell r="S209">
            <v>2.0299999999999998</v>
          </cell>
          <cell r="T209" t="str">
            <v>AA-</v>
          </cell>
          <cell r="U209" t="str">
            <v>4</v>
          </cell>
          <cell r="V209" t="str">
            <v>Bajo Riesgo</v>
          </cell>
          <cell r="W209" t="str">
            <v>Corporativo</v>
          </cell>
          <cell r="X209" t="str">
            <v>Bajo Riesgo Corto $</v>
          </cell>
          <cell r="Y209" t="str">
            <v>Corporativo Bajo Riesgo Corto</v>
          </cell>
          <cell r="Z209" t="str">
            <v>Corto $</v>
          </cell>
          <cell r="AA209" t="str">
            <v>Corporativo Corto</v>
          </cell>
          <cell r="AB209" t="str">
            <v>Corporativo $</v>
          </cell>
          <cell r="AC209" t="str">
            <v>Instrumentos de Deuda</v>
          </cell>
          <cell r="AD209" t="str">
            <v>Financieras</v>
          </cell>
          <cell r="AE209" t="str">
            <v>Bono Bancario Security Serie Z1</v>
          </cell>
          <cell r="AF209" t="str">
            <v>Banco Security</v>
          </cell>
        </row>
        <row r="210">
          <cell r="C210" t="str">
            <v>BBBVM41113</v>
          </cell>
          <cell r="D210" t="str">
            <v>BBBVA</v>
          </cell>
          <cell r="E210">
            <v>106783789</v>
          </cell>
          <cell r="F210">
            <v>4000</v>
          </cell>
          <cell r="G210">
            <v>3.64E-3</v>
          </cell>
          <cell r="H210">
            <v>2.59</v>
          </cell>
          <cell r="I210" t="str">
            <v>2020-05-01</v>
          </cell>
          <cell r="J210">
            <v>1254</v>
          </cell>
          <cell r="K210">
            <v>3.29</v>
          </cell>
          <cell r="L210">
            <v>101.32</v>
          </cell>
          <cell r="M210" t="str">
            <v>UF</v>
          </cell>
          <cell r="N210" t="str">
            <v>RFL</v>
          </cell>
          <cell r="O210" t="str">
            <v>Renta Fija Local</v>
          </cell>
          <cell r="P210" t="str">
            <v>AA ; AA+</v>
          </cell>
          <cell r="Q210" t="str">
            <v>Corto</v>
          </cell>
          <cell r="R210" t="str">
            <v>Corporativo Bajo Riesgo Corto</v>
          </cell>
          <cell r="S210">
            <v>2.59</v>
          </cell>
          <cell r="T210" t="str">
            <v>AA</v>
          </cell>
          <cell r="U210" t="str">
            <v>3</v>
          </cell>
          <cell r="V210" t="str">
            <v>Bajo Riesgo</v>
          </cell>
          <cell r="W210" t="str">
            <v>Corporativo</v>
          </cell>
          <cell r="X210" t="str">
            <v>Bajo Riesgo Corto UF</v>
          </cell>
          <cell r="Y210" t="str">
            <v>Corporativo Bajo Riesgo Corto</v>
          </cell>
          <cell r="Z210" t="str">
            <v>Corto UF</v>
          </cell>
          <cell r="AA210" t="str">
            <v>Corporativo Corto</v>
          </cell>
          <cell r="AB210" t="str">
            <v>Corporativo UF</v>
          </cell>
          <cell r="AC210" t="str">
            <v>Instrumentos de Deuda</v>
          </cell>
          <cell r="AD210" t="str">
            <v>Financieras</v>
          </cell>
          <cell r="AE210" t="str">
            <v>Bono Bancario Bbva Serie M4</v>
          </cell>
          <cell r="AF210" t="str">
            <v>BBVA</v>
          </cell>
        </row>
        <row r="211">
          <cell r="C211" t="str">
            <v>BFAL-A0510</v>
          </cell>
          <cell r="D211" t="str">
            <v>BBFALABELL</v>
          </cell>
          <cell r="E211">
            <v>134218670</v>
          </cell>
          <cell r="F211">
            <v>5000</v>
          </cell>
          <cell r="G211">
            <v>4.5750000000000001E-3</v>
          </cell>
          <cell r="H211">
            <v>2.69</v>
          </cell>
          <cell r="I211" t="str">
            <v>2020-05-15</v>
          </cell>
          <cell r="J211">
            <v>1268</v>
          </cell>
          <cell r="K211">
            <v>3.31</v>
          </cell>
          <cell r="L211">
            <v>101.98</v>
          </cell>
          <cell r="M211" t="str">
            <v>UF</v>
          </cell>
          <cell r="N211" t="str">
            <v>RFL</v>
          </cell>
          <cell r="O211" t="str">
            <v>Renta Fija Local</v>
          </cell>
          <cell r="P211" t="str">
            <v>AA ; AA</v>
          </cell>
          <cell r="Q211" t="str">
            <v>Corto</v>
          </cell>
          <cell r="R211" t="str">
            <v>Corporativo Bajo Riesgo Corto</v>
          </cell>
          <cell r="S211">
            <v>2.69</v>
          </cell>
          <cell r="T211" t="str">
            <v>AA</v>
          </cell>
          <cell r="U211" t="str">
            <v>3</v>
          </cell>
          <cell r="V211" t="str">
            <v>Bajo Riesgo</v>
          </cell>
          <cell r="W211" t="str">
            <v>Corporativo</v>
          </cell>
          <cell r="X211" t="str">
            <v>Bajo Riesgo Corto UF</v>
          </cell>
          <cell r="Y211" t="str">
            <v>Corporativo Bajo Riesgo Corto</v>
          </cell>
          <cell r="Z211" t="str">
            <v>Corto UF</v>
          </cell>
          <cell r="AA211" t="str">
            <v>Corporativo Corto</v>
          </cell>
          <cell r="AB211" t="str">
            <v>Corporativo UF</v>
          </cell>
          <cell r="AC211" t="str">
            <v>Instrumentos de Deuda</v>
          </cell>
          <cell r="AD211" t="str">
            <v>Financieras</v>
          </cell>
          <cell r="AE211" t="str">
            <v>Bono Banco Falabella Serie A</v>
          </cell>
          <cell r="AF211" t="str">
            <v>Banco Falabella</v>
          </cell>
        </row>
        <row r="212">
          <cell r="C212" t="str">
            <v>BQUIN-I</v>
          </cell>
          <cell r="D212" t="str">
            <v>QUINENCO</v>
          </cell>
          <cell r="E212">
            <v>82874706</v>
          </cell>
          <cell r="F212">
            <v>3000</v>
          </cell>
          <cell r="G212">
            <v>2.8249999999999998E-3</v>
          </cell>
          <cell r="H212">
            <v>2.71</v>
          </cell>
          <cell r="I212" t="str">
            <v>2021-06-01</v>
          </cell>
          <cell r="J212">
            <v>1650</v>
          </cell>
          <cell r="K212">
            <v>3.31</v>
          </cell>
          <cell r="L212">
            <v>103.22</v>
          </cell>
          <cell r="M212" t="str">
            <v>UF</v>
          </cell>
          <cell r="N212" t="str">
            <v>RFL</v>
          </cell>
          <cell r="O212" t="str">
            <v>Renta Fija Local</v>
          </cell>
          <cell r="P212" t="str">
            <v>AA ; AA</v>
          </cell>
          <cell r="Q212" t="str">
            <v>Corto</v>
          </cell>
          <cell r="R212" t="str">
            <v>Corporativo Bajo Riesgo Corto</v>
          </cell>
          <cell r="S212">
            <v>2.71</v>
          </cell>
          <cell r="T212" t="str">
            <v>AA</v>
          </cell>
          <cell r="U212" t="str">
            <v>3</v>
          </cell>
          <cell r="V212" t="str">
            <v>Bajo Riesgo</v>
          </cell>
          <cell r="W212" t="str">
            <v>Corporativo</v>
          </cell>
          <cell r="X212" t="str">
            <v>Bajo Riesgo Corto UF</v>
          </cell>
          <cell r="Y212" t="str">
            <v>Corporativo Bajo Riesgo Corto</v>
          </cell>
          <cell r="Z212" t="str">
            <v>Corto UF</v>
          </cell>
          <cell r="AA212" t="str">
            <v>Corporativo Corto</v>
          </cell>
          <cell r="AB212" t="str">
            <v>Corporativo UF</v>
          </cell>
          <cell r="AC212" t="str">
            <v>Instrumentos de Deuda</v>
          </cell>
          <cell r="AD212" t="str">
            <v>Diversificados</v>
          </cell>
          <cell r="AE212" t="str">
            <v>Bono Quinenco Serie I</v>
          </cell>
          <cell r="AF212" t="str">
            <v>Quiñenco S.A.</v>
          </cell>
        </row>
        <row r="213">
          <cell r="C213" t="str">
            <v>BSECB40615</v>
          </cell>
          <cell r="D213" t="str">
            <v>BBSECURITY</v>
          </cell>
          <cell r="E213">
            <v>105158065</v>
          </cell>
          <cell r="F213">
            <v>4000</v>
          </cell>
          <cell r="G213">
            <v>3.5850000000000001E-3</v>
          </cell>
          <cell r="H213">
            <v>2.6</v>
          </cell>
          <cell r="I213" t="str">
            <v>2020-06-01</v>
          </cell>
          <cell r="J213">
            <v>1285</v>
          </cell>
          <cell r="K213">
            <v>3.37</v>
          </cell>
          <cell r="L213">
            <v>98.89</v>
          </cell>
          <cell r="M213" t="str">
            <v>UF</v>
          </cell>
          <cell r="N213" t="str">
            <v>RFL</v>
          </cell>
          <cell r="O213" t="str">
            <v>Renta Fija Local</v>
          </cell>
          <cell r="P213" t="str">
            <v>AA- ; AA</v>
          </cell>
          <cell r="Q213" t="str">
            <v>Corto</v>
          </cell>
          <cell r="R213" t="str">
            <v>Corporativo Bajo Riesgo Corto</v>
          </cell>
          <cell r="S213">
            <v>2.6</v>
          </cell>
          <cell r="T213" t="str">
            <v>AA-</v>
          </cell>
          <cell r="U213" t="str">
            <v>4</v>
          </cell>
          <cell r="V213" t="str">
            <v>Bajo Riesgo</v>
          </cell>
          <cell r="W213" t="str">
            <v>Corporativo</v>
          </cell>
          <cell r="X213" t="str">
            <v>Bajo Riesgo Corto UF</v>
          </cell>
          <cell r="Y213" t="str">
            <v>Corporativo Bajo Riesgo Corto</v>
          </cell>
          <cell r="Z213" t="str">
            <v>Corto UF</v>
          </cell>
          <cell r="AA213" t="str">
            <v>Corporativo Corto</v>
          </cell>
          <cell r="AB213" t="str">
            <v>Corporativo UF</v>
          </cell>
          <cell r="AC213" t="str">
            <v>Instrumentos de Deuda</v>
          </cell>
          <cell r="AD213" t="str">
            <v>Financieras</v>
          </cell>
          <cell r="AE213" t="str">
            <v>Bono Bancario Security Serie B4</v>
          </cell>
          <cell r="AF213" t="str">
            <v>Banco Security</v>
          </cell>
        </row>
        <row r="214">
          <cell r="C214" t="str">
            <v>BCOR-R0110</v>
          </cell>
          <cell r="D214" t="str">
            <v>BBCORPBANC</v>
          </cell>
          <cell r="E214">
            <v>83897104</v>
          </cell>
          <cell r="F214">
            <v>3000</v>
          </cell>
          <cell r="G214">
            <v>2.8600000000000001E-3</v>
          </cell>
          <cell r="H214">
            <v>2.61</v>
          </cell>
          <cell r="I214" t="str">
            <v>2020-07-09</v>
          </cell>
          <cell r="J214">
            <v>1323</v>
          </cell>
          <cell r="K214">
            <v>3.37</v>
          </cell>
          <cell r="L214">
            <v>104.76</v>
          </cell>
          <cell r="M214" t="str">
            <v>UF</v>
          </cell>
          <cell r="N214" t="str">
            <v>RFL</v>
          </cell>
          <cell r="O214" t="str">
            <v>Renta Fija Local</v>
          </cell>
          <cell r="P214" t="str">
            <v>AA ; AA</v>
          </cell>
          <cell r="Q214" t="str">
            <v>Corto</v>
          </cell>
          <cell r="R214" t="str">
            <v>Corporativo Bajo Riesgo Corto</v>
          </cell>
          <cell r="S214">
            <v>2.61</v>
          </cell>
          <cell r="T214" t="str">
            <v>AA</v>
          </cell>
          <cell r="U214" t="str">
            <v>3</v>
          </cell>
          <cell r="V214" t="str">
            <v>Bajo Riesgo</v>
          </cell>
          <cell r="W214" t="str">
            <v>Corporativo</v>
          </cell>
          <cell r="X214" t="str">
            <v>Bajo Riesgo Corto UF</v>
          </cell>
          <cell r="Y214" t="str">
            <v>Corporativo Bajo Riesgo Corto</v>
          </cell>
          <cell r="Z214" t="str">
            <v>Corto UF</v>
          </cell>
          <cell r="AA214" t="str">
            <v>Corporativo Corto</v>
          </cell>
          <cell r="AB214" t="str">
            <v>Corporativo UF</v>
          </cell>
          <cell r="AC214" t="str">
            <v>Instrumentos de Deuda</v>
          </cell>
          <cell r="AD214" t="str">
            <v>Financieras</v>
          </cell>
          <cell r="AE214" t="str">
            <v>Bono Corpbanca Serie R</v>
          </cell>
          <cell r="AF214" t="str">
            <v>Itau/Corpbanca</v>
          </cell>
        </row>
        <row r="215">
          <cell r="C215" t="str">
            <v>BCORAI0710</v>
          </cell>
          <cell r="D215" t="str">
            <v>BBCORPBANC</v>
          </cell>
          <cell r="E215">
            <v>215892411</v>
          </cell>
          <cell r="F215">
            <v>8000</v>
          </cell>
          <cell r="G215">
            <v>7.3600000000000002E-3</v>
          </cell>
          <cell r="H215">
            <v>2.6</v>
          </cell>
          <cell r="I215" t="str">
            <v>2020-07-01</v>
          </cell>
          <cell r="J215">
            <v>1315</v>
          </cell>
          <cell r="K215">
            <v>3.4</v>
          </cell>
          <cell r="L215">
            <v>101.4</v>
          </cell>
          <cell r="M215" t="str">
            <v>UF</v>
          </cell>
          <cell r="N215" t="str">
            <v>RFL</v>
          </cell>
          <cell r="O215" t="str">
            <v>Renta Fija Local</v>
          </cell>
          <cell r="P215" t="str">
            <v>AA ; AA</v>
          </cell>
          <cell r="Q215" t="str">
            <v>Corto</v>
          </cell>
          <cell r="R215" t="str">
            <v>Corporativo Bajo Riesgo Corto</v>
          </cell>
          <cell r="S215">
            <v>2.6</v>
          </cell>
          <cell r="T215" t="str">
            <v>AA</v>
          </cell>
          <cell r="U215" t="str">
            <v>3</v>
          </cell>
          <cell r="V215" t="str">
            <v>Bajo Riesgo</v>
          </cell>
          <cell r="W215" t="str">
            <v>Corporativo</v>
          </cell>
          <cell r="X215" t="str">
            <v>Bajo Riesgo Corto UF</v>
          </cell>
          <cell r="Y215" t="str">
            <v>Corporativo Bajo Riesgo Corto</v>
          </cell>
          <cell r="Z215" t="str">
            <v>Corto UF</v>
          </cell>
          <cell r="AA215" t="str">
            <v>Corporativo Corto</v>
          </cell>
          <cell r="AB215" t="str">
            <v>Corporativo UF</v>
          </cell>
          <cell r="AC215" t="str">
            <v>Instrumentos de Deuda</v>
          </cell>
          <cell r="AD215" t="str">
            <v>Financieras</v>
          </cell>
          <cell r="AE215" t="str">
            <v>Bono Corpbanca Serie Ai</v>
          </cell>
          <cell r="AF215" t="str">
            <v>Itau/Corpbanca</v>
          </cell>
        </row>
        <row r="216">
          <cell r="C216" t="str">
            <v>SANT0920</v>
          </cell>
          <cell r="D216" t="str">
            <v>SANT-CHILE</v>
          </cell>
          <cell r="E216">
            <v>641930319</v>
          </cell>
          <cell r="F216">
            <v>635000000</v>
          </cell>
          <cell r="G216">
            <v>2.1885000000000002E-2</v>
          </cell>
          <cell r="H216">
            <v>0</v>
          </cell>
          <cell r="I216" t="str">
            <v>2020-09-22</v>
          </cell>
          <cell r="J216">
            <v>1398</v>
          </cell>
          <cell r="K216">
            <v>3.41</v>
          </cell>
          <cell r="L216">
            <v>99.99</v>
          </cell>
          <cell r="M216" t="str">
            <v>$</v>
          </cell>
          <cell r="N216" t="str">
            <v>RFL</v>
          </cell>
          <cell r="O216" t="str">
            <v>Renta Fija Local</v>
          </cell>
          <cell r="P216" t="str">
            <v>A+</v>
          </cell>
          <cell r="Q216" t="str">
            <v>Corto</v>
          </cell>
          <cell r="R216" t="str">
            <v>Corporativo Bajo Riesgo Corto</v>
          </cell>
          <cell r="S216">
            <v>0</v>
          </cell>
          <cell r="T216" t="str">
            <v>A+</v>
          </cell>
          <cell r="U216" t="str">
            <v>5</v>
          </cell>
          <cell r="V216" t="str">
            <v>Bajo Riesgo</v>
          </cell>
          <cell r="W216" t="str">
            <v>Corporativo</v>
          </cell>
          <cell r="X216" t="str">
            <v>Bajo Riesgo Corto $</v>
          </cell>
          <cell r="Y216" t="str">
            <v>Corporativo Bajo Riesgo Corto</v>
          </cell>
          <cell r="Z216" t="str">
            <v>Corto $</v>
          </cell>
          <cell r="AA216" t="str">
            <v>Corporativo Corto</v>
          </cell>
          <cell r="AB216" t="str">
            <v>Corporativo $</v>
          </cell>
          <cell r="AC216" t="str">
            <v>Instrumentos de Deuda</v>
          </cell>
          <cell r="AD216" t="str">
            <v>Financieras</v>
          </cell>
          <cell r="AE216" t="str">
            <v>Bono Banco Santander</v>
          </cell>
          <cell r="AF216" t="str">
            <v>Banco Santander</v>
          </cell>
        </row>
        <row r="217">
          <cell r="C217" t="str">
            <v>BCORBW0914</v>
          </cell>
          <cell r="D217" t="str">
            <v>BBCORPBANC</v>
          </cell>
          <cell r="E217">
            <v>150752131</v>
          </cell>
          <cell r="F217">
            <v>150000000</v>
          </cell>
          <cell r="G217">
            <v>5.1390000000000003E-3</v>
          </cell>
          <cell r="H217">
            <v>5.25</v>
          </cell>
          <cell r="I217" t="str">
            <v>2020-09-01</v>
          </cell>
          <cell r="J217">
            <v>1377</v>
          </cell>
          <cell r="K217">
            <v>3.45</v>
          </cell>
          <cell r="L217">
            <v>99.38</v>
          </cell>
          <cell r="M217" t="str">
            <v>$</v>
          </cell>
          <cell r="N217" t="str">
            <v>RFL</v>
          </cell>
          <cell r="O217" t="str">
            <v>Renta Fija Local</v>
          </cell>
          <cell r="P217" t="str">
            <v>AA ; AA</v>
          </cell>
          <cell r="Q217" t="str">
            <v>Corto</v>
          </cell>
          <cell r="R217" t="str">
            <v>Corporativo Bajo Riesgo Corto</v>
          </cell>
          <cell r="S217">
            <v>2.25</v>
          </cell>
          <cell r="T217" t="str">
            <v>AA</v>
          </cell>
          <cell r="U217" t="str">
            <v>3</v>
          </cell>
          <cell r="V217" t="str">
            <v>Bajo Riesgo</v>
          </cell>
          <cell r="W217" t="str">
            <v>Corporativo</v>
          </cell>
          <cell r="X217" t="str">
            <v>Bajo Riesgo Corto $</v>
          </cell>
          <cell r="Y217" t="str">
            <v>Corporativo Bajo Riesgo Corto</v>
          </cell>
          <cell r="Z217" t="str">
            <v>Corto $</v>
          </cell>
          <cell r="AA217" t="str">
            <v>Corporativo Corto</v>
          </cell>
          <cell r="AB217" t="str">
            <v>Corporativo $</v>
          </cell>
          <cell r="AC217" t="str">
            <v>Instrumentos de Deuda</v>
          </cell>
          <cell r="AD217" t="str">
            <v>Financieras</v>
          </cell>
          <cell r="AE217" t="str">
            <v>Bono Corpbanca Serie Bw</v>
          </cell>
          <cell r="AF217" t="str">
            <v>Itau/Corpbanca</v>
          </cell>
        </row>
        <row r="218">
          <cell r="C218" t="str">
            <v>BFORU-AZ</v>
          </cell>
          <cell r="D218" t="str">
            <v>LEAS FORUM</v>
          </cell>
          <cell r="E218">
            <v>130124790</v>
          </cell>
          <cell r="F218">
            <v>5000</v>
          </cell>
          <cell r="G218">
            <v>4.4359999999999998E-3</v>
          </cell>
          <cell r="H218">
            <v>2.7</v>
          </cell>
          <cell r="I218" t="str">
            <v>2020-08-01</v>
          </cell>
          <cell r="J218">
            <v>1346</v>
          </cell>
          <cell r="K218">
            <v>3.54</v>
          </cell>
          <cell r="L218">
            <v>98.28</v>
          </cell>
          <cell r="M218" t="str">
            <v>UF</v>
          </cell>
          <cell r="N218" t="str">
            <v>RFL</v>
          </cell>
          <cell r="O218" t="str">
            <v>Renta Fija Local</v>
          </cell>
          <cell r="P218" t="str">
            <v>AA ; AA</v>
          </cell>
          <cell r="Q218" t="str">
            <v>Corto</v>
          </cell>
          <cell r="R218" t="str">
            <v>Corporativo Bajo Riesgo Corto</v>
          </cell>
          <cell r="S218">
            <v>2.7</v>
          </cell>
          <cell r="T218" t="str">
            <v>AA</v>
          </cell>
          <cell r="U218" t="str">
            <v>3</v>
          </cell>
          <cell r="V218" t="str">
            <v>Bajo Riesgo</v>
          </cell>
          <cell r="W218" t="str">
            <v>Corporativo</v>
          </cell>
          <cell r="X218" t="str">
            <v>Bajo Riesgo Corto UF</v>
          </cell>
          <cell r="Y218" t="str">
            <v>Corporativo Bajo Riesgo Corto</v>
          </cell>
          <cell r="Z218" t="str">
            <v>Corto UF</v>
          </cell>
          <cell r="AA218" t="str">
            <v>Corporativo Corto</v>
          </cell>
          <cell r="AB218" t="str">
            <v>Corporativo UF</v>
          </cell>
          <cell r="AC218" t="str">
            <v>Instrumentos de Deuda</v>
          </cell>
          <cell r="AD218" t="str">
            <v>Financieras</v>
          </cell>
          <cell r="AE218" t="str">
            <v>Bono Forum Servicios Financieros Serie Az</v>
          </cell>
          <cell r="AF218" t="str">
            <v>Forum Servicios Financieros S.A.</v>
          </cell>
        </row>
        <row r="219">
          <cell r="C219" t="str">
            <v>BARAU-J</v>
          </cell>
          <cell r="D219" t="str">
            <v>ARAUCO</v>
          </cell>
          <cell r="E219">
            <v>203904119</v>
          </cell>
          <cell r="F219">
            <v>7500</v>
          </cell>
          <cell r="G219">
            <v>6.9509999999999997E-3</v>
          </cell>
          <cell r="H219">
            <v>2.5</v>
          </cell>
          <cell r="I219" t="str">
            <v>2020-09-01</v>
          </cell>
          <cell r="J219">
            <v>1377</v>
          </cell>
          <cell r="K219">
            <v>3.56</v>
          </cell>
          <cell r="L219">
            <v>102.62</v>
          </cell>
          <cell r="M219" t="str">
            <v>UF</v>
          </cell>
          <cell r="N219" t="str">
            <v>RFL</v>
          </cell>
          <cell r="O219" t="str">
            <v>Renta Fija Local</v>
          </cell>
          <cell r="P219" t="str">
            <v>AA- ; AA-</v>
          </cell>
          <cell r="Q219" t="str">
            <v>Corto</v>
          </cell>
          <cell r="R219" t="str">
            <v>Corporativo Bajo Riesgo Corto</v>
          </cell>
          <cell r="S219">
            <v>2.5</v>
          </cell>
          <cell r="T219" t="str">
            <v>AA-</v>
          </cell>
          <cell r="U219" t="str">
            <v>4</v>
          </cell>
          <cell r="V219" t="str">
            <v>Bajo Riesgo</v>
          </cell>
          <cell r="W219" t="str">
            <v>Corporativo</v>
          </cell>
          <cell r="X219" t="str">
            <v>Bajo Riesgo Corto UF</v>
          </cell>
          <cell r="Y219" t="str">
            <v>Corporativo Bajo Riesgo Corto</v>
          </cell>
          <cell r="Z219" t="str">
            <v>Corto UF</v>
          </cell>
          <cell r="AA219" t="str">
            <v>Corporativo Corto</v>
          </cell>
          <cell r="AB219" t="str">
            <v>Corporativo UF</v>
          </cell>
          <cell r="AC219" t="str">
            <v>Instrumentos de Deuda</v>
          </cell>
          <cell r="AD219" t="str">
            <v>Materiales Básicos</v>
          </cell>
          <cell r="AE219" t="str">
            <v>Bono Celulosa Arauco Serie J</v>
          </cell>
          <cell r="AF219" t="str">
            <v>Celulosa Arauco y Constitución</v>
          </cell>
        </row>
        <row r="220">
          <cell r="C220" t="str">
            <v>BTMOV-I</v>
          </cell>
          <cell r="D220" t="str">
            <v>MOVISTAR</v>
          </cell>
          <cell r="E220">
            <v>25825932</v>
          </cell>
          <cell r="F220">
            <v>1000</v>
          </cell>
          <cell r="G220">
            <v>8.8000000000000003E-4</v>
          </cell>
          <cell r="H220">
            <v>2.62</v>
          </cell>
          <cell r="I220" t="str">
            <v>2020-08-14</v>
          </cell>
          <cell r="J220">
            <v>1359</v>
          </cell>
          <cell r="K220">
            <v>3.59</v>
          </cell>
          <cell r="L220">
            <v>97.67</v>
          </cell>
          <cell r="M220" t="str">
            <v>UF</v>
          </cell>
          <cell r="N220" t="str">
            <v>RFL</v>
          </cell>
          <cell r="O220" t="str">
            <v>Renta Fija Local</v>
          </cell>
          <cell r="P220" t="str">
            <v>AA ; AA+</v>
          </cell>
          <cell r="Q220" t="str">
            <v>Corto</v>
          </cell>
          <cell r="R220" t="str">
            <v>Corporativo Bajo Riesgo Corto</v>
          </cell>
          <cell r="S220">
            <v>2.62</v>
          </cell>
          <cell r="T220" t="str">
            <v>AA</v>
          </cell>
          <cell r="U220" t="str">
            <v>3</v>
          </cell>
          <cell r="V220" t="str">
            <v>Bajo Riesgo</v>
          </cell>
          <cell r="W220" t="str">
            <v>Corporativo</v>
          </cell>
          <cell r="X220" t="str">
            <v>Bajo Riesgo Corto UF</v>
          </cell>
          <cell r="Y220" t="str">
            <v>Corporativo Bajo Riesgo Corto</v>
          </cell>
          <cell r="Z220" t="str">
            <v>Corto UF</v>
          </cell>
          <cell r="AA220" t="str">
            <v>Corporativo Corto</v>
          </cell>
          <cell r="AB220" t="str">
            <v>Corporativo UF</v>
          </cell>
          <cell r="AC220" t="str">
            <v>Instrumentos de Deuda</v>
          </cell>
          <cell r="AD220" t="str">
            <v>Comunicaciones</v>
          </cell>
          <cell r="AE220" t="str">
            <v>Bono Movistar Serie I</v>
          </cell>
          <cell r="AF220" t="str">
            <v>Movistar</v>
          </cell>
        </row>
        <row r="221">
          <cell r="C221" t="str">
            <v>BSTDP80315</v>
          </cell>
          <cell r="D221" t="str">
            <v>BBSANT-CHI</v>
          </cell>
          <cell r="E221">
            <v>105148596</v>
          </cell>
          <cell r="F221">
            <v>4000</v>
          </cell>
          <cell r="G221">
            <v>3.5839999999999999E-3</v>
          </cell>
          <cell r="H221">
            <v>2.42</v>
          </cell>
          <cell r="I221" t="str">
            <v>2020-09-01</v>
          </cell>
          <cell r="J221">
            <v>1377</v>
          </cell>
          <cell r="K221">
            <v>3.62</v>
          </cell>
          <cell r="L221">
            <v>99.44</v>
          </cell>
          <cell r="M221" t="str">
            <v>UF</v>
          </cell>
          <cell r="N221" t="str">
            <v>RFL</v>
          </cell>
          <cell r="O221" t="str">
            <v>Renta Fija Local</v>
          </cell>
          <cell r="P221" t="str">
            <v>AAA ; AAA</v>
          </cell>
          <cell r="Q221" t="str">
            <v>Corto</v>
          </cell>
          <cell r="R221" t="str">
            <v>Corporativo Bajo Riesgo Corto</v>
          </cell>
          <cell r="S221">
            <v>2.42</v>
          </cell>
          <cell r="T221" t="str">
            <v>AAA</v>
          </cell>
          <cell r="U221" t="str">
            <v>1</v>
          </cell>
          <cell r="V221" t="str">
            <v>Bajo Riesgo</v>
          </cell>
          <cell r="W221" t="str">
            <v>Corporativo</v>
          </cell>
          <cell r="X221" t="str">
            <v>Bajo Riesgo Corto UF</v>
          </cell>
          <cell r="Y221" t="str">
            <v>Corporativo Bajo Riesgo Corto</v>
          </cell>
          <cell r="Z221" t="str">
            <v>Corto UF</v>
          </cell>
          <cell r="AA221" t="str">
            <v>Corporativo Corto</v>
          </cell>
          <cell r="AB221" t="str">
            <v>Corporativo UF</v>
          </cell>
          <cell r="AC221" t="str">
            <v>Instrumentos de Deuda</v>
          </cell>
          <cell r="AD221" t="str">
            <v>Financieras</v>
          </cell>
          <cell r="AE221" t="str">
            <v>Bono Banco Santander Serie P8</v>
          </cell>
          <cell r="AF221" t="str">
            <v>Banco Santander</v>
          </cell>
        </row>
        <row r="222">
          <cell r="C222" t="str">
            <v>BCNO-U0915</v>
          </cell>
          <cell r="D222" t="str">
            <v>BBCONSORC</v>
          </cell>
          <cell r="E222">
            <v>104258816</v>
          </cell>
          <cell r="F222">
            <v>4000</v>
          </cell>
          <cell r="G222">
            <v>3.5539999999999999E-3</v>
          </cell>
          <cell r="H222">
            <v>2.7</v>
          </cell>
          <cell r="I222" t="str">
            <v>2020-09-01</v>
          </cell>
          <cell r="J222">
            <v>1377</v>
          </cell>
          <cell r="K222">
            <v>3.62</v>
          </cell>
          <cell r="L222">
            <v>98.59</v>
          </cell>
          <cell r="M222" t="str">
            <v>UF</v>
          </cell>
          <cell r="N222" t="str">
            <v>RFL</v>
          </cell>
          <cell r="O222" t="str">
            <v>Renta Fija Local</v>
          </cell>
          <cell r="P222" t="str">
            <v>AA- ; AA-</v>
          </cell>
          <cell r="Q222" t="str">
            <v>Corto</v>
          </cell>
          <cell r="R222" t="str">
            <v>Corporativo Bajo Riesgo Corto</v>
          </cell>
          <cell r="S222">
            <v>2.7</v>
          </cell>
          <cell r="T222" t="str">
            <v>AA-</v>
          </cell>
          <cell r="U222" t="str">
            <v>4</v>
          </cell>
          <cell r="V222" t="str">
            <v>Bajo Riesgo</v>
          </cell>
          <cell r="W222" t="str">
            <v>Corporativo</v>
          </cell>
          <cell r="X222" t="str">
            <v>Bajo Riesgo Corto UF</v>
          </cell>
          <cell r="Y222" t="str">
            <v>Corporativo Bajo Riesgo Corto</v>
          </cell>
          <cell r="Z222" t="str">
            <v>Corto UF</v>
          </cell>
          <cell r="AA222" t="str">
            <v>Corporativo Corto</v>
          </cell>
          <cell r="AB222" t="str">
            <v>Corporativo UF</v>
          </cell>
          <cell r="AC222" t="str">
            <v>Instrumentos de Deuda</v>
          </cell>
          <cell r="AD222" t="str">
            <v>Financieras</v>
          </cell>
          <cell r="AE222" t="str">
            <v>Bono Banco Consorcio Serie U</v>
          </cell>
          <cell r="AF222" t="str">
            <v>Banco Consorcio</v>
          </cell>
        </row>
        <row r="223">
          <cell r="C223" t="str">
            <v>BCHIAM0413</v>
          </cell>
          <cell r="D223" t="str">
            <v>BBCHILE</v>
          </cell>
          <cell r="E223">
            <v>54972181</v>
          </cell>
          <cell r="F223">
            <v>2000</v>
          </cell>
          <cell r="G223">
            <v>1.874E-3</v>
          </cell>
          <cell r="H223">
            <v>2.4900000000000002</v>
          </cell>
          <cell r="I223" t="str">
            <v>2020-10-01</v>
          </cell>
          <cell r="J223">
            <v>1407</v>
          </cell>
          <cell r="K223">
            <v>3.62</v>
          </cell>
          <cell r="L223">
            <v>103.97</v>
          </cell>
          <cell r="M223" t="str">
            <v>UF</v>
          </cell>
          <cell r="N223" t="str">
            <v>RFL</v>
          </cell>
          <cell r="O223" t="str">
            <v>Renta Fija Local</v>
          </cell>
          <cell r="P223" t="str">
            <v>AAA ; AAA</v>
          </cell>
          <cell r="Q223" t="str">
            <v>Corto</v>
          </cell>
          <cell r="R223" t="str">
            <v>Corporativo Bajo Riesgo Corto</v>
          </cell>
          <cell r="S223">
            <v>2.4900000000000002</v>
          </cell>
          <cell r="T223" t="str">
            <v>AAA</v>
          </cell>
          <cell r="U223" t="str">
            <v>1</v>
          </cell>
          <cell r="V223" t="str">
            <v>Bajo Riesgo</v>
          </cell>
          <cell r="W223" t="str">
            <v>Corporativo</v>
          </cell>
          <cell r="X223" t="str">
            <v>Bajo Riesgo Corto UF</v>
          </cell>
          <cell r="Y223" t="str">
            <v>Corporativo Bajo Riesgo Corto</v>
          </cell>
          <cell r="Z223" t="str">
            <v>Corto UF</v>
          </cell>
          <cell r="AA223" t="str">
            <v>Corporativo Corto</v>
          </cell>
          <cell r="AB223" t="str">
            <v>Corporativo UF</v>
          </cell>
          <cell r="AC223" t="str">
            <v>Instrumentos de Deuda</v>
          </cell>
          <cell r="AD223" t="str">
            <v>Financieras</v>
          </cell>
          <cell r="AE223" t="str">
            <v>Bono Banco Chile Serie Am</v>
          </cell>
          <cell r="AF223" t="str">
            <v>Banco de Chile</v>
          </cell>
        </row>
        <row r="224">
          <cell r="C224" t="str">
            <v>BBIC640116</v>
          </cell>
          <cell r="D224" t="str">
            <v>BBICE</v>
          </cell>
          <cell r="E224">
            <v>230228457</v>
          </cell>
          <cell r="F224">
            <v>220000000</v>
          </cell>
          <cell r="G224">
            <v>7.8490000000000001E-3</v>
          </cell>
          <cell r="H224">
            <v>4.88</v>
          </cell>
          <cell r="I224" t="str">
            <v>2021-01-01</v>
          </cell>
          <cell r="J224">
            <v>1499</v>
          </cell>
          <cell r="K224">
            <v>3.66</v>
          </cell>
          <cell r="L224">
            <v>102.42</v>
          </cell>
          <cell r="M224" t="str">
            <v>$</v>
          </cell>
          <cell r="N224" t="str">
            <v>RFL</v>
          </cell>
          <cell r="O224" t="str">
            <v>Renta Fija Local</v>
          </cell>
          <cell r="P224" t="str">
            <v>AA ; AA</v>
          </cell>
          <cell r="Q224" t="str">
            <v>Corto</v>
          </cell>
          <cell r="R224" t="str">
            <v>Corporativo Bajo Riesgo Corto</v>
          </cell>
          <cell r="S224">
            <v>1.88</v>
          </cell>
          <cell r="T224" t="str">
            <v>AA</v>
          </cell>
          <cell r="U224" t="str">
            <v>3</v>
          </cell>
          <cell r="V224" t="str">
            <v>Bajo Riesgo</v>
          </cell>
          <cell r="W224" t="str">
            <v>Corporativo</v>
          </cell>
          <cell r="X224" t="str">
            <v>Bajo Riesgo Corto $</v>
          </cell>
          <cell r="Y224" t="str">
            <v>Corporativo Bajo Riesgo Corto</v>
          </cell>
          <cell r="Z224" t="str">
            <v>Corto $</v>
          </cell>
          <cell r="AA224" t="str">
            <v>Corporativo Corto</v>
          </cell>
          <cell r="AB224" t="str">
            <v>Corporativo $</v>
          </cell>
          <cell r="AC224"/>
          <cell r="AD224"/>
          <cell r="AE224"/>
          <cell r="AF224" t="str">
            <v>BICE</v>
          </cell>
        </row>
        <row r="225">
          <cell r="C225" t="str">
            <v>UEST-A0799</v>
          </cell>
          <cell r="D225" t="str">
            <v>BBESTADO</v>
          </cell>
          <cell r="E225">
            <v>170966851</v>
          </cell>
          <cell r="F225">
            <v>10000</v>
          </cell>
          <cell r="G225">
            <v>5.8279999999999998E-3</v>
          </cell>
          <cell r="H225">
            <v>2.5299999999999998</v>
          </cell>
          <cell r="I225" t="str">
            <v>2024-07-01</v>
          </cell>
          <cell r="J225">
            <v>2776</v>
          </cell>
          <cell r="K225">
            <v>3.72</v>
          </cell>
          <cell r="L225">
            <v>114.72</v>
          </cell>
          <cell r="M225" t="str">
            <v>UF</v>
          </cell>
          <cell r="N225" t="str">
            <v>RFL</v>
          </cell>
          <cell r="O225" t="str">
            <v>Renta Fija Local</v>
          </cell>
          <cell r="P225" t="str">
            <v>AA+ ; AA</v>
          </cell>
          <cell r="Q225" t="str">
            <v>Corto</v>
          </cell>
          <cell r="R225" t="str">
            <v>Corporativo Bajo Riesgo Corto</v>
          </cell>
          <cell r="S225">
            <v>2.5299999999999998</v>
          </cell>
          <cell r="T225" t="str">
            <v>AA</v>
          </cell>
          <cell r="U225" t="str">
            <v>3</v>
          </cell>
          <cell r="V225" t="str">
            <v>Bajo Riesgo</v>
          </cell>
          <cell r="W225" t="str">
            <v>Corporativo</v>
          </cell>
          <cell r="X225" t="str">
            <v>Bajo Riesgo Corto UF</v>
          </cell>
          <cell r="Y225" t="str">
            <v>Corporativo Bajo Riesgo Corto</v>
          </cell>
          <cell r="Z225" t="str">
            <v>Corto UF</v>
          </cell>
          <cell r="AA225" t="str">
            <v>Corporativo Corto</v>
          </cell>
          <cell r="AB225" t="str">
            <v>Corporativo UF</v>
          </cell>
          <cell r="AC225"/>
          <cell r="AD225"/>
          <cell r="AE225"/>
          <cell r="AF225" t="str">
            <v>Banco Estado</v>
          </cell>
        </row>
        <row r="226">
          <cell r="C226" t="str">
            <v>BSTDED0114</v>
          </cell>
          <cell r="D226" t="str">
            <v>BBSANT-CHI</v>
          </cell>
          <cell r="E226">
            <v>27666021</v>
          </cell>
          <cell r="F226">
            <v>1000</v>
          </cell>
          <cell r="G226">
            <v>9.4300000000000004E-4</v>
          </cell>
          <cell r="H226">
            <v>2.5299999999999998</v>
          </cell>
          <cell r="I226" t="str">
            <v>2021-01-01</v>
          </cell>
          <cell r="J226">
            <v>1499</v>
          </cell>
          <cell r="K226">
            <v>3.82</v>
          </cell>
          <cell r="L226">
            <v>103.75</v>
          </cell>
          <cell r="M226" t="str">
            <v>UF</v>
          </cell>
          <cell r="N226" t="str">
            <v>RFL</v>
          </cell>
          <cell r="O226" t="str">
            <v>Renta Fija Local</v>
          </cell>
          <cell r="P226" t="str">
            <v>AAA ; AAA</v>
          </cell>
          <cell r="Q226" t="str">
            <v>Corto</v>
          </cell>
          <cell r="R226" t="str">
            <v>Corporativo Bajo Riesgo Corto</v>
          </cell>
          <cell r="S226">
            <v>2.5299999999999998</v>
          </cell>
          <cell r="T226" t="str">
            <v>AAA</v>
          </cell>
          <cell r="U226" t="str">
            <v>1</v>
          </cell>
          <cell r="V226" t="str">
            <v>Bajo Riesgo</v>
          </cell>
          <cell r="W226" t="str">
            <v>Corporativo</v>
          </cell>
          <cell r="X226" t="str">
            <v>Bajo Riesgo Corto UF</v>
          </cell>
          <cell r="Y226" t="str">
            <v>Corporativo Bajo Riesgo Corto</v>
          </cell>
          <cell r="Z226" t="str">
            <v>Corto UF</v>
          </cell>
          <cell r="AA226" t="str">
            <v>Corporativo Corto</v>
          </cell>
          <cell r="AB226" t="str">
            <v>Corporativo UF</v>
          </cell>
          <cell r="AC226" t="str">
            <v>Instrumentos de Deuda</v>
          </cell>
          <cell r="AD226" t="str">
            <v>Financieras</v>
          </cell>
          <cell r="AE226" t="str">
            <v>Bono Banco Santander Serie Ed</v>
          </cell>
          <cell r="AF226" t="str">
            <v>Banco Santander</v>
          </cell>
        </row>
        <row r="227">
          <cell r="C227" t="str">
            <v>BCHIS-P18A</v>
          </cell>
          <cell r="D227" t="str">
            <v>BANCHILSEC</v>
          </cell>
          <cell r="E227">
            <v>288298913</v>
          </cell>
          <cell r="F227">
            <v>280000000</v>
          </cell>
          <cell r="G227">
            <v>9.8289999999999992E-3</v>
          </cell>
          <cell r="H227">
            <v>5.56</v>
          </cell>
          <cell r="I227" t="str">
            <v>2022-03-01</v>
          </cell>
          <cell r="J227">
            <v>1923</v>
          </cell>
          <cell r="K227">
            <v>3.85</v>
          </cell>
          <cell r="L227">
            <v>101.61</v>
          </cell>
          <cell r="M227" t="str">
            <v>$</v>
          </cell>
          <cell r="N227" t="str">
            <v>RFL</v>
          </cell>
          <cell r="O227" t="str">
            <v>Renta Fija Local</v>
          </cell>
          <cell r="P227" t="str">
            <v>AA ; AA</v>
          </cell>
          <cell r="Q227" t="str">
            <v>Corto</v>
          </cell>
          <cell r="R227" t="str">
            <v>Corporativo Bajo Riesgo Corto</v>
          </cell>
          <cell r="S227">
            <v>2.56</v>
          </cell>
          <cell r="T227" t="str">
            <v>AA</v>
          </cell>
          <cell r="U227" t="str">
            <v>3</v>
          </cell>
          <cell r="V227" t="str">
            <v>Bajo Riesgo</v>
          </cell>
          <cell r="W227" t="str">
            <v>Corporativo</v>
          </cell>
          <cell r="X227" t="str">
            <v>Bajo Riesgo Corto $</v>
          </cell>
          <cell r="Y227" t="str">
            <v>Corporativo Bajo Riesgo Corto</v>
          </cell>
          <cell r="Z227" t="str">
            <v>Corto $</v>
          </cell>
          <cell r="AA227" t="str">
            <v>Corporativo Corto</v>
          </cell>
          <cell r="AB227" t="str">
            <v>Corporativo $</v>
          </cell>
          <cell r="AC227" t="str">
            <v>Instrumentos de Deuda</v>
          </cell>
          <cell r="AD227" t="str">
            <v>Financieras</v>
          </cell>
          <cell r="AE227" t="str">
            <v>Bono Banchile Securitizadora</v>
          </cell>
          <cell r="AF227" t="str">
            <v>Banchile Securitizadora</v>
          </cell>
        </row>
        <row r="228">
          <cell r="C228" t="str">
            <v>BFORU-BD</v>
          </cell>
          <cell r="D228" t="str">
            <v>LEAS FORUM</v>
          </cell>
          <cell r="E228">
            <v>26719491</v>
          </cell>
          <cell r="F228">
            <v>1000</v>
          </cell>
          <cell r="G228">
            <v>9.1E-4</v>
          </cell>
          <cell r="H228">
            <v>2.77</v>
          </cell>
          <cell r="I228" t="str">
            <v>2021-03-01</v>
          </cell>
          <cell r="J228">
            <v>1558</v>
          </cell>
          <cell r="K228">
            <v>4.01</v>
          </cell>
          <cell r="L228">
            <v>100.91</v>
          </cell>
          <cell r="M228" t="str">
            <v>UF</v>
          </cell>
          <cell r="N228" t="str">
            <v>RFL</v>
          </cell>
          <cell r="O228" t="str">
            <v>Renta Fija Local</v>
          </cell>
          <cell r="P228" t="str">
            <v>AA ; AA</v>
          </cell>
          <cell r="Q228" t="str">
            <v>Corto</v>
          </cell>
          <cell r="R228" t="str">
            <v>Corporativo Bajo Riesgo Corto</v>
          </cell>
          <cell r="S228">
            <v>2.77</v>
          </cell>
          <cell r="T228" t="str">
            <v>AA</v>
          </cell>
          <cell r="U228" t="str">
            <v>3</v>
          </cell>
          <cell r="V228" t="str">
            <v>Bajo Riesgo</v>
          </cell>
          <cell r="W228" t="str">
            <v>Corporativo</v>
          </cell>
          <cell r="X228" t="str">
            <v>Bajo Riesgo Corto UF</v>
          </cell>
          <cell r="Y228" t="str">
            <v>Corporativo Bajo Riesgo Corto</v>
          </cell>
          <cell r="Z228" t="str">
            <v>Corto UF</v>
          </cell>
          <cell r="AA228" t="str">
            <v>Corporativo Corto</v>
          </cell>
          <cell r="AB228" t="str">
            <v>Corporativo UF</v>
          </cell>
          <cell r="AC228" t="str">
            <v>Instrumentos de Deuda</v>
          </cell>
          <cell r="AD228" t="str">
            <v>Financieras</v>
          </cell>
          <cell r="AE228" t="str">
            <v>Bono Forum Servicios Financieros Serie Bd</v>
          </cell>
          <cell r="AF228" t="str">
            <v>Forum Servicios Financieros S.A.</v>
          </cell>
        </row>
        <row r="229">
          <cell r="C229" t="str">
            <v>BSTDR10915</v>
          </cell>
          <cell r="D229" t="str">
            <v>BBSANT-CHI</v>
          </cell>
          <cell r="E229">
            <v>264475929</v>
          </cell>
          <cell r="F229">
            <v>10000</v>
          </cell>
          <cell r="G229">
            <v>9.0159999999999997E-3</v>
          </cell>
          <cell r="H229">
            <v>2.52</v>
          </cell>
          <cell r="I229" t="str">
            <v>2021-03-01</v>
          </cell>
          <cell r="J229">
            <v>1558</v>
          </cell>
          <cell r="K229">
            <v>4.05</v>
          </cell>
          <cell r="L229">
            <v>99.99</v>
          </cell>
          <cell r="M229" t="str">
            <v>UF</v>
          </cell>
          <cell r="N229" t="str">
            <v>RFL</v>
          </cell>
          <cell r="O229" t="str">
            <v>Renta Fija Local</v>
          </cell>
          <cell r="P229" t="str">
            <v>AAA ; AAA</v>
          </cell>
          <cell r="Q229" t="str">
            <v>Corto</v>
          </cell>
          <cell r="R229" t="str">
            <v>Corporativo Bajo Riesgo Corto</v>
          </cell>
          <cell r="S229">
            <v>2.52</v>
          </cell>
          <cell r="T229" t="str">
            <v>AAA</v>
          </cell>
          <cell r="U229" t="str">
            <v>1</v>
          </cell>
          <cell r="V229" t="str">
            <v>Bajo Riesgo</v>
          </cell>
          <cell r="W229" t="str">
            <v>Corporativo</v>
          </cell>
          <cell r="X229" t="str">
            <v>Bajo Riesgo Corto UF</v>
          </cell>
          <cell r="Y229" t="str">
            <v>Corporativo Bajo Riesgo Corto</v>
          </cell>
          <cell r="Z229" t="str">
            <v>Corto UF</v>
          </cell>
          <cell r="AA229" t="str">
            <v>Corporativo Corto</v>
          </cell>
          <cell r="AB229" t="str">
            <v>Corporativo UF</v>
          </cell>
          <cell r="AC229" t="str">
            <v>Instrumentos de Deuda</v>
          </cell>
          <cell r="AD229" t="str">
            <v>Financieras</v>
          </cell>
          <cell r="AE229" t="str">
            <v>Bono Banco Santander Serie R1</v>
          </cell>
          <cell r="AF229" t="str">
            <v>Banco Santander</v>
          </cell>
        </row>
        <row r="230">
          <cell r="C230" t="str">
            <v>BBNS-L0511</v>
          </cell>
          <cell r="D230" t="str">
            <v>BBSCOTIABA</v>
          </cell>
          <cell r="E230">
            <v>166580113</v>
          </cell>
          <cell r="F230">
            <v>6000</v>
          </cell>
          <cell r="G230">
            <v>5.679E-3</v>
          </cell>
          <cell r="H230">
            <v>2.54</v>
          </cell>
          <cell r="I230" t="str">
            <v>2021-05-01</v>
          </cell>
          <cell r="J230">
            <v>1619</v>
          </cell>
          <cell r="K230">
            <v>4.12</v>
          </cell>
          <cell r="L230">
            <v>105.32</v>
          </cell>
          <cell r="M230" t="str">
            <v>UF</v>
          </cell>
          <cell r="N230" t="str">
            <v>RFL</v>
          </cell>
          <cell r="O230" t="str">
            <v>Renta Fija Local</v>
          </cell>
          <cell r="P230" t="str">
            <v>AAA ; AAA</v>
          </cell>
          <cell r="Q230" t="str">
            <v>Corto</v>
          </cell>
          <cell r="R230" t="str">
            <v>Corporativo Bajo Riesgo Corto</v>
          </cell>
          <cell r="S230">
            <v>2.54</v>
          </cell>
          <cell r="T230" t="str">
            <v>AAA</v>
          </cell>
          <cell r="U230" t="str">
            <v>1</v>
          </cell>
          <cell r="V230" t="str">
            <v>Bajo Riesgo</v>
          </cell>
          <cell r="W230" t="str">
            <v>Corporativo</v>
          </cell>
          <cell r="X230" t="str">
            <v>Bajo Riesgo Corto UF</v>
          </cell>
          <cell r="Y230" t="str">
            <v>Corporativo Bajo Riesgo Corto</v>
          </cell>
          <cell r="Z230" t="str">
            <v>Corto UF</v>
          </cell>
          <cell r="AA230" t="str">
            <v>Corporativo Corto</v>
          </cell>
          <cell r="AB230" t="str">
            <v>Corporativo UF</v>
          </cell>
          <cell r="AC230" t="str">
            <v>Instrumentos de Deuda</v>
          </cell>
          <cell r="AD230" t="str">
            <v>Financieras</v>
          </cell>
          <cell r="AE230" t="str">
            <v>Bono Scotiabank Serie L</v>
          </cell>
          <cell r="AF230" t="str">
            <v>Scotiabank</v>
          </cell>
        </row>
        <row r="231">
          <cell r="C231" t="str">
            <v>BANOR-B2</v>
          </cell>
          <cell r="D231" t="str">
            <v>AUTONORTE</v>
          </cell>
          <cell r="E231">
            <v>312333186</v>
          </cell>
          <cell r="F231">
            <v>10000</v>
          </cell>
          <cell r="G231">
            <v>1.0647999999999999E-2</v>
          </cell>
          <cell r="H231">
            <v>2.5499999999999998</v>
          </cell>
          <cell r="I231" t="str">
            <v>2024-12-30</v>
          </cell>
          <cell r="J231">
            <v>2958</v>
          </cell>
          <cell r="K231">
            <v>4.18</v>
          </cell>
          <cell r="L231">
            <v>113.24</v>
          </cell>
          <cell r="M231" t="str">
            <v>UF</v>
          </cell>
          <cell r="N231" t="str">
            <v>RFL</v>
          </cell>
          <cell r="O231" t="str">
            <v>Renta Fija Local</v>
          </cell>
          <cell r="P231" t="str">
            <v>AAA ; AA+</v>
          </cell>
          <cell r="Q231" t="str">
            <v>Corto</v>
          </cell>
          <cell r="R231" t="str">
            <v>Corporativo Bajo Riesgo Corto</v>
          </cell>
          <cell r="S231">
            <v>2.5499999999999998</v>
          </cell>
          <cell r="T231" t="str">
            <v>AA+</v>
          </cell>
          <cell r="U231" t="str">
            <v>2</v>
          </cell>
          <cell r="V231" t="str">
            <v>Bajo Riesgo</v>
          </cell>
          <cell r="W231" t="str">
            <v>Corporativo</v>
          </cell>
          <cell r="X231" t="str">
            <v>Bajo Riesgo Corto UF</v>
          </cell>
          <cell r="Y231" t="str">
            <v>Corporativo Bajo Riesgo Corto</v>
          </cell>
          <cell r="Z231" t="str">
            <v>Corto UF</v>
          </cell>
          <cell r="AA231" t="str">
            <v>Corporativo Corto</v>
          </cell>
          <cell r="AB231" t="str">
            <v>Corporativo UF</v>
          </cell>
          <cell r="AC231" t="str">
            <v>Instrumentos de Deuda</v>
          </cell>
          <cell r="AD231" t="str">
            <v>Otros</v>
          </cell>
          <cell r="AE231" t="str">
            <v>Autopista Norte Serie B2</v>
          </cell>
          <cell r="AF231" t="str">
            <v>Soc. Conc. Vespucio Norte Express S.A.</v>
          </cell>
        </row>
        <row r="232">
          <cell r="C232" t="str">
            <v>BBBVJ71215</v>
          </cell>
          <cell r="D232" t="str">
            <v>BBBVA</v>
          </cell>
          <cell r="E232">
            <v>271442900</v>
          </cell>
          <cell r="F232">
            <v>10000</v>
          </cell>
          <cell r="G232">
            <v>9.2540000000000001E-3</v>
          </cell>
          <cell r="H232">
            <v>2.56</v>
          </cell>
          <cell r="I232" t="str">
            <v>2021-06-09</v>
          </cell>
          <cell r="J232">
            <v>1658</v>
          </cell>
          <cell r="K232">
            <v>4.2300000000000004</v>
          </cell>
          <cell r="L232">
            <v>101.82</v>
          </cell>
          <cell r="M232" t="str">
            <v>UF</v>
          </cell>
          <cell r="N232" t="str">
            <v>RFL</v>
          </cell>
          <cell r="O232" t="str">
            <v>Renta Fija Local</v>
          </cell>
          <cell r="P232" t="str">
            <v>AA+ ; AA</v>
          </cell>
          <cell r="Q232" t="str">
            <v>Corto</v>
          </cell>
          <cell r="R232" t="str">
            <v>Corporativo Bajo Riesgo Corto</v>
          </cell>
          <cell r="S232">
            <v>2.56</v>
          </cell>
          <cell r="T232" t="str">
            <v>AA</v>
          </cell>
          <cell r="U232" t="str">
            <v>3</v>
          </cell>
          <cell r="V232" t="str">
            <v>Bajo Riesgo</v>
          </cell>
          <cell r="W232" t="str">
            <v>Corporativo</v>
          </cell>
          <cell r="X232" t="str">
            <v>Bajo Riesgo Corto UF</v>
          </cell>
          <cell r="Y232" t="str">
            <v>Corporativo Bajo Riesgo Corto</v>
          </cell>
          <cell r="Z232" t="str">
            <v>Corto UF</v>
          </cell>
          <cell r="AA232" t="str">
            <v>Corporativo Corto</v>
          </cell>
          <cell r="AB232" t="str">
            <v>Corporativo UF</v>
          </cell>
          <cell r="AC232" t="str">
            <v>Instrumentos de Deuda</v>
          </cell>
          <cell r="AD232" t="str">
            <v>Financieras</v>
          </cell>
          <cell r="AE232" t="str">
            <v>Bono BBVA Serie J7</v>
          </cell>
          <cell r="AF232" t="str">
            <v>BBVA</v>
          </cell>
        </row>
        <row r="233">
          <cell r="C233" t="str">
            <v>BCHIAO0713</v>
          </cell>
          <cell r="D233" t="str">
            <v>BBCHILE</v>
          </cell>
          <cell r="E233">
            <v>55298972</v>
          </cell>
          <cell r="F233">
            <v>2000</v>
          </cell>
          <cell r="G233">
            <v>1.885E-3</v>
          </cell>
          <cell r="H233">
            <v>2.5099999999999998</v>
          </cell>
          <cell r="I233" t="str">
            <v>2021-07-01</v>
          </cell>
          <cell r="J233">
            <v>1680</v>
          </cell>
          <cell r="K233">
            <v>4.25</v>
          </cell>
          <cell r="L233">
            <v>103.73</v>
          </cell>
          <cell r="M233" t="str">
            <v>UF</v>
          </cell>
          <cell r="N233" t="str">
            <v>RFL</v>
          </cell>
          <cell r="O233" t="str">
            <v>Renta Fija Local</v>
          </cell>
          <cell r="P233" t="str">
            <v>AAA ; AAA</v>
          </cell>
          <cell r="Q233" t="str">
            <v>Corto</v>
          </cell>
          <cell r="R233" t="str">
            <v>Corporativo Bajo Riesgo Corto</v>
          </cell>
          <cell r="S233">
            <v>2.5099999999999998</v>
          </cell>
          <cell r="T233" t="str">
            <v>AAA</v>
          </cell>
          <cell r="U233" t="str">
            <v>1</v>
          </cell>
          <cell r="V233" t="str">
            <v>Bajo Riesgo</v>
          </cell>
          <cell r="W233" t="str">
            <v>Corporativo</v>
          </cell>
          <cell r="X233" t="str">
            <v>Bajo Riesgo Corto UF</v>
          </cell>
          <cell r="Y233" t="str">
            <v>Corporativo Bajo Riesgo Corto</v>
          </cell>
          <cell r="Z233" t="str">
            <v>Corto UF</v>
          </cell>
          <cell r="AA233" t="str">
            <v>Corporativo Corto</v>
          </cell>
          <cell r="AB233" t="str">
            <v>Corporativo UF</v>
          </cell>
          <cell r="AC233" t="str">
            <v>Instrumentos de Deuda</v>
          </cell>
          <cell r="AD233" t="str">
            <v>Financieras</v>
          </cell>
          <cell r="AE233" t="str">
            <v>Bono Banco Chile Serie Ao</v>
          </cell>
          <cell r="AF233" t="str">
            <v>Banco de Chile</v>
          </cell>
        </row>
        <row r="234">
          <cell r="C234" t="str">
            <v>BBBVM50714</v>
          </cell>
          <cell r="D234" t="str">
            <v>BBBVA</v>
          </cell>
          <cell r="E234">
            <v>324161917</v>
          </cell>
          <cell r="F234">
            <v>12000</v>
          </cell>
          <cell r="G234">
            <v>1.1051E-2</v>
          </cell>
          <cell r="H234">
            <v>2.64</v>
          </cell>
          <cell r="I234" t="str">
            <v>2021-07-01</v>
          </cell>
          <cell r="J234">
            <v>1680</v>
          </cell>
          <cell r="K234">
            <v>4.29</v>
          </cell>
          <cell r="L234">
            <v>101.5</v>
          </cell>
          <cell r="M234" t="str">
            <v>UF</v>
          </cell>
          <cell r="N234" t="str">
            <v>RFL</v>
          </cell>
          <cell r="O234" t="str">
            <v>Renta Fija Local</v>
          </cell>
          <cell r="P234" t="str">
            <v>AA ; AA+</v>
          </cell>
          <cell r="Q234" t="str">
            <v>Corto</v>
          </cell>
          <cell r="R234" t="str">
            <v>Corporativo Bajo Riesgo Corto</v>
          </cell>
          <cell r="S234">
            <v>2.64</v>
          </cell>
          <cell r="T234" t="str">
            <v>AA</v>
          </cell>
          <cell r="U234" t="str">
            <v>3</v>
          </cell>
          <cell r="V234" t="str">
            <v>Bajo Riesgo</v>
          </cell>
          <cell r="W234" t="str">
            <v>Corporativo</v>
          </cell>
          <cell r="X234" t="str">
            <v>Bajo Riesgo Corto UF</v>
          </cell>
          <cell r="Y234" t="str">
            <v>Corporativo Bajo Riesgo Corto</v>
          </cell>
          <cell r="Z234" t="str">
            <v>Corto UF</v>
          </cell>
          <cell r="AA234" t="str">
            <v>Corporativo Corto</v>
          </cell>
          <cell r="AB234" t="str">
            <v>Corporativo UF</v>
          </cell>
          <cell r="AC234" t="str">
            <v>Instrumentos de Deuda</v>
          </cell>
          <cell r="AD234" t="str">
            <v>Financieras</v>
          </cell>
          <cell r="AE234" t="str">
            <v>Bono Bancario Bbva Serie M5</v>
          </cell>
          <cell r="AF234" t="str">
            <v>BBVA</v>
          </cell>
        </row>
        <row r="235">
          <cell r="C235" t="str">
            <v>BCORAJ0710</v>
          </cell>
          <cell r="D235" t="str">
            <v>BBCORPBANC</v>
          </cell>
          <cell r="E235">
            <v>135318765</v>
          </cell>
          <cell r="F235">
            <v>5000</v>
          </cell>
          <cell r="G235">
            <v>4.6129999999999999E-3</v>
          </cell>
          <cell r="H235">
            <v>2.62</v>
          </cell>
          <cell r="I235" t="str">
            <v>2021-07-01</v>
          </cell>
          <cell r="J235">
            <v>1680</v>
          </cell>
          <cell r="K235">
            <v>4.29</v>
          </cell>
          <cell r="L235">
            <v>101.68</v>
          </cell>
          <cell r="M235" t="str">
            <v>UF</v>
          </cell>
          <cell r="N235" t="str">
            <v>RFL</v>
          </cell>
          <cell r="O235" t="str">
            <v>Renta Fija Local</v>
          </cell>
          <cell r="P235" t="str">
            <v>AA ; AA</v>
          </cell>
          <cell r="Q235" t="str">
            <v>Corto</v>
          </cell>
          <cell r="R235" t="str">
            <v>Corporativo Bajo Riesgo Corto</v>
          </cell>
          <cell r="S235">
            <v>2.62</v>
          </cell>
          <cell r="T235" t="str">
            <v>AA</v>
          </cell>
          <cell r="U235" t="str">
            <v>3</v>
          </cell>
          <cell r="V235" t="str">
            <v>Bajo Riesgo</v>
          </cell>
          <cell r="W235" t="str">
            <v>Corporativo</v>
          </cell>
          <cell r="X235" t="str">
            <v>Bajo Riesgo Corto UF</v>
          </cell>
          <cell r="Y235" t="str">
            <v>Corporativo Bajo Riesgo Corto</v>
          </cell>
          <cell r="Z235" t="str">
            <v>Corto UF</v>
          </cell>
          <cell r="AA235" t="str">
            <v>Corporativo Corto</v>
          </cell>
          <cell r="AB235" t="str">
            <v>Corporativo UF</v>
          </cell>
          <cell r="AC235" t="str">
            <v>Instrumentos de Deuda</v>
          </cell>
          <cell r="AD235" t="str">
            <v>Financieras</v>
          </cell>
          <cell r="AE235" t="str">
            <v>Bono Corpbanca Serie Aj</v>
          </cell>
          <cell r="AF235" t="str">
            <v>Itau/Corpbanca</v>
          </cell>
        </row>
        <row r="236">
          <cell r="C236" t="str">
            <v>BTMOV-K</v>
          </cell>
          <cell r="D236" t="str">
            <v>MOVISTAR</v>
          </cell>
          <cell r="E236">
            <v>199789681</v>
          </cell>
          <cell r="F236">
            <v>200000000</v>
          </cell>
          <cell r="G236">
            <v>6.8110000000000002E-3</v>
          </cell>
          <cell r="H236">
            <v>5.15</v>
          </cell>
          <cell r="I236" t="str">
            <v>2021-09-13</v>
          </cell>
          <cell r="J236">
            <v>1754</v>
          </cell>
          <cell r="K236">
            <v>4.3</v>
          </cell>
          <cell r="L236">
            <v>98.97</v>
          </cell>
          <cell r="M236" t="str">
            <v>$</v>
          </cell>
          <cell r="N236" t="str">
            <v>RFL</v>
          </cell>
          <cell r="O236" t="str">
            <v>Renta Fija Local</v>
          </cell>
          <cell r="P236" t="str">
            <v>AA+ ; AA</v>
          </cell>
          <cell r="Q236" t="str">
            <v>Corto</v>
          </cell>
          <cell r="R236" t="str">
            <v>Corporativo Bajo Riesgo Corto</v>
          </cell>
          <cell r="S236">
            <v>2.15</v>
          </cell>
          <cell r="T236" t="str">
            <v>AA</v>
          </cell>
          <cell r="U236" t="str">
            <v>3</v>
          </cell>
          <cell r="V236" t="str">
            <v>Bajo Riesgo</v>
          </cell>
          <cell r="W236" t="str">
            <v>Corporativo</v>
          </cell>
          <cell r="X236" t="str">
            <v>Bajo Riesgo Corto $</v>
          </cell>
          <cell r="Y236" t="str">
            <v>Corporativo Bajo Riesgo Corto</v>
          </cell>
          <cell r="Z236" t="str">
            <v>Corto $</v>
          </cell>
          <cell r="AA236" t="str">
            <v>Corporativo Corto</v>
          </cell>
          <cell r="AB236" t="str">
            <v>Corporativo $</v>
          </cell>
          <cell r="AC236"/>
          <cell r="AD236"/>
          <cell r="AE236"/>
          <cell r="AF236" t="str">
            <v>Movistar</v>
          </cell>
        </row>
        <row r="237">
          <cell r="C237" t="str">
            <v>BCHIAP0213</v>
          </cell>
          <cell r="D237" t="str">
            <v>BBCHILE</v>
          </cell>
          <cell r="E237">
            <v>27763467</v>
          </cell>
          <cell r="F237">
            <v>1000</v>
          </cell>
          <cell r="G237">
            <v>9.4600000000000001E-4</v>
          </cell>
          <cell r="H237">
            <v>2.57</v>
          </cell>
          <cell r="I237" t="str">
            <v>2021-08-01</v>
          </cell>
          <cell r="J237">
            <v>1711</v>
          </cell>
          <cell r="K237">
            <v>4.32</v>
          </cell>
          <cell r="L237">
            <v>104.4</v>
          </cell>
          <cell r="M237" t="str">
            <v>UF</v>
          </cell>
          <cell r="N237" t="str">
            <v>RFL</v>
          </cell>
          <cell r="O237" t="str">
            <v>Renta Fija Local</v>
          </cell>
          <cell r="P237" t="str">
            <v>AAA ; AAA</v>
          </cell>
          <cell r="Q237" t="str">
            <v>Corto</v>
          </cell>
          <cell r="R237" t="str">
            <v>Corporativo Bajo Riesgo Corto</v>
          </cell>
          <cell r="S237">
            <v>2.57</v>
          </cell>
          <cell r="T237" t="str">
            <v>AAA</v>
          </cell>
          <cell r="U237" t="str">
            <v>1</v>
          </cell>
          <cell r="V237" t="str">
            <v>Bajo Riesgo</v>
          </cell>
          <cell r="W237" t="str">
            <v>Corporativo</v>
          </cell>
          <cell r="X237" t="str">
            <v>Bajo Riesgo Corto UF</v>
          </cell>
          <cell r="Y237" t="str">
            <v>Corporativo Bajo Riesgo Corto</v>
          </cell>
          <cell r="Z237" t="str">
            <v>Corto UF</v>
          </cell>
          <cell r="AA237" t="str">
            <v>Corporativo Corto</v>
          </cell>
          <cell r="AB237" t="str">
            <v>Corporativo UF</v>
          </cell>
          <cell r="AC237" t="str">
            <v>Instrumentos de Deuda</v>
          </cell>
          <cell r="AD237" t="str">
            <v>Financieras</v>
          </cell>
          <cell r="AE237" t="str">
            <v>Bono Banco Chile Serie Ap</v>
          </cell>
          <cell r="AF237" t="str">
            <v>Banco de Chile</v>
          </cell>
        </row>
        <row r="238">
          <cell r="C238" t="str">
            <v>BINDE-A</v>
          </cell>
          <cell r="D238" t="str">
            <v>CFIRENTAS</v>
          </cell>
          <cell r="E238">
            <v>526196794</v>
          </cell>
          <cell r="F238">
            <v>20000</v>
          </cell>
          <cell r="G238">
            <v>1.7939E-2</v>
          </cell>
          <cell r="H238">
            <v>2.48</v>
          </cell>
          <cell r="I238" t="str">
            <v>2021-07-15</v>
          </cell>
          <cell r="J238">
            <v>1694</v>
          </cell>
          <cell r="K238">
            <v>4.3899999999999997</v>
          </cell>
          <cell r="L238">
            <v>99.23</v>
          </cell>
          <cell r="M238" t="str">
            <v>UF</v>
          </cell>
          <cell r="N238" t="str">
            <v>RFL</v>
          </cell>
          <cell r="O238" t="str">
            <v>Renta Fija Local</v>
          </cell>
          <cell r="P238" t="str">
            <v>AA- ; AA-</v>
          </cell>
          <cell r="Q238" t="str">
            <v>Corto</v>
          </cell>
          <cell r="R238" t="str">
            <v>Corporativo Bajo Riesgo Corto</v>
          </cell>
          <cell r="S238">
            <v>2.48</v>
          </cell>
          <cell r="T238" t="str">
            <v>AA-</v>
          </cell>
          <cell r="U238" t="str">
            <v>4</v>
          </cell>
          <cell r="V238" t="str">
            <v>Bajo Riesgo</v>
          </cell>
          <cell r="W238" t="str">
            <v>Corporativo</v>
          </cell>
          <cell r="X238" t="str">
            <v>Bajo Riesgo Corto UF</v>
          </cell>
          <cell r="Y238" t="str">
            <v>Corporativo Bajo Riesgo Corto</v>
          </cell>
          <cell r="Z238" t="str">
            <v>Corto UF</v>
          </cell>
          <cell r="AA238" t="str">
            <v>Corporativo Corto</v>
          </cell>
          <cell r="AB238" t="str">
            <v>Corporativo UF</v>
          </cell>
          <cell r="AC238"/>
          <cell r="AD238"/>
          <cell r="AE238"/>
          <cell r="AF238"/>
        </row>
        <row r="239">
          <cell r="C239" t="str">
            <v>BBCIE20811</v>
          </cell>
          <cell r="D239" t="str">
            <v>BBCREDITO</v>
          </cell>
          <cell r="E239">
            <v>530176684</v>
          </cell>
          <cell r="F239">
            <v>20000</v>
          </cell>
          <cell r="G239">
            <v>1.8075000000000001E-2</v>
          </cell>
          <cell r="H239">
            <v>2.62</v>
          </cell>
          <cell r="I239" t="str">
            <v>2021-08-01</v>
          </cell>
          <cell r="J239">
            <v>1711</v>
          </cell>
          <cell r="K239">
            <v>4.41</v>
          </cell>
          <cell r="L239">
            <v>99.98</v>
          </cell>
          <cell r="M239" t="str">
            <v>UF</v>
          </cell>
          <cell r="N239" t="str">
            <v>RFL</v>
          </cell>
          <cell r="O239" t="str">
            <v>Renta Fija Local</v>
          </cell>
          <cell r="P239" t="str">
            <v>AA+ ; AA+</v>
          </cell>
          <cell r="Q239" t="str">
            <v>Corto</v>
          </cell>
          <cell r="R239" t="str">
            <v>Corporativo Bajo Riesgo Corto</v>
          </cell>
          <cell r="S239">
            <v>2.62</v>
          </cell>
          <cell r="T239" t="str">
            <v>AA+</v>
          </cell>
          <cell r="U239" t="str">
            <v>2</v>
          </cell>
          <cell r="V239" t="str">
            <v>Bajo Riesgo</v>
          </cell>
          <cell r="W239" t="str">
            <v>Corporativo</v>
          </cell>
          <cell r="X239" t="str">
            <v>Bajo Riesgo Corto UF</v>
          </cell>
          <cell r="Y239" t="str">
            <v>Corporativo Bajo Riesgo Corto</v>
          </cell>
          <cell r="Z239" t="str">
            <v>Corto UF</v>
          </cell>
          <cell r="AA239" t="str">
            <v>Corporativo Corto</v>
          </cell>
          <cell r="AB239" t="str">
            <v>Corporativo UF</v>
          </cell>
          <cell r="AC239" t="str">
            <v>Instrumentos de Deuda</v>
          </cell>
          <cell r="AD239" t="str">
            <v>Financieras</v>
          </cell>
          <cell r="AE239" t="str">
            <v>Bono Bci Serie Ag</v>
          </cell>
          <cell r="AF239" t="str">
            <v>BCI</v>
          </cell>
        </row>
        <row r="240">
          <cell r="C240" t="str">
            <v>BITA-K0911</v>
          </cell>
          <cell r="D240" t="str">
            <v>BBITAU</v>
          </cell>
          <cell r="E240">
            <v>137256627</v>
          </cell>
          <cell r="F240">
            <v>5000</v>
          </cell>
          <cell r="G240">
            <v>4.679E-3</v>
          </cell>
          <cell r="H240">
            <v>2.68</v>
          </cell>
          <cell r="I240" t="str">
            <v>2021-09-01</v>
          </cell>
          <cell r="J240">
            <v>1742</v>
          </cell>
          <cell r="K240">
            <v>4.41</v>
          </cell>
          <cell r="L240">
            <v>103.56</v>
          </cell>
          <cell r="M240" t="str">
            <v>UF</v>
          </cell>
          <cell r="N240" t="str">
            <v>RFL</v>
          </cell>
          <cell r="O240" t="str">
            <v>Renta Fija Local</v>
          </cell>
          <cell r="P240" t="str">
            <v>AA ; AA</v>
          </cell>
          <cell r="Q240" t="str">
            <v>Corto</v>
          </cell>
          <cell r="R240" t="str">
            <v>Corporativo Bajo Riesgo Corto</v>
          </cell>
          <cell r="S240">
            <v>2.68</v>
          </cell>
          <cell r="T240" t="str">
            <v>AA</v>
          </cell>
          <cell r="U240" t="str">
            <v>3</v>
          </cell>
          <cell r="V240" t="str">
            <v>Bajo Riesgo</v>
          </cell>
          <cell r="W240" t="str">
            <v>Corporativo</v>
          </cell>
          <cell r="X240" t="str">
            <v>Bajo Riesgo Corto UF</v>
          </cell>
          <cell r="Y240" t="str">
            <v>Corporativo Bajo Riesgo Corto</v>
          </cell>
          <cell r="Z240" t="str">
            <v>Corto UF</v>
          </cell>
          <cell r="AA240" t="str">
            <v>Corporativo Corto</v>
          </cell>
          <cell r="AB240" t="str">
            <v>Corporativo UF</v>
          </cell>
          <cell r="AC240" t="str">
            <v>Instrumentos de Deuda</v>
          </cell>
          <cell r="AD240" t="str">
            <v>Financieras</v>
          </cell>
          <cell r="AE240" t="str">
            <v>Bono Banco Itau Serie K</v>
          </cell>
          <cell r="AF240" t="str">
            <v>Itau/Corpbanca</v>
          </cell>
        </row>
        <row r="241">
          <cell r="C241" t="str">
            <v>BSECK21111</v>
          </cell>
          <cell r="D241" t="str">
            <v>BBSECURITY</v>
          </cell>
          <cell r="E241">
            <v>108687744</v>
          </cell>
          <cell r="F241">
            <v>4000</v>
          </cell>
          <cell r="G241">
            <v>3.705E-3</v>
          </cell>
          <cell r="H241">
            <v>2.59</v>
          </cell>
          <cell r="I241" t="str">
            <v>2021-11-01</v>
          </cell>
          <cell r="J241">
            <v>1803</v>
          </cell>
          <cell r="K241">
            <v>4.5999999999999996</v>
          </cell>
          <cell r="L241">
            <v>103.11</v>
          </cell>
          <cell r="M241" t="str">
            <v>UF</v>
          </cell>
          <cell r="N241" t="str">
            <v>RFL</v>
          </cell>
          <cell r="O241" t="str">
            <v>Renta Fija Local</v>
          </cell>
          <cell r="P241" t="str">
            <v>AA- ; AA</v>
          </cell>
          <cell r="Q241" t="str">
            <v>Largo</v>
          </cell>
          <cell r="R241" t="str">
            <v>Corporativo Bajo Riesgo Largo</v>
          </cell>
          <cell r="S241">
            <v>2.59</v>
          </cell>
          <cell r="T241" t="str">
            <v>AA-</v>
          </cell>
          <cell r="U241" t="str">
            <v>4</v>
          </cell>
          <cell r="V241" t="str">
            <v>Bajo Riesgo</v>
          </cell>
          <cell r="W241" t="str">
            <v>Corporativo</v>
          </cell>
          <cell r="X241" t="str">
            <v>Bajo Riesgo Largo UF</v>
          </cell>
          <cell r="Y241" t="str">
            <v>Corporativo Bajo Riesgo Largo</v>
          </cell>
          <cell r="Z241" t="str">
            <v>Largo UF</v>
          </cell>
          <cell r="AA241" t="str">
            <v>Corporativo Largo</v>
          </cell>
          <cell r="AB241" t="str">
            <v>Corporativo UF</v>
          </cell>
          <cell r="AC241" t="str">
            <v>Instrumentos de Deuda</v>
          </cell>
          <cell r="AD241" t="str">
            <v>Financieras</v>
          </cell>
          <cell r="AE241" t="str">
            <v>Bono Bancario Security Serie K2</v>
          </cell>
          <cell r="AF241" t="str">
            <v>Banco Security</v>
          </cell>
        </row>
        <row r="242">
          <cell r="C242" t="str">
            <v>BBIC530312</v>
          </cell>
          <cell r="D242" t="str">
            <v>BBICE</v>
          </cell>
          <cell r="E242">
            <v>81282553</v>
          </cell>
          <cell r="F242">
            <v>3000</v>
          </cell>
          <cell r="G242">
            <v>2.771E-3</v>
          </cell>
          <cell r="H242">
            <v>2.54</v>
          </cell>
          <cell r="I242" t="str">
            <v>2022-03-01</v>
          </cell>
          <cell r="J242">
            <v>1923</v>
          </cell>
          <cell r="K242">
            <v>4.8899999999999997</v>
          </cell>
          <cell r="L242">
            <v>102.32</v>
          </cell>
          <cell r="M242" t="str">
            <v>UF</v>
          </cell>
          <cell r="N242" t="str">
            <v>RFL</v>
          </cell>
          <cell r="O242" t="str">
            <v>Renta Fija Local</v>
          </cell>
          <cell r="P242" t="str">
            <v>AA ; AA</v>
          </cell>
          <cell r="Q242" t="str">
            <v>Largo</v>
          </cell>
          <cell r="R242" t="str">
            <v>Corporativo Bajo Riesgo Largo</v>
          </cell>
          <cell r="S242">
            <v>2.54</v>
          </cell>
          <cell r="T242" t="str">
            <v>AA</v>
          </cell>
          <cell r="U242" t="str">
            <v>3</v>
          </cell>
          <cell r="V242" t="str">
            <v>Bajo Riesgo</v>
          </cell>
          <cell r="W242" t="str">
            <v>Corporativo</v>
          </cell>
          <cell r="X242" t="str">
            <v>Bajo Riesgo Largo UF</v>
          </cell>
          <cell r="Y242" t="str">
            <v>Corporativo Bajo Riesgo Largo</v>
          </cell>
          <cell r="Z242" t="str">
            <v>Largo UF</v>
          </cell>
          <cell r="AA242" t="str">
            <v>Corporativo Largo</v>
          </cell>
          <cell r="AB242" t="str">
            <v>Corporativo UF</v>
          </cell>
          <cell r="AC242" t="str">
            <v>Instrumentos de Deuda</v>
          </cell>
          <cell r="AD242" t="str">
            <v>Financieras</v>
          </cell>
          <cell r="AE242" t="str">
            <v>Bono Banco Bice Serie 53</v>
          </cell>
          <cell r="AF242" t="str">
            <v>BICE</v>
          </cell>
        </row>
        <row r="243">
          <cell r="C243" t="str">
            <v>BBNS-M0412</v>
          </cell>
          <cell r="D243" t="str">
            <v>BBSCOTIABA</v>
          </cell>
          <cell r="E243">
            <v>221263415</v>
          </cell>
          <cell r="F243">
            <v>8000</v>
          </cell>
          <cell r="G243">
            <v>7.5430000000000002E-3</v>
          </cell>
          <cell r="H243">
            <v>2.58</v>
          </cell>
          <cell r="I243" t="str">
            <v>2022-04-01</v>
          </cell>
          <cell r="J243">
            <v>1954</v>
          </cell>
          <cell r="K243">
            <v>4.92</v>
          </cell>
          <cell r="L243">
            <v>104.63</v>
          </cell>
          <cell r="M243" t="str">
            <v>UF</v>
          </cell>
          <cell r="N243" t="str">
            <v>RFL</v>
          </cell>
          <cell r="O243" t="str">
            <v>Renta Fija Local</v>
          </cell>
          <cell r="P243" t="str">
            <v>AAA ; AAA</v>
          </cell>
          <cell r="Q243" t="str">
            <v>Largo</v>
          </cell>
          <cell r="R243" t="str">
            <v>Corporativo Bajo Riesgo Largo</v>
          </cell>
          <cell r="S243">
            <v>2.58</v>
          </cell>
          <cell r="T243" t="str">
            <v>AAA</v>
          </cell>
          <cell r="U243" t="str">
            <v>1</v>
          </cell>
          <cell r="V243" t="str">
            <v>Bajo Riesgo</v>
          </cell>
          <cell r="W243" t="str">
            <v>Corporativo</v>
          </cell>
          <cell r="X243" t="str">
            <v>Bajo Riesgo Largo UF</v>
          </cell>
          <cell r="Y243" t="str">
            <v>Corporativo Bajo Riesgo Largo</v>
          </cell>
          <cell r="Z243" t="str">
            <v>Largo UF</v>
          </cell>
          <cell r="AA243" t="str">
            <v>Corporativo Largo</v>
          </cell>
          <cell r="AB243" t="str">
            <v>Corporativo UF</v>
          </cell>
          <cell r="AC243" t="str">
            <v>Instrumentos de Deuda</v>
          </cell>
          <cell r="AD243" t="str">
            <v>Financieras</v>
          </cell>
          <cell r="AE243" t="str">
            <v>Bono Scotiabank Serie M</v>
          </cell>
          <cell r="AF243" t="str">
            <v>Scotiabank</v>
          </cell>
        </row>
        <row r="244">
          <cell r="C244" t="str">
            <v>BSTDE60412</v>
          </cell>
          <cell r="D244" t="str">
            <v>BBSANT-CHI</v>
          </cell>
          <cell r="E244">
            <v>27710795</v>
          </cell>
          <cell r="F244">
            <v>1000</v>
          </cell>
          <cell r="G244">
            <v>9.4399999999999996E-4</v>
          </cell>
          <cell r="H244">
            <v>2.54</v>
          </cell>
          <cell r="I244" t="str">
            <v>2022-04-01</v>
          </cell>
          <cell r="J244">
            <v>1954</v>
          </cell>
          <cell r="K244">
            <v>4.92</v>
          </cell>
          <cell r="L244">
            <v>104.83</v>
          </cell>
          <cell r="M244" t="str">
            <v>UF</v>
          </cell>
          <cell r="N244" t="str">
            <v>RFL</v>
          </cell>
          <cell r="O244" t="str">
            <v>Renta Fija Local</v>
          </cell>
          <cell r="P244" t="str">
            <v>AAA ; AAA</v>
          </cell>
          <cell r="Q244" t="str">
            <v>Largo</v>
          </cell>
          <cell r="R244" t="str">
            <v>Corporativo Bajo Riesgo Largo</v>
          </cell>
          <cell r="S244">
            <v>2.54</v>
          </cell>
          <cell r="T244" t="str">
            <v>AAA</v>
          </cell>
          <cell r="U244" t="str">
            <v>1</v>
          </cell>
          <cell r="V244" t="str">
            <v>Bajo Riesgo</v>
          </cell>
          <cell r="W244" t="str">
            <v>Corporativo</v>
          </cell>
          <cell r="X244" t="str">
            <v>Bajo Riesgo Largo UF</v>
          </cell>
          <cell r="Y244" t="str">
            <v>Corporativo Bajo Riesgo Largo</v>
          </cell>
          <cell r="Z244" t="str">
            <v>Largo UF</v>
          </cell>
          <cell r="AA244" t="str">
            <v>Corporativo Largo</v>
          </cell>
          <cell r="AB244" t="str">
            <v>Corporativo UF</v>
          </cell>
          <cell r="AC244" t="str">
            <v>Instrumentos de Deuda</v>
          </cell>
          <cell r="AD244" t="str">
            <v>Financieras</v>
          </cell>
          <cell r="AE244" t="str">
            <v>Bono Banco Santander Serie E6</v>
          </cell>
          <cell r="AF244" t="str">
            <v>Banco Santander</v>
          </cell>
        </row>
        <row r="245">
          <cell r="C245" t="str">
            <v>BJUMB-B2</v>
          </cell>
          <cell r="D245" t="str">
            <v>JUMBO</v>
          </cell>
          <cell r="E245">
            <v>241968686</v>
          </cell>
          <cell r="F245">
            <v>10000</v>
          </cell>
          <cell r="G245">
            <v>8.2489999999999994E-3</v>
          </cell>
          <cell r="H245">
            <v>2.86</v>
          </cell>
          <cell r="I245" t="str">
            <v>2026-09-01</v>
          </cell>
          <cell r="J245">
            <v>3568</v>
          </cell>
          <cell r="K245">
            <v>4.9800000000000004</v>
          </cell>
          <cell r="L245">
            <v>118.31</v>
          </cell>
          <cell r="M245" t="str">
            <v>UF</v>
          </cell>
          <cell r="N245" t="str">
            <v>RFL</v>
          </cell>
          <cell r="O245" t="str">
            <v>Renta Fija Local</v>
          </cell>
          <cell r="P245" t="str">
            <v>AA- ; AA-</v>
          </cell>
          <cell r="Q245" t="str">
            <v>Largo</v>
          </cell>
          <cell r="R245" t="str">
            <v>Corporativo Bajo Riesgo Largo</v>
          </cell>
          <cell r="S245">
            <v>2.86</v>
          </cell>
          <cell r="T245" t="str">
            <v>AA-</v>
          </cell>
          <cell r="U245" t="str">
            <v>4</v>
          </cell>
          <cell r="V245" t="str">
            <v>Bajo Riesgo</v>
          </cell>
          <cell r="W245" t="str">
            <v>Corporativo</v>
          </cell>
          <cell r="X245" t="str">
            <v>Bajo Riesgo Largo UF</v>
          </cell>
          <cell r="Y245" t="str">
            <v>Corporativo Bajo Riesgo Largo</v>
          </cell>
          <cell r="Z245" t="str">
            <v>Largo UF</v>
          </cell>
          <cell r="AA245" t="str">
            <v>Corporativo Largo</v>
          </cell>
          <cell r="AB245" t="str">
            <v>Corporativo UF</v>
          </cell>
          <cell r="AC245"/>
          <cell r="AD245"/>
          <cell r="AE245"/>
          <cell r="AF245"/>
        </row>
        <row r="246">
          <cell r="C246" t="str">
            <v>BITAAF0614</v>
          </cell>
          <cell r="D246" t="str">
            <v>BBITAU</v>
          </cell>
          <cell r="E246">
            <v>139507309</v>
          </cell>
          <cell r="F246">
            <v>5000</v>
          </cell>
          <cell r="G246">
            <v>4.7559999999999998E-3</v>
          </cell>
          <cell r="H246">
            <v>2.62</v>
          </cell>
          <cell r="I246" t="str">
            <v>2022-06-01</v>
          </cell>
          <cell r="J246">
            <v>2015</v>
          </cell>
          <cell r="K246">
            <v>5</v>
          </cell>
          <cell r="L246">
            <v>104.35</v>
          </cell>
          <cell r="M246" t="str">
            <v>UF</v>
          </cell>
          <cell r="N246" t="str">
            <v>RFL</v>
          </cell>
          <cell r="O246" t="str">
            <v>Renta Fija Local</v>
          </cell>
          <cell r="P246" t="str">
            <v>AA- ; AA</v>
          </cell>
          <cell r="Q246" t="str">
            <v>Largo</v>
          </cell>
          <cell r="R246" t="str">
            <v>Corporativo Bajo Riesgo Largo</v>
          </cell>
          <cell r="S246">
            <v>2.62</v>
          </cell>
          <cell r="T246" t="str">
            <v>AA-</v>
          </cell>
          <cell r="U246" t="str">
            <v>4</v>
          </cell>
          <cell r="V246" t="str">
            <v>Bajo Riesgo</v>
          </cell>
          <cell r="W246" t="str">
            <v>Corporativo</v>
          </cell>
          <cell r="X246" t="str">
            <v>Bajo Riesgo Largo UF</v>
          </cell>
          <cell r="Y246" t="str">
            <v>Corporativo Bajo Riesgo Largo</v>
          </cell>
          <cell r="Z246" t="str">
            <v>Largo UF</v>
          </cell>
          <cell r="AA246" t="str">
            <v>Corporativo Largo</v>
          </cell>
          <cell r="AB246" t="str">
            <v>Corporativo UF</v>
          </cell>
          <cell r="AC246" t="str">
            <v>Instrumentos de Deuda</v>
          </cell>
          <cell r="AD246" t="str">
            <v>Financieras</v>
          </cell>
          <cell r="AE246" t="str">
            <v>Bono Banco Itau Serie Af</v>
          </cell>
          <cell r="AF246" t="str">
            <v>Itau/Corpbanca</v>
          </cell>
        </row>
        <row r="247">
          <cell r="C247" t="str">
            <v>BACEN-A1</v>
          </cell>
          <cell r="D247" t="str">
            <v>AUTOCENTRA</v>
          </cell>
          <cell r="E247">
            <v>279673770</v>
          </cell>
          <cell r="F247">
            <v>10000</v>
          </cell>
          <cell r="G247">
            <v>9.5340000000000008E-3</v>
          </cell>
          <cell r="H247">
            <v>2.71</v>
          </cell>
          <cell r="I247" t="str">
            <v>2026-12-15</v>
          </cell>
          <cell r="J247">
            <v>3673</v>
          </cell>
          <cell r="K247">
            <v>5.0199999999999996</v>
          </cell>
          <cell r="L247">
            <v>112.97</v>
          </cell>
          <cell r="M247" t="str">
            <v>UF</v>
          </cell>
          <cell r="N247" t="str">
            <v>RFL</v>
          </cell>
          <cell r="O247" t="str">
            <v>Renta Fija Local</v>
          </cell>
          <cell r="P247" t="str">
            <v>AA ; AA</v>
          </cell>
          <cell r="Q247" t="str">
            <v>Largo</v>
          </cell>
          <cell r="R247" t="str">
            <v>Corporativo Bajo Riesgo Largo</v>
          </cell>
          <cell r="S247">
            <v>2.71</v>
          </cell>
          <cell r="T247" t="str">
            <v>AA</v>
          </cell>
          <cell r="U247" t="str">
            <v>3</v>
          </cell>
          <cell r="V247" t="str">
            <v>Bajo Riesgo</v>
          </cell>
          <cell r="W247" t="str">
            <v>Corporativo</v>
          </cell>
          <cell r="X247" t="str">
            <v>Bajo Riesgo Largo UF</v>
          </cell>
          <cell r="Y247" t="str">
            <v>Corporativo Bajo Riesgo Largo</v>
          </cell>
          <cell r="Z247" t="str">
            <v>Largo UF</v>
          </cell>
          <cell r="AA247" t="str">
            <v>Corporativo Largo</v>
          </cell>
          <cell r="AB247" t="str">
            <v>Corporativo UF</v>
          </cell>
          <cell r="AC247"/>
          <cell r="AD247"/>
          <cell r="AE247"/>
          <cell r="AF247"/>
        </row>
        <row r="248">
          <cell r="C248" t="str">
            <v>BBNS-N0712</v>
          </cell>
          <cell r="D248" t="str">
            <v>BBSCOTIABA</v>
          </cell>
          <cell r="E248">
            <v>28250737</v>
          </cell>
          <cell r="F248">
            <v>1000</v>
          </cell>
          <cell r="G248">
            <v>9.6299999999999999E-4</v>
          </cell>
          <cell r="H248">
            <v>2.57</v>
          </cell>
          <cell r="I248" t="str">
            <v>2022-07-01</v>
          </cell>
          <cell r="J248">
            <v>2045</v>
          </cell>
          <cell r="K248">
            <v>5.0599999999999996</v>
          </cell>
          <cell r="L248">
            <v>105.85</v>
          </cell>
          <cell r="M248" t="str">
            <v>UF</v>
          </cell>
          <cell r="N248" t="str">
            <v>RFL</v>
          </cell>
          <cell r="O248" t="str">
            <v>Renta Fija Local</v>
          </cell>
          <cell r="P248" t="str">
            <v>AAA ; AAA</v>
          </cell>
          <cell r="Q248" t="str">
            <v>Largo</v>
          </cell>
          <cell r="R248" t="str">
            <v>Corporativo Bajo Riesgo Largo</v>
          </cell>
          <cell r="S248">
            <v>2.57</v>
          </cell>
          <cell r="T248" t="str">
            <v>AAA</v>
          </cell>
          <cell r="U248" t="str">
            <v>1</v>
          </cell>
          <cell r="V248" t="str">
            <v>Bajo Riesgo</v>
          </cell>
          <cell r="W248" t="str">
            <v>Corporativo</v>
          </cell>
          <cell r="X248" t="str">
            <v>Bajo Riesgo Largo UF</v>
          </cell>
          <cell r="Y248" t="str">
            <v>Corporativo Bajo Riesgo Largo</v>
          </cell>
          <cell r="Z248" t="str">
            <v>Largo UF</v>
          </cell>
          <cell r="AA248" t="str">
            <v>Corporativo Largo</v>
          </cell>
          <cell r="AB248" t="str">
            <v>Corporativo UF</v>
          </cell>
          <cell r="AC248" t="str">
            <v>Instrumentos de Deuda</v>
          </cell>
          <cell r="AD248" t="str">
            <v>Financieras</v>
          </cell>
          <cell r="AE248" t="str">
            <v>Bono Scotiabank Serie N</v>
          </cell>
          <cell r="AF248" t="str">
            <v>Scotiabank</v>
          </cell>
        </row>
        <row r="249">
          <cell r="C249" t="str">
            <v>UEST-C0405</v>
          </cell>
          <cell r="D249" t="str">
            <v>BBESTADO</v>
          </cell>
          <cell r="E249">
            <v>307148462</v>
          </cell>
          <cell r="F249">
            <v>15000</v>
          </cell>
          <cell r="G249">
            <v>1.0470999999999999E-2</v>
          </cell>
          <cell r="H249">
            <v>2.52</v>
          </cell>
          <cell r="I249" t="str">
            <v>2027-04-01</v>
          </cell>
          <cell r="J249">
            <v>3780</v>
          </cell>
          <cell r="K249">
            <v>5.13</v>
          </cell>
          <cell r="L249">
            <v>110.11</v>
          </cell>
          <cell r="M249" t="str">
            <v>UF</v>
          </cell>
          <cell r="N249" t="str">
            <v>RFL</v>
          </cell>
          <cell r="O249" t="str">
            <v>Renta Fija Local</v>
          </cell>
          <cell r="P249" t="str">
            <v>AA+ ; AA</v>
          </cell>
          <cell r="Q249" t="str">
            <v>Largo</v>
          </cell>
          <cell r="R249" t="str">
            <v>Corporativo Bajo Riesgo Largo</v>
          </cell>
          <cell r="S249">
            <v>2.52</v>
          </cell>
          <cell r="T249" t="str">
            <v>AA</v>
          </cell>
          <cell r="U249" t="str">
            <v>3</v>
          </cell>
          <cell r="V249" t="str">
            <v>Bajo Riesgo</v>
          </cell>
          <cell r="W249" t="str">
            <v>Corporativo</v>
          </cell>
          <cell r="X249" t="str">
            <v>Bajo Riesgo Largo UF</v>
          </cell>
          <cell r="Y249" t="str">
            <v>Corporativo Bajo Riesgo Largo</v>
          </cell>
          <cell r="Z249" t="str">
            <v>Largo UF</v>
          </cell>
          <cell r="AA249" t="str">
            <v>Corporativo Largo</v>
          </cell>
          <cell r="AB249" t="str">
            <v>Corporativo UF</v>
          </cell>
          <cell r="AC249" t="str">
            <v>Instrumentos de Deuda</v>
          </cell>
          <cell r="AD249" t="str">
            <v>Financieras</v>
          </cell>
          <cell r="AE249" t="str">
            <v>Bono Subordinado Banco Estado Serie C4</v>
          </cell>
          <cell r="AF249" t="str">
            <v>Banco Estado</v>
          </cell>
        </row>
        <row r="250">
          <cell r="C250" t="str">
            <v>BESVA-J</v>
          </cell>
          <cell r="D250" t="str">
            <v>ESVAL</v>
          </cell>
          <cell r="E250">
            <v>33203086</v>
          </cell>
          <cell r="F250">
            <v>2000</v>
          </cell>
          <cell r="G250">
            <v>1.132E-3</v>
          </cell>
          <cell r="H250">
            <v>2.69</v>
          </cell>
          <cell r="I250" t="str">
            <v>2028-03-15</v>
          </cell>
          <cell r="J250">
            <v>4129</v>
          </cell>
          <cell r="K250">
            <v>5.21</v>
          </cell>
          <cell r="L250">
            <v>103.63</v>
          </cell>
          <cell r="M250" t="str">
            <v>UF</v>
          </cell>
          <cell r="N250" t="str">
            <v>RFL</v>
          </cell>
          <cell r="O250" t="str">
            <v>Renta Fija Local</v>
          </cell>
          <cell r="P250" t="str">
            <v>AA ; AA</v>
          </cell>
          <cell r="Q250" t="str">
            <v>Largo</v>
          </cell>
          <cell r="R250" t="str">
            <v>Corporativo Bajo Riesgo Largo</v>
          </cell>
          <cell r="S250">
            <v>2.69</v>
          </cell>
          <cell r="T250" t="str">
            <v>AA</v>
          </cell>
          <cell r="U250" t="str">
            <v>3</v>
          </cell>
          <cell r="V250" t="str">
            <v>Bajo Riesgo</v>
          </cell>
          <cell r="W250" t="str">
            <v>Corporativo</v>
          </cell>
          <cell r="X250" t="str">
            <v>Bajo Riesgo Largo UF</v>
          </cell>
          <cell r="Y250" t="str">
            <v>Corporativo Bajo Riesgo Largo</v>
          </cell>
          <cell r="Z250" t="str">
            <v>Largo UF</v>
          </cell>
          <cell r="AA250" t="str">
            <v>Corporativo Largo</v>
          </cell>
          <cell r="AB250" t="str">
            <v>Corporativo UF</v>
          </cell>
          <cell r="AC250" t="str">
            <v>Instrumentos de Deuda</v>
          </cell>
          <cell r="AD250" t="str">
            <v>Servicios Básicos</v>
          </cell>
          <cell r="AE250" t="str">
            <v>Bono Esval Serie J</v>
          </cell>
          <cell r="AF250" t="str">
            <v>ESVAL</v>
          </cell>
        </row>
        <row r="251">
          <cell r="C251" t="str">
            <v>BBCIF20812</v>
          </cell>
          <cell r="D251" t="str">
            <v>BBCREDITO</v>
          </cell>
          <cell r="E251">
            <v>793994040</v>
          </cell>
          <cell r="F251">
            <v>30000</v>
          </cell>
          <cell r="G251">
            <v>2.7068999999999999E-2</v>
          </cell>
          <cell r="H251">
            <v>2.65</v>
          </cell>
          <cell r="I251" t="str">
            <v>2022-08-01</v>
          </cell>
          <cell r="J251">
            <v>2076</v>
          </cell>
          <cell r="K251">
            <v>5.28</v>
          </cell>
          <cell r="L251">
            <v>99.82</v>
          </cell>
          <cell r="M251" t="str">
            <v>UF</v>
          </cell>
          <cell r="N251" t="str">
            <v>RFL</v>
          </cell>
          <cell r="O251" t="str">
            <v>Renta Fija Local</v>
          </cell>
          <cell r="P251" t="str">
            <v>AA+ ; AA+</v>
          </cell>
          <cell r="Q251" t="str">
            <v>Largo</v>
          </cell>
          <cell r="R251" t="str">
            <v>Corporativo Bajo Riesgo Largo</v>
          </cell>
          <cell r="S251">
            <v>2.65</v>
          </cell>
          <cell r="T251" t="str">
            <v>AA+</v>
          </cell>
          <cell r="U251" t="str">
            <v>2</v>
          </cell>
          <cell r="V251" t="str">
            <v>Bajo Riesgo</v>
          </cell>
          <cell r="W251" t="str">
            <v>Corporativo</v>
          </cell>
          <cell r="X251" t="str">
            <v>Bajo Riesgo Largo UF</v>
          </cell>
          <cell r="Y251" t="str">
            <v>Corporativo Bajo Riesgo Largo</v>
          </cell>
          <cell r="Z251" t="str">
            <v>Largo UF</v>
          </cell>
          <cell r="AA251" t="str">
            <v>Corporativo Largo</v>
          </cell>
          <cell r="AB251" t="str">
            <v>Corporativo UF</v>
          </cell>
          <cell r="AC251" t="str">
            <v>Instrumentos de Deuda</v>
          </cell>
          <cell r="AD251" t="str">
            <v>Financieras</v>
          </cell>
          <cell r="AE251" t="str">
            <v>Bono Banc Bci Subserie Af2, Serie Af</v>
          </cell>
          <cell r="AF251" t="str">
            <v>BCI</v>
          </cell>
        </row>
        <row r="252">
          <cell r="C252" t="str">
            <v>BCOLB-F</v>
          </cell>
          <cell r="D252" t="str">
            <v>COLBUN</v>
          </cell>
          <cell r="E252">
            <v>355883815</v>
          </cell>
          <cell r="F252">
            <v>17000</v>
          </cell>
          <cell r="G252">
            <v>1.2133E-2</v>
          </cell>
          <cell r="H252">
            <v>2.71</v>
          </cell>
          <cell r="I252" t="str">
            <v>2028-05-01</v>
          </cell>
          <cell r="J252">
            <v>4176</v>
          </cell>
          <cell r="K252">
            <v>5.34</v>
          </cell>
          <cell r="L252">
            <v>103.61</v>
          </cell>
          <cell r="M252" t="str">
            <v>UF</v>
          </cell>
          <cell r="N252" t="str">
            <v>RFL</v>
          </cell>
          <cell r="O252" t="str">
            <v>Renta Fija Local</v>
          </cell>
          <cell r="P252" t="str">
            <v>A+ ; AA-</v>
          </cell>
          <cell r="Q252" t="str">
            <v>Largo</v>
          </cell>
          <cell r="R252" t="str">
            <v>Corporativo Alto Riesgo Largo</v>
          </cell>
          <cell r="S252">
            <v>2.71</v>
          </cell>
          <cell r="T252" t="str">
            <v>A+</v>
          </cell>
          <cell r="U252" t="str">
            <v>5</v>
          </cell>
          <cell r="V252" t="str">
            <v>Alto Riesgo</v>
          </cell>
          <cell r="W252" t="str">
            <v>Corporativo</v>
          </cell>
          <cell r="X252" t="str">
            <v>Alto Riesgo Largo UF</v>
          </cell>
          <cell r="Y252" t="str">
            <v>Corporativo Alto Riesgo Largo</v>
          </cell>
          <cell r="Z252" t="str">
            <v>Largo UF</v>
          </cell>
          <cell r="AA252" t="str">
            <v>Corporativo Largo</v>
          </cell>
          <cell r="AB252" t="str">
            <v>Corporativo UF</v>
          </cell>
          <cell r="AC252" t="str">
            <v>Instrumentos de Deuda</v>
          </cell>
          <cell r="AD252" t="str">
            <v>Energía</v>
          </cell>
          <cell r="AE252" t="str">
            <v>Bono Colbun Serie F</v>
          </cell>
          <cell r="AF252" t="str">
            <v>Colbún S.A.</v>
          </cell>
        </row>
        <row r="253">
          <cell r="C253" t="str">
            <v>BCHIUQ1011</v>
          </cell>
          <cell r="D253" t="str">
            <v>BBCHILE</v>
          </cell>
          <cell r="E253">
            <v>359246345</v>
          </cell>
          <cell r="F253">
            <v>13000</v>
          </cell>
          <cell r="G253">
            <v>1.2246999999999999E-2</v>
          </cell>
          <cell r="H253">
            <v>2.54</v>
          </cell>
          <cell r="I253" t="str">
            <v>2022-10-01</v>
          </cell>
          <cell r="J253">
            <v>2137</v>
          </cell>
          <cell r="K253">
            <v>5.35</v>
          </cell>
          <cell r="L253">
            <v>104.56</v>
          </cell>
          <cell r="M253" t="str">
            <v>UF</v>
          </cell>
          <cell r="N253" t="str">
            <v>RFL</v>
          </cell>
          <cell r="O253" t="str">
            <v>Renta Fija Local</v>
          </cell>
          <cell r="P253" t="str">
            <v>AAA ; AAA</v>
          </cell>
          <cell r="Q253" t="str">
            <v>Largo</v>
          </cell>
          <cell r="R253" t="str">
            <v>Corporativo Bajo Riesgo Largo</v>
          </cell>
          <cell r="S253">
            <v>2.54</v>
          </cell>
          <cell r="T253" t="str">
            <v>AAA</v>
          </cell>
          <cell r="U253" t="str">
            <v>1</v>
          </cell>
          <cell r="V253" t="str">
            <v>Bajo Riesgo</v>
          </cell>
          <cell r="W253" t="str">
            <v>Corporativo</v>
          </cell>
          <cell r="X253" t="str">
            <v>Bajo Riesgo Largo UF</v>
          </cell>
          <cell r="Y253" t="str">
            <v>Corporativo Bajo Riesgo Largo</v>
          </cell>
          <cell r="Z253" t="str">
            <v>Largo UF</v>
          </cell>
          <cell r="AA253" t="str">
            <v>Corporativo Largo</v>
          </cell>
          <cell r="AB253" t="str">
            <v>Corporativo UF</v>
          </cell>
          <cell r="AC253" t="str">
            <v>Instrumentos de Deuda</v>
          </cell>
          <cell r="AD253" t="str">
            <v>Financieras</v>
          </cell>
          <cell r="AE253" t="str">
            <v>Bono Banco Chile Serie Uq</v>
          </cell>
          <cell r="AF253" t="str">
            <v>Banco de Chile</v>
          </cell>
        </row>
        <row r="254">
          <cell r="C254" t="str">
            <v>BANSM-A</v>
          </cell>
          <cell r="D254" t="str">
            <v>AGUAS NSUR</v>
          </cell>
          <cell r="E254">
            <v>284497968</v>
          </cell>
          <cell r="F254">
            <v>10000</v>
          </cell>
          <cell r="G254">
            <v>9.6989999999999993E-3</v>
          </cell>
          <cell r="H254">
            <v>2.61</v>
          </cell>
          <cell r="I254" t="str">
            <v>2028-03-21</v>
          </cell>
          <cell r="J254">
            <v>4135</v>
          </cell>
          <cell r="K254">
            <v>5.4</v>
          </cell>
          <cell r="L254">
            <v>107.44</v>
          </cell>
          <cell r="M254" t="str">
            <v>UF</v>
          </cell>
          <cell r="N254" t="str">
            <v>RFL</v>
          </cell>
          <cell r="O254" t="str">
            <v>Renta Fija Local</v>
          </cell>
          <cell r="P254" t="str">
            <v>AA- ; AA</v>
          </cell>
          <cell r="Q254" t="str">
            <v>Largo</v>
          </cell>
          <cell r="R254" t="str">
            <v>Corporativo Bajo Riesgo Largo</v>
          </cell>
          <cell r="S254">
            <v>2.61</v>
          </cell>
          <cell r="T254" t="str">
            <v>AA-</v>
          </cell>
          <cell r="U254" t="str">
            <v>4</v>
          </cell>
          <cell r="V254" t="str">
            <v>Bajo Riesgo</v>
          </cell>
          <cell r="W254" t="str">
            <v>Corporativo</v>
          </cell>
          <cell r="X254" t="str">
            <v>Bajo Riesgo Largo UF</v>
          </cell>
          <cell r="Y254" t="str">
            <v>Corporativo Bajo Riesgo Largo</v>
          </cell>
          <cell r="Z254" t="str">
            <v>Largo UF</v>
          </cell>
          <cell r="AA254" t="str">
            <v>Corporativo Largo</v>
          </cell>
          <cell r="AB254" t="str">
            <v>Corporativo UF</v>
          </cell>
          <cell r="AC254" t="str">
            <v>Instrumentos de Deuda</v>
          </cell>
          <cell r="AD254" t="str">
            <v>Servicios Básicos</v>
          </cell>
          <cell r="AE254" t="str">
            <v>Bono Aguas Nuevo Sur Serie A</v>
          </cell>
          <cell r="AF254" t="str">
            <v>Aguas Nuevo Sur</v>
          </cell>
        </row>
        <row r="255">
          <cell r="C255" t="str">
            <v>BSECK31112</v>
          </cell>
          <cell r="D255" t="str">
            <v>BBSECURITY</v>
          </cell>
          <cell r="E255">
            <v>138080635</v>
          </cell>
          <cell r="F255">
            <v>5000</v>
          </cell>
          <cell r="G255">
            <v>4.7070000000000002E-3</v>
          </cell>
          <cell r="H255">
            <v>2.64</v>
          </cell>
          <cell r="I255" t="str">
            <v>2022-11-01</v>
          </cell>
          <cell r="J255">
            <v>2168</v>
          </cell>
          <cell r="K255">
            <v>5.42</v>
          </cell>
          <cell r="L255">
            <v>104.78</v>
          </cell>
          <cell r="M255" t="str">
            <v>UF</v>
          </cell>
          <cell r="N255" t="str">
            <v>RFL</v>
          </cell>
          <cell r="O255" t="str">
            <v>Renta Fija Local</v>
          </cell>
          <cell r="P255" t="str">
            <v>AA- ; AA</v>
          </cell>
          <cell r="Q255" t="str">
            <v>Largo</v>
          </cell>
          <cell r="R255" t="str">
            <v>Corporativo Bajo Riesgo Largo</v>
          </cell>
          <cell r="S255">
            <v>2.64</v>
          </cell>
          <cell r="T255" t="str">
            <v>AA-</v>
          </cell>
          <cell r="U255" t="str">
            <v>4</v>
          </cell>
          <cell r="V255" t="str">
            <v>Bajo Riesgo</v>
          </cell>
          <cell r="W255" t="str">
            <v>Corporativo</v>
          </cell>
          <cell r="X255" t="str">
            <v>Bajo Riesgo Largo UF</v>
          </cell>
          <cell r="Y255" t="str">
            <v>Corporativo Bajo Riesgo Largo</v>
          </cell>
          <cell r="Z255" t="str">
            <v>Largo UF</v>
          </cell>
          <cell r="AA255" t="str">
            <v>Corporativo Largo</v>
          </cell>
          <cell r="AB255" t="str">
            <v>Corporativo UF</v>
          </cell>
          <cell r="AC255" t="str">
            <v>Instrumentos de Deuda</v>
          </cell>
          <cell r="AD255" t="str">
            <v>Financieras</v>
          </cell>
          <cell r="AE255" t="str">
            <v>Bono Bancario Security Serie K3</v>
          </cell>
          <cell r="AF255" t="str">
            <v>Banco Security</v>
          </cell>
        </row>
        <row r="256">
          <cell r="C256" t="str">
            <v>BSTDE90113</v>
          </cell>
          <cell r="D256" t="str">
            <v>BBSANT-CHI</v>
          </cell>
          <cell r="E256">
            <v>281277433</v>
          </cell>
          <cell r="F256">
            <v>10000</v>
          </cell>
          <cell r="G256">
            <v>9.5890000000000003E-3</v>
          </cell>
          <cell r="H256">
            <v>2.63</v>
          </cell>
          <cell r="I256" t="str">
            <v>2023-01-01</v>
          </cell>
          <cell r="J256">
            <v>2229</v>
          </cell>
          <cell r="K256">
            <v>5.48</v>
          </cell>
          <cell r="L256">
            <v>105.44</v>
          </cell>
          <cell r="M256" t="str">
            <v>UF</v>
          </cell>
          <cell r="N256" t="str">
            <v>RFL</v>
          </cell>
          <cell r="O256" t="str">
            <v>Renta Fija Local</v>
          </cell>
          <cell r="P256" t="str">
            <v>AAA ; AAA</v>
          </cell>
          <cell r="Q256" t="str">
            <v>Largo</v>
          </cell>
          <cell r="R256" t="str">
            <v>Corporativo Bajo Riesgo Largo</v>
          </cell>
          <cell r="S256">
            <v>2.63</v>
          </cell>
          <cell r="T256" t="str">
            <v>AAA</v>
          </cell>
          <cell r="U256" t="str">
            <v>1</v>
          </cell>
          <cell r="V256" t="str">
            <v>Bajo Riesgo</v>
          </cell>
          <cell r="W256" t="str">
            <v>Corporativo</v>
          </cell>
          <cell r="X256" t="str">
            <v>Bajo Riesgo Largo UF</v>
          </cell>
          <cell r="Y256" t="str">
            <v>Corporativo Bajo Riesgo Largo</v>
          </cell>
          <cell r="Z256" t="str">
            <v>Largo UF</v>
          </cell>
          <cell r="AA256" t="str">
            <v>Corporativo Largo</v>
          </cell>
          <cell r="AB256" t="str">
            <v>Corporativo UF</v>
          </cell>
          <cell r="AC256" t="str">
            <v>Instrumentos de Deuda</v>
          </cell>
          <cell r="AD256" t="str">
            <v>Financieras</v>
          </cell>
          <cell r="AE256" t="str">
            <v>Bono Banco Santander Serie E9</v>
          </cell>
          <cell r="AF256" t="str">
            <v>Banco Santander</v>
          </cell>
        </row>
        <row r="257">
          <cell r="C257" t="str">
            <v>BANUE-A</v>
          </cell>
          <cell r="D257" t="str">
            <v>AGUAS NUEV</v>
          </cell>
          <cell r="E257">
            <v>141780299</v>
          </cell>
          <cell r="F257">
            <v>5000</v>
          </cell>
          <cell r="G257">
            <v>4.8329999999999996E-3</v>
          </cell>
          <cell r="H257">
            <v>2.6</v>
          </cell>
          <cell r="I257" t="str">
            <v>2028-05-15</v>
          </cell>
          <cell r="J257">
            <v>4190</v>
          </cell>
          <cell r="K257">
            <v>5.55</v>
          </cell>
          <cell r="L257">
            <v>107.71</v>
          </cell>
          <cell r="M257" t="str">
            <v>UF</v>
          </cell>
          <cell r="N257" t="str">
            <v>RFL</v>
          </cell>
          <cell r="O257" t="str">
            <v>Renta Fija Local</v>
          </cell>
          <cell r="P257" t="str">
            <v>AA- ; AA-</v>
          </cell>
          <cell r="Q257" t="str">
            <v>Largo</v>
          </cell>
          <cell r="R257" t="str">
            <v>Corporativo Bajo Riesgo Largo</v>
          </cell>
          <cell r="S257">
            <v>2.6</v>
          </cell>
          <cell r="T257" t="str">
            <v>AA-</v>
          </cell>
          <cell r="U257" t="str">
            <v>4</v>
          </cell>
          <cell r="V257" t="str">
            <v>Bajo Riesgo</v>
          </cell>
          <cell r="W257" t="str">
            <v>Corporativo</v>
          </cell>
          <cell r="X257" t="str">
            <v>Bajo Riesgo Largo UF</v>
          </cell>
          <cell r="Y257" t="str">
            <v>Corporativo Bajo Riesgo Largo</v>
          </cell>
          <cell r="Z257" t="str">
            <v>Largo UF</v>
          </cell>
          <cell r="AA257" t="str">
            <v>Corporativo Largo</v>
          </cell>
          <cell r="AB257" t="str">
            <v>Corporativo UF</v>
          </cell>
          <cell r="AC257" t="str">
            <v>Instrumentos de Deuda</v>
          </cell>
          <cell r="AD257" t="str">
            <v>Servicios Básicos</v>
          </cell>
          <cell r="AE257" t="str">
            <v>Bono Aguas Nuevas Serie A</v>
          </cell>
          <cell r="AF257" t="str">
            <v>Aguas Nuevas S.A.</v>
          </cell>
        </row>
        <row r="258">
          <cell r="C258" t="str">
            <v>BCHIUS0212</v>
          </cell>
          <cell r="D258" t="str">
            <v>BBCHILE</v>
          </cell>
          <cell r="E258">
            <v>248810066</v>
          </cell>
          <cell r="F258">
            <v>9000</v>
          </cell>
          <cell r="G258">
            <v>8.482E-3</v>
          </cell>
          <cell r="H258">
            <v>2.67</v>
          </cell>
          <cell r="I258" t="str">
            <v>2023-02-01</v>
          </cell>
          <cell r="J258">
            <v>2260</v>
          </cell>
          <cell r="K258">
            <v>5.6</v>
          </cell>
          <cell r="L258">
            <v>104.02</v>
          </cell>
          <cell r="M258" t="str">
            <v>UF</v>
          </cell>
          <cell r="N258" t="str">
            <v>RFL</v>
          </cell>
          <cell r="O258" t="str">
            <v>Renta Fija Local</v>
          </cell>
          <cell r="P258" t="str">
            <v>AAA ; AAA</v>
          </cell>
          <cell r="Q258" t="str">
            <v>Largo</v>
          </cell>
          <cell r="R258" t="str">
            <v>Corporativo Bajo Riesgo Largo</v>
          </cell>
          <cell r="S258">
            <v>2.67</v>
          </cell>
          <cell r="T258" t="str">
            <v>AAA</v>
          </cell>
          <cell r="U258" t="str">
            <v>1</v>
          </cell>
          <cell r="V258" t="str">
            <v>Bajo Riesgo</v>
          </cell>
          <cell r="W258" t="str">
            <v>Corporativo</v>
          </cell>
          <cell r="X258" t="str">
            <v>Bajo Riesgo Largo UF</v>
          </cell>
          <cell r="Y258" t="str">
            <v>Corporativo Bajo Riesgo Largo</v>
          </cell>
          <cell r="Z258" t="str">
            <v>Largo UF</v>
          </cell>
          <cell r="AA258" t="str">
            <v>Corporativo Largo</v>
          </cell>
          <cell r="AB258" t="str">
            <v>Corporativo UF</v>
          </cell>
          <cell r="AC258" t="str">
            <v>Instrumentos de Deuda</v>
          </cell>
          <cell r="AD258" t="str">
            <v>Financieras</v>
          </cell>
          <cell r="AE258" t="str">
            <v>Bono Banco Chile Serie Us</v>
          </cell>
          <cell r="AF258" t="str">
            <v>Banco de Chile</v>
          </cell>
        </row>
        <row r="259">
          <cell r="C259" t="str">
            <v>BGENE-N</v>
          </cell>
          <cell r="D259" t="str">
            <v>CHILGENER</v>
          </cell>
          <cell r="E259">
            <v>486534074</v>
          </cell>
          <cell r="F259">
            <v>17000</v>
          </cell>
          <cell r="G259">
            <v>1.6587000000000001E-2</v>
          </cell>
          <cell r="H259">
            <v>2.93</v>
          </cell>
          <cell r="I259" t="str">
            <v>2028-12-01</v>
          </cell>
          <cell r="J259">
            <v>4390</v>
          </cell>
          <cell r="K259">
            <v>5.84</v>
          </cell>
          <cell r="L259">
            <v>106.74</v>
          </cell>
          <cell r="M259" t="str">
            <v>UF</v>
          </cell>
          <cell r="N259" t="str">
            <v>RFL</v>
          </cell>
          <cell r="O259" t="str">
            <v>Renta Fija Local</v>
          </cell>
          <cell r="P259" t="str">
            <v>A+ ; A+</v>
          </cell>
          <cell r="Q259" t="str">
            <v>Largo</v>
          </cell>
          <cell r="R259" t="str">
            <v>Corporativo Alto Riesgo Largo</v>
          </cell>
          <cell r="S259">
            <v>2.93</v>
          </cell>
          <cell r="T259" t="str">
            <v>A+</v>
          </cell>
          <cell r="U259" t="str">
            <v>5</v>
          </cell>
          <cell r="V259" t="str">
            <v>Alto Riesgo</v>
          </cell>
          <cell r="W259" t="str">
            <v>Corporativo</v>
          </cell>
          <cell r="X259" t="str">
            <v>Alto Riesgo Largo UF</v>
          </cell>
          <cell r="Y259" t="str">
            <v>Corporativo Alto Riesgo Largo</v>
          </cell>
          <cell r="Z259" t="str">
            <v>Largo UF</v>
          </cell>
          <cell r="AA259" t="str">
            <v>Corporativo Largo</v>
          </cell>
          <cell r="AB259" t="str">
            <v>Corporativo UF</v>
          </cell>
          <cell r="AC259" t="str">
            <v>Instrumentos de Deuda</v>
          </cell>
          <cell r="AD259" t="str">
            <v>Energía</v>
          </cell>
          <cell r="AE259" t="str">
            <v>Bono Aes Gener S.A. Serie N</v>
          </cell>
          <cell r="AF259" t="str">
            <v>AES Gener S.A.</v>
          </cell>
        </row>
        <row r="260">
          <cell r="C260" t="str">
            <v>BSTDEC0913</v>
          </cell>
          <cell r="D260" t="str">
            <v>BBSANT-CHI</v>
          </cell>
          <cell r="E260">
            <v>194714921</v>
          </cell>
          <cell r="F260">
            <v>7000</v>
          </cell>
          <cell r="G260">
            <v>6.6379999999999998E-3</v>
          </cell>
          <cell r="H260">
            <v>2.71</v>
          </cell>
          <cell r="I260" t="str">
            <v>2023-09-01</v>
          </cell>
          <cell r="J260">
            <v>2472</v>
          </cell>
          <cell r="K260">
            <v>6.06</v>
          </cell>
          <cell r="L260">
            <v>104.93</v>
          </cell>
          <cell r="M260" t="str">
            <v>UF</v>
          </cell>
          <cell r="N260" t="str">
            <v>RFL</v>
          </cell>
          <cell r="O260" t="str">
            <v>Renta Fija Local</v>
          </cell>
          <cell r="P260" t="str">
            <v>AAA ; AAA</v>
          </cell>
          <cell r="Q260" t="str">
            <v>Largo</v>
          </cell>
          <cell r="R260" t="str">
            <v>Corporativo Bajo Riesgo Largo</v>
          </cell>
          <cell r="S260">
            <v>2.71</v>
          </cell>
          <cell r="T260" t="str">
            <v>AAA</v>
          </cell>
          <cell r="U260" t="str">
            <v>1</v>
          </cell>
          <cell r="V260" t="str">
            <v>Bajo Riesgo</v>
          </cell>
          <cell r="W260" t="str">
            <v>Corporativo</v>
          </cell>
          <cell r="X260" t="str">
            <v>Bajo Riesgo Largo UF</v>
          </cell>
          <cell r="Y260" t="str">
            <v>Corporativo Bajo Riesgo Largo</v>
          </cell>
          <cell r="Z260" t="str">
            <v>Largo UF</v>
          </cell>
          <cell r="AA260" t="str">
            <v>Corporativo Largo</v>
          </cell>
          <cell r="AB260" t="str">
            <v>Corporativo UF</v>
          </cell>
          <cell r="AC260" t="str">
            <v>Instrumentos de Deuda</v>
          </cell>
          <cell r="AD260" t="str">
            <v>Financieras</v>
          </cell>
          <cell r="AE260" t="str">
            <v>Bono Banco Santander Serie Ca</v>
          </cell>
          <cell r="AF260" t="str">
            <v>Banco Santander</v>
          </cell>
        </row>
        <row r="261">
          <cell r="C261" t="str">
            <v>BSECK41013</v>
          </cell>
          <cell r="D261" t="str">
            <v>BBSECURITY</v>
          </cell>
          <cell r="E261">
            <v>447031540</v>
          </cell>
          <cell r="F261">
            <v>16000</v>
          </cell>
          <cell r="G261">
            <v>1.524E-2</v>
          </cell>
          <cell r="H261">
            <v>2.7</v>
          </cell>
          <cell r="I261" t="str">
            <v>2023-10-01</v>
          </cell>
          <cell r="J261">
            <v>2502</v>
          </cell>
          <cell r="K261">
            <v>6.13</v>
          </cell>
          <cell r="L261">
            <v>105.68</v>
          </cell>
          <cell r="M261" t="str">
            <v>UF</v>
          </cell>
          <cell r="N261" t="str">
            <v>RFL</v>
          </cell>
          <cell r="O261" t="str">
            <v>Renta Fija Local</v>
          </cell>
          <cell r="P261" t="str">
            <v>AA- ; AA</v>
          </cell>
          <cell r="Q261" t="str">
            <v>Largo</v>
          </cell>
          <cell r="R261" t="str">
            <v>Corporativo Bajo Riesgo Largo</v>
          </cell>
          <cell r="S261">
            <v>2.7</v>
          </cell>
          <cell r="T261" t="str">
            <v>AA-</v>
          </cell>
          <cell r="U261" t="str">
            <v>4</v>
          </cell>
          <cell r="V261" t="str">
            <v>Bajo Riesgo</v>
          </cell>
          <cell r="W261" t="str">
            <v>Corporativo</v>
          </cell>
          <cell r="X261" t="str">
            <v>Bajo Riesgo Largo UF</v>
          </cell>
          <cell r="Y261" t="str">
            <v>Corporativo Bajo Riesgo Largo</v>
          </cell>
          <cell r="Z261" t="str">
            <v>Largo UF</v>
          </cell>
          <cell r="AA261" t="str">
            <v>Corporativo Largo</v>
          </cell>
          <cell r="AB261" t="str">
            <v>Corporativo UF</v>
          </cell>
          <cell r="AC261" t="str">
            <v>Instrumentos de Deuda</v>
          </cell>
          <cell r="AD261" t="str">
            <v>Financieras</v>
          </cell>
          <cell r="AE261" t="str">
            <v>Bono Bancario Security Serie K4</v>
          </cell>
          <cell r="AF261" t="str">
            <v>Banco Security</v>
          </cell>
        </row>
        <row r="262">
          <cell r="C262" t="str">
            <v>BTMOV-F</v>
          </cell>
          <cell r="D262" t="str">
            <v>MOVISTAR</v>
          </cell>
          <cell r="E262">
            <v>211358741</v>
          </cell>
          <cell r="F262">
            <v>7500</v>
          </cell>
          <cell r="G262">
            <v>7.2049999999999996E-3</v>
          </cell>
          <cell r="H262">
            <v>2.52</v>
          </cell>
          <cell r="I262" t="str">
            <v>2023-10-04</v>
          </cell>
          <cell r="J262">
            <v>2505</v>
          </cell>
          <cell r="K262">
            <v>6.15</v>
          </cell>
          <cell r="L262">
            <v>106.63</v>
          </cell>
          <cell r="M262" t="str">
            <v>UF</v>
          </cell>
          <cell r="N262" t="str">
            <v>RFL</v>
          </cell>
          <cell r="O262" t="str">
            <v>Renta Fija Local</v>
          </cell>
          <cell r="P262" t="str">
            <v>AA ; AA+</v>
          </cell>
          <cell r="Q262" t="str">
            <v>Largo</v>
          </cell>
          <cell r="R262" t="str">
            <v>Corporativo Bajo Riesgo Largo</v>
          </cell>
          <cell r="S262">
            <v>2.52</v>
          </cell>
          <cell r="T262" t="str">
            <v>AA</v>
          </cell>
          <cell r="U262" t="str">
            <v>3</v>
          </cell>
          <cell r="V262" t="str">
            <v>Bajo Riesgo</v>
          </cell>
          <cell r="W262" t="str">
            <v>Corporativo</v>
          </cell>
          <cell r="X262" t="str">
            <v>Bajo Riesgo Largo UF</v>
          </cell>
          <cell r="Y262" t="str">
            <v>Corporativo Bajo Riesgo Largo</v>
          </cell>
          <cell r="Z262" t="str">
            <v>Largo UF</v>
          </cell>
          <cell r="AA262" t="str">
            <v>Corporativo Largo</v>
          </cell>
          <cell r="AB262" t="str">
            <v>Corporativo UF</v>
          </cell>
          <cell r="AC262" t="str">
            <v>Instrumentos de Deuda</v>
          </cell>
          <cell r="AD262" t="str">
            <v>Comunicaciones</v>
          </cell>
          <cell r="AE262" t="str">
            <v>Bono Movistar Serie F</v>
          </cell>
          <cell r="AF262" t="str">
            <v>Movistar</v>
          </cell>
        </row>
        <row r="263">
          <cell r="C263" t="str">
            <v>BCHIUR1011</v>
          </cell>
          <cell r="D263" t="str">
            <v>BBCHILE</v>
          </cell>
          <cell r="E263">
            <v>165441329</v>
          </cell>
          <cell r="F263">
            <v>6000</v>
          </cell>
          <cell r="G263">
            <v>5.64E-3</v>
          </cell>
          <cell r="H263">
            <v>2.69</v>
          </cell>
          <cell r="I263" t="str">
            <v>2023-10-01</v>
          </cell>
          <cell r="J263">
            <v>2502</v>
          </cell>
          <cell r="K263">
            <v>6.17</v>
          </cell>
          <cell r="L263">
            <v>104.33</v>
          </cell>
          <cell r="M263" t="str">
            <v>UF</v>
          </cell>
          <cell r="N263" t="str">
            <v>RFL</v>
          </cell>
          <cell r="O263" t="str">
            <v>Renta Fija Local</v>
          </cell>
          <cell r="P263" t="str">
            <v>AAA ; AAA</v>
          </cell>
          <cell r="Q263" t="str">
            <v>Largo</v>
          </cell>
          <cell r="R263" t="str">
            <v>Corporativo Bajo Riesgo Largo</v>
          </cell>
          <cell r="S263">
            <v>2.69</v>
          </cell>
          <cell r="T263" t="str">
            <v>AAA</v>
          </cell>
          <cell r="U263" t="str">
            <v>1</v>
          </cell>
          <cell r="V263" t="str">
            <v>Bajo Riesgo</v>
          </cell>
          <cell r="W263" t="str">
            <v>Corporativo</v>
          </cell>
          <cell r="X263" t="str">
            <v>Bajo Riesgo Largo UF</v>
          </cell>
          <cell r="Y263" t="str">
            <v>Corporativo Bajo Riesgo Largo</v>
          </cell>
          <cell r="Z263" t="str">
            <v>Largo UF</v>
          </cell>
          <cell r="AA263" t="str">
            <v>Corporativo Largo</v>
          </cell>
          <cell r="AB263" t="str">
            <v>Corporativo UF</v>
          </cell>
          <cell r="AC263" t="str">
            <v>Instrumentos de Deuda</v>
          </cell>
          <cell r="AD263" t="str">
            <v>Financieras</v>
          </cell>
          <cell r="AE263" t="str">
            <v>Bono Banco Chile Serie Ur</v>
          </cell>
          <cell r="AF263" t="str">
            <v>Banco de Chile</v>
          </cell>
        </row>
        <row r="264">
          <cell r="C264" t="str">
            <v>BCOLB-I</v>
          </cell>
          <cell r="D264" t="str">
            <v>COLBUN</v>
          </cell>
          <cell r="E264">
            <v>88556061</v>
          </cell>
          <cell r="F264">
            <v>3000</v>
          </cell>
          <cell r="G264">
            <v>3.019E-3</v>
          </cell>
          <cell r="H264">
            <v>2.88</v>
          </cell>
          <cell r="I264" t="str">
            <v>2029-06-10</v>
          </cell>
          <cell r="J264">
            <v>4581</v>
          </cell>
          <cell r="K264">
            <v>6.2</v>
          </cell>
          <cell r="L264">
            <v>110.01</v>
          </cell>
          <cell r="M264" t="str">
            <v>UF</v>
          </cell>
          <cell r="N264" t="str">
            <v>RFL</v>
          </cell>
          <cell r="O264" t="str">
            <v>Renta Fija Local</v>
          </cell>
          <cell r="P264" t="str">
            <v>A+ ; AA-</v>
          </cell>
          <cell r="Q264" t="str">
            <v>Largo</v>
          </cell>
          <cell r="R264" t="str">
            <v>Corporativo Alto Riesgo Largo</v>
          </cell>
          <cell r="S264">
            <v>2.88</v>
          </cell>
          <cell r="T264" t="str">
            <v>A+</v>
          </cell>
          <cell r="U264" t="str">
            <v>5</v>
          </cell>
          <cell r="V264" t="str">
            <v>Alto Riesgo</v>
          </cell>
          <cell r="W264" t="str">
            <v>Corporativo</v>
          </cell>
          <cell r="X264" t="str">
            <v>Alto Riesgo Largo UF</v>
          </cell>
          <cell r="Y264" t="str">
            <v>Corporativo Alto Riesgo Largo</v>
          </cell>
          <cell r="Z264" t="str">
            <v>Largo UF</v>
          </cell>
          <cell r="AA264" t="str">
            <v>Corporativo Largo</v>
          </cell>
          <cell r="AB264" t="str">
            <v>Corporativo UF</v>
          </cell>
          <cell r="AC264" t="str">
            <v>Instrumentos de Deuda</v>
          </cell>
          <cell r="AD264" t="str">
            <v>Energía</v>
          </cell>
          <cell r="AE264" t="str">
            <v>Bono Colbun Serie I</v>
          </cell>
          <cell r="AF264" t="str">
            <v>Colbún S.A.</v>
          </cell>
        </row>
        <row r="265">
          <cell r="C265" t="str">
            <v>BBBVK51113</v>
          </cell>
          <cell r="D265" t="str">
            <v>BBBVA</v>
          </cell>
          <cell r="E265">
            <v>69355354</v>
          </cell>
          <cell r="F265">
            <v>2500</v>
          </cell>
          <cell r="G265">
            <v>2.3640000000000002E-3</v>
          </cell>
          <cell r="H265">
            <v>2.65</v>
          </cell>
          <cell r="I265" t="str">
            <v>2023-11-01</v>
          </cell>
          <cell r="J265">
            <v>2533</v>
          </cell>
          <cell r="K265">
            <v>6.24</v>
          </cell>
          <cell r="L265">
            <v>105.26</v>
          </cell>
          <cell r="M265" t="str">
            <v>UF</v>
          </cell>
          <cell r="N265" t="str">
            <v>RFL</v>
          </cell>
          <cell r="O265" t="str">
            <v>Renta Fija Local</v>
          </cell>
          <cell r="P265" t="str">
            <v>AA ; AA+</v>
          </cell>
          <cell r="Q265" t="str">
            <v>Largo</v>
          </cell>
          <cell r="R265" t="str">
            <v>Corporativo Bajo Riesgo Largo</v>
          </cell>
          <cell r="S265">
            <v>2.65</v>
          </cell>
          <cell r="T265" t="str">
            <v>AA</v>
          </cell>
          <cell r="U265" t="str">
            <v>3</v>
          </cell>
          <cell r="V265" t="str">
            <v>Bajo Riesgo</v>
          </cell>
          <cell r="W265" t="str">
            <v>Corporativo</v>
          </cell>
          <cell r="X265" t="str">
            <v>Bajo Riesgo Largo UF</v>
          </cell>
          <cell r="Y265" t="str">
            <v>Corporativo Bajo Riesgo Largo</v>
          </cell>
          <cell r="Z265" t="str">
            <v>Largo UF</v>
          </cell>
          <cell r="AA265" t="str">
            <v>Corporativo Largo</v>
          </cell>
          <cell r="AB265" t="str">
            <v>Corporativo UF</v>
          </cell>
          <cell r="AC265" t="str">
            <v>Instrumentos de Deuda</v>
          </cell>
          <cell r="AD265" t="str">
            <v>Financieras</v>
          </cell>
          <cell r="AE265" t="str">
            <v>Bono Bbva Serie K5</v>
          </cell>
          <cell r="AF265" t="str">
            <v>BBVA</v>
          </cell>
        </row>
        <row r="266">
          <cell r="C266" t="str">
            <v>BSTDEF0114</v>
          </cell>
          <cell r="D266" t="str">
            <v>BBSANT-CHI</v>
          </cell>
          <cell r="E266">
            <v>84213406</v>
          </cell>
          <cell r="F266">
            <v>3000</v>
          </cell>
          <cell r="G266">
            <v>2.8709999999999999E-3</v>
          </cell>
          <cell r="H266">
            <v>2.58</v>
          </cell>
          <cell r="I266" t="str">
            <v>2024-01-01</v>
          </cell>
          <cell r="J266">
            <v>2594</v>
          </cell>
          <cell r="K266">
            <v>6.32</v>
          </cell>
          <cell r="L266">
            <v>105.31</v>
          </cell>
          <cell r="M266" t="str">
            <v>UF</v>
          </cell>
          <cell r="N266" t="str">
            <v>RFL</v>
          </cell>
          <cell r="O266" t="str">
            <v>Renta Fija Local</v>
          </cell>
          <cell r="P266" t="str">
            <v>AAA ; AAA</v>
          </cell>
          <cell r="Q266" t="str">
            <v>Largo</v>
          </cell>
          <cell r="R266" t="str">
            <v>Corporativo Bajo Riesgo Largo</v>
          </cell>
          <cell r="S266">
            <v>2.58</v>
          </cell>
          <cell r="T266" t="str">
            <v>AAA</v>
          </cell>
          <cell r="U266" t="str">
            <v>1</v>
          </cell>
          <cell r="V266" t="str">
            <v>Bajo Riesgo</v>
          </cell>
          <cell r="W266" t="str">
            <v>Corporativo</v>
          </cell>
          <cell r="X266" t="str">
            <v>Bajo Riesgo Largo UF</v>
          </cell>
          <cell r="Y266" t="str">
            <v>Corporativo Bajo Riesgo Largo</v>
          </cell>
          <cell r="Z266" t="str">
            <v>Largo UF</v>
          </cell>
          <cell r="AA266" t="str">
            <v>Corporativo Largo</v>
          </cell>
          <cell r="AB266" t="str">
            <v>Corporativo UF</v>
          </cell>
          <cell r="AC266" t="str">
            <v>Instrumentos de Deuda</v>
          </cell>
          <cell r="AD266" t="str">
            <v>Financieras</v>
          </cell>
          <cell r="AE266" t="str">
            <v>Bono Banco Santander Serie Ef</v>
          </cell>
          <cell r="AF266" t="str">
            <v>Banco Santander</v>
          </cell>
        </row>
        <row r="267">
          <cell r="C267" t="str">
            <v>BCENC-J</v>
          </cell>
          <cell r="D267" t="str">
            <v>CENCOSUD</v>
          </cell>
          <cell r="E267">
            <v>309208250</v>
          </cell>
          <cell r="F267">
            <v>10000</v>
          </cell>
          <cell r="G267">
            <v>1.0541E-2</v>
          </cell>
          <cell r="H267">
            <v>3.09</v>
          </cell>
          <cell r="I267" t="str">
            <v>2029-10-15</v>
          </cell>
          <cell r="J267">
            <v>4708</v>
          </cell>
          <cell r="K267">
            <v>6.38</v>
          </cell>
          <cell r="L267">
            <v>116.86</v>
          </cell>
          <cell r="M267" t="str">
            <v>UF</v>
          </cell>
          <cell r="N267" t="str">
            <v>RFL</v>
          </cell>
          <cell r="O267" t="str">
            <v>Renta Fija Local</v>
          </cell>
          <cell r="P267" t="str">
            <v>AA- ; AA-</v>
          </cell>
          <cell r="Q267" t="str">
            <v>Largo</v>
          </cell>
          <cell r="R267" t="str">
            <v>Corporativo Bajo Riesgo Largo</v>
          </cell>
          <cell r="S267">
            <v>3.09</v>
          </cell>
          <cell r="T267" t="str">
            <v>AA-</v>
          </cell>
          <cell r="U267" t="str">
            <v>4</v>
          </cell>
          <cell r="V267" t="str">
            <v>Bajo Riesgo</v>
          </cell>
          <cell r="W267" t="str">
            <v>Corporativo</v>
          </cell>
          <cell r="X267" t="str">
            <v>Bajo Riesgo Largo UF</v>
          </cell>
          <cell r="Y267" t="str">
            <v>Corporativo Bajo Riesgo Largo</v>
          </cell>
          <cell r="Z267" t="str">
            <v>Largo UF</v>
          </cell>
          <cell r="AA267" t="str">
            <v>Corporativo Largo</v>
          </cell>
          <cell r="AB267" t="str">
            <v>Corporativo UF</v>
          </cell>
          <cell r="AC267" t="str">
            <v>Instrumentos de Deuda</v>
          </cell>
          <cell r="AD267" t="str">
            <v>Consumo</v>
          </cell>
          <cell r="AE267" t="str">
            <v>Bono Cencosud Serie J</v>
          </cell>
          <cell r="AF267" t="str">
            <v>Cencosud S.A.</v>
          </cell>
        </row>
        <row r="268">
          <cell r="C268" t="str">
            <v>BIELC-D</v>
          </cell>
          <cell r="D268" t="str">
            <v>ELECDELSUR</v>
          </cell>
          <cell r="E268">
            <v>61180169</v>
          </cell>
          <cell r="F268">
            <v>2000</v>
          </cell>
          <cell r="G268">
            <v>2.085E-3</v>
          </cell>
          <cell r="H268">
            <v>2.84</v>
          </cell>
          <cell r="I268" t="str">
            <v>2029-06-30</v>
          </cell>
          <cell r="J268">
            <v>4601</v>
          </cell>
          <cell r="K268">
            <v>6.45</v>
          </cell>
          <cell r="L268">
            <v>114.06</v>
          </cell>
          <cell r="M268" t="str">
            <v>UF</v>
          </cell>
          <cell r="N268" t="str">
            <v>RFL</v>
          </cell>
          <cell r="O268" t="str">
            <v>Renta Fija Local</v>
          </cell>
          <cell r="P268" t="str">
            <v>AA- ; A+</v>
          </cell>
          <cell r="Q268" t="str">
            <v>Largo</v>
          </cell>
          <cell r="R268" t="str">
            <v>Corporativo Alto Riesgo Largo</v>
          </cell>
          <cell r="S268">
            <v>2.84</v>
          </cell>
          <cell r="T268" t="str">
            <v>A+</v>
          </cell>
          <cell r="U268" t="str">
            <v>5</v>
          </cell>
          <cell r="V268" t="str">
            <v>Alto Riesgo</v>
          </cell>
          <cell r="W268" t="str">
            <v>Corporativo</v>
          </cell>
          <cell r="X268" t="str">
            <v>Alto Riesgo Largo UF</v>
          </cell>
          <cell r="Y268" t="str">
            <v>Corporativo Alto Riesgo Largo</v>
          </cell>
          <cell r="Z268" t="str">
            <v>Largo UF</v>
          </cell>
          <cell r="AA268" t="str">
            <v>Corporativo Largo</v>
          </cell>
          <cell r="AB268" t="str">
            <v>Corporativo UF</v>
          </cell>
          <cell r="AC268" t="str">
            <v>Instrumentos de Deuda</v>
          </cell>
          <cell r="AD268" t="str">
            <v>Energía</v>
          </cell>
          <cell r="AE268" t="str">
            <v>Bono Distribuidora Del Sur Serie D</v>
          </cell>
          <cell r="AF268" t="str">
            <v>Distribuidora de Electrividad del Sur</v>
          </cell>
        </row>
        <row r="269">
          <cell r="C269" t="str">
            <v>BBIC590314</v>
          </cell>
          <cell r="D269" t="str">
            <v>BBICE</v>
          </cell>
          <cell r="E269">
            <v>299025780</v>
          </cell>
          <cell r="F269">
            <v>11000</v>
          </cell>
          <cell r="G269">
            <v>1.0194E-2</v>
          </cell>
          <cell r="H269">
            <v>2.61</v>
          </cell>
          <cell r="I269" t="str">
            <v>2024-03-01</v>
          </cell>
          <cell r="J269">
            <v>2654</v>
          </cell>
          <cell r="K269">
            <v>6.55</v>
          </cell>
          <cell r="L269">
            <v>102.66</v>
          </cell>
          <cell r="M269" t="str">
            <v>UF</v>
          </cell>
          <cell r="N269" t="str">
            <v>RFL</v>
          </cell>
          <cell r="O269" t="str">
            <v>Renta Fija Local</v>
          </cell>
          <cell r="P269" t="str">
            <v>AA ; AA</v>
          </cell>
          <cell r="Q269" t="str">
            <v>Largo</v>
          </cell>
          <cell r="R269" t="str">
            <v>Corporativo Bajo Riesgo Largo</v>
          </cell>
          <cell r="S269">
            <v>2.61</v>
          </cell>
          <cell r="T269" t="str">
            <v>AA</v>
          </cell>
          <cell r="U269" t="str">
            <v>3</v>
          </cell>
          <cell r="V269" t="str">
            <v>Bajo Riesgo</v>
          </cell>
          <cell r="W269" t="str">
            <v>Corporativo</v>
          </cell>
          <cell r="X269" t="str">
            <v>Bajo Riesgo Largo UF</v>
          </cell>
          <cell r="Y269" t="str">
            <v>Corporativo Bajo Riesgo Largo</v>
          </cell>
          <cell r="Z269" t="str">
            <v>Largo UF</v>
          </cell>
          <cell r="AA269" t="str">
            <v>Corporativo Largo</v>
          </cell>
          <cell r="AB269" t="str">
            <v>Corporativo UF</v>
          </cell>
          <cell r="AC269" t="str">
            <v>Instrumentos de Deuda</v>
          </cell>
          <cell r="AD269" t="str">
            <v>Financieras</v>
          </cell>
          <cell r="AE269" t="str">
            <v>Bono Banco Bice Serie 59</v>
          </cell>
          <cell r="AF269" t="str">
            <v>BICE</v>
          </cell>
        </row>
        <row r="270">
          <cell r="C270" t="str">
            <v>BITA-X0613</v>
          </cell>
          <cell r="D270" t="str">
            <v>BBITAU</v>
          </cell>
          <cell r="E270">
            <v>259775424</v>
          </cell>
          <cell r="F270">
            <v>9000</v>
          </cell>
          <cell r="G270">
            <v>8.8559999999999993E-3</v>
          </cell>
          <cell r="H270">
            <v>2.61</v>
          </cell>
          <cell r="I270" t="str">
            <v>2024-06-01</v>
          </cell>
          <cell r="J270">
            <v>2746</v>
          </cell>
          <cell r="K270">
            <v>6.55</v>
          </cell>
          <cell r="L270">
            <v>107.8</v>
          </cell>
          <cell r="M270" t="str">
            <v>UF</v>
          </cell>
          <cell r="N270" t="str">
            <v>RFL</v>
          </cell>
          <cell r="O270" t="str">
            <v>Renta Fija Local</v>
          </cell>
          <cell r="P270" t="str">
            <v>AA ; AA</v>
          </cell>
          <cell r="Q270" t="str">
            <v>Largo</v>
          </cell>
          <cell r="R270" t="str">
            <v>Corporativo Bajo Riesgo Largo</v>
          </cell>
          <cell r="S270">
            <v>2.61</v>
          </cell>
          <cell r="T270" t="str">
            <v>AA</v>
          </cell>
          <cell r="U270" t="str">
            <v>3</v>
          </cell>
          <cell r="V270" t="str">
            <v>Bajo Riesgo</v>
          </cell>
          <cell r="W270" t="str">
            <v>Corporativo</v>
          </cell>
          <cell r="X270" t="str">
            <v>Bajo Riesgo Largo UF</v>
          </cell>
          <cell r="Y270" t="str">
            <v>Corporativo Bajo Riesgo Largo</v>
          </cell>
          <cell r="Z270" t="str">
            <v>Largo UF</v>
          </cell>
          <cell r="AA270" t="str">
            <v>Corporativo Largo</v>
          </cell>
          <cell r="AB270" t="str">
            <v>Corporativo UF</v>
          </cell>
          <cell r="AC270" t="str">
            <v>Instrumentos de Deuda</v>
          </cell>
          <cell r="AD270" t="str">
            <v>Financieras</v>
          </cell>
          <cell r="AE270" t="str">
            <v>Bono Banco Itau Serie X</v>
          </cell>
          <cell r="AF270" t="str">
            <v>Itau/Corpbanca</v>
          </cell>
        </row>
        <row r="271">
          <cell r="C271" t="str">
            <v>UBCIS11205</v>
          </cell>
          <cell r="D271" t="str">
            <v>BBCREDITO</v>
          </cell>
          <cell r="E271">
            <v>223759440</v>
          </cell>
          <cell r="F271">
            <v>10000</v>
          </cell>
          <cell r="G271">
            <v>7.6280000000000002E-3</v>
          </cell>
          <cell r="H271">
            <v>2.61</v>
          </cell>
          <cell r="I271" t="str">
            <v>2030-12-01</v>
          </cell>
          <cell r="J271">
            <v>5120</v>
          </cell>
          <cell r="K271">
            <v>6.57</v>
          </cell>
          <cell r="L271">
            <v>112.4</v>
          </cell>
          <cell r="M271" t="str">
            <v>UF</v>
          </cell>
          <cell r="N271"/>
          <cell r="O271" t="str">
            <v>-1000</v>
          </cell>
          <cell r="P271" t="str">
            <v>AA  ; AA-</v>
          </cell>
          <cell r="Q271" t="str">
            <v>Largo</v>
          </cell>
          <cell r="R271" t="str">
            <v>Corporativo Bajo Riesgo Largo</v>
          </cell>
          <cell r="S271">
            <v>2.61</v>
          </cell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 t="str">
            <v>Bono Subordinado Bci Serie S1</v>
          </cell>
          <cell r="AF271" t="str">
            <v>BCI</v>
          </cell>
        </row>
        <row r="272">
          <cell r="C272" t="str">
            <v>BENDE-M</v>
          </cell>
          <cell r="D272" t="str">
            <v>ENDESA</v>
          </cell>
          <cell r="E272">
            <v>274945151</v>
          </cell>
          <cell r="F272">
            <v>9000</v>
          </cell>
          <cell r="G272">
            <v>9.3729999999999994E-3</v>
          </cell>
          <cell r="H272">
            <v>2.67</v>
          </cell>
          <cell r="I272" t="str">
            <v>2029-12-15</v>
          </cell>
          <cell r="J272">
            <v>4769</v>
          </cell>
          <cell r="K272">
            <v>6.58</v>
          </cell>
          <cell r="L272">
            <v>113.8</v>
          </cell>
          <cell r="M272" t="str">
            <v>UF</v>
          </cell>
          <cell r="N272" t="str">
            <v>RFL</v>
          </cell>
          <cell r="O272" t="str">
            <v>Renta Fija Local</v>
          </cell>
          <cell r="P272" t="str">
            <v>AA ; AA</v>
          </cell>
          <cell r="Q272" t="str">
            <v>Largo</v>
          </cell>
          <cell r="R272" t="str">
            <v>Corporativo Bajo Riesgo Largo</v>
          </cell>
          <cell r="S272">
            <v>2.67</v>
          </cell>
          <cell r="T272" t="str">
            <v>AA</v>
          </cell>
          <cell r="U272" t="str">
            <v>3</v>
          </cell>
          <cell r="V272" t="str">
            <v>Bajo Riesgo</v>
          </cell>
          <cell r="W272" t="str">
            <v>Corporativo</v>
          </cell>
          <cell r="X272" t="str">
            <v>Bajo Riesgo Largo UF</v>
          </cell>
          <cell r="Y272" t="str">
            <v>Corporativo Bajo Riesgo Largo</v>
          </cell>
          <cell r="Z272" t="str">
            <v>Largo UF</v>
          </cell>
          <cell r="AA272" t="str">
            <v>Corporativo Largo</v>
          </cell>
          <cell r="AB272" t="str">
            <v>Corporativo UF</v>
          </cell>
          <cell r="AC272" t="str">
            <v>Instrumentos de Deuda</v>
          </cell>
          <cell r="AD272" t="str">
            <v>Energía</v>
          </cell>
          <cell r="AE272" t="str">
            <v>Bono Endesa Serie M</v>
          </cell>
          <cell r="AF272" t="str">
            <v>ENDESA S.A.</v>
          </cell>
        </row>
        <row r="273">
          <cell r="C273" t="str">
            <v>BARAU-F</v>
          </cell>
          <cell r="D273" t="str">
            <v>ARAUCO</v>
          </cell>
          <cell r="E273">
            <v>43725611</v>
          </cell>
          <cell r="F273">
            <v>1500</v>
          </cell>
          <cell r="G273">
            <v>1.49E-3</v>
          </cell>
          <cell r="H273">
            <v>2.67</v>
          </cell>
          <cell r="I273" t="str">
            <v>2029-10-30</v>
          </cell>
          <cell r="J273">
            <v>4723</v>
          </cell>
          <cell r="K273">
            <v>6.65</v>
          </cell>
          <cell r="L273">
            <v>110.53</v>
          </cell>
          <cell r="M273" t="str">
            <v>UF</v>
          </cell>
          <cell r="N273" t="str">
            <v>RFL</v>
          </cell>
          <cell r="O273" t="str">
            <v>Renta Fija Local</v>
          </cell>
          <cell r="P273" t="str">
            <v>AA- ; AA-</v>
          </cell>
          <cell r="Q273" t="str">
            <v>Largo</v>
          </cell>
          <cell r="R273" t="str">
            <v>Corporativo Bajo Riesgo Largo</v>
          </cell>
          <cell r="S273">
            <v>2.67</v>
          </cell>
          <cell r="T273" t="str">
            <v>AA-</v>
          </cell>
          <cell r="U273" t="str">
            <v>4</v>
          </cell>
          <cell r="V273" t="str">
            <v>Bajo Riesgo</v>
          </cell>
          <cell r="W273" t="str">
            <v>Corporativo</v>
          </cell>
          <cell r="X273" t="str">
            <v>Bajo Riesgo Largo UF</v>
          </cell>
          <cell r="Y273" t="str">
            <v>Corporativo Bajo Riesgo Largo</v>
          </cell>
          <cell r="Z273" t="str">
            <v>Largo UF</v>
          </cell>
          <cell r="AA273" t="str">
            <v>Corporativo Largo</v>
          </cell>
          <cell r="AB273" t="str">
            <v>Corporativo UF</v>
          </cell>
          <cell r="AC273" t="str">
            <v>Instrumentos de Deuda</v>
          </cell>
          <cell r="AD273" t="str">
            <v>Materiales Básicos</v>
          </cell>
          <cell r="AE273" t="str">
            <v>Bono Celulosa Arauco Serie F</v>
          </cell>
          <cell r="AF273" t="str">
            <v>Celulosa Arauco y Constitución</v>
          </cell>
        </row>
        <row r="274">
          <cell r="C274" t="str">
            <v>BESVA-M</v>
          </cell>
          <cell r="D274" t="str">
            <v>ESVAL</v>
          </cell>
          <cell r="E274">
            <v>91860490</v>
          </cell>
          <cell r="F274">
            <v>3000</v>
          </cell>
          <cell r="G274">
            <v>3.1310000000000001E-3</v>
          </cell>
          <cell r="H274">
            <v>2.73</v>
          </cell>
          <cell r="I274" t="str">
            <v>2030-01-27</v>
          </cell>
          <cell r="J274">
            <v>4812</v>
          </cell>
          <cell r="K274">
            <v>6.66</v>
          </cell>
          <cell r="L274">
            <v>114.61</v>
          </cell>
          <cell r="M274" t="str">
            <v>UF</v>
          </cell>
          <cell r="N274" t="str">
            <v>RFL</v>
          </cell>
          <cell r="O274" t="str">
            <v>Renta Fija Local</v>
          </cell>
          <cell r="P274" t="str">
            <v>AA ; AA</v>
          </cell>
          <cell r="Q274" t="str">
            <v>Largo</v>
          </cell>
          <cell r="R274" t="str">
            <v>Corporativo Bajo Riesgo Largo</v>
          </cell>
          <cell r="S274">
            <v>2.73</v>
          </cell>
          <cell r="T274" t="str">
            <v>AA</v>
          </cell>
          <cell r="U274" t="str">
            <v>3</v>
          </cell>
          <cell r="V274" t="str">
            <v>Bajo Riesgo</v>
          </cell>
          <cell r="W274" t="str">
            <v>Corporativo</v>
          </cell>
          <cell r="X274" t="str">
            <v>Bajo Riesgo Largo UF</v>
          </cell>
          <cell r="Y274" t="str">
            <v>Corporativo Bajo Riesgo Largo</v>
          </cell>
          <cell r="Z274" t="str">
            <v>Largo UF</v>
          </cell>
          <cell r="AA274" t="str">
            <v>Corporativo Largo</v>
          </cell>
          <cell r="AB274" t="str">
            <v>Corporativo UF</v>
          </cell>
          <cell r="AC274" t="str">
            <v>Instrumentos de Deuda</v>
          </cell>
          <cell r="AD274" t="str">
            <v>Servicios Básicos</v>
          </cell>
          <cell r="AE274" t="str">
            <v>Bono Esval Serie M</v>
          </cell>
          <cell r="AF274" t="str">
            <v>ESVAL</v>
          </cell>
        </row>
        <row r="275">
          <cell r="C275" t="str">
            <v>BESTN10814</v>
          </cell>
          <cell r="D275" t="str">
            <v>BBESTADO</v>
          </cell>
          <cell r="E275">
            <v>95415937</v>
          </cell>
          <cell r="F275">
            <v>3500</v>
          </cell>
          <cell r="G275">
            <v>3.2529999999999998E-3</v>
          </cell>
          <cell r="H275">
            <v>2.6</v>
          </cell>
          <cell r="I275" t="str">
            <v>2024-08-01</v>
          </cell>
          <cell r="J275">
            <v>2807</v>
          </cell>
          <cell r="K275">
            <v>6.88</v>
          </cell>
          <cell r="L275">
            <v>102.7</v>
          </cell>
          <cell r="M275" t="str">
            <v>UF</v>
          </cell>
          <cell r="N275" t="str">
            <v>RFL</v>
          </cell>
          <cell r="O275" t="str">
            <v>Renta Fija Local</v>
          </cell>
          <cell r="P275" t="str">
            <v>AAA ; AAA</v>
          </cell>
          <cell r="Q275" t="str">
            <v>Largo</v>
          </cell>
          <cell r="R275" t="str">
            <v>Corporativo Bajo Riesgo Largo</v>
          </cell>
          <cell r="S275">
            <v>2.6</v>
          </cell>
          <cell r="T275" t="str">
            <v>AAA</v>
          </cell>
          <cell r="U275" t="str">
            <v>1</v>
          </cell>
          <cell r="V275" t="str">
            <v>Bajo Riesgo</v>
          </cell>
          <cell r="W275" t="str">
            <v>Corporativo</v>
          </cell>
          <cell r="X275" t="str">
            <v>Bajo Riesgo Largo UF</v>
          </cell>
          <cell r="Y275" t="str">
            <v>Corporativo Bajo Riesgo Largo</v>
          </cell>
          <cell r="Z275" t="str">
            <v>Largo UF</v>
          </cell>
          <cell r="AA275" t="str">
            <v>Corporativo Largo</v>
          </cell>
          <cell r="AB275" t="str">
            <v>Corporativo UF</v>
          </cell>
          <cell r="AC275" t="str">
            <v>Instrumentos de Deuda</v>
          </cell>
          <cell r="AD275" t="str">
            <v>Financieras</v>
          </cell>
          <cell r="AE275" t="str">
            <v>Bono Banco Estado Serie N1</v>
          </cell>
          <cell r="AF275" t="str">
            <v>Banco Estado</v>
          </cell>
        </row>
        <row r="276">
          <cell r="C276" t="str">
            <v>BBNS-X0814</v>
          </cell>
          <cell r="D276" t="str">
            <v>BBSCOTIABA</v>
          </cell>
          <cell r="E276">
            <v>299928321</v>
          </cell>
          <cell r="F276">
            <v>11000</v>
          </cell>
          <cell r="G276">
            <v>1.0225E-2</v>
          </cell>
          <cell r="H276">
            <v>2.62</v>
          </cell>
          <cell r="I276" t="str">
            <v>2024-08-01</v>
          </cell>
          <cell r="J276">
            <v>2807</v>
          </cell>
          <cell r="K276">
            <v>6.88</v>
          </cell>
          <cell r="L276">
            <v>102.71</v>
          </cell>
          <cell r="M276" t="str">
            <v>UF</v>
          </cell>
          <cell r="N276" t="str">
            <v>RFL</v>
          </cell>
          <cell r="O276" t="str">
            <v>Renta Fija Local</v>
          </cell>
          <cell r="P276" t="str">
            <v>AAA ; AAA</v>
          </cell>
          <cell r="Q276" t="str">
            <v>Largo</v>
          </cell>
          <cell r="R276" t="str">
            <v>Corporativo Bajo Riesgo Largo</v>
          </cell>
          <cell r="S276">
            <v>2.62</v>
          </cell>
          <cell r="T276" t="str">
            <v>AAA</v>
          </cell>
          <cell r="U276" t="str">
            <v>1</v>
          </cell>
          <cell r="V276" t="str">
            <v>Bajo Riesgo</v>
          </cell>
          <cell r="W276" t="str">
            <v>Corporativo</v>
          </cell>
          <cell r="X276" t="str">
            <v>Bajo Riesgo Largo UF</v>
          </cell>
          <cell r="Y276" t="str">
            <v>Corporativo Bajo Riesgo Largo</v>
          </cell>
          <cell r="Z276" t="str">
            <v>Largo UF</v>
          </cell>
          <cell r="AA276" t="str">
            <v>Corporativo Largo</v>
          </cell>
          <cell r="AB276" t="str">
            <v>Corporativo UF</v>
          </cell>
          <cell r="AC276" t="str">
            <v>Instrumentos de Deuda</v>
          </cell>
          <cell r="AD276" t="str">
            <v>Financieras</v>
          </cell>
          <cell r="AE276" t="str">
            <v>Bono Scotiabank Serie X</v>
          </cell>
          <cell r="AF276" t="str">
            <v>Scotiabank</v>
          </cell>
        </row>
        <row r="277">
          <cell r="C277" t="str">
            <v>AESGEN0725</v>
          </cell>
          <cell r="D277" t="str">
            <v>AES GENER</v>
          </cell>
          <cell r="E277">
            <v>203207484</v>
          </cell>
          <cell r="F277">
            <v>300000</v>
          </cell>
          <cell r="G277">
            <v>6.9280000000000001E-3</v>
          </cell>
          <cell r="H277">
            <v>0</v>
          </cell>
          <cell r="I277" t="str">
            <v>2025-07-14</v>
          </cell>
          <cell r="J277">
            <v>3154</v>
          </cell>
          <cell r="K277">
            <v>6.97</v>
          </cell>
          <cell r="L277">
            <v>97.931299999999993</v>
          </cell>
          <cell r="M277" t="str">
            <v>USD</v>
          </cell>
          <cell r="N277" t="str">
            <v>RFL</v>
          </cell>
          <cell r="O277" t="str">
            <v>Renta Fija Local</v>
          </cell>
          <cell r="P277" t="str">
            <v>BBB-</v>
          </cell>
          <cell r="Q277" t="str">
            <v>Largo</v>
          </cell>
          <cell r="R277" t="str">
            <v>Corporativo Alto Riesgo Largo</v>
          </cell>
          <cell r="S277">
            <v>0</v>
          </cell>
          <cell r="T277" t="str">
            <v>BBB-</v>
          </cell>
          <cell r="U277" t="str">
            <v>10</v>
          </cell>
          <cell r="V277" t="str">
            <v>Alto Riesgo</v>
          </cell>
          <cell r="W277" t="str">
            <v>Corporativo</v>
          </cell>
          <cell r="X277" t="str">
            <v>Alto Riesgo Largo USD</v>
          </cell>
          <cell r="Y277" t="str">
            <v>Corporativo Alto Riesgo Largo</v>
          </cell>
          <cell r="Z277" t="str">
            <v>Largo USD</v>
          </cell>
          <cell r="AA277" t="str">
            <v>Corporativo Largo</v>
          </cell>
          <cell r="AB277" t="str">
            <v>Corporativo USD</v>
          </cell>
          <cell r="AC277"/>
          <cell r="AD277"/>
          <cell r="AE277" t="str">
            <v>Bono Aes Gener USD</v>
          </cell>
          <cell r="AF277" t="str">
            <v>AES Gener S.A.</v>
          </cell>
        </row>
        <row r="278">
          <cell r="C278" t="str">
            <v>BPLZA-C</v>
          </cell>
          <cell r="D278" t="str">
            <v>PLAZA S.A.</v>
          </cell>
          <cell r="E278">
            <v>59433236</v>
          </cell>
          <cell r="F278">
            <v>2000</v>
          </cell>
          <cell r="G278">
            <v>2.026E-3</v>
          </cell>
          <cell r="H278">
            <v>2.7</v>
          </cell>
          <cell r="I278" t="str">
            <v>2030-05-02</v>
          </cell>
          <cell r="J278">
            <v>4907</v>
          </cell>
          <cell r="K278">
            <v>6.99</v>
          </cell>
          <cell r="L278">
            <v>112.7</v>
          </cell>
          <cell r="M278" t="str">
            <v>UF</v>
          </cell>
          <cell r="N278" t="str">
            <v>RFL</v>
          </cell>
          <cell r="O278" t="str">
            <v>Renta Fija Local</v>
          </cell>
          <cell r="P278" t="str">
            <v>AA ; AA+</v>
          </cell>
          <cell r="Q278" t="str">
            <v>Largo</v>
          </cell>
          <cell r="R278" t="str">
            <v>Corporativo Bajo Riesgo Largo</v>
          </cell>
          <cell r="S278">
            <v>2.7</v>
          </cell>
          <cell r="T278" t="str">
            <v>AA</v>
          </cell>
          <cell r="U278" t="str">
            <v>3</v>
          </cell>
          <cell r="V278" t="str">
            <v>Bajo Riesgo</v>
          </cell>
          <cell r="W278" t="str">
            <v>Corporativo</v>
          </cell>
          <cell r="X278" t="str">
            <v>Bajo Riesgo Largo UF</v>
          </cell>
          <cell r="Y278" t="str">
            <v>Corporativo Bajo Riesgo Largo</v>
          </cell>
          <cell r="Z278" t="str">
            <v>Largo UF</v>
          </cell>
          <cell r="AA278" t="str">
            <v>Corporativo Largo</v>
          </cell>
          <cell r="AB278" t="str">
            <v>Corporativo UF</v>
          </cell>
          <cell r="AC278" t="str">
            <v>Instrumentos de Deuda</v>
          </cell>
          <cell r="AD278" t="str">
            <v>Consumo</v>
          </cell>
          <cell r="AE278" t="str">
            <v>Bono Plaza S.A. Serie C</v>
          </cell>
          <cell r="AF278" t="str">
            <v>Plaza S.A.</v>
          </cell>
        </row>
        <row r="279">
          <cell r="C279" t="str">
            <v>BECOP-G</v>
          </cell>
          <cell r="D279" t="str">
            <v>COPEC</v>
          </cell>
          <cell r="E279">
            <v>250197824</v>
          </cell>
          <cell r="F279">
            <v>9500</v>
          </cell>
          <cell r="G279">
            <v>8.5299999999999994E-3</v>
          </cell>
          <cell r="H279">
            <v>2.72</v>
          </cell>
          <cell r="I279" t="str">
            <v>2024-10-15</v>
          </cell>
          <cell r="J279">
            <v>2882</v>
          </cell>
          <cell r="K279">
            <v>7.15</v>
          </cell>
          <cell r="L279">
            <v>99.85</v>
          </cell>
          <cell r="M279" t="str">
            <v>UF</v>
          </cell>
          <cell r="N279" t="str">
            <v>RFL</v>
          </cell>
          <cell r="O279" t="str">
            <v>Renta Fija Local</v>
          </cell>
          <cell r="P279" t="str">
            <v>AA- ; AA-</v>
          </cell>
          <cell r="Q279" t="str">
            <v>Largo</v>
          </cell>
          <cell r="R279" t="str">
            <v>Corporativo Bajo Riesgo Largo</v>
          </cell>
          <cell r="S279">
            <v>2.72</v>
          </cell>
          <cell r="T279" t="str">
            <v>AA-</v>
          </cell>
          <cell r="U279" t="str">
            <v>4</v>
          </cell>
          <cell r="V279" t="str">
            <v>Bajo Riesgo</v>
          </cell>
          <cell r="W279" t="str">
            <v>Corporativo</v>
          </cell>
          <cell r="X279" t="str">
            <v>Bajo Riesgo Largo UF</v>
          </cell>
          <cell r="Y279" t="str">
            <v>Corporativo Bajo Riesgo Largo</v>
          </cell>
          <cell r="Z279" t="str">
            <v>Largo UF</v>
          </cell>
          <cell r="AA279" t="str">
            <v>Corporativo Largo</v>
          </cell>
          <cell r="AB279" t="str">
            <v>Corporativo UF</v>
          </cell>
          <cell r="AC279" t="str">
            <v>Instrumentos de Deuda</v>
          </cell>
          <cell r="AD279" t="str">
            <v>Industriales</v>
          </cell>
          <cell r="AE279" t="str">
            <v>Bono Copec Serie G</v>
          </cell>
          <cell r="AF279" t="str">
            <v>Empresas Copec S.A.</v>
          </cell>
        </row>
        <row r="280">
          <cell r="C280" t="str">
            <v>BCODE-B</v>
          </cell>
          <cell r="D280" t="str">
            <v>CODELCO</v>
          </cell>
          <cell r="E280">
            <v>495252872</v>
          </cell>
          <cell r="F280">
            <v>17000</v>
          </cell>
          <cell r="G280">
            <v>1.6884E-2</v>
          </cell>
          <cell r="H280">
            <v>2.65</v>
          </cell>
          <cell r="I280" t="str">
            <v>2025-04-01</v>
          </cell>
          <cell r="J280">
            <v>3050</v>
          </cell>
          <cell r="K280">
            <v>7.21</v>
          </cell>
          <cell r="L280">
            <v>110.12</v>
          </cell>
          <cell r="M280" t="str">
            <v>UF</v>
          </cell>
          <cell r="N280" t="str">
            <v>RFL</v>
          </cell>
          <cell r="O280" t="str">
            <v>Renta Fija Local</v>
          </cell>
          <cell r="P280" t="str">
            <v>AAA ; AAA</v>
          </cell>
          <cell r="Q280" t="str">
            <v>Largo</v>
          </cell>
          <cell r="R280" t="str">
            <v>Corporativo Bajo Riesgo Largo</v>
          </cell>
          <cell r="S280">
            <v>2.65</v>
          </cell>
          <cell r="T280" t="str">
            <v>AAA</v>
          </cell>
          <cell r="U280" t="str">
            <v>1</v>
          </cell>
          <cell r="V280" t="str">
            <v>Bajo Riesgo</v>
          </cell>
          <cell r="W280" t="str">
            <v>Corporativo</v>
          </cell>
          <cell r="X280" t="str">
            <v>Bajo Riesgo Largo UF</v>
          </cell>
          <cell r="Y280" t="str">
            <v>Corporativo Bajo Riesgo Largo</v>
          </cell>
          <cell r="Z280" t="str">
            <v>Largo UF</v>
          </cell>
          <cell r="AA280" t="str">
            <v>Corporativo Largo</v>
          </cell>
          <cell r="AB280" t="str">
            <v>Corporativo UF</v>
          </cell>
          <cell r="AC280" t="str">
            <v>Instrumentos de Deuda</v>
          </cell>
          <cell r="AD280" t="str">
            <v>Minería</v>
          </cell>
          <cell r="AE280" t="str">
            <v>Bono Codelco Serie B</v>
          </cell>
          <cell r="AF280" t="str">
            <v>Codelco</v>
          </cell>
        </row>
        <row r="281">
          <cell r="C281" t="str">
            <v>BSOND-C</v>
          </cell>
          <cell r="D281" t="str">
            <v>SONDA</v>
          </cell>
          <cell r="E281">
            <v>179464103</v>
          </cell>
          <cell r="F281">
            <v>6000</v>
          </cell>
          <cell r="G281">
            <v>6.1180000000000002E-3</v>
          </cell>
          <cell r="H281">
            <v>2.94</v>
          </cell>
          <cell r="I281" t="str">
            <v>2030-12-01</v>
          </cell>
          <cell r="J281">
            <v>5120</v>
          </cell>
          <cell r="K281">
            <v>7.26</v>
          </cell>
          <cell r="L281">
            <v>111.34</v>
          </cell>
          <cell r="M281" t="str">
            <v>UF</v>
          </cell>
          <cell r="N281" t="str">
            <v>RFL</v>
          </cell>
          <cell r="O281" t="str">
            <v>Renta Fija Local</v>
          </cell>
          <cell r="P281" t="str">
            <v>AA- ; AA</v>
          </cell>
          <cell r="Q281" t="str">
            <v>Largo</v>
          </cell>
          <cell r="R281" t="str">
            <v>Corporativo Bajo Riesgo Largo</v>
          </cell>
          <cell r="S281">
            <v>2.94</v>
          </cell>
          <cell r="T281" t="str">
            <v>AA-</v>
          </cell>
          <cell r="U281" t="str">
            <v>4</v>
          </cell>
          <cell r="V281" t="str">
            <v>Bajo Riesgo</v>
          </cell>
          <cell r="W281" t="str">
            <v>Corporativo</v>
          </cell>
          <cell r="X281" t="str">
            <v>Bajo Riesgo Largo UF</v>
          </cell>
          <cell r="Y281" t="str">
            <v>Corporativo Bajo Riesgo Largo</v>
          </cell>
          <cell r="Z281" t="str">
            <v>Largo UF</v>
          </cell>
          <cell r="AA281" t="str">
            <v>Corporativo Largo</v>
          </cell>
          <cell r="AB281" t="str">
            <v>Corporativo UF</v>
          </cell>
          <cell r="AC281" t="str">
            <v>Instrumentos de Deuda</v>
          </cell>
          <cell r="AD281" t="str">
            <v>Tecnología</v>
          </cell>
          <cell r="AE281" t="str">
            <v>Bono Sonda Serie C</v>
          </cell>
          <cell r="AF281" t="str">
            <v>Sonda S.A.</v>
          </cell>
        </row>
        <row r="282">
          <cell r="C282" t="str">
            <v>BBCIJ21014</v>
          </cell>
          <cell r="D282" t="str">
            <v>BBCREDITO</v>
          </cell>
          <cell r="E282">
            <v>125727459</v>
          </cell>
          <cell r="F282">
            <v>5000</v>
          </cell>
          <cell r="G282">
            <v>4.2859999999999999E-3</v>
          </cell>
          <cell r="H282">
            <v>2.68</v>
          </cell>
          <cell r="I282" t="str">
            <v>2024-10-01</v>
          </cell>
          <cell r="J282">
            <v>2868</v>
          </cell>
          <cell r="K282">
            <v>7.27</v>
          </cell>
          <cell r="L282">
            <v>95.34</v>
          </cell>
          <cell r="M282" t="str">
            <v>UF</v>
          </cell>
          <cell r="N282" t="str">
            <v>RFL</v>
          </cell>
          <cell r="O282" t="str">
            <v>Renta Fija Local</v>
          </cell>
          <cell r="P282" t="str">
            <v>AA+ ; AA+</v>
          </cell>
          <cell r="Q282" t="str">
            <v>Largo</v>
          </cell>
          <cell r="R282" t="str">
            <v>Corporativo Bajo Riesgo Largo</v>
          </cell>
          <cell r="S282">
            <v>2.68</v>
          </cell>
          <cell r="T282" t="str">
            <v>AA+</v>
          </cell>
          <cell r="U282" t="str">
            <v>2</v>
          </cell>
          <cell r="V282" t="str">
            <v>Bajo Riesgo</v>
          </cell>
          <cell r="W282" t="str">
            <v>Corporativo</v>
          </cell>
          <cell r="X282" t="str">
            <v>Bajo Riesgo Largo UF</v>
          </cell>
          <cell r="Y282" t="str">
            <v>Corporativo Bajo Riesgo Largo</v>
          </cell>
          <cell r="Z282" t="str">
            <v>Largo UF</v>
          </cell>
          <cell r="AA282" t="str">
            <v>Corporativo Largo</v>
          </cell>
          <cell r="AB282" t="str">
            <v>Corporativo UF</v>
          </cell>
          <cell r="AC282" t="str">
            <v>Instrumentos de Deuda</v>
          </cell>
          <cell r="AD282" t="str">
            <v>Financieras</v>
          </cell>
          <cell r="AE282" t="str">
            <v>Bono Banc Bci Subserie Aj2, Serie Aj</v>
          </cell>
          <cell r="AF282" t="str">
            <v>BCI</v>
          </cell>
        </row>
        <row r="283">
          <cell r="C283" t="str">
            <v>BSECK60315</v>
          </cell>
          <cell r="D283" t="str">
            <v>BBSECURITY</v>
          </cell>
          <cell r="E283">
            <v>370731942</v>
          </cell>
          <cell r="F283">
            <v>14000</v>
          </cell>
          <cell r="G283">
            <v>1.2638999999999999E-2</v>
          </cell>
          <cell r="H283">
            <v>2.76</v>
          </cell>
          <cell r="I283" t="str">
            <v>2025-03-01</v>
          </cell>
          <cell r="J283">
            <v>3019</v>
          </cell>
          <cell r="K283">
            <v>7.41</v>
          </cell>
          <cell r="L283">
            <v>100.06</v>
          </cell>
          <cell r="M283" t="str">
            <v>UF</v>
          </cell>
          <cell r="N283" t="str">
            <v>RFL</v>
          </cell>
          <cell r="O283" t="str">
            <v>Renta Fija Local</v>
          </cell>
          <cell r="P283" t="str">
            <v>AA- ; AA</v>
          </cell>
          <cell r="Q283" t="str">
            <v>Largo</v>
          </cell>
          <cell r="R283" t="str">
            <v>Corporativo Bajo Riesgo Largo</v>
          </cell>
          <cell r="S283">
            <v>2.76</v>
          </cell>
          <cell r="T283" t="str">
            <v>AA-</v>
          </cell>
          <cell r="U283" t="str">
            <v>4</v>
          </cell>
          <cell r="V283" t="str">
            <v>Bajo Riesgo</v>
          </cell>
          <cell r="W283" t="str">
            <v>Corporativo</v>
          </cell>
          <cell r="X283" t="str">
            <v>Bajo Riesgo Largo UF</v>
          </cell>
          <cell r="Y283" t="str">
            <v>Corporativo Bajo Riesgo Largo</v>
          </cell>
          <cell r="Z283" t="str">
            <v>Largo UF</v>
          </cell>
          <cell r="AA283" t="str">
            <v>Corporativo Largo</v>
          </cell>
          <cell r="AB283" t="str">
            <v>Corporativo UF</v>
          </cell>
          <cell r="AC283" t="str">
            <v>Instrumentos de Deuda</v>
          </cell>
          <cell r="AD283" t="str">
            <v>Financieras</v>
          </cell>
          <cell r="AE283" t="str">
            <v>Bono Bancario Security Serie K6</v>
          </cell>
          <cell r="AF283" t="str">
            <v>Banco Security</v>
          </cell>
        </row>
        <row r="284">
          <cell r="C284" t="str">
            <v>BCOO-C0713</v>
          </cell>
          <cell r="D284" t="str">
            <v>COOPEUCH</v>
          </cell>
          <cell r="E284">
            <v>49475967</v>
          </cell>
          <cell r="F284">
            <v>2000</v>
          </cell>
          <cell r="G284">
            <v>1.686E-3</v>
          </cell>
          <cell r="H284">
            <v>2.73</v>
          </cell>
          <cell r="I284" t="str">
            <v>2034-07-10</v>
          </cell>
          <cell r="J284">
            <v>6437</v>
          </cell>
          <cell r="K284">
            <v>7.42</v>
          </cell>
          <cell r="L284">
            <v>108.19</v>
          </cell>
          <cell r="M284" t="str">
            <v>UF</v>
          </cell>
          <cell r="N284" t="str">
            <v>RFL</v>
          </cell>
          <cell r="O284" t="str">
            <v>Renta Fija Local</v>
          </cell>
          <cell r="P284" t="str">
            <v>AA- ; AA-</v>
          </cell>
          <cell r="Q284" t="str">
            <v>Largo</v>
          </cell>
          <cell r="R284" t="str">
            <v>Corporativo Bajo Riesgo Largo</v>
          </cell>
          <cell r="S284">
            <v>2.73</v>
          </cell>
          <cell r="T284" t="str">
            <v>AA-</v>
          </cell>
          <cell r="U284" t="str">
            <v>4</v>
          </cell>
          <cell r="V284" t="str">
            <v>Bajo Riesgo</v>
          </cell>
          <cell r="W284" t="str">
            <v>Corporativo</v>
          </cell>
          <cell r="X284" t="str">
            <v>Bajo Riesgo Largo UF</v>
          </cell>
          <cell r="Y284" t="str">
            <v>Corporativo Bajo Riesgo Largo</v>
          </cell>
          <cell r="Z284" t="str">
            <v>Largo UF</v>
          </cell>
          <cell r="AA284" t="str">
            <v>Corporativo Largo</v>
          </cell>
          <cell r="AB284" t="str">
            <v>Corporativo UF</v>
          </cell>
          <cell r="AC284" t="str">
            <v>Instrumentos de Deuda</v>
          </cell>
          <cell r="AD284" t="str">
            <v>Financieras</v>
          </cell>
          <cell r="AE284" t="str">
            <v>Bono Coopeuch Serie C</v>
          </cell>
          <cell r="AF284" t="str">
            <v>COOPEUCH</v>
          </cell>
        </row>
        <row r="285">
          <cell r="C285" t="str">
            <v>BBBVK80714</v>
          </cell>
          <cell r="D285" t="str">
            <v>BBBVA</v>
          </cell>
          <cell r="E285">
            <v>340623391</v>
          </cell>
          <cell r="F285">
            <v>12000</v>
          </cell>
          <cell r="G285">
            <v>1.1612000000000001E-2</v>
          </cell>
          <cell r="H285">
            <v>2.63</v>
          </cell>
          <cell r="I285" t="str">
            <v>2025-07-01</v>
          </cell>
          <cell r="J285">
            <v>3141</v>
          </cell>
          <cell r="K285">
            <v>7.46</v>
          </cell>
          <cell r="L285">
            <v>106.46</v>
          </cell>
          <cell r="M285" t="str">
            <v>UF</v>
          </cell>
          <cell r="N285" t="str">
            <v>RFL</v>
          </cell>
          <cell r="O285" t="str">
            <v>Renta Fija Local</v>
          </cell>
          <cell r="P285" t="str">
            <v>AA ; AA+</v>
          </cell>
          <cell r="Q285" t="str">
            <v>Largo</v>
          </cell>
          <cell r="R285" t="str">
            <v>Corporativo Bajo Riesgo Largo</v>
          </cell>
          <cell r="S285">
            <v>2.63</v>
          </cell>
          <cell r="T285" t="str">
            <v>AA</v>
          </cell>
          <cell r="U285" t="str">
            <v>3</v>
          </cell>
          <cell r="V285" t="str">
            <v>Bajo Riesgo</v>
          </cell>
          <cell r="W285" t="str">
            <v>Corporativo</v>
          </cell>
          <cell r="X285" t="str">
            <v>Bajo Riesgo Largo UF</v>
          </cell>
          <cell r="Y285" t="str">
            <v>Corporativo Bajo Riesgo Largo</v>
          </cell>
          <cell r="Z285" t="str">
            <v>Largo UF</v>
          </cell>
          <cell r="AA285" t="str">
            <v>Corporativo Largo</v>
          </cell>
          <cell r="AB285" t="str">
            <v>Corporativo UF</v>
          </cell>
          <cell r="AC285" t="str">
            <v>Instrumentos de Deuda</v>
          </cell>
          <cell r="AD285" t="str">
            <v>Financieras</v>
          </cell>
          <cell r="AE285" t="str">
            <v>Bono Bbva Serie K</v>
          </cell>
          <cell r="AF285" t="str">
            <v>BBVA</v>
          </cell>
        </row>
        <row r="286">
          <cell r="C286" t="str">
            <v>BBNSAB0515</v>
          </cell>
          <cell r="D286" t="str">
            <v>BBSCOTIABA</v>
          </cell>
          <cell r="E286">
            <v>269755596</v>
          </cell>
          <cell r="F286">
            <v>10000</v>
          </cell>
          <cell r="G286">
            <v>9.1959999999999993E-3</v>
          </cell>
          <cell r="H286">
            <v>2.7</v>
          </cell>
          <cell r="I286" t="str">
            <v>2025-05-01</v>
          </cell>
          <cell r="J286">
            <v>3080</v>
          </cell>
          <cell r="K286">
            <v>7.52</v>
          </cell>
          <cell r="L286">
            <v>102.38</v>
          </cell>
          <cell r="M286" t="str">
            <v>UF</v>
          </cell>
          <cell r="N286" t="str">
            <v>RFL</v>
          </cell>
          <cell r="O286" t="str">
            <v>Renta Fija Local</v>
          </cell>
          <cell r="P286" t="str">
            <v>AAA ; AAA</v>
          </cell>
          <cell r="Q286" t="str">
            <v>Largo</v>
          </cell>
          <cell r="R286" t="str">
            <v>Corporativo Bajo Riesgo Largo</v>
          </cell>
          <cell r="S286">
            <v>2.7</v>
          </cell>
          <cell r="T286" t="str">
            <v>AAA</v>
          </cell>
          <cell r="U286" t="str">
            <v>1</v>
          </cell>
          <cell r="V286" t="str">
            <v>Bajo Riesgo</v>
          </cell>
          <cell r="W286" t="str">
            <v>Corporativo</v>
          </cell>
          <cell r="X286" t="str">
            <v>Bajo Riesgo Largo UF</v>
          </cell>
          <cell r="Y286" t="str">
            <v>Corporativo Bajo Riesgo Largo</v>
          </cell>
          <cell r="Z286" t="str">
            <v>Largo UF</v>
          </cell>
          <cell r="AA286" t="str">
            <v>Corporativo Largo</v>
          </cell>
          <cell r="AB286" t="str">
            <v>Corporativo UF</v>
          </cell>
          <cell r="AC286" t="str">
            <v>Instrumentos de Deuda</v>
          </cell>
          <cell r="AD286" t="str">
            <v>Financieras</v>
          </cell>
          <cell r="AE286" t="str">
            <v>Bono Scotiabank Serie Ab</v>
          </cell>
          <cell r="AF286" t="str">
            <v>Scotiabank</v>
          </cell>
        </row>
        <row r="287">
          <cell r="C287" t="str">
            <v>BCGVI-B</v>
          </cell>
          <cell r="D287" t="str">
            <v>CG VIDA</v>
          </cell>
          <cell r="E287">
            <v>333801968</v>
          </cell>
          <cell r="F287">
            <v>11000</v>
          </cell>
          <cell r="G287">
            <v>1.1379999999999999E-2</v>
          </cell>
          <cell r="H287">
            <v>2.95</v>
          </cell>
          <cell r="I287" t="str">
            <v>2031-03-15</v>
          </cell>
          <cell r="J287">
            <v>5224</v>
          </cell>
          <cell r="K287">
            <v>7.65</v>
          </cell>
          <cell r="L287">
            <v>111.9</v>
          </cell>
          <cell r="M287" t="str">
            <v>UF</v>
          </cell>
          <cell r="N287" t="str">
            <v>RFL</v>
          </cell>
          <cell r="O287" t="str">
            <v>Renta Fija Local</v>
          </cell>
          <cell r="P287" t="str">
            <v>AA- ; AA-</v>
          </cell>
          <cell r="Q287" t="str">
            <v>Largo</v>
          </cell>
          <cell r="R287" t="str">
            <v>Corporativo Bajo Riesgo Largo</v>
          </cell>
          <cell r="S287">
            <v>2.95</v>
          </cell>
          <cell r="T287" t="str">
            <v>AA-</v>
          </cell>
          <cell r="U287" t="str">
            <v>4</v>
          </cell>
          <cell r="V287" t="str">
            <v>Bajo Riesgo</v>
          </cell>
          <cell r="W287" t="str">
            <v>Corporativo</v>
          </cell>
          <cell r="X287" t="str">
            <v>Bajo Riesgo Largo UF</v>
          </cell>
          <cell r="Y287" t="str">
            <v>Corporativo Bajo Riesgo Largo</v>
          </cell>
          <cell r="Z287" t="str">
            <v>Largo UF</v>
          </cell>
          <cell r="AA287" t="str">
            <v>Corporativo Largo</v>
          </cell>
          <cell r="AB287" t="str">
            <v>Corporativo UF</v>
          </cell>
          <cell r="AC287" t="str">
            <v>Instrumentos de Deuda</v>
          </cell>
          <cell r="AD287" t="str">
            <v>Financieras</v>
          </cell>
          <cell r="AE287" t="str">
            <v>Bono Corpgroup Vida Chile Serie B</v>
          </cell>
          <cell r="AF287" t="str">
            <v>Corpgroup Vida Chile</v>
          </cell>
        </row>
        <row r="288">
          <cell r="C288" t="str">
            <v>BCHIUZ1011</v>
          </cell>
          <cell r="D288" t="str">
            <v>BBCHILE</v>
          </cell>
          <cell r="E288">
            <v>283280995</v>
          </cell>
          <cell r="F288">
            <v>10000</v>
          </cell>
          <cell r="G288">
            <v>9.6570000000000007E-3</v>
          </cell>
          <cell r="H288">
            <v>2.57</v>
          </cell>
          <cell r="I288" t="str">
            <v>2025-10-01</v>
          </cell>
          <cell r="J288">
            <v>3233</v>
          </cell>
          <cell r="K288">
            <v>7.71</v>
          </cell>
          <cell r="L288">
            <v>107.17</v>
          </cell>
          <cell r="M288" t="str">
            <v>UF</v>
          </cell>
          <cell r="N288" t="str">
            <v>RFL</v>
          </cell>
          <cell r="O288" t="str">
            <v>Renta Fija Local</v>
          </cell>
          <cell r="P288" t="str">
            <v>AAA ; AAA</v>
          </cell>
          <cell r="Q288" t="str">
            <v>Largo</v>
          </cell>
          <cell r="R288" t="str">
            <v>Corporativo Bajo Riesgo Largo</v>
          </cell>
          <cell r="S288">
            <v>2.57</v>
          </cell>
          <cell r="T288" t="str">
            <v>AAA</v>
          </cell>
          <cell r="U288" t="str">
            <v>1</v>
          </cell>
          <cell r="V288" t="str">
            <v>Bajo Riesgo</v>
          </cell>
          <cell r="W288" t="str">
            <v>Corporativo</v>
          </cell>
          <cell r="X288" t="str">
            <v>Bajo Riesgo Largo UF</v>
          </cell>
          <cell r="Y288" t="str">
            <v>Corporativo Bajo Riesgo Largo</v>
          </cell>
          <cell r="Z288" t="str">
            <v>Largo UF</v>
          </cell>
          <cell r="AA288" t="str">
            <v>Corporativo Largo</v>
          </cell>
          <cell r="AB288" t="str">
            <v>Corporativo UF</v>
          </cell>
          <cell r="AC288" t="str">
            <v>Instrumentos de Deuda</v>
          </cell>
          <cell r="AD288" t="str">
            <v>Financieras</v>
          </cell>
          <cell r="AE288" t="str">
            <v>Bono Banco Chile Serie Uz</v>
          </cell>
          <cell r="AF288" t="str">
            <v>Banco de Chile</v>
          </cell>
        </row>
        <row r="289">
          <cell r="C289" t="str">
            <v>BENAE-A</v>
          </cell>
          <cell r="D289" t="str">
            <v>ENAEX</v>
          </cell>
          <cell r="E289">
            <v>355776577</v>
          </cell>
          <cell r="F289">
            <v>13000</v>
          </cell>
          <cell r="G289">
            <v>1.2128999999999999E-2</v>
          </cell>
          <cell r="H289">
            <v>2.46</v>
          </cell>
          <cell r="I289" t="str">
            <v>2025-09-01</v>
          </cell>
          <cell r="J289">
            <v>3203</v>
          </cell>
          <cell r="K289">
            <v>7.79</v>
          </cell>
          <cell r="L289">
            <v>103.38</v>
          </cell>
          <cell r="M289" t="str">
            <v>UF</v>
          </cell>
          <cell r="N289" t="str">
            <v>RFL</v>
          </cell>
          <cell r="O289" t="str">
            <v>Renta Fija Local</v>
          </cell>
          <cell r="P289" t="str">
            <v>AA- ; AA-</v>
          </cell>
          <cell r="Q289" t="str">
            <v>Largo</v>
          </cell>
          <cell r="R289" t="str">
            <v>Corporativo Bajo Riesgo Largo</v>
          </cell>
          <cell r="S289">
            <v>2.46</v>
          </cell>
          <cell r="T289" t="str">
            <v>AA-</v>
          </cell>
          <cell r="U289" t="str">
            <v>4</v>
          </cell>
          <cell r="V289" t="str">
            <v>Bajo Riesgo</v>
          </cell>
          <cell r="W289" t="str">
            <v>Corporativo</v>
          </cell>
          <cell r="X289" t="str">
            <v>Bajo Riesgo Largo UF</v>
          </cell>
          <cell r="Y289" t="str">
            <v>Corporativo Bajo Riesgo Largo</v>
          </cell>
          <cell r="Z289" t="str">
            <v>Largo UF</v>
          </cell>
          <cell r="AA289" t="str">
            <v>Corporativo Largo</v>
          </cell>
          <cell r="AB289" t="str">
            <v>Corporativo UF</v>
          </cell>
          <cell r="AC289" t="str">
            <v>Instrumentos de Deuda</v>
          </cell>
          <cell r="AD289" t="str">
            <v>Energía</v>
          </cell>
          <cell r="AE289" t="str">
            <v>Bonos Enaex Serie A</v>
          </cell>
          <cell r="AF289" t="str">
            <v>ENAEX</v>
          </cell>
        </row>
        <row r="290">
          <cell r="C290" t="str">
            <v>BEKOP-C</v>
          </cell>
          <cell r="D290" t="str">
            <v>KOPOLAR</v>
          </cell>
          <cell r="E290">
            <v>88305232</v>
          </cell>
          <cell r="F290">
            <v>3000</v>
          </cell>
          <cell r="G290">
            <v>3.0100000000000001E-3</v>
          </cell>
          <cell r="H290">
            <v>2.66</v>
          </cell>
          <cell r="I290" t="str">
            <v>2031-08-15</v>
          </cell>
          <cell r="J290">
            <v>5377</v>
          </cell>
          <cell r="K290">
            <v>7.96</v>
          </cell>
          <cell r="L290">
            <v>110.72</v>
          </cell>
          <cell r="M290" t="str">
            <v>UF</v>
          </cell>
          <cell r="N290" t="str">
            <v>RFL</v>
          </cell>
          <cell r="O290" t="str">
            <v>Renta Fija Local</v>
          </cell>
          <cell r="P290" t="str">
            <v>AA- ; AA-</v>
          </cell>
          <cell r="Q290" t="str">
            <v>Largo</v>
          </cell>
          <cell r="R290" t="str">
            <v>Corporativo Bajo Riesgo Largo</v>
          </cell>
          <cell r="S290">
            <v>2.66</v>
          </cell>
          <cell r="T290" t="str">
            <v>AA-</v>
          </cell>
          <cell r="U290" t="str">
            <v>4</v>
          </cell>
          <cell r="V290" t="str">
            <v>Bajo Riesgo</v>
          </cell>
          <cell r="W290" t="str">
            <v>Corporativo</v>
          </cell>
          <cell r="X290" t="str">
            <v>Bajo Riesgo Largo UF</v>
          </cell>
          <cell r="Y290" t="str">
            <v>Corporativo Bajo Riesgo Largo</v>
          </cell>
          <cell r="Z290" t="str">
            <v>Largo UF</v>
          </cell>
          <cell r="AA290" t="str">
            <v>Corporativo Largo</v>
          </cell>
          <cell r="AB290" t="str">
            <v>Corporativo UF</v>
          </cell>
          <cell r="AC290" t="str">
            <v>Instrumentos de Deuda</v>
          </cell>
          <cell r="AD290" t="str">
            <v>Industriales</v>
          </cell>
          <cell r="AE290" t="str">
            <v>Bono Kopolar Serie C</v>
          </cell>
          <cell r="AF290" t="str">
            <v>Embotelladoras Coca-Cola Polar S.A.</v>
          </cell>
        </row>
        <row r="291">
          <cell r="C291" t="str">
            <v>ENAPCL0826</v>
          </cell>
          <cell r="D291" t="str">
            <v>ENAP0508</v>
          </cell>
          <cell r="E291">
            <v>129730221</v>
          </cell>
          <cell r="F291">
            <v>200000</v>
          </cell>
          <cell r="G291">
            <v>4.4219999999999997E-3</v>
          </cell>
          <cell r="H291">
            <v>0</v>
          </cell>
          <cell r="I291" t="str">
            <v>2026-08-05</v>
          </cell>
          <cell r="J291">
            <v>3541</v>
          </cell>
          <cell r="K291">
            <v>8.07</v>
          </cell>
          <cell r="L291">
            <v>94.371600000000001</v>
          </cell>
          <cell r="M291" t="str">
            <v>USD</v>
          </cell>
          <cell r="N291"/>
          <cell r="O291"/>
          <cell r="P291"/>
          <cell r="Q291" t="str">
            <v>Largo</v>
          </cell>
          <cell r="R291"/>
          <cell r="S291">
            <v>0</v>
          </cell>
          <cell r="T291"/>
          <cell r="U291"/>
          <cell r="V291"/>
          <cell r="W291" t="str">
            <v>Corporativo</v>
          </cell>
          <cell r="X291"/>
          <cell r="Y291"/>
          <cell r="Z291" t="str">
            <v>Largo USD</v>
          </cell>
          <cell r="AA291" t="str">
            <v>Corporativo Largo</v>
          </cell>
          <cell r="AB291" t="str">
            <v>Corporativo USD</v>
          </cell>
          <cell r="AC291"/>
          <cell r="AD291"/>
          <cell r="AE291"/>
          <cell r="AF291" t="str">
            <v>ENAP</v>
          </cell>
        </row>
        <row r="292">
          <cell r="C292" t="str">
            <v>BAYS3-A</v>
          </cell>
          <cell r="D292" t="str">
            <v>AYSTRES</v>
          </cell>
          <cell r="E292">
            <v>156968826</v>
          </cell>
          <cell r="F292">
            <v>5000</v>
          </cell>
          <cell r="G292">
            <v>5.3509999999999999E-3</v>
          </cell>
          <cell r="H292">
            <v>2.66</v>
          </cell>
          <cell r="I292" t="str">
            <v>2032-12-15</v>
          </cell>
          <cell r="J292">
            <v>5865</v>
          </cell>
          <cell r="K292">
            <v>8.15</v>
          </cell>
          <cell r="L292">
            <v>116.97</v>
          </cell>
          <cell r="M292" t="str">
            <v>UF</v>
          </cell>
          <cell r="N292" t="str">
            <v>RFL</v>
          </cell>
          <cell r="O292" t="str">
            <v>Renta Fija Local</v>
          </cell>
          <cell r="P292" t="str">
            <v>AA- ; A+</v>
          </cell>
          <cell r="Q292" t="str">
            <v>Largo</v>
          </cell>
          <cell r="R292" t="str">
            <v>Corporativo Alto Riesgo Largo</v>
          </cell>
          <cell r="S292">
            <v>2.66</v>
          </cell>
          <cell r="T292" t="str">
            <v>A+</v>
          </cell>
          <cell r="U292" t="str">
            <v>5</v>
          </cell>
          <cell r="V292" t="str">
            <v>Alto Riesgo</v>
          </cell>
          <cell r="W292" t="str">
            <v>Corporativo</v>
          </cell>
          <cell r="X292" t="str">
            <v>Alto Riesgo Largo UF</v>
          </cell>
          <cell r="Y292" t="str">
            <v>Corporativo Alto Riesgo Largo</v>
          </cell>
          <cell r="Z292" t="str">
            <v>Largo UF</v>
          </cell>
          <cell r="AA292" t="str">
            <v>Corporativo Largo</v>
          </cell>
          <cell r="AB292" t="str">
            <v>Corporativo UF</v>
          </cell>
          <cell r="AC292" t="str">
            <v>Instrumentos de Deuda</v>
          </cell>
          <cell r="AD292" t="str">
            <v>Diversificados</v>
          </cell>
          <cell r="AE292" t="str">
            <v>Bono Inversiones Ays Tres Serie A</v>
          </cell>
          <cell r="AF292" t="str">
            <v>INVERSIONES AYS TRES</v>
          </cell>
        </row>
        <row r="293">
          <cell r="C293" t="str">
            <v>BCGEI-I</v>
          </cell>
          <cell r="D293" t="str">
            <v>ELECTRICID</v>
          </cell>
          <cell r="E293">
            <v>61760394</v>
          </cell>
          <cell r="F293">
            <v>2000</v>
          </cell>
          <cell r="G293">
            <v>2.1050000000000001E-3</v>
          </cell>
          <cell r="H293">
            <v>2.75</v>
          </cell>
          <cell r="I293" t="str">
            <v>2029-08-11</v>
          </cell>
          <cell r="J293">
            <v>4643</v>
          </cell>
          <cell r="K293">
            <v>8.17</v>
          </cell>
          <cell r="L293">
            <v>115.89</v>
          </cell>
          <cell r="M293" t="str">
            <v>UF</v>
          </cell>
          <cell r="N293" t="str">
            <v>RFL</v>
          </cell>
          <cell r="O293" t="str">
            <v>Renta Fija Local</v>
          </cell>
          <cell r="P293" t="str">
            <v>AA ; AA-</v>
          </cell>
          <cell r="Q293" t="str">
            <v>Largo</v>
          </cell>
          <cell r="R293" t="str">
            <v>Corporativo Bajo Riesgo Largo</v>
          </cell>
          <cell r="S293">
            <v>2.75</v>
          </cell>
          <cell r="T293" t="str">
            <v>AA-</v>
          </cell>
          <cell r="U293" t="str">
            <v>4</v>
          </cell>
          <cell r="V293" t="str">
            <v>Bajo Riesgo</v>
          </cell>
          <cell r="W293" t="str">
            <v>Corporativo</v>
          </cell>
          <cell r="X293" t="str">
            <v>Bajo Riesgo Largo UF</v>
          </cell>
          <cell r="Y293" t="str">
            <v>Corporativo Bajo Riesgo Largo</v>
          </cell>
          <cell r="Z293" t="str">
            <v>Largo UF</v>
          </cell>
          <cell r="AA293" t="str">
            <v>Corporativo Largo</v>
          </cell>
          <cell r="AB293" t="str">
            <v>Corporativo UF</v>
          </cell>
          <cell r="AC293" t="str">
            <v>Instrumentos de Deuda</v>
          </cell>
          <cell r="AD293" t="str">
            <v>Servicios Básicos</v>
          </cell>
          <cell r="AE293" t="str">
            <v>Bono Cge Serie I</v>
          </cell>
          <cell r="AF293" t="str">
            <v>Cía. General de Electricidad S.A.</v>
          </cell>
        </row>
        <row r="294">
          <cell r="C294" t="str">
            <v>BCHIAY0213</v>
          </cell>
          <cell r="D294" t="str">
            <v>BBCHILE</v>
          </cell>
          <cell r="E294">
            <v>57457524</v>
          </cell>
          <cell r="F294">
            <v>2000</v>
          </cell>
          <cell r="G294">
            <v>1.9580000000000001E-3</v>
          </cell>
          <cell r="H294">
            <v>2.63</v>
          </cell>
          <cell r="I294" t="str">
            <v>2026-08-01</v>
          </cell>
          <cell r="J294">
            <v>3537</v>
          </cell>
          <cell r="K294">
            <v>8.26</v>
          </cell>
          <cell r="L294">
            <v>108.02</v>
          </cell>
          <cell r="M294" t="str">
            <v>UF</v>
          </cell>
          <cell r="N294" t="str">
            <v>RFL</v>
          </cell>
          <cell r="O294" t="str">
            <v>Renta Fija Local</v>
          </cell>
          <cell r="P294" t="str">
            <v>AAA ; AAA</v>
          </cell>
          <cell r="Q294" t="str">
            <v>Largo</v>
          </cell>
          <cell r="R294" t="str">
            <v>Corporativo Bajo Riesgo Largo</v>
          </cell>
          <cell r="S294">
            <v>2.63</v>
          </cell>
          <cell r="T294" t="str">
            <v>AAA</v>
          </cell>
          <cell r="U294" t="str">
            <v>1</v>
          </cell>
          <cell r="V294" t="str">
            <v>Bajo Riesgo</v>
          </cell>
          <cell r="W294" t="str">
            <v>Corporativo</v>
          </cell>
          <cell r="X294" t="str">
            <v>Bajo Riesgo Largo UF</v>
          </cell>
          <cell r="Y294" t="str">
            <v>Corporativo Bajo Riesgo Largo</v>
          </cell>
          <cell r="Z294" t="str">
            <v>Largo UF</v>
          </cell>
          <cell r="AA294" t="str">
            <v>Corporativo Largo</v>
          </cell>
          <cell r="AB294" t="str">
            <v>Corporativo UF</v>
          </cell>
          <cell r="AC294" t="str">
            <v>Instrumentos de Deuda</v>
          </cell>
          <cell r="AD294" t="str">
            <v>Financieras</v>
          </cell>
          <cell r="AE294" t="str">
            <v>Bono Banco Chile Serie Ay</v>
          </cell>
          <cell r="AF294" t="str">
            <v>Banco de Chile</v>
          </cell>
        </row>
        <row r="295">
          <cell r="C295" t="str">
            <v>BTU0150326</v>
          </cell>
          <cell r="D295" t="str">
            <v>BTU</v>
          </cell>
          <cell r="E295">
            <v>259579096</v>
          </cell>
          <cell r="F295">
            <v>10000</v>
          </cell>
          <cell r="G295">
            <v>8.8489999999999992E-3</v>
          </cell>
          <cell r="H295">
            <v>1.7</v>
          </cell>
          <cell r="I295" t="str">
            <v>2026-03-01</v>
          </cell>
          <cell r="J295">
            <v>3384</v>
          </cell>
          <cell r="K295">
            <v>8.65</v>
          </cell>
          <cell r="L295">
            <v>98.36</v>
          </cell>
          <cell r="M295" t="str">
            <v>UF</v>
          </cell>
          <cell r="N295" t="str">
            <v>RFL</v>
          </cell>
          <cell r="O295" t="str">
            <v>Renta Fija Local</v>
          </cell>
          <cell r="P295" t="str">
            <v>NA</v>
          </cell>
          <cell r="Q295" t="str">
            <v>Largo</v>
          </cell>
          <cell r="R295" t="str">
            <v>Gobierno UF Largo</v>
          </cell>
          <cell r="S295">
            <v>1.7</v>
          </cell>
          <cell r="T295" t="str">
            <v>Gob</v>
          </cell>
          <cell r="U295" t="str">
            <v>0</v>
          </cell>
          <cell r="V295" t="str">
            <v>Gobierno</v>
          </cell>
          <cell r="W295" t="str">
            <v>Gobierno</v>
          </cell>
          <cell r="X295" t="str">
            <v>Gobierno Largo UF</v>
          </cell>
          <cell r="Y295" t="str">
            <v>Gobierno Largo</v>
          </cell>
          <cell r="Z295" t="str">
            <v>Largo UF</v>
          </cell>
          <cell r="AA295" t="str">
            <v>Gobierno</v>
          </cell>
          <cell r="AB295" t="str">
            <v>Gobierno UF</v>
          </cell>
          <cell r="AC295" t="str">
            <v>Instrumentos de Deuda</v>
          </cell>
          <cell r="AD295" t="str">
            <v>Financieras</v>
          </cell>
          <cell r="AE295" t="str">
            <v>Bono Tesoreria En Uf</v>
          </cell>
          <cell r="AF295" t="str">
            <v>Tesorería General de la República</v>
          </cell>
        </row>
        <row r="296">
          <cell r="C296" t="str">
            <v>BAGRS-D</v>
          </cell>
          <cell r="D296" t="str">
            <v>AGROSUPER</v>
          </cell>
          <cell r="E296">
            <v>98250425</v>
          </cell>
          <cell r="F296">
            <v>3500</v>
          </cell>
          <cell r="G296">
            <v>3.349E-3</v>
          </cell>
          <cell r="H296">
            <v>3.12</v>
          </cell>
          <cell r="I296" t="str">
            <v>2032-09-01</v>
          </cell>
          <cell r="J296">
            <v>5760</v>
          </cell>
          <cell r="K296">
            <v>8.69</v>
          </cell>
          <cell r="L296">
            <v>105.83</v>
          </cell>
          <cell r="M296" t="str">
            <v>UF</v>
          </cell>
          <cell r="N296" t="str">
            <v>RFL</v>
          </cell>
          <cell r="O296" t="str">
            <v>Renta Fija Local</v>
          </cell>
          <cell r="P296" t="str">
            <v>AA- ; AA-</v>
          </cell>
          <cell r="Q296" t="str">
            <v>Largo</v>
          </cell>
          <cell r="R296" t="str">
            <v>Corporativo Bajo Riesgo Largo</v>
          </cell>
          <cell r="S296">
            <v>3.12</v>
          </cell>
          <cell r="T296" t="str">
            <v>AA-</v>
          </cell>
          <cell r="U296" t="str">
            <v>4</v>
          </cell>
          <cell r="V296" t="str">
            <v>Bajo Riesgo</v>
          </cell>
          <cell r="W296" t="str">
            <v>Corporativo</v>
          </cell>
          <cell r="X296" t="str">
            <v>Bajo Riesgo Largo UF</v>
          </cell>
          <cell r="Y296" t="str">
            <v>Corporativo Bajo Riesgo Largo</v>
          </cell>
          <cell r="Z296" t="str">
            <v>Largo UF</v>
          </cell>
          <cell r="AA296" t="str">
            <v>Corporativo Largo</v>
          </cell>
          <cell r="AB296" t="str">
            <v>Corporativo UF</v>
          </cell>
          <cell r="AC296" t="str">
            <v>Instrumentos de Deuda</v>
          </cell>
          <cell r="AD296" t="str">
            <v>Consumo</v>
          </cell>
          <cell r="AE296" t="str">
            <v>Bono Agrosuper Sa Serie D</v>
          </cell>
          <cell r="AF296" t="str">
            <v>Agrosuper</v>
          </cell>
        </row>
        <row r="297">
          <cell r="C297" t="str">
            <v>BQUIN-F</v>
          </cell>
          <cell r="D297" t="str">
            <v>QUINENCO</v>
          </cell>
          <cell r="E297">
            <v>291892760</v>
          </cell>
          <cell r="F297">
            <v>10000</v>
          </cell>
          <cell r="G297">
            <v>9.9509999999999998E-3</v>
          </cell>
          <cell r="H297">
            <v>2.82</v>
          </cell>
          <cell r="I297" t="str">
            <v>2032-06-01</v>
          </cell>
          <cell r="J297">
            <v>5668</v>
          </cell>
          <cell r="K297">
            <v>8.73</v>
          </cell>
          <cell r="L297">
            <v>108.98</v>
          </cell>
          <cell r="M297" t="str">
            <v>UF</v>
          </cell>
          <cell r="N297" t="str">
            <v>RFL</v>
          </cell>
          <cell r="O297" t="str">
            <v>Renta Fija Local</v>
          </cell>
          <cell r="P297" t="str">
            <v>AA ; AA</v>
          </cell>
          <cell r="Q297" t="str">
            <v>Largo</v>
          </cell>
          <cell r="R297" t="str">
            <v>Corporativo Bajo Riesgo Largo</v>
          </cell>
          <cell r="S297">
            <v>2.82</v>
          </cell>
          <cell r="T297" t="str">
            <v>AA</v>
          </cell>
          <cell r="U297" t="str">
            <v>3</v>
          </cell>
          <cell r="V297" t="str">
            <v>Bajo Riesgo</v>
          </cell>
          <cell r="W297" t="str">
            <v>Corporativo</v>
          </cell>
          <cell r="X297" t="str">
            <v>Bajo Riesgo Largo UF</v>
          </cell>
          <cell r="Y297" t="str">
            <v>Corporativo Bajo Riesgo Largo</v>
          </cell>
          <cell r="Z297" t="str">
            <v>Largo UF</v>
          </cell>
          <cell r="AA297" t="str">
            <v>Corporativo Largo</v>
          </cell>
          <cell r="AB297" t="str">
            <v>Corporativo UF</v>
          </cell>
          <cell r="AC297" t="str">
            <v>Instrumentos de Deuda</v>
          </cell>
          <cell r="AD297" t="str">
            <v>Diversificados</v>
          </cell>
          <cell r="AE297" t="str">
            <v>Bono Quinenco Serie F</v>
          </cell>
          <cell r="AF297" t="str">
            <v>Quiñenco S.A.</v>
          </cell>
        </row>
        <row r="298">
          <cell r="C298" t="str">
            <v>BNTRA-D</v>
          </cell>
          <cell r="D298" t="str">
            <v>NTRANSELEC</v>
          </cell>
          <cell r="E298">
            <v>148915999</v>
          </cell>
          <cell r="F298">
            <v>5000</v>
          </cell>
          <cell r="G298">
            <v>5.0769999999999999E-3</v>
          </cell>
          <cell r="H298">
            <v>3.01</v>
          </cell>
          <cell r="I298" t="str">
            <v>2027-12-15</v>
          </cell>
          <cell r="J298">
            <v>4038</v>
          </cell>
          <cell r="K298">
            <v>8.94</v>
          </cell>
          <cell r="L298">
            <v>111.17</v>
          </cell>
          <cell r="M298" t="str">
            <v>UF</v>
          </cell>
          <cell r="N298" t="str">
            <v>RFL</v>
          </cell>
          <cell r="O298" t="str">
            <v>Renta Fija Local</v>
          </cell>
          <cell r="P298" t="str">
            <v>AA- ; AA-</v>
          </cell>
          <cell r="Q298" t="str">
            <v>Largo</v>
          </cell>
          <cell r="R298" t="str">
            <v>Corporativo Bajo Riesgo Largo</v>
          </cell>
          <cell r="S298">
            <v>3.01</v>
          </cell>
          <cell r="T298" t="str">
            <v>AA-</v>
          </cell>
          <cell r="U298" t="str">
            <v>4</v>
          </cell>
          <cell r="V298" t="str">
            <v>Bajo Riesgo</v>
          </cell>
          <cell r="W298" t="str">
            <v>Corporativo</v>
          </cell>
          <cell r="X298" t="str">
            <v>Bajo Riesgo Largo UF</v>
          </cell>
          <cell r="Y298" t="str">
            <v>Corporativo Bajo Riesgo Largo</v>
          </cell>
          <cell r="Z298" t="str">
            <v>Largo UF</v>
          </cell>
          <cell r="AA298" t="str">
            <v>Corporativo Largo</v>
          </cell>
          <cell r="AB298" t="str">
            <v>Corporativo UF</v>
          </cell>
          <cell r="AC298" t="str">
            <v>Instrumentos de Deuda</v>
          </cell>
          <cell r="AD298" t="str">
            <v>Servicios Básicos</v>
          </cell>
          <cell r="AE298" t="str">
            <v>Serie Transelec S.A. Serie D</v>
          </cell>
          <cell r="AF298" t="str">
            <v>Transelec S.A.</v>
          </cell>
        </row>
        <row r="299">
          <cell r="C299" t="str">
            <v>BSKSA-E</v>
          </cell>
          <cell r="D299" t="str">
            <v>SK</v>
          </cell>
          <cell r="E299">
            <v>206900587</v>
          </cell>
          <cell r="F299">
            <v>7000</v>
          </cell>
          <cell r="G299">
            <v>7.0530000000000002E-3</v>
          </cell>
          <cell r="H299">
            <v>2.74</v>
          </cell>
          <cell r="I299" t="str">
            <v>2033-03-15</v>
          </cell>
          <cell r="J299">
            <v>5955</v>
          </cell>
          <cell r="K299">
            <v>9.08</v>
          </cell>
          <cell r="L299">
            <v>111.55</v>
          </cell>
          <cell r="M299" t="str">
            <v>UF</v>
          </cell>
          <cell r="N299" t="str">
            <v>RFL</v>
          </cell>
          <cell r="O299" t="str">
            <v>Renta Fija Local</v>
          </cell>
          <cell r="P299" t="str">
            <v>A+ ; AA-</v>
          </cell>
          <cell r="Q299" t="str">
            <v>Largo</v>
          </cell>
          <cell r="R299" t="str">
            <v>Corporativo Alto Riesgo Largo</v>
          </cell>
          <cell r="S299">
            <v>2.74</v>
          </cell>
          <cell r="T299" t="str">
            <v>A+</v>
          </cell>
          <cell r="U299" t="str">
            <v>5</v>
          </cell>
          <cell r="V299" t="str">
            <v>Alto Riesgo</v>
          </cell>
          <cell r="W299" t="str">
            <v>Corporativo</v>
          </cell>
          <cell r="X299" t="str">
            <v>Alto Riesgo Largo UF</v>
          </cell>
          <cell r="Y299" t="str">
            <v>Corporativo Alto Riesgo Largo</v>
          </cell>
          <cell r="Z299" t="str">
            <v>Largo UF</v>
          </cell>
          <cell r="AA299" t="str">
            <v>Corporativo Largo</v>
          </cell>
          <cell r="AB299" t="str">
            <v>Corporativo UF</v>
          </cell>
          <cell r="AC299" t="str">
            <v>Instrumentos de Deuda</v>
          </cell>
          <cell r="AD299" t="str">
            <v>Industriales</v>
          </cell>
          <cell r="AE299" t="str">
            <v>Bono Sk Serie E</v>
          </cell>
          <cell r="AF299" t="str">
            <v>Sigdo Koppers S.A.</v>
          </cell>
        </row>
        <row r="300">
          <cell r="C300" t="str">
            <v>BLQIF-D</v>
          </cell>
          <cell r="D300" t="str">
            <v>LQ INV.FIN</v>
          </cell>
          <cell r="E300">
            <v>141244563</v>
          </cell>
          <cell r="F300">
            <v>5000</v>
          </cell>
          <cell r="G300">
            <v>4.8149999999999998E-3</v>
          </cell>
          <cell r="H300">
            <v>2.89</v>
          </cell>
          <cell r="I300" t="str">
            <v>2033-09-15</v>
          </cell>
          <cell r="J300">
            <v>6139</v>
          </cell>
          <cell r="K300">
            <v>9.11</v>
          </cell>
          <cell r="L300">
            <v>105.48</v>
          </cell>
          <cell r="M300" t="str">
            <v>UF</v>
          </cell>
          <cell r="N300" t="str">
            <v>RFL</v>
          </cell>
          <cell r="O300" t="str">
            <v>Renta Fija Local</v>
          </cell>
          <cell r="P300" t="str">
            <v>AA+ ; AAA</v>
          </cell>
          <cell r="Q300" t="str">
            <v>Largo</v>
          </cell>
          <cell r="R300" t="str">
            <v>Corporativo Bajo Riesgo Largo</v>
          </cell>
          <cell r="S300">
            <v>2.89</v>
          </cell>
          <cell r="T300" t="str">
            <v>AA+</v>
          </cell>
          <cell r="U300" t="str">
            <v>2</v>
          </cell>
          <cell r="V300" t="str">
            <v>Bajo Riesgo</v>
          </cell>
          <cell r="W300" t="str">
            <v>Corporativo</v>
          </cell>
          <cell r="X300" t="str">
            <v>Bajo Riesgo Largo UF</v>
          </cell>
          <cell r="Y300" t="str">
            <v>Corporativo Bajo Riesgo Largo</v>
          </cell>
          <cell r="Z300" t="str">
            <v>Largo UF</v>
          </cell>
          <cell r="AA300" t="str">
            <v>Corporativo Largo</v>
          </cell>
          <cell r="AB300" t="str">
            <v>Corporativo UF</v>
          </cell>
          <cell r="AC300"/>
          <cell r="AD300"/>
          <cell r="AE300"/>
          <cell r="AF300"/>
        </row>
        <row r="301">
          <cell r="C301" t="str">
            <v>BCOOD20514</v>
          </cell>
          <cell r="D301" t="str">
            <v>COOPEUCH</v>
          </cell>
          <cell r="E301">
            <v>252466382</v>
          </cell>
          <cell r="F301">
            <v>10000</v>
          </cell>
          <cell r="G301">
            <v>8.6070000000000001E-3</v>
          </cell>
          <cell r="H301">
            <v>3.08</v>
          </cell>
          <cell r="I301" t="str">
            <v>2039-05-05</v>
          </cell>
          <cell r="J301">
            <v>8197</v>
          </cell>
          <cell r="K301">
            <v>9.1300000000000008</v>
          </cell>
          <cell r="L301">
            <v>106.45</v>
          </cell>
          <cell r="M301" t="str">
            <v>UF</v>
          </cell>
          <cell r="N301" t="str">
            <v>RFL</v>
          </cell>
          <cell r="O301" t="str">
            <v>Renta Fija Local</v>
          </cell>
          <cell r="P301" t="str">
            <v>AA- ; AA-</v>
          </cell>
          <cell r="Q301" t="str">
            <v>Largo</v>
          </cell>
          <cell r="R301" t="str">
            <v>Corporativo Bajo Riesgo Largo</v>
          </cell>
          <cell r="S301">
            <v>3.08</v>
          </cell>
          <cell r="T301" t="str">
            <v>AA-</v>
          </cell>
          <cell r="U301" t="str">
            <v>4</v>
          </cell>
          <cell r="V301" t="str">
            <v>Bajo Riesgo</v>
          </cell>
          <cell r="W301" t="str">
            <v>Corporativo</v>
          </cell>
          <cell r="X301" t="str">
            <v>Bajo Riesgo Largo UF</v>
          </cell>
          <cell r="Y301" t="str">
            <v>Corporativo Bajo Riesgo Largo</v>
          </cell>
          <cell r="Z301" t="str">
            <v>Largo UF</v>
          </cell>
          <cell r="AA301" t="str">
            <v>Corporativo Largo</v>
          </cell>
          <cell r="AB301" t="str">
            <v>Corporativo UF</v>
          </cell>
          <cell r="AC301" t="str">
            <v>Instrumentos de Deuda</v>
          </cell>
          <cell r="AD301" t="str">
            <v>Financieras</v>
          </cell>
          <cell r="AE301" t="str">
            <v>Bono Coopeuch Serie D2</v>
          </cell>
          <cell r="AF301" t="str">
            <v>COOPEUCH</v>
          </cell>
        </row>
        <row r="302">
          <cell r="C302" t="str">
            <v>BCENC-O</v>
          </cell>
          <cell r="D302" t="str">
            <v>CENCOSUD</v>
          </cell>
          <cell r="E302">
            <v>282632229</v>
          </cell>
          <cell r="F302">
            <v>270000000</v>
          </cell>
          <cell r="G302">
            <v>9.6349999999999995E-3</v>
          </cell>
          <cell r="H302">
            <v>6.84</v>
          </cell>
          <cell r="I302" t="str">
            <v>2031-06-01</v>
          </cell>
          <cell r="J302">
            <v>5302</v>
          </cell>
          <cell r="K302">
            <v>9.15</v>
          </cell>
          <cell r="L302">
            <v>101.34</v>
          </cell>
          <cell r="M302" t="str">
            <v>$</v>
          </cell>
          <cell r="N302" t="str">
            <v>RFL</v>
          </cell>
          <cell r="O302" t="str">
            <v>Renta Fija Local</v>
          </cell>
          <cell r="P302" t="str">
            <v>AA- ; AA-</v>
          </cell>
          <cell r="Q302" t="str">
            <v>Largo</v>
          </cell>
          <cell r="R302" t="str">
            <v>Corporativo Bajo Riesgo Largo</v>
          </cell>
          <cell r="S302">
            <v>3.84</v>
          </cell>
          <cell r="T302" t="str">
            <v>AA-</v>
          </cell>
          <cell r="U302" t="str">
            <v>4</v>
          </cell>
          <cell r="V302" t="str">
            <v>Bajo Riesgo</v>
          </cell>
          <cell r="W302" t="str">
            <v>Corporativo</v>
          </cell>
          <cell r="X302" t="str">
            <v>Bajo Riesgo Largo $</v>
          </cell>
          <cell r="Y302" t="str">
            <v>Corporativo Bajo Riesgo Largo</v>
          </cell>
          <cell r="Z302" t="str">
            <v>Largo $</v>
          </cell>
          <cell r="AA302" t="str">
            <v>Corporativo Largo</v>
          </cell>
          <cell r="AB302" t="str">
            <v>Corporativo $</v>
          </cell>
          <cell r="AC302" t="str">
            <v>Instrumentos de Deuda</v>
          </cell>
          <cell r="AD302" t="str">
            <v>Consumo</v>
          </cell>
          <cell r="AE302" t="str">
            <v>Bono Cencosud Serie O</v>
          </cell>
          <cell r="AF302" t="str">
            <v>Cencosud S.A.</v>
          </cell>
        </row>
        <row r="303">
          <cell r="C303" t="str">
            <v>BCFSA-B</v>
          </cell>
          <cell r="D303" t="str">
            <v>CONSOR FIN</v>
          </cell>
          <cell r="E303">
            <v>145501871</v>
          </cell>
          <cell r="F303">
            <v>5000</v>
          </cell>
          <cell r="G303">
            <v>4.96E-3</v>
          </cell>
          <cell r="H303">
            <v>2.88</v>
          </cell>
          <cell r="I303" t="str">
            <v>2034-04-01</v>
          </cell>
          <cell r="J303">
            <v>6337</v>
          </cell>
          <cell r="K303">
            <v>9.8000000000000007</v>
          </cell>
          <cell r="L303">
            <v>110.03</v>
          </cell>
          <cell r="M303" t="str">
            <v>UF</v>
          </cell>
          <cell r="N303" t="str">
            <v>RFL</v>
          </cell>
          <cell r="O303" t="str">
            <v>Renta Fija Local</v>
          </cell>
          <cell r="P303" t="str">
            <v>AA- ; AA</v>
          </cell>
          <cell r="Q303" t="str">
            <v>Largo</v>
          </cell>
          <cell r="R303" t="str">
            <v>Corporativo Bajo Riesgo Largo</v>
          </cell>
          <cell r="S303">
            <v>2.88</v>
          </cell>
          <cell r="T303" t="str">
            <v>AA-</v>
          </cell>
          <cell r="U303" t="str">
            <v>4</v>
          </cell>
          <cell r="V303" t="str">
            <v>Bajo Riesgo</v>
          </cell>
          <cell r="W303" t="str">
            <v>Corporativo</v>
          </cell>
          <cell r="X303" t="str">
            <v>Bajo Riesgo Largo UF</v>
          </cell>
          <cell r="Y303" t="str">
            <v>Corporativo Bajo Riesgo Largo</v>
          </cell>
          <cell r="Z303" t="str">
            <v>Largo UF</v>
          </cell>
          <cell r="AA303" t="str">
            <v>Corporativo Largo</v>
          </cell>
          <cell r="AB303" t="str">
            <v>Corporativo UF</v>
          </cell>
          <cell r="AC303" t="str">
            <v>Instrumentos de Deuda</v>
          </cell>
          <cell r="AD303" t="str">
            <v>Financieras</v>
          </cell>
          <cell r="AE303" t="str">
            <v>Bono Consorcio Serie B</v>
          </cell>
          <cell r="AF303" t="str">
            <v>Consorcio Financiera</v>
          </cell>
        </row>
        <row r="304">
          <cell r="C304" t="str">
            <v>CFI9108U</v>
          </cell>
          <cell r="D304" t="str">
            <v>IMT E-PLUS</v>
          </cell>
          <cell r="E304">
            <v>0</v>
          </cell>
          <cell r="F304">
            <v>1383317</v>
          </cell>
          <cell r="G304">
            <v>0</v>
          </cell>
          <cell r="H304">
            <v>0</v>
          </cell>
          <cell r="I304" t="str">
            <v xml:space="preserve">          </v>
          </cell>
          <cell r="J304">
            <v>-42696</v>
          </cell>
          <cell r="K304">
            <v>0</v>
          </cell>
          <cell r="L304">
            <v>0</v>
          </cell>
          <cell r="M304" t="str">
            <v>$</v>
          </cell>
          <cell r="N304" t="str">
            <v>RFL</v>
          </cell>
          <cell r="O304" t="str">
            <v>Renta Fija Local</v>
          </cell>
          <cell r="P304"/>
          <cell r="Q304" t="str">
            <v>Corto</v>
          </cell>
          <cell r="R304" t="str">
            <v>Cuotas de Fondos</v>
          </cell>
          <cell r="S304">
            <v>0</v>
          </cell>
          <cell r="T304"/>
          <cell r="U304"/>
          <cell r="V304"/>
          <cell r="W304" t="str">
            <v>Corporativo</v>
          </cell>
          <cell r="X304"/>
          <cell r="Y304"/>
          <cell r="Z304" t="str">
            <v>Corto $</v>
          </cell>
          <cell r="AA304" t="str">
            <v>Corporativo Corto</v>
          </cell>
          <cell r="AB304" t="str">
            <v>Corporativo $</v>
          </cell>
          <cell r="AC304" t="str">
            <v>Fondos</v>
          </cell>
          <cell r="AD304" t="str">
            <v>Fondos</v>
          </cell>
          <cell r="AE304"/>
          <cell r="AF304"/>
        </row>
        <row r="305">
          <cell r="C305" t="str">
            <v>CFM9365IM</v>
          </cell>
          <cell r="D305" t="str">
            <v>LATAM IG</v>
          </cell>
          <cell r="E305">
            <v>1959048795</v>
          </cell>
          <cell r="F305">
            <v>2999.7611000000002</v>
          </cell>
          <cell r="G305">
            <v>4.6716000000000001E-2</v>
          </cell>
          <cell r="H305">
            <v>0</v>
          </cell>
          <cell r="I305" t="str">
            <v xml:space="preserve">          </v>
          </cell>
          <cell r="J305">
            <v>-42696</v>
          </cell>
          <cell r="K305">
            <v>0</v>
          </cell>
          <cell r="L305">
            <v>961.46910000000003</v>
          </cell>
          <cell r="M305" t="str">
            <v>USD</v>
          </cell>
          <cell r="N305"/>
          <cell r="O305"/>
          <cell r="P305"/>
          <cell r="Q305" t="str">
            <v>Corto</v>
          </cell>
          <cell r="R305" t="str">
            <v>Cuotas de Fondos</v>
          </cell>
          <cell r="S305">
            <v>0</v>
          </cell>
          <cell r="T305"/>
          <cell r="U305"/>
          <cell r="V305"/>
          <cell r="W305" t="str">
            <v>Corporativo</v>
          </cell>
          <cell r="X305"/>
          <cell r="Y305"/>
          <cell r="Z305" t="str">
            <v>Corto USD</v>
          </cell>
          <cell r="AA305" t="str">
            <v>Corporativo Corto</v>
          </cell>
          <cell r="AB305" t="str">
            <v>Corporativo USD</v>
          </cell>
          <cell r="AC305"/>
          <cell r="AD305"/>
          <cell r="AE305"/>
          <cell r="AF305"/>
        </row>
        <row r="306">
          <cell r="C306" t="str">
            <v>PAGARE NR</v>
          </cell>
          <cell r="D306" t="str">
            <v>LEAS FORUM</v>
          </cell>
          <cell r="E306">
            <v>199883401</v>
          </cell>
          <cell r="F306">
            <v>200000000</v>
          </cell>
          <cell r="G306">
            <v>4.7660000000000003E-3</v>
          </cell>
          <cell r="H306">
            <v>0.35</v>
          </cell>
          <cell r="I306" t="str">
            <v>2016-11-28</v>
          </cell>
          <cell r="J306">
            <v>4</v>
          </cell>
          <cell r="K306">
            <v>0.01</v>
          </cell>
          <cell r="L306">
            <v>0.51</v>
          </cell>
          <cell r="M306" t="str">
            <v>$</v>
          </cell>
          <cell r="N306" t="str">
            <v>RFL</v>
          </cell>
          <cell r="O306" t="str">
            <v>Renta Fija Local</v>
          </cell>
          <cell r="P306" t="str">
            <v>N1 ; N1</v>
          </cell>
          <cell r="Q306" t="str">
            <v>Corto</v>
          </cell>
          <cell r="R306" t="str">
            <v>Depósitos $</v>
          </cell>
          <cell r="S306">
            <v>1.281801</v>
          </cell>
          <cell r="T306" t="str">
            <v>N-1</v>
          </cell>
          <cell r="U306" t="str">
            <v>25</v>
          </cell>
          <cell r="V306" t="str">
            <v>Depósitos</v>
          </cell>
          <cell r="W306" t="str">
            <v>Depósitos</v>
          </cell>
          <cell r="X306" t="str">
            <v>Depósitos $</v>
          </cell>
          <cell r="Y306" t="str">
            <v>Depósitos</v>
          </cell>
          <cell r="Z306" t="str">
            <v>Corto $</v>
          </cell>
          <cell r="AA306" t="str">
            <v>Depósitos</v>
          </cell>
          <cell r="AB306" t="str">
            <v>Depósitos $</v>
          </cell>
          <cell r="AC306" t="str">
            <v>Instrumentos de Deuda</v>
          </cell>
          <cell r="AD306" t="str">
            <v>Financieras</v>
          </cell>
          <cell r="AE306" t="str">
            <v>Deposito CLP Banco Leas Forum</v>
          </cell>
          <cell r="AF306" t="str">
            <v>Forum Servicios Financieros S.A.</v>
          </cell>
        </row>
        <row r="307">
          <cell r="C307" t="str">
            <v>PAGARE R</v>
          </cell>
          <cell r="D307" t="str">
            <v>BBVA</v>
          </cell>
          <cell r="E307">
            <v>425428</v>
          </cell>
          <cell r="F307">
            <v>626.39</v>
          </cell>
          <cell r="G307">
            <v>1.0000000000000001E-5</v>
          </cell>
          <cell r="H307">
            <v>0.42</v>
          </cell>
          <cell r="I307" t="str">
            <v>2016-12-01</v>
          </cell>
          <cell r="J307">
            <v>7</v>
          </cell>
          <cell r="K307">
            <v>0.02</v>
          </cell>
          <cell r="L307">
            <v>0</v>
          </cell>
          <cell r="M307" t="str">
            <v>USD</v>
          </cell>
          <cell r="N307" t="str">
            <v>RFL</v>
          </cell>
          <cell r="O307" t="str">
            <v>Renta Fija Local</v>
          </cell>
          <cell r="P307" t="str">
            <v>N1 ; N1</v>
          </cell>
          <cell r="Q307" t="str">
            <v>Corto</v>
          </cell>
          <cell r="R307" t="str">
            <v>Depósitos USD</v>
          </cell>
          <cell r="S307">
            <v>0.42</v>
          </cell>
          <cell r="T307" t="str">
            <v>N-1</v>
          </cell>
          <cell r="U307" t="str">
            <v>25</v>
          </cell>
          <cell r="V307" t="str">
            <v>Depósitos</v>
          </cell>
          <cell r="W307" t="str">
            <v>Depósitos</v>
          </cell>
          <cell r="X307" t="str">
            <v>Depósitos USD</v>
          </cell>
          <cell r="Y307" t="str">
            <v>Depósitos</v>
          </cell>
          <cell r="Z307" t="str">
            <v>Corto USD</v>
          </cell>
          <cell r="AA307" t="str">
            <v>Depósitos</v>
          </cell>
          <cell r="AB307" t="str">
            <v>Depósitos USD</v>
          </cell>
          <cell r="AC307" t="str">
            <v>Instrumentos de Deuda</v>
          </cell>
          <cell r="AD307" t="str">
            <v>Financieras</v>
          </cell>
          <cell r="AE307" t="str">
            <v>Deposito UF Banco Bbva</v>
          </cell>
          <cell r="AF307" t="str">
            <v>BBVA</v>
          </cell>
        </row>
        <row r="308">
          <cell r="C308" t="str">
            <v>PAGARE NR</v>
          </cell>
          <cell r="D308" t="str">
            <v>CONSORCIO</v>
          </cell>
          <cell r="E308">
            <v>49930098</v>
          </cell>
          <cell r="F308">
            <v>50000000</v>
          </cell>
          <cell r="G308">
            <v>1.1900000000000001E-3</v>
          </cell>
          <cell r="H308">
            <v>0.3</v>
          </cell>
          <cell r="I308" t="str">
            <v>2016-12-07</v>
          </cell>
          <cell r="J308">
            <v>13</v>
          </cell>
          <cell r="K308">
            <v>0.04</v>
          </cell>
          <cell r="L308">
            <v>0.51</v>
          </cell>
          <cell r="M308" t="str">
            <v>$</v>
          </cell>
          <cell r="N308" t="str">
            <v>RFL</v>
          </cell>
          <cell r="O308" t="str">
            <v>Renta Fija Local</v>
          </cell>
          <cell r="P308" t="str">
            <v>N1 ; N1</v>
          </cell>
          <cell r="Q308" t="str">
            <v>Corto</v>
          </cell>
          <cell r="R308" t="str">
            <v>Depósitos $</v>
          </cell>
          <cell r="S308">
            <v>0.65999799999999997</v>
          </cell>
          <cell r="T308" t="str">
            <v>N-1</v>
          </cell>
          <cell r="U308" t="str">
            <v>25</v>
          </cell>
          <cell r="V308" t="str">
            <v>Depósitos</v>
          </cell>
          <cell r="W308" t="str">
            <v>Depósitos</v>
          </cell>
          <cell r="X308" t="str">
            <v>Depósitos $</v>
          </cell>
          <cell r="Y308" t="str">
            <v>Depósitos</v>
          </cell>
          <cell r="Z308" t="str">
            <v>Corto $</v>
          </cell>
          <cell r="AA308" t="str">
            <v>Depósitos</v>
          </cell>
          <cell r="AB308" t="str">
            <v>Depósitos $</v>
          </cell>
          <cell r="AC308" t="str">
            <v>Instrumentos de Deuda</v>
          </cell>
          <cell r="AD308" t="str">
            <v>Financieras</v>
          </cell>
          <cell r="AE308" t="str">
            <v>Deposito CLP Banco Consorcio</v>
          </cell>
          <cell r="AF308" t="str">
            <v>Banco Consorcio</v>
          </cell>
        </row>
        <row r="309">
          <cell r="C309" t="str">
            <v>PAGARE NR</v>
          </cell>
          <cell r="D309" t="str">
            <v>BCI</v>
          </cell>
          <cell r="E309">
            <v>28341768</v>
          </cell>
          <cell r="F309">
            <v>28560000</v>
          </cell>
          <cell r="G309">
            <v>6.7500000000000004E-4</v>
          </cell>
          <cell r="H309">
            <v>0.33</v>
          </cell>
          <cell r="I309" t="str">
            <v>2017-02-01</v>
          </cell>
          <cell r="J309">
            <v>69</v>
          </cell>
          <cell r="K309">
            <v>0.19</v>
          </cell>
          <cell r="L309">
            <v>0.51</v>
          </cell>
          <cell r="M309" t="str">
            <v>$</v>
          </cell>
          <cell r="N309" t="str">
            <v>RFL</v>
          </cell>
          <cell r="O309" t="str">
            <v>Renta Fija Local</v>
          </cell>
          <cell r="P309" t="str">
            <v>N1 ; N1</v>
          </cell>
          <cell r="Q309" t="str">
            <v>Corto</v>
          </cell>
          <cell r="R309" t="str">
            <v>Depósitos $</v>
          </cell>
          <cell r="S309">
            <v>1.0326709999999999</v>
          </cell>
          <cell r="T309" t="str">
            <v>N-1</v>
          </cell>
          <cell r="U309" t="str">
            <v>25</v>
          </cell>
          <cell r="V309" t="str">
            <v>Depósitos</v>
          </cell>
          <cell r="W309" t="str">
            <v>Depósitos</v>
          </cell>
          <cell r="X309" t="str">
            <v>Depósitos $</v>
          </cell>
          <cell r="Y309" t="str">
            <v>Depósitos</v>
          </cell>
          <cell r="Z309" t="str">
            <v>Corto $</v>
          </cell>
          <cell r="AA309" t="str">
            <v>Depósitos</v>
          </cell>
          <cell r="AB309" t="str">
            <v>Depósitos $</v>
          </cell>
          <cell r="AC309" t="str">
            <v>Instrumentos de Deuda</v>
          </cell>
          <cell r="AD309" t="str">
            <v>Financieras</v>
          </cell>
          <cell r="AE309" t="str">
            <v>Deposito CLP Banco Bci</v>
          </cell>
          <cell r="AF309" t="str">
            <v>BCI</v>
          </cell>
        </row>
        <row r="310">
          <cell r="C310" t="str">
            <v>PAGARE NR</v>
          </cell>
          <cell r="D310" t="str">
            <v>COOPEUCH</v>
          </cell>
          <cell r="E310">
            <v>237984274</v>
          </cell>
          <cell r="F310">
            <v>240000000</v>
          </cell>
          <cell r="G310">
            <v>5.6750000000000004E-3</v>
          </cell>
          <cell r="H310">
            <v>0.33</v>
          </cell>
          <cell r="I310" t="str">
            <v>2017-02-08</v>
          </cell>
          <cell r="J310">
            <v>76</v>
          </cell>
          <cell r="K310">
            <v>0.21</v>
          </cell>
          <cell r="L310">
            <v>0.51</v>
          </cell>
          <cell r="M310" t="str">
            <v>$</v>
          </cell>
          <cell r="N310" t="str">
            <v>RFL</v>
          </cell>
          <cell r="O310" t="str">
            <v>Renta Fija Local</v>
          </cell>
          <cell r="P310" t="str">
            <v>N1 ; N1</v>
          </cell>
          <cell r="Q310" t="str">
            <v>Corto</v>
          </cell>
          <cell r="R310" t="str">
            <v>Depósitos $</v>
          </cell>
          <cell r="S310">
            <v>1.0326709999999999</v>
          </cell>
          <cell r="T310" t="str">
            <v>N-1</v>
          </cell>
          <cell r="U310" t="str">
            <v>25</v>
          </cell>
          <cell r="V310" t="str">
            <v>Depósitos</v>
          </cell>
          <cell r="W310" t="str">
            <v>Depósitos</v>
          </cell>
          <cell r="X310" t="str">
            <v>Depósitos $</v>
          </cell>
          <cell r="Y310" t="str">
            <v>Depósitos</v>
          </cell>
          <cell r="Z310" t="str">
            <v>Corto $</v>
          </cell>
          <cell r="AA310" t="str">
            <v>Depósitos</v>
          </cell>
          <cell r="AB310" t="str">
            <v>Depósitos $</v>
          </cell>
          <cell r="AC310" t="str">
            <v>Instrumentos de Deuda</v>
          </cell>
          <cell r="AD310" t="str">
            <v>Financieras</v>
          </cell>
          <cell r="AE310" t="str">
            <v>Deposito CLP Banco Coopeuch</v>
          </cell>
          <cell r="AF310" t="str">
            <v>COOPEUCH</v>
          </cell>
        </row>
        <row r="311">
          <cell r="C311" t="str">
            <v>PAGARE NR</v>
          </cell>
          <cell r="D311" t="str">
            <v>INTERNACIO</v>
          </cell>
          <cell r="E311">
            <v>103138475</v>
          </cell>
          <cell r="F311">
            <v>104284000</v>
          </cell>
          <cell r="G311">
            <v>2.4589999999999998E-3</v>
          </cell>
          <cell r="H311">
            <v>0.34</v>
          </cell>
          <cell r="I311" t="str">
            <v>2017-03-01</v>
          </cell>
          <cell r="J311">
            <v>97</v>
          </cell>
          <cell r="K311">
            <v>0.27</v>
          </cell>
          <cell r="L311">
            <v>0.51</v>
          </cell>
          <cell r="M311" t="str">
            <v>$</v>
          </cell>
          <cell r="N311" t="str">
            <v>RFL</v>
          </cell>
          <cell r="O311" t="str">
            <v>Renta Fija Local</v>
          </cell>
          <cell r="P311" t="str">
            <v>N1 ; N1</v>
          </cell>
          <cell r="Q311" t="str">
            <v>Corto</v>
          </cell>
          <cell r="R311" t="str">
            <v>Depósitos $</v>
          </cell>
          <cell r="S311">
            <v>1.1571670000000001</v>
          </cell>
          <cell r="T311" t="str">
            <v>N-1</v>
          </cell>
          <cell r="U311" t="str">
            <v>25</v>
          </cell>
          <cell r="V311" t="str">
            <v>Depósitos</v>
          </cell>
          <cell r="W311" t="str">
            <v>Depósitos</v>
          </cell>
          <cell r="X311" t="str">
            <v>Depósitos $</v>
          </cell>
          <cell r="Y311" t="str">
            <v>Depósitos</v>
          </cell>
          <cell r="Z311" t="str">
            <v>Corto $</v>
          </cell>
          <cell r="AA311" t="str">
            <v>Depósitos</v>
          </cell>
          <cell r="AB311" t="str">
            <v>Depósitos $</v>
          </cell>
          <cell r="AC311" t="str">
            <v>Instrumentos de Deuda</v>
          </cell>
          <cell r="AD311" t="str">
            <v>Financieras</v>
          </cell>
          <cell r="AE311" t="str">
            <v>Deposito CLP Banco Internacio</v>
          </cell>
          <cell r="AF311" t="str">
            <v>Banco Internacional</v>
          </cell>
        </row>
        <row r="312">
          <cell r="C312" t="str">
            <v>PAGARE NR</v>
          </cell>
          <cell r="D312" t="str">
            <v>CONSORCIO</v>
          </cell>
          <cell r="E312">
            <v>98879367</v>
          </cell>
          <cell r="F312">
            <v>100000000</v>
          </cell>
          <cell r="G312">
            <v>2.3570000000000002E-3</v>
          </cell>
          <cell r="H312">
            <v>0.34</v>
          </cell>
          <cell r="I312" t="str">
            <v>2017-03-03</v>
          </cell>
          <cell r="J312">
            <v>99</v>
          </cell>
          <cell r="K312">
            <v>0.27</v>
          </cell>
          <cell r="L312">
            <v>0.51</v>
          </cell>
          <cell r="M312" t="str">
            <v>$</v>
          </cell>
          <cell r="N312" t="str">
            <v>RFL</v>
          </cell>
          <cell r="O312" t="str">
            <v>Renta Fija Local</v>
          </cell>
          <cell r="P312" t="str">
            <v>N1 ; N1</v>
          </cell>
          <cell r="Q312" t="str">
            <v>Corto</v>
          </cell>
          <cell r="R312" t="str">
            <v>Depósitos $</v>
          </cell>
          <cell r="S312">
            <v>1.1571670000000001</v>
          </cell>
          <cell r="T312" t="str">
            <v>N-1</v>
          </cell>
          <cell r="U312" t="str">
            <v>25</v>
          </cell>
          <cell r="V312" t="str">
            <v>Depósitos</v>
          </cell>
          <cell r="W312" t="str">
            <v>Depósitos</v>
          </cell>
          <cell r="X312" t="str">
            <v>Depósitos $</v>
          </cell>
          <cell r="Y312" t="str">
            <v>Depósitos</v>
          </cell>
          <cell r="Z312" t="str">
            <v>Corto $</v>
          </cell>
          <cell r="AA312" t="str">
            <v>Depósitos</v>
          </cell>
          <cell r="AB312" t="str">
            <v>Depósitos $</v>
          </cell>
          <cell r="AC312" t="str">
            <v>Instrumentos de Deuda</v>
          </cell>
          <cell r="AD312" t="str">
            <v>Financieras</v>
          </cell>
          <cell r="AE312" t="str">
            <v>Deposito CLP Banco Consorcio</v>
          </cell>
          <cell r="AF312" t="str">
            <v>Banco Consorcio</v>
          </cell>
        </row>
        <row r="313">
          <cell r="C313" t="str">
            <v>PAGARE R</v>
          </cell>
          <cell r="D313" t="str">
            <v>SCOTIABANK</v>
          </cell>
          <cell r="E313">
            <v>130000816</v>
          </cell>
          <cell r="F313">
            <v>5000</v>
          </cell>
          <cell r="G313">
            <v>3.0999999999999999E-3</v>
          </cell>
          <cell r="H313">
            <v>3.79</v>
          </cell>
          <cell r="I313" t="str">
            <v>2017-03-13</v>
          </cell>
          <cell r="J313">
            <v>109</v>
          </cell>
          <cell r="K313">
            <v>0.3</v>
          </cell>
          <cell r="L313">
            <v>0</v>
          </cell>
          <cell r="M313" t="str">
            <v>UF</v>
          </cell>
          <cell r="N313" t="str">
            <v>RFL</v>
          </cell>
          <cell r="O313" t="str">
            <v>Renta Fija Local</v>
          </cell>
          <cell r="P313" t="str">
            <v>N1 ; N1</v>
          </cell>
          <cell r="Q313" t="str">
            <v>Corto</v>
          </cell>
          <cell r="R313" t="str">
            <v>Depósitos UF</v>
          </cell>
          <cell r="S313">
            <v>3.79</v>
          </cell>
          <cell r="T313" t="str">
            <v>N-1</v>
          </cell>
          <cell r="U313" t="str">
            <v>25</v>
          </cell>
          <cell r="V313" t="str">
            <v>Depósitos</v>
          </cell>
          <cell r="W313" t="str">
            <v>Depósitos</v>
          </cell>
          <cell r="X313" t="str">
            <v>Depósitos UF</v>
          </cell>
          <cell r="Y313" t="str">
            <v>Depósitos</v>
          </cell>
          <cell r="Z313" t="str">
            <v>Corto UF</v>
          </cell>
          <cell r="AA313" t="str">
            <v>Depósitos</v>
          </cell>
          <cell r="AB313" t="str">
            <v>Depósitos UF</v>
          </cell>
          <cell r="AC313" t="str">
            <v>Instrumentos de Deuda</v>
          </cell>
          <cell r="AD313" t="str">
            <v>Financieras</v>
          </cell>
          <cell r="AE313" t="str">
            <v>Deposito UF Banco Scotiabank</v>
          </cell>
          <cell r="AF313" t="str">
            <v>Scotiabank</v>
          </cell>
        </row>
        <row r="314">
          <cell r="C314" t="str">
            <v>PAGARE NR</v>
          </cell>
          <cell r="D314" t="str">
            <v>BCI</v>
          </cell>
          <cell r="E314">
            <v>106455683</v>
          </cell>
          <cell r="F314">
            <v>108000000</v>
          </cell>
          <cell r="G314">
            <v>2.5379999999999999E-3</v>
          </cell>
          <cell r="H314">
            <v>0.34</v>
          </cell>
          <cell r="I314" t="str">
            <v>2017-03-31</v>
          </cell>
          <cell r="J314">
            <v>127</v>
          </cell>
          <cell r="K314">
            <v>0.35</v>
          </cell>
          <cell r="L314">
            <v>0.51</v>
          </cell>
          <cell r="M314" t="str">
            <v>$</v>
          </cell>
          <cell r="N314" t="str">
            <v>RFL</v>
          </cell>
          <cell r="O314" t="str">
            <v>Renta Fija Local</v>
          </cell>
          <cell r="P314" t="str">
            <v>N1 ; N1</v>
          </cell>
          <cell r="Q314" t="str">
            <v>Corto</v>
          </cell>
          <cell r="R314" t="str">
            <v>Depósitos $</v>
          </cell>
          <cell r="S314">
            <v>1.1571670000000001</v>
          </cell>
          <cell r="T314" t="str">
            <v>N-1</v>
          </cell>
          <cell r="U314" t="str">
            <v>25</v>
          </cell>
          <cell r="V314" t="str">
            <v>Depósitos</v>
          </cell>
          <cell r="W314" t="str">
            <v>Depósitos</v>
          </cell>
          <cell r="X314" t="str">
            <v>Depósitos $</v>
          </cell>
          <cell r="Y314" t="str">
            <v>Depósitos</v>
          </cell>
          <cell r="Z314" t="str">
            <v>Corto $</v>
          </cell>
          <cell r="AA314" t="str">
            <v>Depósitos</v>
          </cell>
          <cell r="AB314" t="str">
            <v>Depósitos $</v>
          </cell>
          <cell r="AC314" t="str">
            <v>Instrumentos de Deuda</v>
          </cell>
          <cell r="AD314" t="str">
            <v>Financieras</v>
          </cell>
          <cell r="AE314" t="str">
            <v>Deposito CLP Banco Bci</v>
          </cell>
          <cell r="AF314" t="str">
            <v>BCI</v>
          </cell>
        </row>
        <row r="315">
          <cell r="C315" t="str">
            <v>PAGARE NR</v>
          </cell>
          <cell r="D315" t="str">
            <v>ITAUCORP</v>
          </cell>
          <cell r="E315">
            <v>256167731</v>
          </cell>
          <cell r="F315">
            <v>260000000</v>
          </cell>
          <cell r="G315">
            <v>6.1079999999999997E-3</v>
          </cell>
          <cell r="H315">
            <v>0.34</v>
          </cell>
          <cell r="I315" t="str">
            <v>2017-04-04</v>
          </cell>
          <cell r="J315">
            <v>131</v>
          </cell>
          <cell r="K315">
            <v>0.36</v>
          </cell>
          <cell r="L315">
            <v>0.51</v>
          </cell>
          <cell r="M315" t="str">
            <v>$</v>
          </cell>
          <cell r="N315" t="str">
            <v>RFL</v>
          </cell>
          <cell r="O315" t="str">
            <v>Renta Fija Local</v>
          </cell>
          <cell r="P315" t="str">
            <v>N1 ; N1</v>
          </cell>
          <cell r="Q315" t="str">
            <v>Corto</v>
          </cell>
          <cell r="R315" t="str">
            <v>Depósitos $</v>
          </cell>
          <cell r="S315">
            <v>1.1571670000000001</v>
          </cell>
          <cell r="T315" t="str">
            <v>N-1</v>
          </cell>
          <cell r="U315" t="str">
            <v>25</v>
          </cell>
          <cell r="V315" t="str">
            <v>Depósitos</v>
          </cell>
          <cell r="W315" t="str">
            <v>Depósitos</v>
          </cell>
          <cell r="X315" t="str">
            <v>Depósitos $</v>
          </cell>
          <cell r="Y315" t="str">
            <v>Depósitos</v>
          </cell>
          <cell r="Z315" t="str">
            <v>Corto $</v>
          </cell>
          <cell r="AA315" t="str">
            <v>Depósitos</v>
          </cell>
          <cell r="AB315" t="str">
            <v>Depósitos $</v>
          </cell>
          <cell r="AC315" t="str">
            <v>Instrumentos de Deuda</v>
          </cell>
          <cell r="AD315" t="str">
            <v>Financieras</v>
          </cell>
          <cell r="AE315" t="str">
            <v>Deposito CLP Banco Itaucorp</v>
          </cell>
          <cell r="AF315" t="str">
            <v>Itau/Corpbanca</v>
          </cell>
        </row>
        <row r="316">
          <cell r="C316" t="str">
            <v>PAGARE NR</v>
          </cell>
          <cell r="D316" t="str">
            <v>SANTANDER</v>
          </cell>
          <cell r="E316">
            <v>9840873</v>
          </cell>
          <cell r="F316">
            <v>10000000</v>
          </cell>
          <cell r="G316">
            <v>2.34E-4</v>
          </cell>
          <cell r="H316">
            <v>0.33</v>
          </cell>
          <cell r="I316" t="str">
            <v>2017-04-19</v>
          </cell>
          <cell r="J316">
            <v>146</v>
          </cell>
          <cell r="K316">
            <v>0.4</v>
          </cell>
          <cell r="L316">
            <v>0.51</v>
          </cell>
          <cell r="M316" t="str">
            <v>$</v>
          </cell>
          <cell r="N316" t="str">
            <v>RFL</v>
          </cell>
          <cell r="O316" t="str">
            <v>Renta Fija Local</v>
          </cell>
          <cell r="P316" t="str">
            <v>N1 ; N1</v>
          </cell>
          <cell r="Q316" t="str">
            <v>Corto</v>
          </cell>
          <cell r="R316" t="str">
            <v>Depósitos $</v>
          </cell>
          <cell r="S316">
            <v>1.0326709999999999</v>
          </cell>
          <cell r="T316" t="str">
            <v>N-1</v>
          </cell>
          <cell r="U316" t="str">
            <v>25</v>
          </cell>
          <cell r="V316" t="str">
            <v>Depósitos</v>
          </cell>
          <cell r="W316" t="str">
            <v>Depósitos</v>
          </cell>
          <cell r="X316" t="str">
            <v>Depósitos $</v>
          </cell>
          <cell r="Y316" t="str">
            <v>Depósitos</v>
          </cell>
          <cell r="Z316" t="str">
            <v>Corto $</v>
          </cell>
          <cell r="AA316" t="str">
            <v>Depósitos</v>
          </cell>
          <cell r="AB316" t="str">
            <v>Depósitos $</v>
          </cell>
          <cell r="AC316" t="str">
            <v>Instrumentos de Deuda</v>
          </cell>
          <cell r="AD316" t="str">
            <v>Financieras</v>
          </cell>
          <cell r="AE316" t="str">
            <v>Deposito CLP Banco Santander</v>
          </cell>
          <cell r="AF316" t="str">
            <v>Banco Santander</v>
          </cell>
        </row>
        <row r="317">
          <cell r="C317" t="str">
            <v>PAGARE NR</v>
          </cell>
          <cell r="D317" t="str">
            <v>BICE</v>
          </cell>
          <cell r="E317">
            <v>111071752</v>
          </cell>
          <cell r="F317">
            <v>112880000</v>
          </cell>
          <cell r="G317">
            <v>2.6480000000000002E-3</v>
          </cell>
          <cell r="H317">
            <v>0.33</v>
          </cell>
          <cell r="I317" t="str">
            <v>2017-04-20</v>
          </cell>
          <cell r="J317">
            <v>147</v>
          </cell>
          <cell r="K317">
            <v>0.41</v>
          </cell>
          <cell r="L317">
            <v>0.51</v>
          </cell>
          <cell r="M317" t="str">
            <v>$</v>
          </cell>
          <cell r="N317" t="str">
            <v>RFL</v>
          </cell>
          <cell r="O317" t="str">
            <v>Renta Fija Local</v>
          </cell>
          <cell r="P317" t="str">
            <v>N1 ; N1</v>
          </cell>
          <cell r="Q317" t="str">
            <v>Corto</v>
          </cell>
          <cell r="R317" t="str">
            <v>Depósitos $</v>
          </cell>
          <cell r="S317">
            <v>1.0326709999999999</v>
          </cell>
          <cell r="T317" t="str">
            <v>N-1</v>
          </cell>
          <cell r="U317" t="str">
            <v>25</v>
          </cell>
          <cell r="V317" t="str">
            <v>Depósitos</v>
          </cell>
          <cell r="W317" t="str">
            <v>Depósitos</v>
          </cell>
          <cell r="X317" t="str">
            <v>Depósitos $</v>
          </cell>
          <cell r="Y317" t="str">
            <v>Depósitos</v>
          </cell>
          <cell r="Z317" t="str">
            <v>Corto $</v>
          </cell>
          <cell r="AA317" t="str">
            <v>Depósitos</v>
          </cell>
          <cell r="AB317" t="str">
            <v>Depósitos $</v>
          </cell>
          <cell r="AC317" t="str">
            <v>Instrumentos de Deuda</v>
          </cell>
          <cell r="AD317" t="str">
            <v>Financieras</v>
          </cell>
          <cell r="AE317" t="str">
            <v>Deposito CLP Banco Bice</v>
          </cell>
          <cell r="AF317" t="str">
            <v>BICE</v>
          </cell>
        </row>
        <row r="318">
          <cell r="C318" t="str">
            <v>PAGARE NR</v>
          </cell>
          <cell r="D318" t="str">
            <v>BICE</v>
          </cell>
          <cell r="E318">
            <v>23253906</v>
          </cell>
          <cell r="F318">
            <v>23662400</v>
          </cell>
          <cell r="G318">
            <v>5.5400000000000002E-4</v>
          </cell>
          <cell r="H318">
            <v>0.34</v>
          </cell>
          <cell r="I318" t="str">
            <v>2017-04-27</v>
          </cell>
          <cell r="J318">
            <v>154</v>
          </cell>
          <cell r="K318">
            <v>0.42</v>
          </cell>
          <cell r="L318">
            <v>0.51</v>
          </cell>
          <cell r="M318" t="str">
            <v>$</v>
          </cell>
          <cell r="N318" t="str">
            <v>RFL</v>
          </cell>
          <cell r="O318" t="str">
            <v>Renta Fija Local</v>
          </cell>
          <cell r="P318" t="str">
            <v>N1 ; N1</v>
          </cell>
          <cell r="Q318" t="str">
            <v>Corto</v>
          </cell>
          <cell r="R318" t="str">
            <v>Depósitos $</v>
          </cell>
          <cell r="S318">
            <v>1.1571670000000001</v>
          </cell>
          <cell r="T318" t="str">
            <v>N-1</v>
          </cell>
          <cell r="U318" t="str">
            <v>25</v>
          </cell>
          <cell r="V318" t="str">
            <v>Depósitos</v>
          </cell>
          <cell r="W318" t="str">
            <v>Depósitos</v>
          </cell>
          <cell r="X318" t="str">
            <v>Depósitos $</v>
          </cell>
          <cell r="Y318" t="str">
            <v>Depósitos</v>
          </cell>
          <cell r="Z318" t="str">
            <v>Corto $</v>
          </cell>
          <cell r="AA318" t="str">
            <v>Depósitos</v>
          </cell>
          <cell r="AB318" t="str">
            <v>Depósitos $</v>
          </cell>
          <cell r="AC318" t="str">
            <v>Instrumentos de Deuda</v>
          </cell>
          <cell r="AD318" t="str">
            <v>Financieras</v>
          </cell>
          <cell r="AE318" t="str">
            <v>Deposito CLP Banco Bice</v>
          </cell>
          <cell r="AF318" t="str">
            <v>BICE</v>
          </cell>
        </row>
        <row r="319">
          <cell r="C319" t="str">
            <v>PAGARE NR</v>
          </cell>
          <cell r="D319" t="str">
            <v>BICE</v>
          </cell>
          <cell r="E319">
            <v>98803541</v>
          </cell>
          <cell r="F319">
            <v>100550388</v>
          </cell>
          <cell r="G319">
            <v>2.356E-3</v>
          </cell>
          <cell r="H319">
            <v>0.34</v>
          </cell>
          <cell r="I319" t="str">
            <v>2017-04-28</v>
          </cell>
          <cell r="J319">
            <v>155</v>
          </cell>
          <cell r="K319">
            <v>0.43</v>
          </cell>
          <cell r="L319">
            <v>0.51</v>
          </cell>
          <cell r="M319" t="str">
            <v>$</v>
          </cell>
          <cell r="N319" t="str">
            <v>RFL</v>
          </cell>
          <cell r="O319" t="str">
            <v>Renta Fija Local</v>
          </cell>
          <cell r="P319" t="str">
            <v>N1 ; N1</v>
          </cell>
          <cell r="Q319" t="str">
            <v>Corto</v>
          </cell>
          <cell r="R319" t="str">
            <v>Depósitos $</v>
          </cell>
          <cell r="S319">
            <v>1.1571670000000001</v>
          </cell>
          <cell r="T319" t="str">
            <v>N-1</v>
          </cell>
          <cell r="U319" t="str">
            <v>25</v>
          </cell>
          <cell r="V319" t="str">
            <v>Depósitos</v>
          </cell>
          <cell r="W319" t="str">
            <v>Depósitos</v>
          </cell>
          <cell r="X319" t="str">
            <v>Depósitos $</v>
          </cell>
          <cell r="Y319" t="str">
            <v>Depósitos</v>
          </cell>
          <cell r="Z319" t="str">
            <v>Corto $</v>
          </cell>
          <cell r="AA319" t="str">
            <v>Depósitos</v>
          </cell>
          <cell r="AB319" t="str">
            <v>Depósitos $</v>
          </cell>
          <cell r="AC319" t="str">
            <v>Instrumentos de Deuda</v>
          </cell>
          <cell r="AD319" t="str">
            <v>Financieras</v>
          </cell>
          <cell r="AE319" t="str">
            <v>Deposito CLP Banco Bice</v>
          </cell>
          <cell r="AF319" t="str">
            <v>BICE</v>
          </cell>
        </row>
        <row r="320">
          <cell r="C320" t="str">
            <v>PAGARE NR</v>
          </cell>
          <cell r="D320" t="str">
            <v>BICE</v>
          </cell>
          <cell r="E320">
            <v>147230111</v>
          </cell>
          <cell r="F320">
            <v>150000000</v>
          </cell>
          <cell r="G320">
            <v>3.5100000000000001E-3</v>
          </cell>
          <cell r="H320">
            <v>0.34</v>
          </cell>
          <cell r="I320" t="str">
            <v>2017-05-08</v>
          </cell>
          <cell r="J320">
            <v>165</v>
          </cell>
          <cell r="K320">
            <v>0.45</v>
          </cell>
          <cell r="L320">
            <v>0.51</v>
          </cell>
          <cell r="M320" t="str">
            <v>$</v>
          </cell>
          <cell r="N320" t="str">
            <v>RFL</v>
          </cell>
          <cell r="O320" t="str">
            <v>Renta Fija Local</v>
          </cell>
          <cell r="P320" t="str">
            <v>N1 ; N1</v>
          </cell>
          <cell r="Q320" t="str">
            <v>Corto</v>
          </cell>
          <cell r="R320" t="str">
            <v>Depósitos $</v>
          </cell>
          <cell r="S320">
            <v>1.1571670000000001</v>
          </cell>
          <cell r="T320" t="str">
            <v>N-1</v>
          </cell>
          <cell r="U320" t="str">
            <v>25</v>
          </cell>
          <cell r="V320" t="str">
            <v>Depósitos</v>
          </cell>
          <cell r="W320" t="str">
            <v>Depósitos</v>
          </cell>
          <cell r="X320" t="str">
            <v>Depósitos $</v>
          </cell>
          <cell r="Y320" t="str">
            <v>Depósitos</v>
          </cell>
          <cell r="Z320" t="str">
            <v>Corto $</v>
          </cell>
          <cell r="AA320" t="str">
            <v>Depósitos</v>
          </cell>
          <cell r="AB320" t="str">
            <v>Depósitos $</v>
          </cell>
          <cell r="AC320" t="str">
            <v>Instrumentos de Deuda</v>
          </cell>
          <cell r="AD320" t="str">
            <v>Financieras</v>
          </cell>
          <cell r="AE320" t="str">
            <v>Deposito CLP Banco Bice</v>
          </cell>
          <cell r="AF320" t="str">
            <v>BICE</v>
          </cell>
        </row>
        <row r="321">
          <cell r="C321" t="str">
            <v>PAGARE NR</v>
          </cell>
          <cell r="D321" t="str">
            <v>ESTADO</v>
          </cell>
          <cell r="E321">
            <v>19634986</v>
          </cell>
          <cell r="F321">
            <v>20000000</v>
          </cell>
          <cell r="G321">
            <v>4.6799999999999999E-4</v>
          </cell>
          <cell r="H321">
            <v>0.33</v>
          </cell>
          <cell r="I321" t="str">
            <v>2017-05-11</v>
          </cell>
          <cell r="J321">
            <v>168</v>
          </cell>
          <cell r="K321">
            <v>0.46</v>
          </cell>
          <cell r="L321">
            <v>0.51</v>
          </cell>
          <cell r="M321" t="str">
            <v>$</v>
          </cell>
          <cell r="N321" t="str">
            <v>RFL</v>
          </cell>
          <cell r="O321" t="str">
            <v>Renta Fija Local</v>
          </cell>
          <cell r="P321" t="str">
            <v>N1 ; N1</v>
          </cell>
          <cell r="Q321" t="str">
            <v>Corto</v>
          </cell>
          <cell r="R321" t="str">
            <v>Depósitos $</v>
          </cell>
          <cell r="S321">
            <v>1.0326709999999999</v>
          </cell>
          <cell r="T321" t="str">
            <v>N-1</v>
          </cell>
          <cell r="U321" t="str">
            <v>25</v>
          </cell>
          <cell r="V321" t="str">
            <v>Depósitos</v>
          </cell>
          <cell r="W321" t="str">
            <v>Depósitos</v>
          </cell>
          <cell r="X321" t="str">
            <v>Depósitos $</v>
          </cell>
          <cell r="Y321" t="str">
            <v>Depósitos</v>
          </cell>
          <cell r="Z321" t="str">
            <v>Corto $</v>
          </cell>
          <cell r="AA321" t="str">
            <v>Depósitos</v>
          </cell>
          <cell r="AB321" t="str">
            <v>Depósitos $</v>
          </cell>
          <cell r="AC321" t="str">
            <v>Instrumentos de Deuda</v>
          </cell>
          <cell r="AD321" t="str">
            <v>Financieras</v>
          </cell>
          <cell r="AE321" t="str">
            <v>Deposito CLP Banco Estado</v>
          </cell>
          <cell r="AF321" t="str">
            <v>Banco Estado</v>
          </cell>
        </row>
        <row r="322">
          <cell r="C322" t="str">
            <v>PAGARE NR</v>
          </cell>
          <cell r="D322" t="str">
            <v>BCI</v>
          </cell>
          <cell r="E322">
            <v>101892777</v>
          </cell>
          <cell r="F322">
            <v>104722000</v>
          </cell>
          <cell r="G322">
            <v>2.4290000000000002E-3</v>
          </cell>
          <cell r="H322">
            <v>0.34</v>
          </cell>
          <cell r="I322" t="str">
            <v>2017-07-26</v>
          </cell>
          <cell r="J322">
            <v>244</v>
          </cell>
          <cell r="K322">
            <v>0.67</v>
          </cell>
          <cell r="L322">
            <v>0.51</v>
          </cell>
          <cell r="M322" t="str">
            <v>$</v>
          </cell>
          <cell r="N322" t="str">
            <v>RFL</v>
          </cell>
          <cell r="O322" t="str">
            <v>Renta Fija Local</v>
          </cell>
          <cell r="P322" t="str">
            <v>N1 ; N1</v>
          </cell>
          <cell r="Q322" t="str">
            <v>Corto</v>
          </cell>
          <cell r="R322" t="str">
            <v>Depósitos $</v>
          </cell>
          <cell r="S322">
            <v>1.1571670000000001</v>
          </cell>
          <cell r="T322" t="str">
            <v>N-1</v>
          </cell>
          <cell r="U322" t="str">
            <v>25</v>
          </cell>
          <cell r="V322" t="str">
            <v>Depósitos</v>
          </cell>
          <cell r="W322" t="str">
            <v>Depósitos</v>
          </cell>
          <cell r="X322" t="str">
            <v>Depósitos $</v>
          </cell>
          <cell r="Y322" t="str">
            <v>Depósitos</v>
          </cell>
          <cell r="Z322" t="str">
            <v>Corto $</v>
          </cell>
          <cell r="AA322" t="str">
            <v>Depósitos</v>
          </cell>
          <cell r="AB322" t="str">
            <v>Depósitos $</v>
          </cell>
          <cell r="AC322" t="str">
            <v>Instrumentos de Deuda</v>
          </cell>
          <cell r="AD322" t="str">
            <v>Financieras</v>
          </cell>
          <cell r="AE322" t="str">
            <v>Deposito CLP Banco Bci</v>
          </cell>
          <cell r="AF322" t="str">
            <v>BCI</v>
          </cell>
        </row>
        <row r="323">
          <cell r="C323" t="str">
            <v>PAGARE NR</v>
          </cell>
          <cell r="D323" t="str">
            <v>INTERNACIO</v>
          </cell>
          <cell r="E323">
            <v>393347144</v>
          </cell>
          <cell r="F323">
            <v>407596800</v>
          </cell>
          <cell r="G323">
            <v>9.3790000000000002E-3</v>
          </cell>
          <cell r="H323">
            <v>0.38</v>
          </cell>
          <cell r="I323" t="str">
            <v>2017-09-05</v>
          </cell>
          <cell r="J323">
            <v>285</v>
          </cell>
          <cell r="K323">
            <v>0.78</v>
          </cell>
          <cell r="L323">
            <v>0.51</v>
          </cell>
          <cell r="M323" t="str">
            <v>$</v>
          </cell>
          <cell r="N323" t="str">
            <v>RFL</v>
          </cell>
          <cell r="O323" t="str">
            <v>Renta Fija Local</v>
          </cell>
          <cell r="P323" t="str">
            <v>N1 ; N1</v>
          </cell>
          <cell r="Q323" t="str">
            <v>Corto</v>
          </cell>
          <cell r="R323" t="str">
            <v>Depósitos $</v>
          </cell>
          <cell r="S323">
            <v>1.656522</v>
          </cell>
          <cell r="T323" t="str">
            <v>N-1</v>
          </cell>
          <cell r="U323" t="str">
            <v>25</v>
          </cell>
          <cell r="V323" t="str">
            <v>Depósitos</v>
          </cell>
          <cell r="W323" t="str">
            <v>Depósitos</v>
          </cell>
          <cell r="X323" t="str">
            <v>Depósitos $</v>
          </cell>
          <cell r="Y323" t="str">
            <v>Depósitos</v>
          </cell>
          <cell r="Z323" t="str">
            <v>Corto $</v>
          </cell>
          <cell r="AA323" t="str">
            <v>Depósitos</v>
          </cell>
          <cell r="AB323" t="str">
            <v>Depósitos $</v>
          </cell>
          <cell r="AC323" t="str">
            <v>Instrumentos de Deuda</v>
          </cell>
          <cell r="AD323" t="str">
            <v>Financieras</v>
          </cell>
          <cell r="AE323" t="str">
            <v>Deposito CLP Banco Internacio</v>
          </cell>
          <cell r="AF323" t="str">
            <v>Banco Internacional</v>
          </cell>
        </row>
        <row r="324">
          <cell r="C324" t="str">
            <v>PAGARE NR</v>
          </cell>
          <cell r="D324" t="str">
            <v>SCOTIABANK</v>
          </cell>
          <cell r="E324">
            <v>192498957</v>
          </cell>
          <cell r="F324">
            <v>200000000</v>
          </cell>
          <cell r="G324">
            <v>4.5900000000000003E-3</v>
          </cell>
          <cell r="H324">
            <v>0.35</v>
          </cell>
          <cell r="I324" t="str">
            <v>2017-10-23</v>
          </cell>
          <cell r="J324">
            <v>333</v>
          </cell>
          <cell r="K324">
            <v>0.92</v>
          </cell>
          <cell r="L324">
            <v>0.51</v>
          </cell>
          <cell r="M324" t="str">
            <v>$</v>
          </cell>
          <cell r="N324" t="str">
            <v>RFL</v>
          </cell>
          <cell r="O324" t="str">
            <v>Renta Fija Local</v>
          </cell>
          <cell r="P324" t="str">
            <v>N1 ; N1</v>
          </cell>
          <cell r="Q324" t="str">
            <v>Corto</v>
          </cell>
          <cell r="R324" t="str">
            <v>Depósitos $</v>
          </cell>
          <cell r="S324">
            <v>1.281801</v>
          </cell>
          <cell r="T324" t="str">
            <v>N-1</v>
          </cell>
          <cell r="U324" t="str">
            <v>25</v>
          </cell>
          <cell r="V324" t="str">
            <v>Depósitos</v>
          </cell>
          <cell r="W324" t="str">
            <v>Depósitos</v>
          </cell>
          <cell r="X324" t="str">
            <v>Depósitos $</v>
          </cell>
          <cell r="Y324" t="str">
            <v>Depósitos</v>
          </cell>
          <cell r="Z324" t="str">
            <v>Corto $</v>
          </cell>
          <cell r="AA324" t="str">
            <v>Depósitos</v>
          </cell>
          <cell r="AB324" t="str">
            <v>Depósitos $</v>
          </cell>
          <cell r="AC324" t="str">
            <v>Instrumentos de Deuda</v>
          </cell>
          <cell r="AD324" t="str">
            <v>Financieras</v>
          </cell>
          <cell r="AE324" t="str">
            <v>Deposito CLP Banco Scotiabank</v>
          </cell>
          <cell r="AF324" t="str">
            <v>Scotiabank</v>
          </cell>
        </row>
        <row r="325">
          <cell r="C325" t="str">
            <v>BBNS-R0613</v>
          </cell>
          <cell r="D325" t="str">
            <v>BBSCOTIABA</v>
          </cell>
          <cell r="E325">
            <v>271005538</v>
          </cell>
          <cell r="F325">
            <v>10000</v>
          </cell>
          <cell r="G325">
            <v>6.4619999999999999E-3</v>
          </cell>
          <cell r="H325">
            <v>2.6</v>
          </cell>
          <cell r="I325" t="str">
            <v>2018-06-01</v>
          </cell>
          <cell r="J325">
            <v>554</v>
          </cell>
          <cell r="K325">
            <v>1.47</v>
          </cell>
          <cell r="L325">
            <v>101.33</v>
          </cell>
          <cell r="M325" t="str">
            <v>UF</v>
          </cell>
          <cell r="N325" t="str">
            <v>RFL</v>
          </cell>
          <cell r="O325" t="str">
            <v>Renta Fija Local</v>
          </cell>
          <cell r="P325" t="str">
            <v>AAA ; AAA</v>
          </cell>
          <cell r="Q325" t="str">
            <v>Corto</v>
          </cell>
          <cell r="R325" t="str">
            <v>Corporativo Bajo Riesgo Corto</v>
          </cell>
          <cell r="S325">
            <v>2.6</v>
          </cell>
          <cell r="T325" t="str">
            <v>AAA</v>
          </cell>
          <cell r="U325" t="str">
            <v>1</v>
          </cell>
          <cell r="V325" t="str">
            <v>Bajo Riesgo</v>
          </cell>
          <cell r="W325" t="str">
            <v>Corporativo</v>
          </cell>
          <cell r="X325" t="str">
            <v>Bajo Riesgo Corto UF</v>
          </cell>
          <cell r="Y325" t="str">
            <v>Corporativo Bajo Riesgo Corto</v>
          </cell>
          <cell r="Z325" t="str">
            <v>Corto UF</v>
          </cell>
          <cell r="AA325" t="str">
            <v>Corporativo Corto</v>
          </cell>
          <cell r="AB325" t="str">
            <v>Corporativo UF</v>
          </cell>
          <cell r="AC325" t="str">
            <v>Instrumentos de Deuda</v>
          </cell>
          <cell r="AD325" t="str">
            <v>Financieras</v>
          </cell>
          <cell r="AE325" t="str">
            <v>Bono Scotiabank Serie R</v>
          </cell>
          <cell r="AF325" t="str">
            <v>Scotiabank</v>
          </cell>
        </row>
        <row r="326">
          <cell r="C326" t="str">
            <v>BCU0300818</v>
          </cell>
          <cell r="D326" t="str">
            <v>BCU</v>
          </cell>
          <cell r="E326">
            <v>1127143721</v>
          </cell>
          <cell r="F326">
            <v>41500</v>
          </cell>
          <cell r="G326">
            <v>2.6877999999999999E-2</v>
          </cell>
          <cell r="H326">
            <v>1.6</v>
          </cell>
          <cell r="I326" t="str">
            <v>2018-08-01</v>
          </cell>
          <cell r="J326">
            <v>615</v>
          </cell>
          <cell r="K326">
            <v>1.64</v>
          </cell>
          <cell r="L326">
            <v>102.31</v>
          </cell>
          <cell r="M326" t="str">
            <v>UF</v>
          </cell>
          <cell r="N326" t="str">
            <v>RFL</v>
          </cell>
          <cell r="O326" t="str">
            <v>Renta Fija Local</v>
          </cell>
          <cell r="P326"/>
          <cell r="Q326" t="str">
            <v>Corto</v>
          </cell>
          <cell r="R326" t="str">
            <v>Gobierno UF Corto</v>
          </cell>
          <cell r="S326">
            <v>1.6</v>
          </cell>
          <cell r="T326" t="str">
            <v>Gob</v>
          </cell>
          <cell r="U326" t="str">
            <v>0</v>
          </cell>
          <cell r="V326" t="str">
            <v>Gobierno</v>
          </cell>
          <cell r="W326" t="str">
            <v>Gobierno</v>
          </cell>
          <cell r="X326" t="str">
            <v>Gobierno Corto UF</v>
          </cell>
          <cell r="Y326" t="str">
            <v>Gobierno Corto</v>
          </cell>
          <cell r="Z326" t="str">
            <v>Corto UF</v>
          </cell>
          <cell r="AA326" t="str">
            <v>Gobierno</v>
          </cell>
          <cell r="AB326" t="str">
            <v>Gobierno UF</v>
          </cell>
          <cell r="AC326" t="str">
            <v>Instrumentos de Deuda</v>
          </cell>
          <cell r="AD326" t="str">
            <v>Gobierno</v>
          </cell>
          <cell r="AE326" t="str">
            <v>Bono Bullet Bco Central En Uf</v>
          </cell>
          <cell r="AF326" t="str">
            <v>Banco Central de Chile</v>
          </cell>
        </row>
        <row r="327">
          <cell r="C327" t="str">
            <v>BBCIS-P26A</v>
          </cell>
          <cell r="D327" t="str">
            <v>BCI SECURI</v>
          </cell>
          <cell r="E327">
            <v>131060160</v>
          </cell>
          <cell r="F327">
            <v>130000000</v>
          </cell>
          <cell r="G327">
            <v>3.1250000000000002E-3</v>
          </cell>
          <cell r="H327">
            <v>7.11</v>
          </cell>
          <cell r="I327" t="str">
            <v>2020-07-01</v>
          </cell>
          <cell r="J327">
            <v>1315</v>
          </cell>
          <cell r="K327">
            <v>1.68</v>
          </cell>
          <cell r="L327">
            <v>99.83</v>
          </cell>
          <cell r="M327" t="str">
            <v>$</v>
          </cell>
          <cell r="N327" t="str">
            <v>RFL</v>
          </cell>
          <cell r="O327" t="str">
            <v>Renta Fija Local</v>
          </cell>
          <cell r="P327" t="str">
            <v>AA ; AA</v>
          </cell>
          <cell r="Q327" t="str">
            <v>Corto</v>
          </cell>
          <cell r="R327" t="str">
            <v>Corporativo Bajo Riesgo Corto</v>
          </cell>
          <cell r="S327">
            <v>4.1100000000000003</v>
          </cell>
          <cell r="T327" t="str">
            <v>AA</v>
          </cell>
          <cell r="U327" t="str">
            <v>3</v>
          </cell>
          <cell r="V327" t="str">
            <v>Bajo Riesgo</v>
          </cell>
          <cell r="W327" t="str">
            <v>Corporativo</v>
          </cell>
          <cell r="X327" t="str">
            <v>Bajo Riesgo Corto $</v>
          </cell>
          <cell r="Y327" t="str">
            <v>Corporativo Bajo Riesgo Corto</v>
          </cell>
          <cell r="Z327" t="str">
            <v>Corto $</v>
          </cell>
          <cell r="AA327" t="str">
            <v>Corporativo Corto</v>
          </cell>
          <cell r="AB327" t="str">
            <v>Corporativo $</v>
          </cell>
          <cell r="AC327" t="str">
            <v>Instrumentos de Deuda</v>
          </cell>
          <cell r="AD327" t="str">
            <v>Financieras</v>
          </cell>
          <cell r="AE327" t="str">
            <v>Bono Bci Securitizadora P26A</v>
          </cell>
          <cell r="AF327" t="str">
            <v>BCI Securitizadora</v>
          </cell>
        </row>
        <row r="328">
          <cell r="C328" t="str">
            <v>BCAJ-O0816</v>
          </cell>
          <cell r="D328" t="str">
            <v>LOS ANDES</v>
          </cell>
          <cell r="E328">
            <v>410439381</v>
          </cell>
          <cell r="F328">
            <v>400000000</v>
          </cell>
          <cell r="G328">
            <v>9.7870000000000006E-3</v>
          </cell>
          <cell r="H328">
            <v>5.03</v>
          </cell>
          <cell r="I328" t="str">
            <v>2020-02-01</v>
          </cell>
          <cell r="J328">
            <v>1164</v>
          </cell>
          <cell r="K328">
            <v>2.0499999999999998</v>
          </cell>
          <cell r="L328">
            <v>100.91</v>
          </cell>
          <cell r="M328" t="str">
            <v>$</v>
          </cell>
          <cell r="N328" t="str">
            <v>RFL</v>
          </cell>
          <cell r="O328" t="str">
            <v>Renta Fija Local</v>
          </cell>
          <cell r="P328" t="str">
            <v>AA- ; A+</v>
          </cell>
          <cell r="Q328" t="str">
            <v>Corto</v>
          </cell>
          <cell r="R328" t="str">
            <v>Corporativo Alto Riesgo Corto</v>
          </cell>
          <cell r="S328">
            <v>2.0299999999999998</v>
          </cell>
          <cell r="T328" t="str">
            <v>A+</v>
          </cell>
          <cell r="U328" t="str">
            <v>5</v>
          </cell>
          <cell r="V328" t="str">
            <v>Alto Riesgo</v>
          </cell>
          <cell r="W328" t="str">
            <v>Corporativo</v>
          </cell>
          <cell r="X328" t="str">
            <v>Alto Riesgo Corto $</v>
          </cell>
          <cell r="Y328" t="str">
            <v>Corporativo Alto Riesgo Corto</v>
          </cell>
          <cell r="Z328" t="str">
            <v>Corto $</v>
          </cell>
          <cell r="AA328" t="str">
            <v>Corporativo Corto</v>
          </cell>
          <cell r="AB328" t="str">
            <v>Corporativo $</v>
          </cell>
          <cell r="AC328"/>
          <cell r="AD328"/>
          <cell r="AE328"/>
          <cell r="AF328" t="str">
            <v>Caja Los Andes</v>
          </cell>
        </row>
        <row r="329">
          <cell r="C329" t="str">
            <v>BBCIS-P30A</v>
          </cell>
          <cell r="D329" t="str">
            <v>BCI SECURI</v>
          </cell>
          <cell r="E329">
            <v>499572902</v>
          </cell>
          <cell r="F329">
            <v>500000000</v>
          </cell>
          <cell r="G329">
            <v>1.1912000000000001E-2</v>
          </cell>
          <cell r="H329">
            <v>6.23</v>
          </cell>
          <cell r="I329" t="str">
            <v>2020-04-01</v>
          </cell>
          <cell r="J329">
            <v>1224</v>
          </cell>
          <cell r="K329">
            <v>2.2400000000000002</v>
          </cell>
          <cell r="L329">
            <v>99.1</v>
          </cell>
          <cell r="M329" t="str">
            <v>$</v>
          </cell>
          <cell r="N329" t="str">
            <v>RFL</v>
          </cell>
          <cell r="O329" t="str">
            <v>Renta Fija Local</v>
          </cell>
          <cell r="P329" t="str">
            <v>AA ; AA</v>
          </cell>
          <cell r="Q329" t="str">
            <v>Corto</v>
          </cell>
          <cell r="R329" t="str">
            <v>Corporativo Bajo Riesgo Corto</v>
          </cell>
          <cell r="S329">
            <v>3.23</v>
          </cell>
          <cell r="T329" t="str">
            <v>AA</v>
          </cell>
          <cell r="U329" t="str">
            <v>3</v>
          </cell>
          <cell r="V329" t="str">
            <v>Bajo Riesgo</v>
          </cell>
          <cell r="W329" t="str">
            <v>Corporativo</v>
          </cell>
          <cell r="X329" t="str">
            <v>Bajo Riesgo Corto $</v>
          </cell>
          <cell r="Y329" t="str">
            <v>Corporativo Bajo Riesgo Corto</v>
          </cell>
          <cell r="Z329" t="str">
            <v>Corto $</v>
          </cell>
          <cell r="AA329" t="str">
            <v>Corporativo Corto</v>
          </cell>
          <cell r="AB329" t="str">
            <v>Corporativo $</v>
          </cell>
          <cell r="AC329" t="str">
            <v>Instrumentos de Deuda</v>
          </cell>
          <cell r="AD329" t="str">
            <v>Financieras</v>
          </cell>
          <cell r="AE329" t="str">
            <v>Bono Bci Securitizadora P30A</v>
          </cell>
          <cell r="AF329" t="str">
            <v>BCI Securitizadora</v>
          </cell>
        </row>
        <row r="330">
          <cell r="C330" t="str">
            <v>BRPL-A0414</v>
          </cell>
          <cell r="D330" t="str">
            <v>BBRIPLEY</v>
          </cell>
          <cell r="E330">
            <v>670442390</v>
          </cell>
          <cell r="F330">
            <v>25000</v>
          </cell>
          <cell r="G330">
            <v>1.5987000000000001E-2</v>
          </cell>
          <cell r="H330">
            <v>2.74</v>
          </cell>
          <cell r="I330" t="str">
            <v>2019-04-01</v>
          </cell>
          <cell r="J330">
            <v>858</v>
          </cell>
          <cell r="K330">
            <v>2.27</v>
          </cell>
          <cell r="L330">
            <v>101.47</v>
          </cell>
          <cell r="M330" t="str">
            <v>UF</v>
          </cell>
          <cell r="N330" t="str">
            <v>RFL</v>
          </cell>
          <cell r="O330" t="str">
            <v>Renta Fija Local</v>
          </cell>
          <cell r="P330" t="str">
            <v>A+ ; A+</v>
          </cell>
          <cell r="Q330" t="str">
            <v>Corto</v>
          </cell>
          <cell r="R330" t="str">
            <v>Corporativo Alto Riesgo Corto</v>
          </cell>
          <cell r="S330">
            <v>2.74</v>
          </cell>
          <cell r="T330" t="str">
            <v>A+</v>
          </cell>
          <cell r="U330" t="str">
            <v>5</v>
          </cell>
          <cell r="V330" t="str">
            <v>Alto Riesgo</v>
          </cell>
          <cell r="W330" t="str">
            <v>Corporativo</v>
          </cell>
          <cell r="X330" t="str">
            <v>Alto Riesgo Corto UF</v>
          </cell>
          <cell r="Y330" t="str">
            <v>Corporativo Alto Riesgo Corto</v>
          </cell>
          <cell r="Z330" t="str">
            <v>Corto UF</v>
          </cell>
          <cell r="AA330" t="str">
            <v>Corporativo Corto</v>
          </cell>
          <cell r="AB330" t="str">
            <v>Corporativo UF</v>
          </cell>
          <cell r="AC330" t="str">
            <v>Instrumentos de Deuda</v>
          </cell>
          <cell r="AD330" t="str">
            <v>Financieras</v>
          </cell>
          <cell r="AE330" t="str">
            <v>Bono Bancario Ripley Serie A</v>
          </cell>
          <cell r="AF330" t="str">
            <v>Banco Ripley</v>
          </cell>
        </row>
        <row r="331">
          <cell r="C331" t="str">
            <v>BCOSJ-A</v>
          </cell>
          <cell r="D331" t="str">
            <v>TECNOCONTR</v>
          </cell>
          <cell r="E331">
            <v>521296334</v>
          </cell>
          <cell r="F331">
            <v>26500</v>
          </cell>
          <cell r="G331">
            <v>1.243E-2</v>
          </cell>
          <cell r="H331">
            <v>2.7</v>
          </cell>
          <cell r="I331" t="str">
            <v>2021-06-30</v>
          </cell>
          <cell r="J331">
            <v>1679</v>
          </cell>
          <cell r="K331">
            <v>2.5499999999999998</v>
          </cell>
          <cell r="L331">
            <v>100.62</v>
          </cell>
          <cell r="M331" t="str">
            <v>UF</v>
          </cell>
          <cell r="N331" t="str">
            <v>RFL</v>
          </cell>
          <cell r="O331" t="str">
            <v>Renta Fija Local</v>
          </cell>
          <cell r="P331" t="str">
            <v>AAA ; AAA</v>
          </cell>
          <cell r="Q331" t="str">
            <v>Corto</v>
          </cell>
          <cell r="R331" t="str">
            <v>Corporativo Bajo Riesgo Corto</v>
          </cell>
          <cell r="S331">
            <v>2.7</v>
          </cell>
          <cell r="T331" t="str">
            <v>AAA</v>
          </cell>
          <cell r="U331" t="str">
            <v>1</v>
          </cell>
          <cell r="V331" t="str">
            <v>Bajo Riesgo</v>
          </cell>
          <cell r="W331" t="str">
            <v>Corporativo</v>
          </cell>
          <cell r="X331" t="str">
            <v>Bajo Riesgo Corto UF</v>
          </cell>
          <cell r="Y331" t="str">
            <v>Corporativo Bajo Riesgo Corto</v>
          </cell>
          <cell r="Z331" t="str">
            <v>Corto UF</v>
          </cell>
          <cell r="AA331" t="str">
            <v>Corporativo Corto</v>
          </cell>
          <cell r="AB331" t="str">
            <v>Corporativo UF</v>
          </cell>
          <cell r="AC331" t="str">
            <v>Instrumentos de Deuda</v>
          </cell>
          <cell r="AD331" t="str">
            <v>Construcción</v>
          </cell>
          <cell r="AE331" t="str">
            <v>Bono Constructora San Jose Serie A</v>
          </cell>
          <cell r="AF331" t="str">
            <v>San José Tecnocontrol</v>
          </cell>
        </row>
        <row r="332">
          <cell r="C332" t="str">
            <v>BBBVM31113</v>
          </cell>
          <cell r="D332" t="str">
            <v>BBBVA</v>
          </cell>
          <cell r="E332">
            <v>26677493</v>
          </cell>
          <cell r="F332">
            <v>1000</v>
          </cell>
          <cell r="G332">
            <v>6.3599999999999996E-4</v>
          </cell>
          <cell r="H332">
            <v>2.5499999999999998</v>
          </cell>
          <cell r="I332" t="str">
            <v>2019-11-01</v>
          </cell>
          <cell r="J332">
            <v>1072</v>
          </cell>
          <cell r="K332">
            <v>2.83</v>
          </cell>
          <cell r="L332">
            <v>101.25</v>
          </cell>
          <cell r="M332" t="str">
            <v>UF</v>
          </cell>
          <cell r="N332" t="str">
            <v>RFL</v>
          </cell>
          <cell r="O332" t="str">
            <v>Renta Fija Local</v>
          </cell>
          <cell r="P332" t="str">
            <v>AA ; AA+</v>
          </cell>
          <cell r="Q332" t="str">
            <v>Corto</v>
          </cell>
          <cell r="R332" t="str">
            <v>Corporativo Bajo Riesgo Corto</v>
          </cell>
          <cell r="S332">
            <v>2.5499999999999998</v>
          </cell>
          <cell r="T332" t="str">
            <v>AA</v>
          </cell>
          <cell r="U332" t="str">
            <v>3</v>
          </cell>
          <cell r="V332" t="str">
            <v>Bajo Riesgo</v>
          </cell>
          <cell r="W332" t="str">
            <v>Corporativo</v>
          </cell>
          <cell r="X332" t="str">
            <v>Bajo Riesgo Corto UF</v>
          </cell>
          <cell r="Y332" t="str">
            <v>Corporativo Bajo Riesgo Corto</v>
          </cell>
          <cell r="Z332" t="str">
            <v>Corto UF</v>
          </cell>
          <cell r="AA332" t="str">
            <v>Corporativo Corto</v>
          </cell>
          <cell r="AB332" t="str">
            <v>Corporativo UF</v>
          </cell>
          <cell r="AC332" t="str">
            <v>Instrumentos de Deuda</v>
          </cell>
          <cell r="AD332" t="str">
            <v>Financieras</v>
          </cell>
          <cell r="AE332" t="str">
            <v>Bono Bancario Bbva Serie M3</v>
          </cell>
          <cell r="AF332" t="str">
            <v>BBVA</v>
          </cell>
        </row>
        <row r="333">
          <cell r="C333" t="str">
            <v>BSTDP40315</v>
          </cell>
          <cell r="D333" t="str">
            <v>BBSANT-CHI</v>
          </cell>
          <cell r="E333">
            <v>504859839</v>
          </cell>
          <cell r="F333">
            <v>500000000</v>
          </cell>
          <cell r="G333">
            <v>1.2038999999999999E-2</v>
          </cell>
          <cell r="H333">
            <v>4.9000000000000004</v>
          </cell>
          <cell r="I333" t="str">
            <v>2020-03-01</v>
          </cell>
          <cell r="J333">
            <v>1193</v>
          </cell>
          <cell r="K333">
            <v>3.03</v>
          </cell>
          <cell r="L333">
            <v>99.89</v>
          </cell>
          <cell r="M333" t="str">
            <v>$</v>
          </cell>
          <cell r="N333" t="str">
            <v>RFL</v>
          </cell>
          <cell r="O333" t="str">
            <v>Renta Fija Local</v>
          </cell>
          <cell r="P333" t="str">
            <v>AAA ; AAA</v>
          </cell>
          <cell r="Q333" t="str">
            <v>Corto</v>
          </cell>
          <cell r="R333" t="str">
            <v>Corporativo Bajo Riesgo Corto</v>
          </cell>
          <cell r="S333">
            <v>1.9</v>
          </cell>
          <cell r="T333" t="str">
            <v>AAA</v>
          </cell>
          <cell r="U333" t="str">
            <v>1</v>
          </cell>
          <cell r="V333" t="str">
            <v>Bajo Riesgo</v>
          </cell>
          <cell r="W333" t="str">
            <v>Corporativo</v>
          </cell>
          <cell r="X333" t="str">
            <v>Bajo Riesgo Corto $</v>
          </cell>
          <cell r="Y333" t="str">
            <v>Corporativo Bajo Riesgo Corto</v>
          </cell>
          <cell r="Z333" t="str">
            <v>Corto $</v>
          </cell>
          <cell r="AA333" t="str">
            <v>Corporativo Corto</v>
          </cell>
          <cell r="AB333" t="str">
            <v>Corporativo $</v>
          </cell>
          <cell r="AC333" t="str">
            <v>Instrumentos de Deuda</v>
          </cell>
          <cell r="AD333" t="str">
            <v>Financieras</v>
          </cell>
          <cell r="AE333" t="str">
            <v>Bono Banco Santander Serie P4</v>
          </cell>
          <cell r="AF333" t="str">
            <v>Banco Santander</v>
          </cell>
        </row>
        <row r="334">
          <cell r="C334" t="str">
            <v>BCORBW0914</v>
          </cell>
          <cell r="D334" t="str">
            <v>BBCORPBANC</v>
          </cell>
          <cell r="E334">
            <v>251253552</v>
          </cell>
          <cell r="F334">
            <v>250000000</v>
          </cell>
          <cell r="G334">
            <v>5.9909999999999998E-3</v>
          </cell>
          <cell r="H334">
            <v>5.25</v>
          </cell>
          <cell r="I334" t="str">
            <v>2020-09-01</v>
          </cell>
          <cell r="J334">
            <v>1377</v>
          </cell>
          <cell r="K334">
            <v>3.45</v>
          </cell>
          <cell r="L334">
            <v>99.38</v>
          </cell>
          <cell r="M334" t="str">
            <v>$</v>
          </cell>
          <cell r="N334" t="str">
            <v>RFL</v>
          </cell>
          <cell r="O334" t="str">
            <v>Renta Fija Local</v>
          </cell>
          <cell r="P334" t="str">
            <v>AA ; AA</v>
          </cell>
          <cell r="Q334" t="str">
            <v>Corto</v>
          </cell>
          <cell r="R334" t="str">
            <v>Corporativo Bajo Riesgo Corto</v>
          </cell>
          <cell r="S334">
            <v>2.25</v>
          </cell>
          <cell r="T334" t="str">
            <v>AA</v>
          </cell>
          <cell r="U334" t="str">
            <v>3</v>
          </cell>
          <cell r="V334" t="str">
            <v>Bajo Riesgo</v>
          </cell>
          <cell r="W334" t="str">
            <v>Corporativo</v>
          </cell>
          <cell r="X334" t="str">
            <v>Bajo Riesgo Corto $</v>
          </cell>
          <cell r="Y334" t="str">
            <v>Corporativo Bajo Riesgo Corto</v>
          </cell>
          <cell r="Z334" t="str">
            <v>Corto $</v>
          </cell>
          <cell r="AA334" t="str">
            <v>Corporativo Corto</v>
          </cell>
          <cell r="AB334" t="str">
            <v>Corporativo $</v>
          </cell>
          <cell r="AC334" t="str">
            <v>Instrumentos de Deuda</v>
          </cell>
          <cell r="AD334" t="str">
            <v>Financieras</v>
          </cell>
          <cell r="AE334" t="str">
            <v>Bono Corpbanca Serie Bw</v>
          </cell>
          <cell r="AF334" t="str">
            <v>Itau/Corpbanca</v>
          </cell>
        </row>
        <row r="335">
          <cell r="C335" t="str">
            <v>BCP0600221</v>
          </cell>
          <cell r="D335" t="str">
            <v>BCP</v>
          </cell>
          <cell r="E335">
            <v>217088880</v>
          </cell>
          <cell r="F335">
            <v>200000000</v>
          </cell>
          <cell r="G335">
            <v>5.176E-3</v>
          </cell>
          <cell r="H335">
            <v>4.28</v>
          </cell>
          <cell r="I335" t="str">
            <v>2021-02-01</v>
          </cell>
          <cell r="J335">
            <v>1530</v>
          </cell>
          <cell r="K335">
            <v>3.72</v>
          </cell>
          <cell r="L335">
            <v>106.56</v>
          </cell>
          <cell r="M335" t="str">
            <v>$</v>
          </cell>
          <cell r="N335" t="str">
            <v>RFL</v>
          </cell>
          <cell r="O335" t="str">
            <v>Renta Fija Local</v>
          </cell>
          <cell r="P335"/>
          <cell r="Q335" t="str">
            <v>Corto</v>
          </cell>
          <cell r="R335" t="str">
            <v>Gobierno $ Corto</v>
          </cell>
          <cell r="S335">
            <v>1.28</v>
          </cell>
          <cell r="T335" t="str">
            <v>Gob</v>
          </cell>
          <cell r="U335" t="str">
            <v>0</v>
          </cell>
          <cell r="V335" t="str">
            <v>Gobierno</v>
          </cell>
          <cell r="W335" t="str">
            <v>Gobierno</v>
          </cell>
          <cell r="X335" t="str">
            <v>Gobierno Corto $</v>
          </cell>
          <cell r="Y335" t="str">
            <v>Gobierno Corto</v>
          </cell>
          <cell r="Z335" t="str">
            <v>Corto $</v>
          </cell>
          <cell r="AA335" t="str">
            <v>Gobierno</v>
          </cell>
          <cell r="AB335" t="str">
            <v>Gobierno $</v>
          </cell>
          <cell r="AC335" t="str">
            <v>Instrumentos de Deuda</v>
          </cell>
          <cell r="AD335" t="str">
            <v>Gobierno</v>
          </cell>
          <cell r="AE335" t="str">
            <v>Bono Bullet Bco Central En Pesos</v>
          </cell>
          <cell r="AF335" t="str">
            <v>Banco Central de Chile</v>
          </cell>
        </row>
        <row r="336">
          <cell r="C336" t="str">
            <v>BSTDED0114</v>
          </cell>
          <cell r="D336" t="str">
            <v>BBSANT-CHI</v>
          </cell>
          <cell r="E336">
            <v>138330105</v>
          </cell>
          <cell r="F336">
            <v>5000</v>
          </cell>
          <cell r="G336">
            <v>3.2980000000000002E-3</v>
          </cell>
          <cell r="H336">
            <v>2.5299999999999998</v>
          </cell>
          <cell r="I336" t="str">
            <v>2021-01-01</v>
          </cell>
          <cell r="J336">
            <v>1499</v>
          </cell>
          <cell r="K336">
            <v>3.82</v>
          </cell>
          <cell r="L336">
            <v>103.75</v>
          </cell>
          <cell r="M336" t="str">
            <v>UF</v>
          </cell>
          <cell r="N336" t="str">
            <v>RFL</v>
          </cell>
          <cell r="O336" t="str">
            <v>Renta Fija Local</v>
          </cell>
          <cell r="P336" t="str">
            <v>AAA ; AAA</v>
          </cell>
          <cell r="Q336" t="str">
            <v>Corto</v>
          </cell>
          <cell r="R336" t="str">
            <v>Corporativo Bajo Riesgo Corto</v>
          </cell>
          <cell r="S336">
            <v>2.5299999999999998</v>
          </cell>
          <cell r="T336" t="str">
            <v>AAA</v>
          </cell>
          <cell r="U336" t="str">
            <v>1</v>
          </cell>
          <cell r="V336" t="str">
            <v>Bajo Riesgo</v>
          </cell>
          <cell r="W336" t="str">
            <v>Corporativo</v>
          </cell>
          <cell r="X336" t="str">
            <v>Bajo Riesgo Corto UF</v>
          </cell>
          <cell r="Y336" t="str">
            <v>Corporativo Bajo Riesgo Corto</v>
          </cell>
          <cell r="Z336" t="str">
            <v>Corto UF</v>
          </cell>
          <cell r="AA336" t="str">
            <v>Corporativo Corto</v>
          </cell>
          <cell r="AB336" t="str">
            <v>Corporativo UF</v>
          </cell>
          <cell r="AC336" t="str">
            <v>Instrumentos de Deuda</v>
          </cell>
          <cell r="AD336" t="str">
            <v>Financieras</v>
          </cell>
          <cell r="AE336" t="str">
            <v>Bono Banco Santander Serie Ed</v>
          </cell>
          <cell r="AF336" t="str">
            <v>Banco Santander</v>
          </cell>
        </row>
        <row r="337">
          <cell r="C337" t="str">
            <v>BCU0300221</v>
          </cell>
          <cell r="D337" t="str">
            <v>BCU</v>
          </cell>
          <cell r="E337">
            <v>745559618</v>
          </cell>
          <cell r="F337">
            <v>26500</v>
          </cell>
          <cell r="G337">
            <v>1.7777999999999999E-2</v>
          </cell>
          <cell r="H337">
            <v>1.51</v>
          </cell>
          <cell r="I337" t="str">
            <v>2021-02-01</v>
          </cell>
          <cell r="J337">
            <v>1530</v>
          </cell>
          <cell r="K337">
            <v>3.94</v>
          </cell>
          <cell r="L337">
            <v>105.98</v>
          </cell>
          <cell r="M337" t="str">
            <v>UF</v>
          </cell>
          <cell r="N337" t="str">
            <v>RFL</v>
          </cell>
          <cell r="O337" t="str">
            <v>Renta Fija Local</v>
          </cell>
          <cell r="P337"/>
          <cell r="Q337" t="str">
            <v>Corto</v>
          </cell>
          <cell r="R337" t="str">
            <v>Gobierno UF Corto</v>
          </cell>
          <cell r="S337">
            <v>1.51</v>
          </cell>
          <cell r="T337" t="str">
            <v>Gob</v>
          </cell>
          <cell r="U337" t="str">
            <v>0</v>
          </cell>
          <cell r="V337" t="str">
            <v>Gobierno</v>
          </cell>
          <cell r="W337" t="str">
            <v>Gobierno</v>
          </cell>
          <cell r="X337" t="str">
            <v>Gobierno Corto UF</v>
          </cell>
          <cell r="Y337" t="str">
            <v>Gobierno Corto</v>
          </cell>
          <cell r="Z337" t="str">
            <v>Corto UF</v>
          </cell>
          <cell r="AA337" t="str">
            <v>Gobierno</v>
          </cell>
          <cell r="AB337" t="str">
            <v>Gobierno UF</v>
          </cell>
          <cell r="AC337" t="str">
            <v>Instrumentos de Deuda</v>
          </cell>
          <cell r="AD337" t="str">
            <v>Gobierno</v>
          </cell>
          <cell r="AE337" t="str">
            <v>Bono Bullet Bco Central En Uf</v>
          </cell>
          <cell r="AF337" t="str">
            <v>Banco Central de Chile</v>
          </cell>
        </row>
        <row r="338">
          <cell r="C338" t="str">
            <v>BSTDR10915</v>
          </cell>
          <cell r="D338" t="str">
            <v>BBSANT-CHI</v>
          </cell>
          <cell r="E338">
            <v>396713894</v>
          </cell>
          <cell r="F338">
            <v>15000</v>
          </cell>
          <cell r="G338">
            <v>9.4599999999999997E-3</v>
          </cell>
          <cell r="H338">
            <v>2.52</v>
          </cell>
          <cell r="I338" t="str">
            <v>2021-03-01</v>
          </cell>
          <cell r="J338">
            <v>1558</v>
          </cell>
          <cell r="K338">
            <v>4.05</v>
          </cell>
          <cell r="L338">
            <v>99.99</v>
          </cell>
          <cell r="M338" t="str">
            <v>UF</v>
          </cell>
          <cell r="N338" t="str">
            <v>RFL</v>
          </cell>
          <cell r="O338" t="str">
            <v>Renta Fija Local</v>
          </cell>
          <cell r="P338" t="str">
            <v>AAA ; AAA</v>
          </cell>
          <cell r="Q338" t="str">
            <v>Corto</v>
          </cell>
          <cell r="R338" t="str">
            <v>Corporativo Bajo Riesgo Corto</v>
          </cell>
          <cell r="S338">
            <v>2.52</v>
          </cell>
          <cell r="T338" t="str">
            <v>AAA</v>
          </cell>
          <cell r="U338" t="str">
            <v>1</v>
          </cell>
          <cell r="V338" t="str">
            <v>Bajo Riesgo</v>
          </cell>
          <cell r="W338" t="str">
            <v>Corporativo</v>
          </cell>
          <cell r="X338" t="str">
            <v>Bajo Riesgo Corto UF</v>
          </cell>
          <cell r="Y338" t="str">
            <v>Corporativo Bajo Riesgo Corto</v>
          </cell>
          <cell r="Z338" t="str">
            <v>Corto UF</v>
          </cell>
          <cell r="AA338" t="str">
            <v>Corporativo Corto</v>
          </cell>
          <cell r="AB338" t="str">
            <v>Corporativo UF</v>
          </cell>
          <cell r="AC338" t="str">
            <v>Instrumentos de Deuda</v>
          </cell>
          <cell r="AD338" t="str">
            <v>Financieras</v>
          </cell>
          <cell r="AE338" t="str">
            <v>Bono Banco Santander Serie R1</v>
          </cell>
          <cell r="AF338" t="str">
            <v>Banco Santander</v>
          </cell>
        </row>
        <row r="339">
          <cell r="C339" t="str">
            <v>BTU0150321</v>
          </cell>
          <cell r="D339" t="str">
            <v>BTU</v>
          </cell>
          <cell r="E339">
            <v>936682673</v>
          </cell>
          <cell r="F339">
            <v>35500</v>
          </cell>
          <cell r="G339">
            <v>2.2336000000000002E-2</v>
          </cell>
          <cell r="H339">
            <v>1.51</v>
          </cell>
          <cell r="I339" t="str">
            <v>2021-03-01</v>
          </cell>
          <cell r="J339">
            <v>1558</v>
          </cell>
          <cell r="K339">
            <v>4.1399999999999997</v>
          </cell>
          <cell r="L339">
            <v>99.98</v>
          </cell>
          <cell r="M339" t="str">
            <v>UF</v>
          </cell>
          <cell r="N339" t="str">
            <v>RFL</v>
          </cell>
          <cell r="O339" t="str">
            <v>Renta Fija Local</v>
          </cell>
          <cell r="P339"/>
          <cell r="Q339" t="str">
            <v>Corto</v>
          </cell>
          <cell r="R339" t="str">
            <v>Gobierno UF Corto</v>
          </cell>
          <cell r="S339">
            <v>1.51</v>
          </cell>
          <cell r="T339" t="str">
            <v>Gob</v>
          </cell>
          <cell r="U339" t="str">
            <v>0</v>
          </cell>
          <cell r="V339" t="str">
            <v>Gobierno</v>
          </cell>
          <cell r="W339" t="str">
            <v>Gobierno</v>
          </cell>
          <cell r="X339" t="str">
            <v>Gobierno Corto UF</v>
          </cell>
          <cell r="Y339" t="str">
            <v>Gobierno Corto</v>
          </cell>
          <cell r="Z339" t="str">
            <v>Corto UF</v>
          </cell>
          <cell r="AA339" t="str">
            <v>Gobierno</v>
          </cell>
          <cell r="AB339" t="str">
            <v>Gobierno UF</v>
          </cell>
          <cell r="AC339" t="str">
            <v>Instrumentos de Deuda</v>
          </cell>
          <cell r="AD339" t="str">
            <v>Financieras</v>
          </cell>
          <cell r="AE339" t="str">
            <v>Bono Tesoreria En Uf</v>
          </cell>
          <cell r="AF339" t="str">
            <v>Tesorería General de la República</v>
          </cell>
        </row>
        <row r="340">
          <cell r="C340" t="str">
            <v>BBANM-B</v>
          </cell>
          <cell r="D340" t="str">
            <v>BANMEDICA</v>
          </cell>
          <cell r="E340">
            <v>38678345</v>
          </cell>
          <cell r="F340">
            <v>3000</v>
          </cell>
          <cell r="G340">
            <v>9.2199999999999997E-4</v>
          </cell>
          <cell r="H340">
            <v>3.8</v>
          </cell>
          <cell r="I340" t="str">
            <v>2026-04-15</v>
          </cell>
          <cell r="J340">
            <v>3429</v>
          </cell>
          <cell r="K340">
            <v>4.4000000000000004</v>
          </cell>
          <cell r="L340">
            <v>100.86</v>
          </cell>
          <cell r="M340" t="str">
            <v>UF</v>
          </cell>
          <cell r="N340" t="str">
            <v>RFL</v>
          </cell>
          <cell r="O340" t="str">
            <v>Renta Fija Local</v>
          </cell>
          <cell r="P340" t="str">
            <v>AA- ; AA-</v>
          </cell>
          <cell r="Q340" t="str">
            <v>Corto</v>
          </cell>
          <cell r="R340" t="str">
            <v>Corporativo Bajo Riesgo Corto</v>
          </cell>
          <cell r="S340">
            <v>3.8</v>
          </cell>
          <cell r="T340" t="str">
            <v>AA-</v>
          </cell>
          <cell r="U340" t="str">
            <v>4</v>
          </cell>
          <cell r="V340" t="str">
            <v>Bajo Riesgo</v>
          </cell>
          <cell r="W340" t="str">
            <v>Corporativo</v>
          </cell>
          <cell r="X340" t="str">
            <v>Bajo Riesgo Corto UF</v>
          </cell>
          <cell r="Y340" t="str">
            <v>Corporativo Bajo Riesgo Corto</v>
          </cell>
          <cell r="Z340" t="str">
            <v>Corto UF</v>
          </cell>
          <cell r="AA340" t="str">
            <v>Corporativo Corto</v>
          </cell>
          <cell r="AB340" t="str">
            <v>Corporativo UF</v>
          </cell>
          <cell r="AC340" t="str">
            <v>Instrumentos de Deuda</v>
          </cell>
          <cell r="AD340" t="str">
            <v>Salud</v>
          </cell>
          <cell r="AE340" t="str">
            <v>Bono Banmedica Serie B</v>
          </cell>
          <cell r="AF340" t="str">
            <v>Banmedica</v>
          </cell>
        </row>
        <row r="341">
          <cell r="C341" t="str">
            <v>CFI9251IM</v>
          </cell>
          <cell r="D341" t="str">
            <v>DEUDA CORP</v>
          </cell>
          <cell r="E341">
            <v>1824132209</v>
          </cell>
          <cell r="F341">
            <v>1727688</v>
          </cell>
          <cell r="G341">
            <v>4.3498000000000002E-2</v>
          </cell>
          <cell r="H341">
            <v>0</v>
          </cell>
          <cell r="I341" t="str">
            <v xml:space="preserve">          </v>
          </cell>
          <cell r="J341">
            <v>-42696</v>
          </cell>
          <cell r="K341">
            <v>4.448893</v>
          </cell>
          <cell r="L341">
            <v>1055.8226999999999</v>
          </cell>
          <cell r="M341" t="str">
            <v>UF</v>
          </cell>
          <cell r="N341" t="str">
            <v>RFL</v>
          </cell>
          <cell r="O341" t="str">
            <v>Renta Fija Local</v>
          </cell>
          <cell r="P341"/>
          <cell r="Q341" t="str">
            <v>Corto</v>
          </cell>
          <cell r="R341" t="str">
            <v>Cuotas de Fondos</v>
          </cell>
          <cell r="S341">
            <v>2.5012949999999998</v>
          </cell>
          <cell r="T341"/>
          <cell r="U341"/>
          <cell r="V341" t="str">
            <v>BR</v>
          </cell>
          <cell r="W341" t="str">
            <v>Corporativo</v>
          </cell>
          <cell r="X341" t="str">
            <v>BR Corto UF</v>
          </cell>
          <cell r="Y341" t="str">
            <v>Corporativo BR Corto</v>
          </cell>
          <cell r="Z341" t="str">
            <v>Corto UF</v>
          </cell>
          <cell r="AA341" t="str">
            <v>Corporativo Corto</v>
          </cell>
          <cell r="AB341" t="str">
            <v>Corporativo UF</v>
          </cell>
          <cell r="AC341" t="str">
            <v>Fondos</v>
          </cell>
          <cell r="AD341" t="str">
            <v>Fondos</v>
          </cell>
          <cell r="AE341"/>
          <cell r="AF341"/>
        </row>
        <row r="342">
          <cell r="C342" t="str">
            <v>BCHI-O0704</v>
          </cell>
          <cell r="D342" t="str">
            <v>BBCHILE</v>
          </cell>
          <cell r="E342">
            <v>167189386</v>
          </cell>
          <cell r="F342">
            <v>10000</v>
          </cell>
          <cell r="G342">
            <v>3.986E-3</v>
          </cell>
          <cell r="H342">
            <v>2.58</v>
          </cell>
          <cell r="I342" t="str">
            <v>2026-07-01</v>
          </cell>
          <cell r="J342">
            <v>3506</v>
          </cell>
          <cell r="K342">
            <v>4.6399999999999997</v>
          </cell>
          <cell r="L342">
            <v>108.82</v>
          </cell>
          <cell r="M342" t="str">
            <v>UF</v>
          </cell>
          <cell r="N342" t="str">
            <v>RFL</v>
          </cell>
          <cell r="O342" t="str">
            <v>Renta Fija Local</v>
          </cell>
          <cell r="P342" t="str">
            <v>AAA ; AAA</v>
          </cell>
          <cell r="Q342" t="str">
            <v>Largo</v>
          </cell>
          <cell r="R342" t="str">
            <v>Corporativo Bajo Riesgo Largo</v>
          </cell>
          <cell r="S342">
            <v>2.58</v>
          </cell>
          <cell r="T342" t="str">
            <v>AAA</v>
          </cell>
          <cell r="U342" t="str">
            <v>1</v>
          </cell>
          <cell r="V342" t="str">
            <v>Bajo Riesgo</v>
          </cell>
          <cell r="W342" t="str">
            <v>Corporativo</v>
          </cell>
          <cell r="X342" t="str">
            <v>Bajo Riesgo Largo UF</v>
          </cell>
          <cell r="Y342" t="str">
            <v>Corporativo Bajo Riesgo Largo</v>
          </cell>
          <cell r="Z342" t="str">
            <v>Largo UF</v>
          </cell>
          <cell r="AA342" t="str">
            <v>Corporativo Largo</v>
          </cell>
          <cell r="AB342" t="str">
            <v>Corporativo UF</v>
          </cell>
          <cell r="AC342" t="str">
            <v>Instrumentos de Deuda</v>
          </cell>
          <cell r="AD342" t="str">
            <v>Financieras</v>
          </cell>
          <cell r="AE342" t="str">
            <v>Bono Banco De Chile</v>
          </cell>
          <cell r="AF342" t="str">
            <v>Banco de Chile</v>
          </cell>
        </row>
        <row r="343">
          <cell r="C343" t="str">
            <v>BBBVK20212</v>
          </cell>
          <cell r="D343" t="str">
            <v>BBBVA</v>
          </cell>
          <cell r="E343">
            <v>54491588</v>
          </cell>
          <cell r="F343">
            <v>2000</v>
          </cell>
          <cell r="G343">
            <v>1.299E-3</v>
          </cell>
          <cell r="H343">
            <v>2.44</v>
          </cell>
          <cell r="I343" t="str">
            <v>2022-02-01</v>
          </cell>
          <cell r="J343">
            <v>1895</v>
          </cell>
          <cell r="K343">
            <v>4.8099999999999996</v>
          </cell>
          <cell r="L343">
            <v>102.64</v>
          </cell>
          <cell r="M343" t="str">
            <v>UF</v>
          </cell>
          <cell r="N343" t="str">
            <v>RFL</v>
          </cell>
          <cell r="O343" t="str">
            <v>Renta Fija Local</v>
          </cell>
          <cell r="P343" t="str">
            <v>AA ; AA+</v>
          </cell>
          <cell r="Q343" t="str">
            <v>Largo</v>
          </cell>
          <cell r="R343" t="str">
            <v>Corporativo Bajo Riesgo Largo</v>
          </cell>
          <cell r="S343">
            <v>2.44</v>
          </cell>
          <cell r="T343" t="str">
            <v>AA</v>
          </cell>
          <cell r="U343" t="str">
            <v>3</v>
          </cell>
          <cell r="V343" t="str">
            <v>Bajo Riesgo</v>
          </cell>
          <cell r="W343" t="str">
            <v>Corporativo</v>
          </cell>
          <cell r="X343" t="str">
            <v>Bajo Riesgo Largo UF</v>
          </cell>
          <cell r="Y343" t="str">
            <v>Corporativo Bajo Riesgo Largo</v>
          </cell>
          <cell r="Z343" t="str">
            <v>Largo UF</v>
          </cell>
          <cell r="AA343" t="str">
            <v>Corporativo Largo</v>
          </cell>
          <cell r="AB343" t="str">
            <v>Corporativo UF</v>
          </cell>
          <cell r="AC343" t="str">
            <v>Instrumentos de Deuda</v>
          </cell>
          <cell r="AD343" t="str">
            <v>Financieras</v>
          </cell>
          <cell r="AE343" t="str">
            <v>Bono Bbva Serie K2</v>
          </cell>
          <cell r="AF343" t="str">
            <v>BBVA</v>
          </cell>
        </row>
        <row r="344">
          <cell r="C344" t="str">
            <v>BJUMB-B2</v>
          </cell>
          <cell r="D344" t="str">
            <v>JUMBO</v>
          </cell>
          <cell r="E344">
            <v>483937373</v>
          </cell>
          <cell r="F344">
            <v>20000</v>
          </cell>
          <cell r="G344">
            <v>1.154E-2</v>
          </cell>
          <cell r="H344">
            <v>2.86</v>
          </cell>
          <cell r="I344" t="str">
            <v>2026-09-01</v>
          </cell>
          <cell r="J344">
            <v>3568</v>
          </cell>
          <cell r="K344">
            <v>4.9800000000000004</v>
          </cell>
          <cell r="L344">
            <v>118.31</v>
          </cell>
          <cell r="M344" t="str">
            <v>UF</v>
          </cell>
          <cell r="N344" t="str">
            <v>RFL</v>
          </cell>
          <cell r="O344" t="str">
            <v>Renta Fija Local</v>
          </cell>
          <cell r="P344" t="str">
            <v>AA- ; AA-</v>
          </cell>
          <cell r="Q344" t="str">
            <v>Largo</v>
          </cell>
          <cell r="R344" t="str">
            <v>Corporativo Bajo Riesgo Largo</v>
          </cell>
          <cell r="S344">
            <v>2.86</v>
          </cell>
          <cell r="T344" t="str">
            <v>AA-</v>
          </cell>
          <cell r="U344" t="str">
            <v>4</v>
          </cell>
          <cell r="V344" t="str">
            <v>Bajo Riesgo</v>
          </cell>
          <cell r="W344" t="str">
            <v>Corporativo</v>
          </cell>
          <cell r="X344" t="str">
            <v>Bajo Riesgo Largo UF</v>
          </cell>
          <cell r="Y344" t="str">
            <v>Corporativo Bajo Riesgo Largo</v>
          </cell>
          <cell r="Z344" t="str">
            <v>Largo UF</v>
          </cell>
          <cell r="AA344" t="str">
            <v>Corporativo Largo</v>
          </cell>
          <cell r="AB344" t="str">
            <v>Corporativo UF</v>
          </cell>
          <cell r="AC344"/>
          <cell r="AD344"/>
          <cell r="AE344"/>
          <cell r="AF344"/>
        </row>
        <row r="345">
          <cell r="C345" t="str">
            <v>BBCIF20812</v>
          </cell>
          <cell r="D345" t="str">
            <v>BBCREDITO</v>
          </cell>
          <cell r="E345">
            <v>793994039</v>
          </cell>
          <cell r="F345">
            <v>30000</v>
          </cell>
          <cell r="G345">
            <v>1.8932999999999998E-2</v>
          </cell>
          <cell r="H345">
            <v>2.65</v>
          </cell>
          <cell r="I345" t="str">
            <v>2022-08-01</v>
          </cell>
          <cell r="J345">
            <v>2076</v>
          </cell>
          <cell r="K345">
            <v>5.28</v>
          </cell>
          <cell r="L345">
            <v>99.82</v>
          </cell>
          <cell r="M345" t="str">
            <v>UF</v>
          </cell>
          <cell r="N345" t="str">
            <v>RFL</v>
          </cell>
          <cell r="O345" t="str">
            <v>Renta Fija Local</v>
          </cell>
          <cell r="P345" t="str">
            <v>AA+ ; AA+</v>
          </cell>
          <cell r="Q345" t="str">
            <v>Largo</v>
          </cell>
          <cell r="R345" t="str">
            <v>Corporativo Bajo Riesgo Largo</v>
          </cell>
          <cell r="S345">
            <v>2.65</v>
          </cell>
          <cell r="T345" t="str">
            <v>AA+</v>
          </cell>
          <cell r="U345" t="str">
            <v>2</v>
          </cell>
          <cell r="V345" t="str">
            <v>Bajo Riesgo</v>
          </cell>
          <cell r="W345" t="str">
            <v>Corporativo</v>
          </cell>
          <cell r="X345" t="str">
            <v>Bajo Riesgo Largo UF</v>
          </cell>
          <cell r="Y345" t="str">
            <v>Corporativo Bajo Riesgo Largo</v>
          </cell>
          <cell r="Z345" t="str">
            <v>Largo UF</v>
          </cell>
          <cell r="AA345" t="str">
            <v>Corporativo Largo</v>
          </cell>
          <cell r="AB345" t="str">
            <v>Corporativo UF</v>
          </cell>
          <cell r="AC345" t="str">
            <v>Instrumentos de Deuda</v>
          </cell>
          <cell r="AD345" t="str">
            <v>Financieras</v>
          </cell>
          <cell r="AE345" t="str">
            <v>Bono Banc Bci Subserie Af2, Serie Af</v>
          </cell>
          <cell r="AF345" t="str">
            <v>BCI</v>
          </cell>
        </row>
        <row r="346">
          <cell r="C346" t="str">
            <v>BCP0600323</v>
          </cell>
          <cell r="D346" t="str">
            <v>BCP</v>
          </cell>
          <cell r="E346">
            <v>142904973</v>
          </cell>
          <cell r="F346">
            <v>130000000</v>
          </cell>
          <cell r="G346">
            <v>3.4069999999999999E-3</v>
          </cell>
          <cell r="H346">
            <v>4.47</v>
          </cell>
          <cell r="I346" t="str">
            <v>2023-03-01</v>
          </cell>
          <cell r="J346">
            <v>2288</v>
          </cell>
          <cell r="K346">
            <v>5.3</v>
          </cell>
          <cell r="L346">
            <v>108.46</v>
          </cell>
          <cell r="M346" t="str">
            <v>$</v>
          </cell>
          <cell r="N346" t="str">
            <v>RFL</v>
          </cell>
          <cell r="O346" t="str">
            <v>Renta Fija Local</v>
          </cell>
          <cell r="P346"/>
          <cell r="Q346" t="str">
            <v>Largo</v>
          </cell>
          <cell r="R346" t="str">
            <v>Gobierno $ Largo</v>
          </cell>
          <cell r="S346">
            <v>1.47</v>
          </cell>
          <cell r="T346" t="str">
            <v>Gob</v>
          </cell>
          <cell r="U346" t="str">
            <v>0</v>
          </cell>
          <cell r="V346" t="str">
            <v>Gobierno</v>
          </cell>
          <cell r="W346" t="str">
            <v>Gobierno</v>
          </cell>
          <cell r="X346" t="str">
            <v>Gobierno Largo $</v>
          </cell>
          <cell r="Y346" t="str">
            <v>Gobierno Largo</v>
          </cell>
          <cell r="Z346" t="str">
            <v>Largo $</v>
          </cell>
          <cell r="AA346" t="str">
            <v>Gobierno</v>
          </cell>
          <cell r="AB346" t="str">
            <v>Gobierno $</v>
          </cell>
          <cell r="AC346" t="str">
            <v>Instrumentos de Deuda</v>
          </cell>
          <cell r="AD346" t="str">
            <v>Gobierno</v>
          </cell>
          <cell r="AE346" t="str">
            <v>Bono Bullet Bco Central En Pesos</v>
          </cell>
          <cell r="AF346" t="str">
            <v>Banco Central de Chile</v>
          </cell>
        </row>
        <row r="347">
          <cell r="C347" t="str">
            <v>BANSM-A</v>
          </cell>
          <cell r="D347" t="str">
            <v>AGUAS NSUR</v>
          </cell>
          <cell r="E347">
            <v>284497967</v>
          </cell>
          <cell r="F347">
            <v>10000</v>
          </cell>
          <cell r="G347">
            <v>6.7840000000000001E-3</v>
          </cell>
          <cell r="H347">
            <v>2.61</v>
          </cell>
          <cell r="I347" t="str">
            <v>2028-03-21</v>
          </cell>
          <cell r="J347">
            <v>4135</v>
          </cell>
          <cell r="K347">
            <v>5.4</v>
          </cell>
          <cell r="L347">
            <v>107.44</v>
          </cell>
          <cell r="M347" t="str">
            <v>UF</v>
          </cell>
          <cell r="N347" t="str">
            <v>RFL</v>
          </cell>
          <cell r="O347" t="str">
            <v>Renta Fija Local</v>
          </cell>
          <cell r="P347" t="str">
            <v>AA- ; AA</v>
          </cell>
          <cell r="Q347" t="str">
            <v>Largo</v>
          </cell>
          <cell r="R347" t="str">
            <v>Corporativo Bajo Riesgo Largo</v>
          </cell>
          <cell r="S347">
            <v>2.61</v>
          </cell>
          <cell r="T347" t="str">
            <v>AA-</v>
          </cell>
          <cell r="U347" t="str">
            <v>4</v>
          </cell>
          <cell r="V347" t="str">
            <v>Bajo Riesgo</v>
          </cell>
          <cell r="W347" t="str">
            <v>Corporativo</v>
          </cell>
          <cell r="X347" t="str">
            <v>Bajo Riesgo Largo UF</v>
          </cell>
          <cell r="Y347" t="str">
            <v>Corporativo Bajo Riesgo Largo</v>
          </cell>
          <cell r="Z347" t="str">
            <v>Largo UF</v>
          </cell>
          <cell r="AA347" t="str">
            <v>Corporativo Largo</v>
          </cell>
          <cell r="AB347" t="str">
            <v>Corporativo UF</v>
          </cell>
          <cell r="AC347" t="str">
            <v>Instrumentos de Deuda</v>
          </cell>
          <cell r="AD347" t="str">
            <v>Servicios Básicos</v>
          </cell>
          <cell r="AE347" t="str">
            <v>Bono Aguas Nuevo Sur Serie A</v>
          </cell>
          <cell r="AF347" t="str">
            <v>Aguas Nuevo Sur</v>
          </cell>
        </row>
        <row r="348">
          <cell r="C348" t="str">
            <v>UFAL-A0607</v>
          </cell>
          <cell r="D348" t="str">
            <v>BBFALABELL</v>
          </cell>
          <cell r="E348">
            <v>12684219</v>
          </cell>
          <cell r="F348">
            <v>500</v>
          </cell>
          <cell r="G348">
            <v>3.0200000000000002E-4</v>
          </cell>
          <cell r="H348">
            <v>2.76</v>
          </cell>
          <cell r="I348" t="str">
            <v>2028-06-15</v>
          </cell>
          <cell r="J348">
            <v>4221</v>
          </cell>
          <cell r="K348">
            <v>5.48</v>
          </cell>
          <cell r="L348">
            <v>106.69</v>
          </cell>
          <cell r="M348" t="str">
            <v>UF</v>
          </cell>
          <cell r="N348" t="str">
            <v>RFL</v>
          </cell>
          <cell r="O348" t="str">
            <v>Renta Fija Local</v>
          </cell>
          <cell r="P348" t="str">
            <v>AA- ; A+</v>
          </cell>
          <cell r="Q348" t="str">
            <v>Largo</v>
          </cell>
          <cell r="R348" t="str">
            <v>Corporativo Alto Riesgo Largo</v>
          </cell>
          <cell r="S348">
            <v>2.76</v>
          </cell>
          <cell r="T348" t="str">
            <v>A+</v>
          </cell>
          <cell r="U348" t="str">
            <v>5</v>
          </cell>
          <cell r="V348" t="str">
            <v>Alto Riesgo</v>
          </cell>
          <cell r="W348" t="str">
            <v>Corporativo</v>
          </cell>
          <cell r="X348" t="str">
            <v>Alto Riesgo Largo UF</v>
          </cell>
          <cell r="Y348" t="str">
            <v>Corporativo Alto Riesgo Largo</v>
          </cell>
          <cell r="Z348" t="str">
            <v>Largo UF</v>
          </cell>
          <cell r="AA348" t="str">
            <v>Corporativo Largo</v>
          </cell>
          <cell r="AB348" t="str">
            <v>Corporativo UF</v>
          </cell>
          <cell r="AC348" t="str">
            <v>Instrumentos de Deuda</v>
          </cell>
          <cell r="AD348" t="str">
            <v>Financieras</v>
          </cell>
          <cell r="AE348" t="str">
            <v>Bono Subordinado Banco Falabella Serie A</v>
          </cell>
          <cell r="AF348" t="str">
            <v>Banco Falabella</v>
          </cell>
        </row>
        <row r="349">
          <cell r="C349" t="str">
            <v>BTP0600124</v>
          </cell>
          <cell r="D349" t="str">
            <v>BTP</v>
          </cell>
          <cell r="E349">
            <v>1005314509</v>
          </cell>
          <cell r="F349">
            <v>900000000</v>
          </cell>
          <cell r="G349">
            <v>2.3973000000000001E-2</v>
          </cell>
          <cell r="H349">
            <v>4.5</v>
          </cell>
          <cell r="I349" t="str">
            <v>2024-01-01</v>
          </cell>
          <cell r="J349">
            <v>2594</v>
          </cell>
          <cell r="K349">
            <v>5.83</v>
          </cell>
          <cell r="L349">
            <v>109.1</v>
          </cell>
          <cell r="M349" t="str">
            <v>$</v>
          </cell>
          <cell r="N349" t="str">
            <v>RFL</v>
          </cell>
          <cell r="O349" t="str">
            <v>Renta Fija Local</v>
          </cell>
          <cell r="P349"/>
          <cell r="Q349" t="str">
            <v>Largo</v>
          </cell>
          <cell r="R349" t="str">
            <v>Gobierno $ Largo</v>
          </cell>
          <cell r="S349">
            <v>1.5</v>
          </cell>
          <cell r="T349" t="str">
            <v>Gob</v>
          </cell>
          <cell r="U349" t="str">
            <v>0</v>
          </cell>
          <cell r="V349" t="str">
            <v>Gobierno</v>
          </cell>
          <cell r="W349" t="str">
            <v>Gobierno</v>
          </cell>
          <cell r="X349" t="str">
            <v>Gobierno Largo $</v>
          </cell>
          <cell r="Y349" t="str">
            <v>Gobierno Largo</v>
          </cell>
          <cell r="Z349" t="str">
            <v>Largo $</v>
          </cell>
          <cell r="AA349" t="str">
            <v>Gobierno</v>
          </cell>
          <cell r="AB349" t="str">
            <v>Gobierno $</v>
          </cell>
          <cell r="AC349" t="str">
            <v>Instrumentos de Deuda</v>
          </cell>
          <cell r="AD349" t="str">
            <v>Gobierno</v>
          </cell>
          <cell r="AE349" t="str">
            <v>Bono Tesoreria En Pesos</v>
          </cell>
          <cell r="AF349" t="str">
            <v>Tesorería General de la República</v>
          </cell>
        </row>
        <row r="350">
          <cell r="C350" t="str">
            <v>BAVNO-A1</v>
          </cell>
          <cell r="D350" t="str">
            <v>AUTOVESNOR</v>
          </cell>
          <cell r="E350">
            <v>551596304</v>
          </cell>
          <cell r="F350">
            <v>20000</v>
          </cell>
          <cell r="G350">
            <v>1.3153E-2</v>
          </cell>
          <cell r="H350">
            <v>3.03</v>
          </cell>
          <cell r="I350" t="str">
            <v>2028-12-15</v>
          </cell>
          <cell r="J350">
            <v>4404</v>
          </cell>
          <cell r="K350">
            <v>6.1</v>
          </cell>
          <cell r="L350">
            <v>113.88</v>
          </cell>
          <cell r="M350" t="str">
            <v>UF</v>
          </cell>
          <cell r="N350" t="str">
            <v>RFL</v>
          </cell>
          <cell r="O350" t="str">
            <v>Renta Fija Local</v>
          </cell>
          <cell r="P350" t="str">
            <v>A- ; A</v>
          </cell>
          <cell r="Q350" t="str">
            <v>Largo</v>
          </cell>
          <cell r="R350" t="str">
            <v>Corporativo Alto Riesgo Largo</v>
          </cell>
          <cell r="S350">
            <v>3.03</v>
          </cell>
          <cell r="T350" t="str">
            <v>A-</v>
          </cell>
          <cell r="U350" t="str">
            <v>7</v>
          </cell>
          <cell r="V350" t="str">
            <v>Alto Riesgo</v>
          </cell>
          <cell r="W350" t="str">
            <v>Corporativo</v>
          </cell>
          <cell r="X350" t="str">
            <v>Alto Riesgo Largo UF</v>
          </cell>
          <cell r="Y350" t="str">
            <v>Corporativo Alto Riesgo Largo</v>
          </cell>
          <cell r="Z350" t="str">
            <v>Largo UF</v>
          </cell>
          <cell r="AA350" t="str">
            <v>Corporativo Largo</v>
          </cell>
          <cell r="AB350" t="str">
            <v>Corporativo UF</v>
          </cell>
          <cell r="AC350" t="str">
            <v>Instrumentos de Deuda</v>
          </cell>
          <cell r="AD350" t="str">
            <v>Otros</v>
          </cell>
          <cell r="AE350" t="str">
            <v>Bono Vespucio Norte Express Serie A1</v>
          </cell>
          <cell r="AF350" t="str">
            <v>Soc. Conc. Vespucio Norte Express S.A.</v>
          </cell>
        </row>
        <row r="351">
          <cell r="C351" t="str">
            <v>BSECK41013</v>
          </cell>
          <cell r="D351" t="str">
            <v>BBSECURITY</v>
          </cell>
          <cell r="E351">
            <v>279394712</v>
          </cell>
          <cell r="F351">
            <v>10000</v>
          </cell>
          <cell r="G351">
            <v>6.6620000000000004E-3</v>
          </cell>
          <cell r="H351">
            <v>2.7</v>
          </cell>
          <cell r="I351" t="str">
            <v>2023-10-01</v>
          </cell>
          <cell r="J351">
            <v>2502</v>
          </cell>
          <cell r="K351">
            <v>6.13</v>
          </cell>
          <cell r="L351">
            <v>105.68</v>
          </cell>
          <cell r="M351" t="str">
            <v>UF</v>
          </cell>
          <cell r="N351" t="str">
            <v>RFL</v>
          </cell>
          <cell r="O351" t="str">
            <v>Renta Fija Local</v>
          </cell>
          <cell r="P351" t="str">
            <v>AA- ; AA</v>
          </cell>
          <cell r="Q351" t="str">
            <v>Largo</v>
          </cell>
          <cell r="R351" t="str">
            <v>Corporativo Bajo Riesgo Largo</v>
          </cell>
          <cell r="S351">
            <v>2.7</v>
          </cell>
          <cell r="T351" t="str">
            <v>AA-</v>
          </cell>
          <cell r="U351" t="str">
            <v>4</v>
          </cell>
          <cell r="V351" t="str">
            <v>Bajo Riesgo</v>
          </cell>
          <cell r="W351" t="str">
            <v>Corporativo</v>
          </cell>
          <cell r="X351" t="str">
            <v>Bajo Riesgo Largo UF</v>
          </cell>
          <cell r="Y351" t="str">
            <v>Corporativo Bajo Riesgo Largo</v>
          </cell>
          <cell r="Z351" t="str">
            <v>Largo UF</v>
          </cell>
          <cell r="AA351" t="str">
            <v>Corporativo Largo</v>
          </cell>
          <cell r="AB351" t="str">
            <v>Corporativo UF</v>
          </cell>
          <cell r="AC351" t="str">
            <v>Instrumentos de Deuda</v>
          </cell>
          <cell r="AD351" t="str">
            <v>Financieras</v>
          </cell>
          <cell r="AE351" t="str">
            <v>Bono Bancario Security Serie K4</v>
          </cell>
          <cell r="AF351" t="str">
            <v>Banco Security</v>
          </cell>
        </row>
        <row r="352">
          <cell r="C352" t="str">
            <v>CFI7275IM</v>
          </cell>
          <cell r="D352" t="str">
            <v>SPREADCORP</v>
          </cell>
          <cell r="E352">
            <v>4753966022</v>
          </cell>
          <cell r="F352">
            <v>4471127</v>
          </cell>
          <cell r="G352">
            <v>0.11336400000000001</v>
          </cell>
          <cell r="H352">
            <v>0</v>
          </cell>
          <cell r="I352" t="str">
            <v xml:space="preserve">          </v>
          </cell>
          <cell r="J352">
            <v>-42696</v>
          </cell>
          <cell r="K352">
            <v>6.2228000000000003</v>
          </cell>
          <cell r="L352">
            <v>1063.259</v>
          </cell>
          <cell r="M352" t="str">
            <v>UF</v>
          </cell>
          <cell r="N352" t="str">
            <v>RFL</v>
          </cell>
          <cell r="O352" t="str">
            <v>Renta Fija Local</v>
          </cell>
          <cell r="P352"/>
          <cell r="Q352" t="str">
            <v>Largo</v>
          </cell>
          <cell r="R352" t="str">
            <v>Cuotas de Fondos</v>
          </cell>
          <cell r="S352">
            <v>3.9857740000000002</v>
          </cell>
          <cell r="T352"/>
          <cell r="U352"/>
          <cell r="V352" t="str">
            <v>AR</v>
          </cell>
          <cell r="W352" t="str">
            <v>Corporativo</v>
          </cell>
          <cell r="X352" t="str">
            <v>AR Largo UF</v>
          </cell>
          <cell r="Y352" t="str">
            <v>Corporativo AR Largo</v>
          </cell>
          <cell r="Z352" t="str">
            <v>Largo UF</v>
          </cell>
          <cell r="AA352" t="str">
            <v>Corporativo Largo</v>
          </cell>
          <cell r="AB352" t="str">
            <v>Corporativo UF</v>
          </cell>
          <cell r="AC352" t="str">
            <v>Fondos</v>
          </cell>
          <cell r="AD352" t="str">
            <v>Fondos</v>
          </cell>
          <cell r="AE352"/>
          <cell r="AF352"/>
        </row>
        <row r="353">
          <cell r="C353" t="str">
            <v>UDES-F1004</v>
          </cell>
          <cell r="D353" t="str">
            <v>BBDESARROL</v>
          </cell>
          <cell r="E353">
            <v>43990255</v>
          </cell>
          <cell r="F353">
            <v>1500</v>
          </cell>
          <cell r="G353">
            <v>1.049E-3</v>
          </cell>
          <cell r="H353">
            <v>2.65</v>
          </cell>
          <cell r="I353" t="str">
            <v>2029-10-01</v>
          </cell>
          <cell r="J353">
            <v>4694</v>
          </cell>
          <cell r="K353">
            <v>6.24</v>
          </cell>
          <cell r="L353">
            <v>121.29</v>
          </cell>
          <cell r="M353" t="str">
            <v>UF</v>
          </cell>
          <cell r="N353" t="str">
            <v>RFL</v>
          </cell>
          <cell r="O353" t="str">
            <v>Renta Fija Local</v>
          </cell>
          <cell r="P353" t="str">
            <v>AA ; AA+</v>
          </cell>
          <cell r="Q353" t="str">
            <v>Largo</v>
          </cell>
          <cell r="R353" t="str">
            <v>Corporativo Bajo Riesgo Largo</v>
          </cell>
          <cell r="S353">
            <v>2.65</v>
          </cell>
          <cell r="T353" t="str">
            <v>AA</v>
          </cell>
          <cell r="U353" t="str">
            <v>3</v>
          </cell>
          <cell r="V353" t="str">
            <v>Bajo Riesgo</v>
          </cell>
          <cell r="W353" t="str">
            <v>Corporativo</v>
          </cell>
          <cell r="X353" t="str">
            <v>Bajo Riesgo Largo UF</v>
          </cell>
          <cell r="Y353" t="str">
            <v>Corporativo Bajo Riesgo Largo</v>
          </cell>
          <cell r="Z353" t="str">
            <v>Largo UF</v>
          </cell>
          <cell r="AA353" t="str">
            <v>Corporativo Largo</v>
          </cell>
          <cell r="AB353" t="str">
            <v>Corporativo UF</v>
          </cell>
          <cell r="AC353" t="str">
            <v>Instrumentos de Deuda</v>
          </cell>
          <cell r="AD353" t="str">
            <v>Financieras</v>
          </cell>
          <cell r="AE353" t="str">
            <v>Bono Subordinado Banco Desarrollo Serie F1</v>
          </cell>
          <cell r="AF353" t="str">
            <v>Scotiabank</v>
          </cell>
        </row>
        <row r="354">
          <cell r="C354" t="str">
            <v>BCENC-J</v>
          </cell>
          <cell r="D354" t="str">
            <v>CENCOSUD</v>
          </cell>
          <cell r="E354">
            <v>773020625</v>
          </cell>
          <cell r="F354">
            <v>25000</v>
          </cell>
          <cell r="G354">
            <v>1.8433000000000001E-2</v>
          </cell>
          <cell r="H354">
            <v>3.09</v>
          </cell>
          <cell r="I354" t="str">
            <v>2029-10-15</v>
          </cell>
          <cell r="J354">
            <v>4708</v>
          </cell>
          <cell r="K354">
            <v>6.38</v>
          </cell>
          <cell r="L354">
            <v>116.86</v>
          </cell>
          <cell r="M354" t="str">
            <v>UF</v>
          </cell>
          <cell r="N354" t="str">
            <v>RFL</v>
          </cell>
          <cell r="O354" t="str">
            <v>Renta Fija Local</v>
          </cell>
          <cell r="P354" t="str">
            <v>AA- ; AA-</v>
          </cell>
          <cell r="Q354" t="str">
            <v>Largo</v>
          </cell>
          <cell r="R354" t="str">
            <v>Corporativo Bajo Riesgo Largo</v>
          </cell>
          <cell r="S354">
            <v>3.09</v>
          </cell>
          <cell r="T354" t="str">
            <v>AA-</v>
          </cell>
          <cell r="U354" t="str">
            <v>4</v>
          </cell>
          <cell r="V354" t="str">
            <v>Bajo Riesgo</v>
          </cell>
          <cell r="W354" t="str">
            <v>Corporativo</v>
          </cell>
          <cell r="X354" t="str">
            <v>Bajo Riesgo Largo UF</v>
          </cell>
          <cell r="Y354" t="str">
            <v>Corporativo Bajo Riesgo Largo</v>
          </cell>
          <cell r="Z354" t="str">
            <v>Largo UF</v>
          </cell>
          <cell r="AA354" t="str">
            <v>Corporativo Largo</v>
          </cell>
          <cell r="AB354" t="str">
            <v>Corporativo UF</v>
          </cell>
          <cell r="AC354" t="str">
            <v>Instrumentos de Deuda</v>
          </cell>
          <cell r="AD354" t="str">
            <v>Consumo</v>
          </cell>
          <cell r="AE354" t="str">
            <v>Bono Cencosud Serie J</v>
          </cell>
          <cell r="AF354" t="str">
            <v>Cencosud S.A.</v>
          </cell>
        </row>
        <row r="355">
          <cell r="C355" t="str">
            <v>BTU0300124</v>
          </cell>
          <cell r="D355" t="str">
            <v>BTU</v>
          </cell>
          <cell r="E355">
            <v>2894109458</v>
          </cell>
          <cell r="F355">
            <v>99500</v>
          </cell>
          <cell r="G355">
            <v>6.9013000000000005E-2</v>
          </cell>
          <cell r="H355">
            <v>1.6</v>
          </cell>
          <cell r="I355" t="str">
            <v>2024-01-01</v>
          </cell>
          <cell r="J355">
            <v>2594</v>
          </cell>
          <cell r="K355">
            <v>6.42</v>
          </cell>
          <cell r="L355">
            <v>109.28</v>
          </cell>
          <cell r="M355" t="str">
            <v>UF</v>
          </cell>
          <cell r="N355" t="str">
            <v>RFL</v>
          </cell>
          <cell r="O355" t="str">
            <v>Renta Fija Local</v>
          </cell>
          <cell r="P355" t="str">
            <v>NA</v>
          </cell>
          <cell r="Q355" t="str">
            <v>Largo</v>
          </cell>
          <cell r="R355" t="str">
            <v>Gobierno UF Largo</v>
          </cell>
          <cell r="S355">
            <v>1.6</v>
          </cell>
          <cell r="T355" t="str">
            <v>Gob</v>
          </cell>
          <cell r="U355" t="str">
            <v>0</v>
          </cell>
          <cell r="V355" t="str">
            <v>Gobierno</v>
          </cell>
          <cell r="W355" t="str">
            <v>Gobierno</v>
          </cell>
          <cell r="X355" t="str">
            <v>Gobierno Largo UF</v>
          </cell>
          <cell r="Y355" t="str">
            <v>Gobierno Largo</v>
          </cell>
          <cell r="Z355" t="str">
            <v>Largo UF</v>
          </cell>
          <cell r="AA355" t="str">
            <v>Gobierno</v>
          </cell>
          <cell r="AB355" t="str">
            <v>Gobierno UF</v>
          </cell>
          <cell r="AC355" t="str">
            <v>Instrumentos de Deuda</v>
          </cell>
          <cell r="AD355" t="str">
            <v>Gobierno</v>
          </cell>
          <cell r="AE355" t="str">
            <v>Bono Tesoreria En Uf</v>
          </cell>
          <cell r="AF355" t="str">
            <v>Tesorería General de la República</v>
          </cell>
        </row>
        <row r="356">
          <cell r="C356" t="str">
            <v>USECJ11206</v>
          </cell>
          <cell r="D356" t="str">
            <v>BBSECURITY</v>
          </cell>
          <cell r="E356">
            <v>351578883</v>
          </cell>
          <cell r="F356">
            <v>13000</v>
          </cell>
          <cell r="G356">
            <v>8.3829999999999998E-3</v>
          </cell>
          <cell r="H356">
            <v>2.8</v>
          </cell>
          <cell r="I356" t="str">
            <v>2031-12-01</v>
          </cell>
          <cell r="J356">
            <v>5485</v>
          </cell>
          <cell r="K356">
            <v>7.15</v>
          </cell>
          <cell r="L356">
            <v>101.38</v>
          </cell>
          <cell r="M356" t="str">
            <v>UF</v>
          </cell>
          <cell r="N356" t="str">
            <v>RFL</v>
          </cell>
          <cell r="O356" t="str">
            <v>Renta Fija Local</v>
          </cell>
          <cell r="P356" t="str">
            <v>A+ ; A</v>
          </cell>
          <cell r="Q356" t="str">
            <v>Largo</v>
          </cell>
          <cell r="R356" t="str">
            <v>Corporativo Alto Riesgo Largo</v>
          </cell>
          <cell r="S356">
            <v>2.8</v>
          </cell>
          <cell r="T356" t="str">
            <v>A</v>
          </cell>
          <cell r="U356" t="str">
            <v>6</v>
          </cell>
          <cell r="V356" t="str">
            <v>Alto Riesgo</v>
          </cell>
          <cell r="W356" t="str">
            <v>Corporativo</v>
          </cell>
          <cell r="X356" t="str">
            <v>Alto Riesgo Largo UF</v>
          </cell>
          <cell r="Y356" t="str">
            <v>Corporativo Alto Riesgo Largo</v>
          </cell>
          <cell r="Z356" t="str">
            <v>Largo UF</v>
          </cell>
          <cell r="AA356" t="str">
            <v>Corporativo Largo</v>
          </cell>
          <cell r="AB356" t="str">
            <v>Corporativo UF</v>
          </cell>
          <cell r="AC356" t="str">
            <v>Instrumentos de Deuda</v>
          </cell>
          <cell r="AD356" t="str">
            <v>Financieras</v>
          </cell>
          <cell r="AE356" t="str">
            <v>Bono Subordinado Banco Security Serie J1</v>
          </cell>
          <cell r="AF356" t="str">
            <v>Banco Security</v>
          </cell>
        </row>
        <row r="357">
          <cell r="C357" t="str">
            <v>BTP0450326</v>
          </cell>
          <cell r="D357" t="str">
            <v>BTP</v>
          </cell>
          <cell r="E357">
            <v>2514545725</v>
          </cell>
          <cell r="F357">
            <v>2500000000</v>
          </cell>
          <cell r="G357">
            <v>5.9962000000000001E-2</v>
          </cell>
          <cell r="H357">
            <v>4.6100000000000003</v>
          </cell>
          <cell r="I357" t="str">
            <v>2026-03-01</v>
          </cell>
          <cell r="J357">
            <v>3384</v>
          </cell>
          <cell r="K357">
            <v>7.6</v>
          </cell>
          <cell r="L357">
            <v>99.57</v>
          </cell>
          <cell r="M357" t="str">
            <v>$</v>
          </cell>
          <cell r="N357" t="str">
            <v>RFL</v>
          </cell>
          <cell r="O357" t="str">
            <v>Renta Fija Local</v>
          </cell>
          <cell r="P357" t="str">
            <v>NA</v>
          </cell>
          <cell r="Q357" t="str">
            <v>Largo</v>
          </cell>
          <cell r="R357" t="str">
            <v>Gobierno $ Largo</v>
          </cell>
          <cell r="S357">
            <v>1.61</v>
          </cell>
          <cell r="T357" t="str">
            <v>Gob</v>
          </cell>
          <cell r="U357" t="str">
            <v>0</v>
          </cell>
          <cell r="V357" t="str">
            <v>Gobierno</v>
          </cell>
          <cell r="W357" t="str">
            <v>Gobierno</v>
          </cell>
          <cell r="X357" t="str">
            <v>Gobierno Largo $</v>
          </cell>
          <cell r="Y357" t="str">
            <v>Gobierno Largo</v>
          </cell>
          <cell r="Z357" t="str">
            <v>Largo $</v>
          </cell>
          <cell r="AA357" t="str">
            <v>Gobierno</v>
          </cell>
          <cell r="AB357" t="str">
            <v>Gobierno $</v>
          </cell>
          <cell r="AC357" t="str">
            <v>Instrumentos de Deuda</v>
          </cell>
          <cell r="AD357" t="str">
            <v>Gobierno</v>
          </cell>
          <cell r="AE357" t="str">
            <v>Bono Tesoreria En Pesos</v>
          </cell>
          <cell r="AF357" t="str">
            <v>Tesorería General de la República</v>
          </cell>
        </row>
        <row r="358">
          <cell r="C358" t="str">
            <v>BTU0150326</v>
          </cell>
          <cell r="D358" t="str">
            <v>BTU</v>
          </cell>
          <cell r="E358">
            <v>5425203109</v>
          </cell>
          <cell r="F358">
            <v>209000</v>
          </cell>
          <cell r="G358">
            <v>0.12937100000000001</v>
          </cell>
          <cell r="H358">
            <v>1.7</v>
          </cell>
          <cell r="I358" t="str">
            <v>2026-03-01</v>
          </cell>
          <cell r="J358">
            <v>3384</v>
          </cell>
          <cell r="K358">
            <v>8.65</v>
          </cell>
          <cell r="L358">
            <v>98.36</v>
          </cell>
          <cell r="M358" t="str">
            <v>UF</v>
          </cell>
          <cell r="N358" t="str">
            <v>RFL</v>
          </cell>
          <cell r="O358" t="str">
            <v>Renta Fija Local</v>
          </cell>
          <cell r="P358" t="str">
            <v>NA</v>
          </cell>
          <cell r="Q358" t="str">
            <v>Largo</v>
          </cell>
          <cell r="R358" t="str">
            <v>Gobierno UF Largo</v>
          </cell>
          <cell r="S358">
            <v>1.7</v>
          </cell>
          <cell r="T358" t="str">
            <v>Gob</v>
          </cell>
          <cell r="U358" t="str">
            <v>0</v>
          </cell>
          <cell r="V358" t="str">
            <v>Gobierno</v>
          </cell>
          <cell r="W358" t="str">
            <v>Gobierno</v>
          </cell>
          <cell r="X358" t="str">
            <v>Gobierno Largo UF</v>
          </cell>
          <cell r="Y358" t="str">
            <v>Gobierno Largo</v>
          </cell>
          <cell r="Z358" t="str">
            <v>Largo UF</v>
          </cell>
          <cell r="AA358" t="str">
            <v>Gobierno</v>
          </cell>
          <cell r="AB358" t="str">
            <v>Gobierno UF</v>
          </cell>
          <cell r="AC358" t="str">
            <v>Instrumentos de Deuda</v>
          </cell>
          <cell r="AD358" t="str">
            <v>Financieras</v>
          </cell>
          <cell r="AE358" t="str">
            <v>Bono Tesoreria En Uf</v>
          </cell>
          <cell r="AF358" t="str">
            <v>Tesorería General de la República</v>
          </cell>
        </row>
        <row r="359">
          <cell r="C359" t="str">
            <v>BITA-V1212</v>
          </cell>
          <cell r="D359" t="str">
            <v>BBITAU</v>
          </cell>
          <cell r="E359">
            <v>293445780</v>
          </cell>
          <cell r="F359">
            <v>10000</v>
          </cell>
          <cell r="G359">
            <v>6.9969999999999997E-3</v>
          </cell>
          <cell r="H359">
            <v>2.7</v>
          </cell>
          <cell r="I359" t="str">
            <v>2027-12-01</v>
          </cell>
          <cell r="J359">
            <v>4024</v>
          </cell>
          <cell r="K359">
            <v>9.1</v>
          </cell>
          <cell r="L359">
            <v>109.61</v>
          </cell>
          <cell r="M359" t="str">
            <v>UF</v>
          </cell>
          <cell r="N359" t="str">
            <v>RFL</v>
          </cell>
          <cell r="O359" t="str">
            <v>Renta Fija Local</v>
          </cell>
          <cell r="P359" t="str">
            <v>AA ; AA</v>
          </cell>
          <cell r="Q359" t="str">
            <v>Largo</v>
          </cell>
          <cell r="R359" t="str">
            <v>Corporativo Bajo Riesgo Largo</v>
          </cell>
          <cell r="S359">
            <v>2.7</v>
          </cell>
          <cell r="T359" t="str">
            <v>AA</v>
          </cell>
          <cell r="U359" t="str">
            <v>3</v>
          </cell>
          <cell r="V359" t="str">
            <v>Bajo Riesgo</v>
          </cell>
          <cell r="W359" t="str">
            <v>Corporativo</v>
          </cell>
          <cell r="X359" t="str">
            <v>Bajo Riesgo Largo UF</v>
          </cell>
          <cell r="Y359" t="str">
            <v>Corporativo Bajo Riesgo Largo</v>
          </cell>
          <cell r="Z359" t="str">
            <v>Largo UF</v>
          </cell>
          <cell r="AA359" t="str">
            <v>Corporativo Largo</v>
          </cell>
          <cell r="AB359" t="str">
            <v>Corporativo UF</v>
          </cell>
          <cell r="AC359" t="str">
            <v>Instrumentos de Deuda</v>
          </cell>
          <cell r="AD359" t="str">
            <v>Financieras</v>
          </cell>
          <cell r="AE359" t="str">
            <v>Bono Banco Itau Serie V</v>
          </cell>
          <cell r="AF359" t="str">
            <v>Itau/Corpbanca</v>
          </cell>
        </row>
        <row r="360">
          <cell r="C360" t="str">
            <v>BCOOD20514</v>
          </cell>
          <cell r="D360" t="str">
            <v>COOPEUCH</v>
          </cell>
          <cell r="E360">
            <v>580672679</v>
          </cell>
          <cell r="F360">
            <v>23000</v>
          </cell>
          <cell r="G360">
            <v>1.3846000000000001E-2</v>
          </cell>
          <cell r="H360">
            <v>3.08</v>
          </cell>
          <cell r="I360" t="str">
            <v>2039-05-05</v>
          </cell>
          <cell r="J360">
            <v>8197</v>
          </cell>
          <cell r="K360">
            <v>9.1300000000000008</v>
          </cell>
          <cell r="L360">
            <v>106.45</v>
          </cell>
          <cell r="M360" t="str">
            <v>UF</v>
          </cell>
          <cell r="N360" t="str">
            <v>RFL</v>
          </cell>
          <cell r="O360" t="str">
            <v>Renta Fija Local</v>
          </cell>
          <cell r="P360" t="str">
            <v>AA- ; AA-</v>
          </cell>
          <cell r="Q360" t="str">
            <v>Largo</v>
          </cell>
          <cell r="R360" t="str">
            <v>Corporativo Bajo Riesgo Largo</v>
          </cell>
          <cell r="S360">
            <v>3.08</v>
          </cell>
          <cell r="T360" t="str">
            <v>AA-</v>
          </cell>
          <cell r="U360" t="str">
            <v>4</v>
          </cell>
          <cell r="V360" t="str">
            <v>Bajo Riesgo</v>
          </cell>
          <cell r="W360" t="str">
            <v>Corporativo</v>
          </cell>
          <cell r="X360" t="str">
            <v>Bajo Riesgo Largo UF</v>
          </cell>
          <cell r="Y360" t="str">
            <v>Corporativo Bajo Riesgo Largo</v>
          </cell>
          <cell r="Z360" t="str">
            <v>Largo UF</v>
          </cell>
          <cell r="AA360" t="str">
            <v>Corporativo Largo</v>
          </cell>
          <cell r="AB360" t="str">
            <v>Corporativo UF</v>
          </cell>
          <cell r="AC360" t="str">
            <v>Instrumentos de Deuda</v>
          </cell>
          <cell r="AD360" t="str">
            <v>Financieras</v>
          </cell>
          <cell r="AE360" t="str">
            <v>Bono Coopeuch Serie D2</v>
          </cell>
          <cell r="AF360" t="str">
            <v>COOPEUCH</v>
          </cell>
        </row>
        <row r="361">
          <cell r="C361" t="str">
            <v>BCENC-O</v>
          </cell>
          <cell r="D361" t="str">
            <v>CENCOSUD</v>
          </cell>
          <cell r="E361">
            <v>418714414</v>
          </cell>
          <cell r="F361">
            <v>400000000</v>
          </cell>
          <cell r="G361">
            <v>9.9839999999999998E-3</v>
          </cell>
          <cell r="H361">
            <v>6.84</v>
          </cell>
          <cell r="I361" t="str">
            <v>2031-06-01</v>
          </cell>
          <cell r="J361">
            <v>5302</v>
          </cell>
          <cell r="K361">
            <v>9.15</v>
          </cell>
          <cell r="L361">
            <v>101.34</v>
          </cell>
          <cell r="M361" t="str">
            <v>$</v>
          </cell>
          <cell r="N361" t="str">
            <v>RFL</v>
          </cell>
          <cell r="O361" t="str">
            <v>Renta Fija Local</v>
          </cell>
          <cell r="P361" t="str">
            <v>AA- ; AA-</v>
          </cell>
          <cell r="Q361" t="str">
            <v>Largo</v>
          </cell>
          <cell r="R361" t="str">
            <v>Corporativo Bajo Riesgo Largo</v>
          </cell>
          <cell r="S361">
            <v>3.84</v>
          </cell>
          <cell r="T361" t="str">
            <v>AA-</v>
          </cell>
          <cell r="U361" t="str">
            <v>4</v>
          </cell>
          <cell r="V361" t="str">
            <v>Bajo Riesgo</v>
          </cell>
          <cell r="W361" t="str">
            <v>Corporativo</v>
          </cell>
          <cell r="X361" t="str">
            <v>Bajo Riesgo Largo $</v>
          </cell>
          <cell r="Y361" t="str">
            <v>Corporativo Bajo Riesgo Largo</v>
          </cell>
          <cell r="Z361" t="str">
            <v>Largo $</v>
          </cell>
          <cell r="AA361" t="str">
            <v>Corporativo Largo</v>
          </cell>
          <cell r="AB361" t="str">
            <v>Corporativo $</v>
          </cell>
          <cell r="AC361" t="str">
            <v>Instrumentos de Deuda</v>
          </cell>
          <cell r="AD361" t="str">
            <v>Consumo</v>
          </cell>
          <cell r="AE361" t="str">
            <v>Bono Cencosud Serie O</v>
          </cell>
          <cell r="AF361" t="str">
            <v>Cencosud S.A.</v>
          </cell>
        </row>
        <row r="362">
          <cell r="C362" t="str">
            <v>UCORBF0710</v>
          </cell>
          <cell r="D362" t="str">
            <v>BBCORPBANC</v>
          </cell>
          <cell r="E362">
            <v>182783244</v>
          </cell>
          <cell r="F362">
            <v>6000</v>
          </cell>
          <cell r="G362">
            <v>4.3579999999999999E-3</v>
          </cell>
          <cell r="H362">
            <v>2.88</v>
          </cell>
          <cell r="I362" t="str">
            <v>2032-07-01</v>
          </cell>
          <cell r="J362">
            <v>5698</v>
          </cell>
          <cell r="K362">
            <v>11.88</v>
          </cell>
          <cell r="L362">
            <v>114.02</v>
          </cell>
          <cell r="M362" t="str">
            <v>UF</v>
          </cell>
          <cell r="N362" t="str">
            <v>RFL</v>
          </cell>
          <cell r="O362" t="str">
            <v>Renta Fija Local</v>
          </cell>
          <cell r="P362" t="str">
            <v>AA- ; AA-</v>
          </cell>
          <cell r="Q362" t="str">
            <v>Largo</v>
          </cell>
          <cell r="R362" t="str">
            <v>Corporativo Bajo Riesgo Largo</v>
          </cell>
          <cell r="S362">
            <v>2.88</v>
          </cell>
          <cell r="T362" t="str">
            <v>AA-</v>
          </cell>
          <cell r="U362" t="str">
            <v>4</v>
          </cell>
          <cell r="V362" t="str">
            <v>Bajo Riesgo</v>
          </cell>
          <cell r="W362" t="str">
            <v>Corporativo</v>
          </cell>
          <cell r="X362" t="str">
            <v>Bajo Riesgo Largo UF</v>
          </cell>
          <cell r="Y362" t="str">
            <v>Corporativo Bajo Riesgo Largo</v>
          </cell>
          <cell r="Z362" t="str">
            <v>Largo UF</v>
          </cell>
          <cell r="AA362" t="str">
            <v>Corporativo Largo</v>
          </cell>
          <cell r="AB362" t="str">
            <v>Corporativo UF</v>
          </cell>
          <cell r="AC362" t="str">
            <v>Instrumentos de Deuda</v>
          </cell>
          <cell r="AD362" t="str">
            <v>Financieras</v>
          </cell>
          <cell r="AE362" t="str">
            <v>Bono Subordinadocorpbanca Serie Bf</v>
          </cell>
          <cell r="AF362" t="str">
            <v>Itau/Corpbanca</v>
          </cell>
        </row>
        <row r="363">
          <cell r="C363" t="str">
            <v>BTP0500335</v>
          </cell>
          <cell r="D363" t="str">
            <v>BTP</v>
          </cell>
          <cell r="E363">
            <v>2865163610</v>
          </cell>
          <cell r="F363">
            <v>2730000000</v>
          </cell>
          <cell r="G363">
            <v>6.8322999999999995E-2</v>
          </cell>
          <cell r="H363">
            <v>4.74</v>
          </cell>
          <cell r="I363" t="str">
            <v>2035-03-01</v>
          </cell>
          <cell r="J363">
            <v>6671</v>
          </cell>
          <cell r="K363">
            <v>12.18</v>
          </cell>
          <cell r="L363">
            <v>103.77</v>
          </cell>
          <cell r="M363" t="str">
            <v>$</v>
          </cell>
          <cell r="N363" t="str">
            <v>RFL</v>
          </cell>
          <cell r="O363" t="str">
            <v>Renta Fija Local</v>
          </cell>
          <cell r="P363"/>
          <cell r="Q363" t="str">
            <v>Largo</v>
          </cell>
          <cell r="R363" t="str">
            <v>Gobierno $ Largo</v>
          </cell>
          <cell r="S363">
            <v>1.74</v>
          </cell>
          <cell r="T363" t="str">
            <v>Gob</v>
          </cell>
          <cell r="U363" t="str">
            <v>0</v>
          </cell>
          <cell r="V363" t="str">
            <v>Gobierno</v>
          </cell>
          <cell r="W363" t="str">
            <v>Gobierno</v>
          </cell>
          <cell r="X363" t="str">
            <v>Gobierno Largo $</v>
          </cell>
          <cell r="Y363" t="str">
            <v>Gobierno Largo</v>
          </cell>
          <cell r="Z363" t="str">
            <v>Largo $</v>
          </cell>
          <cell r="AA363" t="str">
            <v>Gobierno</v>
          </cell>
          <cell r="AB363" t="str">
            <v>Gobierno $</v>
          </cell>
          <cell r="AC363" t="str">
            <v>Instrumentos de Deuda</v>
          </cell>
          <cell r="AD363" t="str">
            <v>Gobierno</v>
          </cell>
          <cell r="AE363" t="str">
            <v>Bono Tesoreria En Pesos</v>
          </cell>
          <cell r="AF363" t="str">
            <v>Tesorería General de la República</v>
          </cell>
        </row>
        <row r="364">
          <cell r="C364" t="str">
            <v>UCOR-V0808</v>
          </cell>
          <cell r="D364" t="str">
            <v>BBCORPBANC</v>
          </cell>
          <cell r="E364">
            <v>653432528</v>
          </cell>
          <cell r="F364">
            <v>20000</v>
          </cell>
          <cell r="G364">
            <v>1.5580999999999999E-2</v>
          </cell>
          <cell r="H364">
            <v>2.89</v>
          </cell>
          <cell r="I364" t="str">
            <v>2033-08-01</v>
          </cell>
          <cell r="J364">
            <v>6094</v>
          </cell>
          <cell r="K364">
            <v>12.23</v>
          </cell>
          <cell r="L364">
            <v>122.47</v>
          </cell>
          <cell r="M364" t="str">
            <v>UF</v>
          </cell>
          <cell r="N364" t="str">
            <v>RFL</v>
          </cell>
          <cell r="O364" t="str">
            <v>Renta Fija Local</v>
          </cell>
          <cell r="P364" t="str">
            <v>AA- ; AA-</v>
          </cell>
          <cell r="Q364" t="str">
            <v>Largo</v>
          </cell>
          <cell r="R364" t="str">
            <v>Corporativo Bajo Riesgo Largo</v>
          </cell>
          <cell r="S364">
            <v>2.89</v>
          </cell>
          <cell r="T364" t="str">
            <v>AA-</v>
          </cell>
          <cell r="U364" t="str">
            <v>4</v>
          </cell>
          <cell r="V364" t="str">
            <v>Bajo Riesgo</v>
          </cell>
          <cell r="W364" t="str">
            <v>Corporativo</v>
          </cell>
          <cell r="X364" t="str">
            <v>Bajo Riesgo Largo UF</v>
          </cell>
          <cell r="Y364" t="str">
            <v>Corporativo Bajo Riesgo Largo</v>
          </cell>
          <cell r="Z364" t="str">
            <v>Largo UF</v>
          </cell>
          <cell r="AA364" t="str">
            <v>Corporativo Largo</v>
          </cell>
          <cell r="AB364" t="str">
            <v>Corporativo UF</v>
          </cell>
          <cell r="AC364" t="str">
            <v>Instrumentos de Deuda</v>
          </cell>
          <cell r="AD364" t="str">
            <v>Financieras</v>
          </cell>
          <cell r="AE364" t="str">
            <v>Bono Subordinadocorpbanca Serie V</v>
          </cell>
          <cell r="AF364" t="str">
            <v>Itau/Corpbanca</v>
          </cell>
        </row>
        <row r="365">
          <cell r="C365" t="str">
            <v>BCOOE20315</v>
          </cell>
          <cell r="D365" t="str">
            <v>COOPEUCH</v>
          </cell>
          <cell r="E365">
            <v>281537412</v>
          </cell>
          <cell r="F365">
            <v>10000</v>
          </cell>
          <cell r="G365">
            <v>6.7130000000000002E-3</v>
          </cell>
          <cell r="H365">
            <v>2.99</v>
          </cell>
          <cell r="I365" t="str">
            <v>2040-03-01</v>
          </cell>
          <cell r="J365">
            <v>8498</v>
          </cell>
          <cell r="K365">
            <v>12.33</v>
          </cell>
          <cell r="L365">
            <v>106.21</v>
          </cell>
          <cell r="M365" t="str">
            <v>UF</v>
          </cell>
          <cell r="N365" t="str">
            <v>RFL</v>
          </cell>
          <cell r="O365" t="str">
            <v>Renta Fija Local</v>
          </cell>
          <cell r="P365" t="str">
            <v>AA- ; AA-</v>
          </cell>
          <cell r="Q365" t="str">
            <v>Largo</v>
          </cell>
          <cell r="R365" t="str">
            <v>Corporativo Bajo Riesgo Largo</v>
          </cell>
          <cell r="S365">
            <v>2.99</v>
          </cell>
          <cell r="T365" t="str">
            <v>AA-</v>
          </cell>
          <cell r="U365" t="str">
            <v>4</v>
          </cell>
          <cell r="V365" t="str">
            <v>Bajo Riesgo</v>
          </cell>
          <cell r="W365" t="str">
            <v>Corporativo</v>
          </cell>
          <cell r="X365" t="str">
            <v>Bajo Riesgo Largo UF</v>
          </cell>
          <cell r="Y365" t="str">
            <v>Corporativo Bajo Riesgo Largo</v>
          </cell>
          <cell r="Z365" t="str">
            <v>Largo UF</v>
          </cell>
          <cell r="AA365" t="str">
            <v>Corporativo Largo</v>
          </cell>
          <cell r="AB365" t="str">
            <v>Corporativo UF</v>
          </cell>
          <cell r="AC365" t="str">
            <v>Instrumentos de Deuda</v>
          </cell>
          <cell r="AD365" t="str">
            <v>Financieras</v>
          </cell>
          <cell r="AE365" t="str">
            <v>Bono Coopeuch Serie E2</v>
          </cell>
          <cell r="AF365" t="str">
            <v>COOPEUCH</v>
          </cell>
        </row>
        <row r="366">
          <cell r="C366" t="str">
            <v>UCORBI0710</v>
          </cell>
          <cell r="D366" t="str">
            <v>BBCORPBANC</v>
          </cell>
          <cell r="E366">
            <v>626646002</v>
          </cell>
          <cell r="F366">
            <v>20500</v>
          </cell>
          <cell r="G366">
            <v>1.4943E-2</v>
          </cell>
          <cell r="H366">
            <v>2.99</v>
          </cell>
          <cell r="I366" t="str">
            <v>2035-07-01</v>
          </cell>
          <cell r="J366">
            <v>6793</v>
          </cell>
          <cell r="K366">
            <v>13.51</v>
          </cell>
          <cell r="L366">
            <v>114.41</v>
          </cell>
          <cell r="M366" t="str">
            <v>UF</v>
          </cell>
          <cell r="N366" t="str">
            <v>RFL</v>
          </cell>
          <cell r="O366" t="str">
            <v>Renta Fija Local</v>
          </cell>
          <cell r="P366" t="str">
            <v>AA- ; AA-</v>
          </cell>
          <cell r="Q366" t="str">
            <v>Largo</v>
          </cell>
          <cell r="R366" t="str">
            <v>Corporativo Bajo Riesgo Largo</v>
          </cell>
          <cell r="S366">
            <v>2.99</v>
          </cell>
          <cell r="T366" t="str">
            <v>AA-</v>
          </cell>
          <cell r="U366" t="str">
            <v>4</v>
          </cell>
          <cell r="V366" t="str">
            <v>Bajo Riesgo</v>
          </cell>
          <cell r="W366" t="str">
            <v>Corporativo</v>
          </cell>
          <cell r="X366" t="str">
            <v>Bajo Riesgo Largo UF</v>
          </cell>
          <cell r="Y366" t="str">
            <v>Corporativo Bajo Riesgo Largo</v>
          </cell>
          <cell r="Z366" t="str">
            <v>Largo UF</v>
          </cell>
          <cell r="AA366" t="str">
            <v>Corporativo Largo</v>
          </cell>
          <cell r="AB366" t="str">
            <v>Corporativo UF</v>
          </cell>
          <cell r="AC366" t="str">
            <v>Instrumentos de Deuda</v>
          </cell>
          <cell r="AD366" t="str">
            <v>Financieras</v>
          </cell>
          <cell r="AE366" t="str">
            <v>Bono Subordinadocorpbanca Serie Bi</v>
          </cell>
          <cell r="AF366" t="str">
            <v>Itau/Corpbanca</v>
          </cell>
        </row>
        <row r="367">
          <cell r="C367" t="str">
            <v>BTP0600143</v>
          </cell>
          <cell r="D367" t="str">
            <v>BTP</v>
          </cell>
          <cell r="E367">
            <v>119860783</v>
          </cell>
          <cell r="F367">
            <v>100000000</v>
          </cell>
          <cell r="G367">
            <v>2.8579999999999999E-3</v>
          </cell>
          <cell r="H367">
            <v>4.87</v>
          </cell>
          <cell r="I367" t="str">
            <v>2043-01-01</v>
          </cell>
          <cell r="J367">
            <v>9534</v>
          </cell>
          <cell r="K367">
            <v>14.18</v>
          </cell>
          <cell r="L367">
            <v>117.08</v>
          </cell>
          <cell r="M367" t="str">
            <v>$</v>
          </cell>
          <cell r="N367" t="str">
            <v>RFL</v>
          </cell>
          <cell r="O367" t="str">
            <v>Renta Fija Local</v>
          </cell>
          <cell r="P367"/>
          <cell r="Q367" t="str">
            <v>Largo</v>
          </cell>
          <cell r="R367" t="str">
            <v>Gobierno $ Largo</v>
          </cell>
          <cell r="S367">
            <v>1.87</v>
          </cell>
          <cell r="T367" t="str">
            <v>Gob</v>
          </cell>
          <cell r="U367" t="str">
            <v>0</v>
          </cell>
          <cell r="V367" t="str">
            <v>Gobierno</v>
          </cell>
          <cell r="W367" t="str">
            <v>Gobierno</v>
          </cell>
          <cell r="X367" t="str">
            <v>Gobierno Largo $</v>
          </cell>
          <cell r="Y367" t="str">
            <v>Gobierno Largo</v>
          </cell>
          <cell r="Z367" t="str">
            <v>Largo $</v>
          </cell>
          <cell r="AA367" t="str">
            <v>Gobierno</v>
          </cell>
          <cell r="AB367" t="str">
            <v>Gobierno $</v>
          </cell>
          <cell r="AC367" t="str">
            <v>Instrumentos de Deuda</v>
          </cell>
          <cell r="AD367" t="str">
            <v>Gobierno</v>
          </cell>
          <cell r="AE367" t="str">
            <v>Bono Tesoreria En Pesos</v>
          </cell>
          <cell r="AF367" t="str">
            <v>Tesorería General de la República</v>
          </cell>
        </row>
        <row r="368">
          <cell r="C368" t="str">
            <v>BFAL-E0615</v>
          </cell>
          <cell r="D368" t="str">
            <v>BBFALABELL</v>
          </cell>
          <cell r="E368">
            <v>56135223</v>
          </cell>
          <cell r="F368">
            <v>2000</v>
          </cell>
          <cell r="G368">
            <v>1.338E-3</v>
          </cell>
          <cell r="H368">
            <v>2.92</v>
          </cell>
          <cell r="I368" t="str">
            <v>2040-06-30</v>
          </cell>
          <cell r="J368">
            <v>8619</v>
          </cell>
          <cell r="K368">
            <v>14.28</v>
          </cell>
          <cell r="L368">
            <v>105.34</v>
          </cell>
          <cell r="M368" t="str">
            <v>UF</v>
          </cell>
          <cell r="N368" t="str">
            <v>RFL</v>
          </cell>
          <cell r="O368" t="str">
            <v>Renta Fija Local</v>
          </cell>
          <cell r="P368" t="str">
            <v>AA ; AA</v>
          </cell>
          <cell r="Q368" t="str">
            <v>Largo</v>
          </cell>
          <cell r="R368" t="str">
            <v>Corporativo Bajo Riesgo Largo</v>
          </cell>
          <cell r="S368">
            <v>2.92</v>
          </cell>
          <cell r="T368" t="str">
            <v>AA</v>
          </cell>
          <cell r="U368" t="str">
            <v>3</v>
          </cell>
          <cell r="V368" t="str">
            <v>Bajo Riesgo</v>
          </cell>
          <cell r="W368" t="str">
            <v>Corporativo</v>
          </cell>
          <cell r="X368" t="str">
            <v>Bajo Riesgo Largo UF</v>
          </cell>
          <cell r="Y368" t="str">
            <v>Corporativo Bajo Riesgo Largo</v>
          </cell>
          <cell r="Z368" t="str">
            <v>Largo UF</v>
          </cell>
          <cell r="AA368" t="str">
            <v>Corporativo Largo</v>
          </cell>
          <cell r="AB368" t="str">
            <v>Corporativo UF</v>
          </cell>
          <cell r="AC368" t="str">
            <v>Instrumentos de Deuda</v>
          </cell>
          <cell r="AD368" t="str">
            <v>Financieras</v>
          </cell>
          <cell r="AE368" t="str">
            <v>Bono Banco Falabella Serie E</v>
          </cell>
          <cell r="AF368" t="str">
            <v>Banco Falabella</v>
          </cell>
        </row>
        <row r="369">
          <cell r="C369" t="str">
            <v>BTU0200335</v>
          </cell>
          <cell r="D369" t="str">
            <v>BTU</v>
          </cell>
          <cell r="E369">
            <v>1277648722</v>
          </cell>
          <cell r="F369">
            <v>47000</v>
          </cell>
          <cell r="G369">
            <v>3.0467000000000001E-2</v>
          </cell>
          <cell r="H369">
            <v>1.82</v>
          </cell>
          <cell r="I369" t="str">
            <v>2035-03-01</v>
          </cell>
          <cell r="J369">
            <v>6671</v>
          </cell>
          <cell r="K369">
            <v>15.38</v>
          </cell>
          <cell r="L369">
            <v>102.89</v>
          </cell>
          <cell r="M369" t="str">
            <v>UF</v>
          </cell>
          <cell r="N369" t="str">
            <v>RFL</v>
          </cell>
          <cell r="O369" t="str">
            <v>Renta Fija Local</v>
          </cell>
          <cell r="P369"/>
          <cell r="Q369" t="str">
            <v>Largo</v>
          </cell>
          <cell r="R369" t="str">
            <v>Gobierno UF Largo</v>
          </cell>
          <cell r="S369">
            <v>1.82</v>
          </cell>
          <cell r="T369" t="str">
            <v>Gob</v>
          </cell>
          <cell r="U369" t="str">
            <v>0</v>
          </cell>
          <cell r="V369" t="str">
            <v>Gobierno</v>
          </cell>
          <cell r="W369" t="str">
            <v>Gobierno</v>
          </cell>
          <cell r="X369" t="str">
            <v>Gobierno Largo UF</v>
          </cell>
          <cell r="Y369" t="str">
            <v>Gobierno Largo</v>
          </cell>
          <cell r="Z369" t="str">
            <v>Largo UF</v>
          </cell>
          <cell r="AA369" t="str">
            <v>Gobierno</v>
          </cell>
          <cell r="AB369" t="str">
            <v>Gobierno UF</v>
          </cell>
          <cell r="AC369" t="str">
            <v>Instrumentos de Deuda</v>
          </cell>
          <cell r="AD369" t="str">
            <v>Gobierno</v>
          </cell>
          <cell r="AE369" t="str">
            <v>Bono Tesoreria En Uf</v>
          </cell>
          <cell r="AF369" t="str">
            <v>Tesorería General de la República</v>
          </cell>
        </row>
        <row r="370">
          <cell r="C370" t="str">
            <v>BAGUA-AA</v>
          </cell>
          <cell r="D370" t="str">
            <v>AGUAS</v>
          </cell>
          <cell r="E370">
            <v>421305649</v>
          </cell>
          <cell r="F370">
            <v>15000</v>
          </cell>
          <cell r="G370">
            <v>1.0045999999999999E-2</v>
          </cell>
          <cell r="H370">
            <v>2.85</v>
          </cell>
          <cell r="I370" t="str">
            <v>2040-01-15</v>
          </cell>
          <cell r="J370">
            <v>8452</v>
          </cell>
          <cell r="K370">
            <v>16.22</v>
          </cell>
          <cell r="L370">
            <v>105.59</v>
          </cell>
          <cell r="M370" t="str">
            <v>UF</v>
          </cell>
          <cell r="N370" t="str">
            <v>RFL</v>
          </cell>
          <cell r="O370" t="str">
            <v>Renta Fija Local</v>
          </cell>
          <cell r="P370" t="str">
            <v>AA+ ; AA+</v>
          </cell>
          <cell r="Q370" t="str">
            <v>Largo</v>
          </cell>
          <cell r="R370" t="str">
            <v>Corporativo Bajo Riesgo Largo</v>
          </cell>
          <cell r="S370">
            <v>2.85</v>
          </cell>
          <cell r="T370" t="str">
            <v>AA+</v>
          </cell>
          <cell r="U370" t="str">
            <v>2</v>
          </cell>
          <cell r="V370" t="str">
            <v>Bajo Riesgo</v>
          </cell>
          <cell r="W370" t="str">
            <v>Corporativo</v>
          </cell>
          <cell r="X370" t="str">
            <v>Bajo Riesgo Largo UF</v>
          </cell>
          <cell r="Y370" t="str">
            <v>Corporativo Bajo Riesgo Largo</v>
          </cell>
          <cell r="Z370" t="str">
            <v>Largo UF</v>
          </cell>
          <cell r="AA370" t="str">
            <v>Corporativo Largo</v>
          </cell>
          <cell r="AB370" t="str">
            <v>Corporativo UF</v>
          </cell>
          <cell r="AC370" t="str">
            <v>Instrumentos de Deuda</v>
          </cell>
          <cell r="AD370" t="str">
            <v>Servicios Básicos</v>
          </cell>
          <cell r="AE370" t="str">
            <v>Bono Aguas Andinas Serie Aa</v>
          </cell>
          <cell r="AF370" t="str">
            <v>Aguas Andina S.A.</v>
          </cell>
        </row>
        <row r="371">
          <cell r="C371" t="str">
            <v>BTU0300144</v>
          </cell>
          <cell r="D371" t="str">
            <v>BTU</v>
          </cell>
          <cell r="E371">
            <v>646668150</v>
          </cell>
          <cell r="F371">
            <v>20000</v>
          </cell>
          <cell r="G371">
            <v>1.542E-2</v>
          </cell>
          <cell r="H371">
            <v>1.97</v>
          </cell>
          <cell r="I371" t="str">
            <v>2044-01-01</v>
          </cell>
          <cell r="J371">
            <v>9899</v>
          </cell>
          <cell r="K371">
            <v>19.45</v>
          </cell>
          <cell r="L371">
            <v>121.48</v>
          </cell>
          <cell r="M371" t="str">
            <v>UF</v>
          </cell>
          <cell r="N371" t="str">
            <v>RFL</v>
          </cell>
          <cell r="O371" t="str">
            <v>Renta Fija Local</v>
          </cell>
          <cell r="P371"/>
          <cell r="Q371" t="str">
            <v>Largo</v>
          </cell>
          <cell r="R371" t="str">
            <v>Gobierno UF Largo</v>
          </cell>
          <cell r="S371">
            <v>1.97</v>
          </cell>
          <cell r="T371" t="str">
            <v>Gob</v>
          </cell>
          <cell r="U371" t="str">
            <v>0</v>
          </cell>
          <cell r="V371" t="str">
            <v>Gobierno</v>
          </cell>
          <cell r="W371" t="str">
            <v>Gobierno</v>
          </cell>
          <cell r="X371" t="str">
            <v>Gobierno Largo UF</v>
          </cell>
          <cell r="Y371" t="str">
            <v>Gobierno Largo</v>
          </cell>
          <cell r="Z371" t="str">
            <v>Largo UF</v>
          </cell>
          <cell r="AA371" t="str">
            <v>Gobierno</v>
          </cell>
          <cell r="AB371" t="str">
            <v>Gobierno UF</v>
          </cell>
          <cell r="AC371" t="str">
            <v>Instrumentos de Deuda</v>
          </cell>
          <cell r="AD371" t="str">
            <v>Gobierno</v>
          </cell>
          <cell r="AE371" t="str">
            <v>Bono Tesoreria En Uf</v>
          </cell>
          <cell r="AF371" t="str">
            <v>Tesorería General de la República</v>
          </cell>
        </row>
        <row r="372">
          <cell r="C372" t="str">
            <v>PAGARE NR</v>
          </cell>
          <cell r="D372" t="str">
            <v>BCI</v>
          </cell>
          <cell r="E372">
            <v>404622840</v>
          </cell>
          <cell r="F372">
            <v>404666000</v>
          </cell>
          <cell r="G372">
            <v>1.0095E-2</v>
          </cell>
          <cell r="H372">
            <v>0.32</v>
          </cell>
          <cell r="I372" t="str">
            <v>2016-11-24</v>
          </cell>
          <cell r="J372">
            <v>0</v>
          </cell>
          <cell r="K372">
            <v>0</v>
          </cell>
          <cell r="L372">
            <v>0</v>
          </cell>
          <cell r="M372" t="str">
            <v>$</v>
          </cell>
          <cell r="N372" t="str">
            <v>RFL</v>
          </cell>
          <cell r="O372" t="str">
            <v>Renta Fija Local</v>
          </cell>
          <cell r="P372" t="str">
            <v>N-1</v>
          </cell>
          <cell r="Q372" t="str">
            <v>Corto</v>
          </cell>
          <cell r="R372" t="str">
            <v>Depósitos $</v>
          </cell>
          <cell r="S372">
            <v>0.90830999999999995</v>
          </cell>
          <cell r="T372" t="str">
            <v>N-1</v>
          </cell>
          <cell r="U372" t="str">
            <v>25</v>
          </cell>
          <cell r="V372" t="str">
            <v>Depósitos</v>
          </cell>
          <cell r="W372" t="str">
            <v>Depósitos</v>
          </cell>
          <cell r="X372" t="str">
            <v>Depósitos $</v>
          </cell>
          <cell r="Y372" t="str">
            <v>Depósitos</v>
          </cell>
          <cell r="Z372" t="str">
            <v>Corto $</v>
          </cell>
          <cell r="AA372" t="str">
            <v>Depósitos</v>
          </cell>
          <cell r="AB372" t="str">
            <v>Depósitos $</v>
          </cell>
          <cell r="AC372" t="str">
            <v>Instrumentos de Deuda</v>
          </cell>
          <cell r="AD372" t="str">
            <v>Financieras</v>
          </cell>
          <cell r="AE372" t="str">
            <v>Deposito CLP Banco Bci</v>
          </cell>
          <cell r="AF372" t="str">
            <v>BCI</v>
          </cell>
        </row>
        <row r="373">
          <cell r="C373" t="str">
            <v>PAGARE NR</v>
          </cell>
          <cell r="D373" t="str">
            <v>ESTADO</v>
          </cell>
          <cell r="E373">
            <v>99946695</v>
          </cell>
          <cell r="F373">
            <v>100000000</v>
          </cell>
          <cell r="G373">
            <v>2.493E-3</v>
          </cell>
          <cell r="H373">
            <v>0.32</v>
          </cell>
          <cell r="I373" t="str">
            <v>2016-11-28</v>
          </cell>
          <cell r="J373">
            <v>4</v>
          </cell>
          <cell r="K373">
            <v>0.01</v>
          </cell>
          <cell r="L373">
            <v>0</v>
          </cell>
          <cell r="M373" t="str">
            <v>$</v>
          </cell>
          <cell r="N373" t="str">
            <v>RFL</v>
          </cell>
          <cell r="O373" t="str">
            <v>Renta Fija Local</v>
          </cell>
          <cell r="P373" t="str">
            <v>N-1</v>
          </cell>
          <cell r="Q373" t="str">
            <v>Corto</v>
          </cell>
          <cell r="R373" t="str">
            <v>Depósitos $</v>
          </cell>
          <cell r="S373">
            <v>0.90830999999999995</v>
          </cell>
          <cell r="T373" t="str">
            <v>N-1</v>
          </cell>
          <cell r="U373" t="str">
            <v>25</v>
          </cell>
          <cell r="V373" t="str">
            <v>Depósitos</v>
          </cell>
          <cell r="W373" t="str">
            <v>Depósitos</v>
          </cell>
          <cell r="X373" t="str">
            <v>Depósitos $</v>
          </cell>
          <cell r="Y373" t="str">
            <v>Depósitos</v>
          </cell>
          <cell r="Z373" t="str">
            <v>Corto $</v>
          </cell>
          <cell r="AA373" t="str">
            <v>Depósitos</v>
          </cell>
          <cell r="AB373" t="str">
            <v>Depósitos $</v>
          </cell>
          <cell r="AC373" t="str">
            <v>Instrumentos de Deuda</v>
          </cell>
          <cell r="AD373" t="str">
            <v>Financieras</v>
          </cell>
          <cell r="AE373" t="str">
            <v>Deposito CLP Banco Estado</v>
          </cell>
          <cell r="AF373" t="str">
            <v>Banco Estado</v>
          </cell>
        </row>
        <row r="374">
          <cell r="C374" t="str">
            <v>PAGARE NR</v>
          </cell>
          <cell r="D374" t="str">
            <v>ESTADO</v>
          </cell>
          <cell r="E374">
            <v>36261957</v>
          </cell>
          <cell r="F374">
            <v>36290000</v>
          </cell>
          <cell r="G374">
            <v>9.0399999999999996E-4</v>
          </cell>
          <cell r="H374">
            <v>0.28999999999999998</v>
          </cell>
          <cell r="I374" t="str">
            <v>2016-12-01</v>
          </cell>
          <cell r="J374">
            <v>7</v>
          </cell>
          <cell r="K374">
            <v>0.02</v>
          </cell>
          <cell r="L374">
            <v>0</v>
          </cell>
          <cell r="M374" t="str">
            <v>$</v>
          </cell>
          <cell r="N374" t="str">
            <v>RFL</v>
          </cell>
          <cell r="O374" t="str">
            <v>Renta Fija Local</v>
          </cell>
          <cell r="P374" t="str">
            <v>N-1</v>
          </cell>
          <cell r="Q374" t="str">
            <v>Corto</v>
          </cell>
          <cell r="R374" t="str">
            <v>Depósitos $</v>
          </cell>
          <cell r="S374">
            <v>0.53604600000000002</v>
          </cell>
          <cell r="T374" t="str">
            <v>N-1</v>
          </cell>
          <cell r="U374" t="str">
            <v>25</v>
          </cell>
          <cell r="V374" t="str">
            <v>Depósitos</v>
          </cell>
          <cell r="W374" t="str">
            <v>Depósitos</v>
          </cell>
          <cell r="X374" t="str">
            <v>Depósitos $</v>
          </cell>
          <cell r="Y374" t="str">
            <v>Depósitos</v>
          </cell>
          <cell r="Z374" t="str">
            <v>Corto $</v>
          </cell>
          <cell r="AA374" t="str">
            <v>Depósitos</v>
          </cell>
          <cell r="AB374" t="str">
            <v>Depósitos $</v>
          </cell>
          <cell r="AC374" t="str">
            <v>Instrumentos de Deuda</v>
          </cell>
          <cell r="AD374" t="str">
            <v>Financieras</v>
          </cell>
          <cell r="AE374" t="str">
            <v>Deposito CLP Banco Estado</v>
          </cell>
          <cell r="AF374" t="str">
            <v>Banco Estado</v>
          </cell>
        </row>
        <row r="375">
          <cell r="C375" t="str">
            <v>PAGARE NR</v>
          </cell>
          <cell r="D375" t="str">
            <v>FALABELLA</v>
          </cell>
          <cell r="E375">
            <v>99920064</v>
          </cell>
          <cell r="F375">
            <v>100000000</v>
          </cell>
          <cell r="G375">
            <v>2.4919999999999999E-3</v>
          </cell>
          <cell r="H375">
            <v>0.3</v>
          </cell>
          <cell r="I375" t="str">
            <v>2016-12-01</v>
          </cell>
          <cell r="J375">
            <v>7</v>
          </cell>
          <cell r="K375">
            <v>0.02</v>
          </cell>
          <cell r="L375">
            <v>0</v>
          </cell>
          <cell r="M375" t="str">
            <v>$</v>
          </cell>
          <cell r="N375" t="str">
            <v>RFL</v>
          </cell>
          <cell r="O375" t="str">
            <v>Renta Fija Local</v>
          </cell>
          <cell r="P375" t="str">
            <v>N-1</v>
          </cell>
          <cell r="Q375" t="str">
            <v>Corto</v>
          </cell>
          <cell r="R375" t="str">
            <v>Depósitos $</v>
          </cell>
          <cell r="S375">
            <v>0.65999799999999997</v>
          </cell>
          <cell r="T375" t="str">
            <v>N-1</v>
          </cell>
          <cell r="U375" t="str">
            <v>25</v>
          </cell>
          <cell r="V375" t="str">
            <v>Depósitos</v>
          </cell>
          <cell r="W375" t="str">
            <v>Depósitos</v>
          </cell>
          <cell r="X375" t="str">
            <v>Depósitos $</v>
          </cell>
          <cell r="Y375" t="str">
            <v>Depósitos</v>
          </cell>
          <cell r="Z375" t="str">
            <v>Corto $</v>
          </cell>
          <cell r="AA375" t="str">
            <v>Depósitos</v>
          </cell>
          <cell r="AB375" t="str">
            <v>Depósitos $</v>
          </cell>
          <cell r="AC375" t="str">
            <v>Instrumentos de Deuda</v>
          </cell>
          <cell r="AD375" t="str">
            <v>Financieras</v>
          </cell>
          <cell r="AE375" t="str">
            <v>Deposito CLP Banco Falabella</v>
          </cell>
          <cell r="AF375" t="str">
            <v>Banco Falabella</v>
          </cell>
        </row>
        <row r="376">
          <cell r="C376" t="str">
            <v>PAGARE NR</v>
          </cell>
          <cell r="D376" t="str">
            <v>FALABELLA</v>
          </cell>
          <cell r="E376">
            <v>99912077</v>
          </cell>
          <cell r="F376">
            <v>100000000</v>
          </cell>
          <cell r="G376">
            <v>2.4919999999999999E-3</v>
          </cell>
          <cell r="H376">
            <v>0.33</v>
          </cell>
          <cell r="I376" t="str">
            <v>2016-12-01</v>
          </cell>
          <cell r="J376">
            <v>7</v>
          </cell>
          <cell r="K376">
            <v>0.02</v>
          </cell>
          <cell r="L376">
            <v>0</v>
          </cell>
          <cell r="M376" t="str">
            <v>$</v>
          </cell>
          <cell r="N376" t="str">
            <v>RFL</v>
          </cell>
          <cell r="O376" t="str">
            <v>Renta Fija Local</v>
          </cell>
          <cell r="P376" t="str">
            <v>N-1</v>
          </cell>
          <cell r="Q376" t="str">
            <v>Corto</v>
          </cell>
          <cell r="R376" t="str">
            <v>Depósitos $</v>
          </cell>
          <cell r="S376">
            <v>1.0326709999999999</v>
          </cell>
          <cell r="T376" t="str">
            <v>N-1</v>
          </cell>
          <cell r="U376" t="str">
            <v>25</v>
          </cell>
          <cell r="V376" t="str">
            <v>Depósitos</v>
          </cell>
          <cell r="W376" t="str">
            <v>Depósitos</v>
          </cell>
          <cell r="X376" t="str">
            <v>Depósitos $</v>
          </cell>
          <cell r="Y376" t="str">
            <v>Depósitos</v>
          </cell>
          <cell r="Z376" t="str">
            <v>Corto $</v>
          </cell>
          <cell r="AA376" t="str">
            <v>Depósitos</v>
          </cell>
          <cell r="AB376" t="str">
            <v>Depósitos $</v>
          </cell>
          <cell r="AC376" t="str">
            <v>Instrumentos de Deuda</v>
          </cell>
          <cell r="AD376" t="str">
            <v>Financieras</v>
          </cell>
          <cell r="AE376" t="str">
            <v>Deposito CLP Banco Falabella</v>
          </cell>
          <cell r="AF376" t="str">
            <v>Banco Falabella</v>
          </cell>
        </row>
        <row r="377">
          <cell r="C377" t="str">
            <v>PAGARE NR</v>
          </cell>
          <cell r="D377" t="str">
            <v>CHILE</v>
          </cell>
          <cell r="E377">
            <v>39966961</v>
          </cell>
          <cell r="F377">
            <v>40000000</v>
          </cell>
          <cell r="G377">
            <v>9.9700000000000006E-4</v>
          </cell>
          <cell r="H377">
            <v>0.31</v>
          </cell>
          <cell r="I377" t="str">
            <v>2016-12-01</v>
          </cell>
          <cell r="J377">
            <v>7</v>
          </cell>
          <cell r="K377">
            <v>0.02</v>
          </cell>
          <cell r="L377">
            <v>0</v>
          </cell>
          <cell r="M377" t="str">
            <v>$</v>
          </cell>
          <cell r="N377" t="str">
            <v>RFL</v>
          </cell>
          <cell r="O377" t="str">
            <v>Renta Fija Local</v>
          </cell>
          <cell r="P377" t="str">
            <v>N-1</v>
          </cell>
          <cell r="Q377" t="str">
            <v>Corto</v>
          </cell>
          <cell r="R377" t="str">
            <v>Depósitos $</v>
          </cell>
          <cell r="S377">
            <v>0.78408599999999995</v>
          </cell>
          <cell r="T377" t="str">
            <v>N-1</v>
          </cell>
          <cell r="U377" t="str">
            <v>25</v>
          </cell>
          <cell r="V377" t="str">
            <v>Depósitos</v>
          </cell>
          <cell r="W377" t="str">
            <v>Depósitos</v>
          </cell>
          <cell r="X377" t="str">
            <v>Depósitos $</v>
          </cell>
          <cell r="Y377" t="str">
            <v>Depósitos</v>
          </cell>
          <cell r="Z377" t="str">
            <v>Corto $</v>
          </cell>
          <cell r="AA377" t="str">
            <v>Depósitos</v>
          </cell>
          <cell r="AB377" t="str">
            <v>Depósitos $</v>
          </cell>
          <cell r="AC377" t="str">
            <v>Instrumentos de Deuda</v>
          </cell>
          <cell r="AD377" t="str">
            <v>Financieras</v>
          </cell>
          <cell r="AE377" t="str">
            <v>Deposito CLP Banco Chile</v>
          </cell>
          <cell r="AF377" t="str">
            <v>Banco de Chile</v>
          </cell>
        </row>
        <row r="378">
          <cell r="C378" t="str">
            <v>PAGARE NR</v>
          </cell>
          <cell r="D378" t="str">
            <v>ITAUCORP</v>
          </cell>
          <cell r="E378">
            <v>49958701</v>
          </cell>
          <cell r="F378">
            <v>50000000</v>
          </cell>
          <cell r="G378">
            <v>1.2459999999999999E-3</v>
          </cell>
          <cell r="H378">
            <v>0.31</v>
          </cell>
          <cell r="I378" t="str">
            <v>2016-12-01</v>
          </cell>
          <cell r="J378">
            <v>7</v>
          </cell>
          <cell r="K378">
            <v>0.02</v>
          </cell>
          <cell r="L378">
            <v>0</v>
          </cell>
          <cell r="M378" t="str">
            <v>$</v>
          </cell>
          <cell r="N378" t="str">
            <v>RFL</v>
          </cell>
          <cell r="O378" t="str">
            <v>Renta Fija Local</v>
          </cell>
          <cell r="P378" t="str">
            <v>N-1</v>
          </cell>
          <cell r="Q378" t="str">
            <v>Corto</v>
          </cell>
          <cell r="R378" t="str">
            <v>Depósitos $</v>
          </cell>
          <cell r="S378">
            <v>0.78408599999999995</v>
          </cell>
          <cell r="T378" t="str">
            <v>N-1</v>
          </cell>
          <cell r="U378" t="str">
            <v>25</v>
          </cell>
          <cell r="V378" t="str">
            <v>Depósitos</v>
          </cell>
          <cell r="W378" t="str">
            <v>Depósitos</v>
          </cell>
          <cell r="X378" t="str">
            <v>Depósitos $</v>
          </cell>
          <cell r="Y378" t="str">
            <v>Depósitos</v>
          </cell>
          <cell r="Z378" t="str">
            <v>Corto $</v>
          </cell>
          <cell r="AA378" t="str">
            <v>Depósitos</v>
          </cell>
          <cell r="AB378" t="str">
            <v>Depósitos $</v>
          </cell>
          <cell r="AC378" t="str">
            <v>Instrumentos de Deuda</v>
          </cell>
          <cell r="AD378" t="str">
            <v>Financieras</v>
          </cell>
          <cell r="AE378" t="str">
            <v>Deposito CLP Banco Itaucorp</v>
          </cell>
          <cell r="AF378" t="str">
            <v>Itau/Corpbanca</v>
          </cell>
        </row>
        <row r="379">
          <cell r="C379" t="str">
            <v>PAGARE NR</v>
          </cell>
          <cell r="D379" t="str">
            <v>CMR</v>
          </cell>
          <cell r="E379">
            <v>249615591</v>
          </cell>
          <cell r="F379">
            <v>250000000</v>
          </cell>
          <cell r="G379">
            <v>6.2269999999999999E-3</v>
          </cell>
          <cell r="H379">
            <v>0.33</v>
          </cell>
          <cell r="I379" t="str">
            <v>2016-12-07</v>
          </cell>
          <cell r="J379">
            <v>13</v>
          </cell>
          <cell r="K379">
            <v>0.04</v>
          </cell>
          <cell r="L379">
            <v>0</v>
          </cell>
          <cell r="M379" t="str">
            <v>$</v>
          </cell>
          <cell r="N379" t="str">
            <v>RFL</v>
          </cell>
          <cell r="O379" t="str">
            <v>Renta Fija Local</v>
          </cell>
          <cell r="P379" t="str">
            <v>N-1</v>
          </cell>
          <cell r="Q379" t="str">
            <v>Corto</v>
          </cell>
          <cell r="R379" t="str">
            <v>Depósitos $</v>
          </cell>
          <cell r="S379">
            <v>1.0326709999999999</v>
          </cell>
          <cell r="T379" t="str">
            <v>N-1</v>
          </cell>
          <cell r="U379" t="str">
            <v>25</v>
          </cell>
          <cell r="V379" t="str">
            <v>Depósitos</v>
          </cell>
          <cell r="W379" t="str">
            <v>Depósitos</v>
          </cell>
          <cell r="X379" t="str">
            <v>Depósitos $</v>
          </cell>
          <cell r="Y379" t="str">
            <v>Depósitos</v>
          </cell>
          <cell r="Z379" t="str">
            <v>Corto $</v>
          </cell>
          <cell r="AA379" t="str">
            <v>Depósitos</v>
          </cell>
          <cell r="AB379" t="str">
            <v>Depósitos $</v>
          </cell>
          <cell r="AC379" t="str">
            <v>Instrumentos de Deuda</v>
          </cell>
          <cell r="AD379" t="str">
            <v>Financieras</v>
          </cell>
          <cell r="AE379" t="str">
            <v>Deposito CLP Banco Cmr</v>
          </cell>
          <cell r="AF379" t="str">
            <v>CMR</v>
          </cell>
        </row>
        <row r="380">
          <cell r="C380" t="str">
            <v>PAGARE NR</v>
          </cell>
          <cell r="D380" t="str">
            <v>CHILE</v>
          </cell>
          <cell r="E380">
            <v>99797743</v>
          </cell>
          <cell r="F380">
            <v>100000000</v>
          </cell>
          <cell r="G380">
            <v>2.4889999999999999E-3</v>
          </cell>
          <cell r="H380">
            <v>0.32</v>
          </cell>
          <cell r="I380" t="str">
            <v>2016-12-12</v>
          </cell>
          <cell r="J380">
            <v>18</v>
          </cell>
          <cell r="K380">
            <v>0.05</v>
          </cell>
          <cell r="L380">
            <v>0</v>
          </cell>
          <cell r="M380" t="str">
            <v>$</v>
          </cell>
          <cell r="N380" t="str">
            <v>RFL</v>
          </cell>
          <cell r="O380" t="str">
            <v>Renta Fija Local</v>
          </cell>
          <cell r="P380" t="str">
            <v>N-1</v>
          </cell>
          <cell r="Q380" t="str">
            <v>Corto</v>
          </cell>
          <cell r="R380" t="str">
            <v>Depósitos $</v>
          </cell>
          <cell r="S380">
            <v>0.90830999999999995</v>
          </cell>
          <cell r="T380" t="str">
            <v>N-1</v>
          </cell>
          <cell r="U380" t="str">
            <v>25</v>
          </cell>
          <cell r="V380" t="str">
            <v>Depósitos</v>
          </cell>
          <cell r="W380" t="str">
            <v>Depósitos</v>
          </cell>
          <cell r="X380" t="str">
            <v>Depósitos $</v>
          </cell>
          <cell r="Y380" t="str">
            <v>Depósitos</v>
          </cell>
          <cell r="Z380" t="str">
            <v>Corto $</v>
          </cell>
          <cell r="AA380" t="str">
            <v>Depósitos</v>
          </cell>
          <cell r="AB380" t="str">
            <v>Depósitos $</v>
          </cell>
          <cell r="AC380" t="str">
            <v>Instrumentos de Deuda</v>
          </cell>
          <cell r="AD380" t="str">
            <v>Financieras</v>
          </cell>
          <cell r="AE380" t="str">
            <v>Deposito CLP Banco Chile</v>
          </cell>
          <cell r="AF380" t="str">
            <v>Banco de Chile</v>
          </cell>
        </row>
        <row r="381">
          <cell r="C381" t="str">
            <v>PAGARE NR</v>
          </cell>
          <cell r="D381" t="str">
            <v>ESTADO</v>
          </cell>
          <cell r="E381">
            <v>99810360</v>
          </cell>
          <cell r="F381">
            <v>100000000</v>
          </cell>
          <cell r="G381">
            <v>2.49E-3</v>
          </cell>
          <cell r="H381">
            <v>0.3</v>
          </cell>
          <cell r="I381" t="str">
            <v>2016-12-12</v>
          </cell>
          <cell r="J381">
            <v>18</v>
          </cell>
          <cell r="K381">
            <v>0.05</v>
          </cell>
          <cell r="L381">
            <v>0</v>
          </cell>
          <cell r="M381" t="str">
            <v>$</v>
          </cell>
          <cell r="N381" t="str">
            <v>RFL</v>
          </cell>
          <cell r="O381" t="str">
            <v>Renta Fija Local</v>
          </cell>
          <cell r="P381" t="str">
            <v>N-1</v>
          </cell>
          <cell r="Q381" t="str">
            <v>Corto</v>
          </cell>
          <cell r="R381" t="str">
            <v>Depósitos $</v>
          </cell>
          <cell r="S381">
            <v>0.65999799999999997</v>
          </cell>
          <cell r="T381" t="str">
            <v>N-1</v>
          </cell>
          <cell r="U381" t="str">
            <v>25</v>
          </cell>
          <cell r="V381" t="str">
            <v>Depósitos</v>
          </cell>
          <cell r="W381" t="str">
            <v>Depósitos</v>
          </cell>
          <cell r="X381" t="str">
            <v>Depósitos $</v>
          </cell>
          <cell r="Y381" t="str">
            <v>Depósitos</v>
          </cell>
          <cell r="Z381" t="str">
            <v>Corto $</v>
          </cell>
          <cell r="AA381" t="str">
            <v>Depósitos</v>
          </cell>
          <cell r="AB381" t="str">
            <v>Depósitos $</v>
          </cell>
          <cell r="AC381" t="str">
            <v>Instrumentos de Deuda</v>
          </cell>
          <cell r="AD381" t="str">
            <v>Financieras</v>
          </cell>
          <cell r="AE381" t="str">
            <v>Deposito CLP Banco Estado</v>
          </cell>
          <cell r="AF381" t="str">
            <v>Banco Estado</v>
          </cell>
        </row>
        <row r="382">
          <cell r="C382" t="str">
            <v>PAGARE NR</v>
          </cell>
          <cell r="D382" t="str">
            <v>ESTADO</v>
          </cell>
          <cell r="E382">
            <v>105435461</v>
          </cell>
          <cell r="F382">
            <v>105649144</v>
          </cell>
          <cell r="G382">
            <v>2.63E-3</v>
          </cell>
          <cell r="H382">
            <v>0.32</v>
          </cell>
          <cell r="I382" t="str">
            <v>2016-12-12</v>
          </cell>
          <cell r="J382">
            <v>18</v>
          </cell>
          <cell r="K382">
            <v>0.05</v>
          </cell>
          <cell r="L382">
            <v>0</v>
          </cell>
          <cell r="M382" t="str">
            <v>$</v>
          </cell>
          <cell r="N382" t="str">
            <v>RFL</v>
          </cell>
          <cell r="O382" t="str">
            <v>Renta Fija Local</v>
          </cell>
          <cell r="P382" t="str">
            <v>N-1</v>
          </cell>
          <cell r="Q382" t="str">
            <v>Corto</v>
          </cell>
          <cell r="R382" t="str">
            <v>Depósitos $</v>
          </cell>
          <cell r="S382">
            <v>0.90830999999999995</v>
          </cell>
          <cell r="T382" t="str">
            <v>N-1</v>
          </cell>
          <cell r="U382" t="str">
            <v>25</v>
          </cell>
          <cell r="V382" t="str">
            <v>Depósitos</v>
          </cell>
          <cell r="W382" t="str">
            <v>Depósitos</v>
          </cell>
          <cell r="X382" t="str">
            <v>Depósitos $</v>
          </cell>
          <cell r="Y382" t="str">
            <v>Depósitos</v>
          </cell>
          <cell r="Z382" t="str">
            <v>Corto $</v>
          </cell>
          <cell r="AA382" t="str">
            <v>Depósitos</v>
          </cell>
          <cell r="AB382" t="str">
            <v>Depósitos $</v>
          </cell>
          <cell r="AC382" t="str">
            <v>Instrumentos de Deuda</v>
          </cell>
          <cell r="AD382" t="str">
            <v>Financieras</v>
          </cell>
          <cell r="AE382" t="str">
            <v>Deposito CLP Banco Estado</v>
          </cell>
          <cell r="AF382" t="str">
            <v>Banco Estado</v>
          </cell>
        </row>
        <row r="383">
          <cell r="C383" t="str">
            <v>PAGARE NR</v>
          </cell>
          <cell r="D383" t="str">
            <v>RIPLEY</v>
          </cell>
          <cell r="E383">
            <v>99797743</v>
          </cell>
          <cell r="F383">
            <v>100000000</v>
          </cell>
          <cell r="G383">
            <v>2.4889999999999999E-3</v>
          </cell>
          <cell r="H383">
            <v>0.32</v>
          </cell>
          <cell r="I383" t="str">
            <v>2016-12-12</v>
          </cell>
          <cell r="J383">
            <v>18</v>
          </cell>
          <cell r="K383">
            <v>0.05</v>
          </cell>
          <cell r="L383">
            <v>0</v>
          </cell>
          <cell r="M383" t="str">
            <v>$</v>
          </cell>
          <cell r="N383" t="str">
            <v>RFL</v>
          </cell>
          <cell r="O383" t="str">
            <v>Renta Fija Local</v>
          </cell>
          <cell r="P383" t="str">
            <v>N-1</v>
          </cell>
          <cell r="Q383" t="str">
            <v>Corto</v>
          </cell>
          <cell r="R383" t="str">
            <v>Depósitos $</v>
          </cell>
          <cell r="S383">
            <v>0.90830999999999995</v>
          </cell>
          <cell r="T383" t="str">
            <v>N-1</v>
          </cell>
          <cell r="U383" t="str">
            <v>25</v>
          </cell>
          <cell r="V383" t="str">
            <v>Depósitos</v>
          </cell>
          <cell r="W383" t="str">
            <v>Depósitos</v>
          </cell>
          <cell r="X383" t="str">
            <v>Depósitos $</v>
          </cell>
          <cell r="Y383" t="str">
            <v>Depósitos</v>
          </cell>
          <cell r="Z383" t="str">
            <v>Corto $</v>
          </cell>
          <cell r="AA383" t="str">
            <v>Depósitos</v>
          </cell>
          <cell r="AB383" t="str">
            <v>Depósitos $</v>
          </cell>
          <cell r="AC383" t="str">
            <v>Instrumentos de Deuda</v>
          </cell>
          <cell r="AD383" t="str">
            <v>Financieras</v>
          </cell>
          <cell r="AE383" t="str">
            <v>Deposito CLP Banco Ripley</v>
          </cell>
          <cell r="AF383" t="str">
            <v>Banco Ripley</v>
          </cell>
        </row>
        <row r="384">
          <cell r="C384" t="str">
            <v>PAGARE NR</v>
          </cell>
          <cell r="D384" t="str">
            <v>RIPLEY</v>
          </cell>
          <cell r="E384">
            <v>99791436</v>
          </cell>
          <cell r="F384">
            <v>100000000</v>
          </cell>
          <cell r="G384">
            <v>2.4889999999999999E-3</v>
          </cell>
          <cell r="H384">
            <v>0.33</v>
          </cell>
          <cell r="I384" t="str">
            <v>2016-12-12</v>
          </cell>
          <cell r="J384">
            <v>18</v>
          </cell>
          <cell r="K384">
            <v>0.05</v>
          </cell>
          <cell r="L384">
            <v>0</v>
          </cell>
          <cell r="M384" t="str">
            <v>$</v>
          </cell>
          <cell r="N384" t="str">
            <v>RFL</v>
          </cell>
          <cell r="O384" t="str">
            <v>Renta Fija Local</v>
          </cell>
          <cell r="P384" t="str">
            <v>N-1</v>
          </cell>
          <cell r="Q384" t="str">
            <v>Corto</v>
          </cell>
          <cell r="R384" t="str">
            <v>Depósitos $</v>
          </cell>
          <cell r="S384">
            <v>1.0326709999999999</v>
          </cell>
          <cell r="T384" t="str">
            <v>N-1</v>
          </cell>
          <cell r="U384" t="str">
            <v>25</v>
          </cell>
          <cell r="V384" t="str">
            <v>Depósitos</v>
          </cell>
          <cell r="W384" t="str">
            <v>Depósitos</v>
          </cell>
          <cell r="X384" t="str">
            <v>Depósitos $</v>
          </cell>
          <cell r="Y384" t="str">
            <v>Depósitos</v>
          </cell>
          <cell r="Z384" t="str">
            <v>Corto $</v>
          </cell>
          <cell r="AA384" t="str">
            <v>Depósitos</v>
          </cell>
          <cell r="AB384" t="str">
            <v>Depósitos $</v>
          </cell>
          <cell r="AC384" t="str">
            <v>Instrumentos de Deuda</v>
          </cell>
          <cell r="AD384" t="str">
            <v>Financieras</v>
          </cell>
          <cell r="AE384" t="str">
            <v>Deposito CLP Banco Ripley</v>
          </cell>
          <cell r="AF384" t="str">
            <v>Banco Ripley</v>
          </cell>
        </row>
        <row r="385">
          <cell r="C385" t="str">
            <v>PAGARE NR</v>
          </cell>
          <cell r="D385" t="str">
            <v>CHILE</v>
          </cell>
          <cell r="E385">
            <v>274396328</v>
          </cell>
          <cell r="F385">
            <v>275000000</v>
          </cell>
          <cell r="G385">
            <v>6.8459999999999997E-3</v>
          </cell>
          <cell r="H385">
            <v>0.33</v>
          </cell>
          <cell r="I385" t="str">
            <v>2016-12-13</v>
          </cell>
          <cell r="J385">
            <v>19</v>
          </cell>
          <cell r="K385">
            <v>0.05</v>
          </cell>
          <cell r="L385">
            <v>0</v>
          </cell>
          <cell r="M385" t="str">
            <v>$</v>
          </cell>
          <cell r="N385" t="str">
            <v>RFL</v>
          </cell>
          <cell r="O385" t="str">
            <v>Renta Fija Local</v>
          </cell>
          <cell r="P385" t="str">
            <v>N-1</v>
          </cell>
          <cell r="Q385" t="str">
            <v>Corto</v>
          </cell>
          <cell r="R385" t="str">
            <v>Depósitos $</v>
          </cell>
          <cell r="S385">
            <v>1.0326709999999999</v>
          </cell>
          <cell r="T385" t="str">
            <v>N-1</v>
          </cell>
          <cell r="U385" t="str">
            <v>25</v>
          </cell>
          <cell r="V385" t="str">
            <v>Depósitos</v>
          </cell>
          <cell r="W385" t="str">
            <v>Depósitos</v>
          </cell>
          <cell r="X385" t="str">
            <v>Depósitos $</v>
          </cell>
          <cell r="Y385" t="str">
            <v>Depósitos</v>
          </cell>
          <cell r="Z385" t="str">
            <v>Corto $</v>
          </cell>
          <cell r="AA385" t="str">
            <v>Depósitos</v>
          </cell>
          <cell r="AB385" t="str">
            <v>Depósitos $</v>
          </cell>
          <cell r="AC385" t="str">
            <v>Instrumentos de Deuda</v>
          </cell>
          <cell r="AD385" t="str">
            <v>Financieras</v>
          </cell>
          <cell r="AE385" t="str">
            <v>Deposito CLP Banco Chile</v>
          </cell>
          <cell r="AF385" t="str">
            <v>Banco de Chile</v>
          </cell>
        </row>
        <row r="386">
          <cell r="C386" t="str">
            <v>PAGARE NR</v>
          </cell>
          <cell r="D386" t="str">
            <v>CONSORCIO</v>
          </cell>
          <cell r="E386">
            <v>598394309</v>
          </cell>
          <cell r="F386">
            <v>600000000</v>
          </cell>
          <cell r="G386">
            <v>1.4929E-2</v>
          </cell>
          <cell r="H386">
            <v>0.35</v>
          </cell>
          <cell r="I386" t="str">
            <v>2016-12-16</v>
          </cell>
          <cell r="J386">
            <v>22</v>
          </cell>
          <cell r="K386">
            <v>0.06</v>
          </cell>
          <cell r="L386">
            <v>0</v>
          </cell>
          <cell r="M386" t="str">
            <v>$</v>
          </cell>
          <cell r="N386" t="str">
            <v>RFL</v>
          </cell>
          <cell r="O386" t="str">
            <v>Renta Fija Local</v>
          </cell>
          <cell r="P386" t="str">
            <v>N-1</v>
          </cell>
          <cell r="Q386" t="str">
            <v>Corto</v>
          </cell>
          <cell r="R386" t="str">
            <v>Depósitos $</v>
          </cell>
          <cell r="S386">
            <v>1.281801</v>
          </cell>
          <cell r="T386" t="str">
            <v>N-1</v>
          </cell>
          <cell r="U386" t="str">
            <v>25</v>
          </cell>
          <cell r="V386" t="str">
            <v>Depósitos</v>
          </cell>
          <cell r="W386" t="str">
            <v>Depósitos</v>
          </cell>
          <cell r="X386" t="str">
            <v>Depósitos $</v>
          </cell>
          <cell r="Y386" t="str">
            <v>Depósitos</v>
          </cell>
          <cell r="Z386" t="str">
            <v>Corto $</v>
          </cell>
          <cell r="AA386" t="str">
            <v>Depósitos</v>
          </cell>
          <cell r="AB386" t="str">
            <v>Depósitos $</v>
          </cell>
          <cell r="AC386" t="str">
            <v>Instrumentos de Deuda</v>
          </cell>
          <cell r="AD386" t="str">
            <v>Financieras</v>
          </cell>
          <cell r="AE386" t="str">
            <v>Deposito CLP Banco Consorcio</v>
          </cell>
          <cell r="AF386" t="str">
            <v>Banco Consorcio</v>
          </cell>
        </row>
        <row r="387">
          <cell r="C387" t="str">
            <v>PAGARE NR</v>
          </cell>
          <cell r="D387" t="str">
            <v>BICE</v>
          </cell>
          <cell r="E387">
            <v>299144447</v>
          </cell>
          <cell r="F387">
            <v>300000000</v>
          </cell>
          <cell r="G387">
            <v>7.463E-3</v>
          </cell>
          <cell r="H387">
            <v>0.33</v>
          </cell>
          <cell r="I387" t="str">
            <v>2016-12-19</v>
          </cell>
          <cell r="J387">
            <v>25</v>
          </cell>
          <cell r="K387">
            <v>7.0000000000000007E-2</v>
          </cell>
          <cell r="L387">
            <v>0</v>
          </cell>
          <cell r="M387" t="str">
            <v>$</v>
          </cell>
          <cell r="N387" t="str">
            <v>RFL</v>
          </cell>
          <cell r="O387" t="str">
            <v>Renta Fija Local</v>
          </cell>
          <cell r="P387" t="str">
            <v>N-1</v>
          </cell>
          <cell r="Q387" t="str">
            <v>Corto</v>
          </cell>
          <cell r="R387" t="str">
            <v>Depósitos $</v>
          </cell>
          <cell r="S387">
            <v>1.0326709999999999</v>
          </cell>
          <cell r="T387" t="str">
            <v>N-1</v>
          </cell>
          <cell r="U387" t="str">
            <v>25</v>
          </cell>
          <cell r="V387" t="str">
            <v>Depósitos</v>
          </cell>
          <cell r="W387" t="str">
            <v>Depósitos</v>
          </cell>
          <cell r="X387" t="str">
            <v>Depósitos $</v>
          </cell>
          <cell r="Y387" t="str">
            <v>Depósitos</v>
          </cell>
          <cell r="Z387" t="str">
            <v>Corto $</v>
          </cell>
          <cell r="AA387" t="str">
            <v>Depósitos</v>
          </cell>
          <cell r="AB387" t="str">
            <v>Depósitos $</v>
          </cell>
          <cell r="AC387" t="str">
            <v>Instrumentos de Deuda</v>
          </cell>
          <cell r="AD387" t="str">
            <v>Financieras</v>
          </cell>
          <cell r="AE387" t="str">
            <v>Deposito CLP Banco Bice</v>
          </cell>
          <cell r="AF387" t="str">
            <v>BICE</v>
          </cell>
        </row>
        <row r="388">
          <cell r="C388" t="str">
            <v>PAGARE NR</v>
          </cell>
          <cell r="D388" t="str">
            <v>BCI</v>
          </cell>
          <cell r="E388">
            <v>814635603</v>
          </cell>
          <cell r="F388">
            <v>818220000</v>
          </cell>
          <cell r="G388">
            <v>2.0323999999999998E-2</v>
          </cell>
          <cell r="H388">
            <v>0.33</v>
          </cell>
          <cell r="I388" t="str">
            <v>2017-01-02</v>
          </cell>
          <cell r="J388">
            <v>39</v>
          </cell>
          <cell r="K388">
            <v>0.11</v>
          </cell>
          <cell r="L388">
            <v>0</v>
          </cell>
          <cell r="M388" t="str">
            <v>$</v>
          </cell>
          <cell r="N388" t="str">
            <v>RFL</v>
          </cell>
          <cell r="O388" t="str">
            <v>Renta Fija Local</v>
          </cell>
          <cell r="P388" t="str">
            <v>N-1</v>
          </cell>
          <cell r="Q388" t="str">
            <v>Corto</v>
          </cell>
          <cell r="R388" t="str">
            <v>Depósitos $</v>
          </cell>
          <cell r="S388">
            <v>1.0326709999999999</v>
          </cell>
          <cell r="T388" t="str">
            <v>N-1</v>
          </cell>
          <cell r="U388" t="str">
            <v>25</v>
          </cell>
          <cell r="V388" t="str">
            <v>Depósitos</v>
          </cell>
          <cell r="W388" t="str">
            <v>Depósitos</v>
          </cell>
          <cell r="X388" t="str">
            <v>Depósitos $</v>
          </cell>
          <cell r="Y388" t="str">
            <v>Depósitos</v>
          </cell>
          <cell r="Z388" t="str">
            <v>Corto $</v>
          </cell>
          <cell r="AA388" t="str">
            <v>Depósitos</v>
          </cell>
          <cell r="AB388" t="str">
            <v>Depósitos $</v>
          </cell>
          <cell r="AC388" t="str">
            <v>Instrumentos de Deuda</v>
          </cell>
          <cell r="AD388" t="str">
            <v>Financieras</v>
          </cell>
          <cell r="AE388" t="str">
            <v>Deposito CLP Banco Bci</v>
          </cell>
          <cell r="AF388" t="str">
            <v>BCI</v>
          </cell>
        </row>
        <row r="389">
          <cell r="C389" t="str">
            <v>PAGARE NR</v>
          </cell>
          <cell r="D389" t="str">
            <v>BBVA</v>
          </cell>
          <cell r="E389">
            <v>149382552</v>
          </cell>
          <cell r="F389">
            <v>150000000</v>
          </cell>
          <cell r="G389">
            <v>3.7269999999999998E-3</v>
          </cell>
          <cell r="H389">
            <v>0.31</v>
          </cell>
          <cell r="I389" t="str">
            <v>2017-01-02</v>
          </cell>
          <cell r="J389">
            <v>39</v>
          </cell>
          <cell r="K389">
            <v>0.11</v>
          </cell>
          <cell r="L389">
            <v>0</v>
          </cell>
          <cell r="M389" t="str">
            <v>$</v>
          </cell>
          <cell r="N389" t="str">
            <v>RFL</v>
          </cell>
          <cell r="O389" t="str">
            <v>Renta Fija Local</v>
          </cell>
          <cell r="P389" t="str">
            <v>N-1</v>
          </cell>
          <cell r="Q389" t="str">
            <v>Corto</v>
          </cell>
          <cell r="R389" t="str">
            <v>Depósitos $</v>
          </cell>
          <cell r="S389">
            <v>0.78408599999999995</v>
          </cell>
          <cell r="T389" t="str">
            <v>N-1</v>
          </cell>
          <cell r="U389" t="str">
            <v>25</v>
          </cell>
          <cell r="V389" t="str">
            <v>Depósitos</v>
          </cell>
          <cell r="W389" t="str">
            <v>Depósitos</v>
          </cell>
          <cell r="X389" t="str">
            <v>Depósitos $</v>
          </cell>
          <cell r="Y389" t="str">
            <v>Depósitos</v>
          </cell>
          <cell r="Z389" t="str">
            <v>Corto $</v>
          </cell>
          <cell r="AA389" t="str">
            <v>Depósitos</v>
          </cell>
          <cell r="AB389" t="str">
            <v>Depósitos $</v>
          </cell>
          <cell r="AC389" t="str">
            <v>Instrumentos de Deuda</v>
          </cell>
          <cell r="AD389" t="str">
            <v>Financieras</v>
          </cell>
          <cell r="AE389" t="str">
            <v>Deposito CLP Banco Bbva</v>
          </cell>
          <cell r="AF389" t="str">
            <v>BBVA</v>
          </cell>
        </row>
        <row r="390">
          <cell r="C390" t="str">
            <v>PAGARE NR</v>
          </cell>
          <cell r="D390" t="str">
            <v>BBVA</v>
          </cell>
          <cell r="E390">
            <v>199150292</v>
          </cell>
          <cell r="F390">
            <v>200000000</v>
          </cell>
          <cell r="G390">
            <v>4.9680000000000002E-3</v>
          </cell>
          <cell r="H390">
            <v>0.32</v>
          </cell>
          <cell r="I390" t="str">
            <v>2017-01-02</v>
          </cell>
          <cell r="J390">
            <v>39</v>
          </cell>
          <cell r="K390">
            <v>0.11</v>
          </cell>
          <cell r="L390">
            <v>0</v>
          </cell>
          <cell r="M390" t="str">
            <v>$</v>
          </cell>
          <cell r="N390" t="str">
            <v>RFL</v>
          </cell>
          <cell r="O390" t="str">
            <v>Renta Fija Local</v>
          </cell>
          <cell r="P390" t="str">
            <v>N-1</v>
          </cell>
          <cell r="Q390" t="str">
            <v>Corto</v>
          </cell>
          <cell r="R390" t="str">
            <v>Depósitos $</v>
          </cell>
          <cell r="S390">
            <v>0.90830999999999995</v>
          </cell>
          <cell r="T390" t="str">
            <v>N-1</v>
          </cell>
          <cell r="U390" t="str">
            <v>25</v>
          </cell>
          <cell r="V390" t="str">
            <v>Depósitos</v>
          </cell>
          <cell r="W390" t="str">
            <v>Depósitos</v>
          </cell>
          <cell r="X390" t="str">
            <v>Depósitos $</v>
          </cell>
          <cell r="Y390" t="str">
            <v>Depósitos</v>
          </cell>
          <cell r="Z390" t="str">
            <v>Corto $</v>
          </cell>
          <cell r="AA390" t="str">
            <v>Depósitos</v>
          </cell>
          <cell r="AB390" t="str">
            <v>Depósitos $</v>
          </cell>
          <cell r="AC390" t="str">
            <v>Instrumentos de Deuda</v>
          </cell>
          <cell r="AD390" t="str">
            <v>Financieras</v>
          </cell>
          <cell r="AE390" t="str">
            <v>Deposito CLP Banco Bbva</v>
          </cell>
          <cell r="AF390" t="str">
            <v>BBVA</v>
          </cell>
        </row>
        <row r="391">
          <cell r="C391" t="str">
            <v>PAGARE NR</v>
          </cell>
          <cell r="D391" t="str">
            <v>BBVA</v>
          </cell>
          <cell r="E391">
            <v>1294515569</v>
          </cell>
          <cell r="F391">
            <v>1300000000</v>
          </cell>
          <cell r="G391">
            <v>3.2296999999999999E-2</v>
          </cell>
          <cell r="H391">
            <v>0.31</v>
          </cell>
          <cell r="I391" t="str">
            <v>2017-01-03</v>
          </cell>
          <cell r="J391">
            <v>40</v>
          </cell>
          <cell r="K391">
            <v>0.11</v>
          </cell>
          <cell r="L391">
            <v>0</v>
          </cell>
          <cell r="M391" t="str">
            <v>$</v>
          </cell>
          <cell r="N391" t="str">
            <v>RFL</v>
          </cell>
          <cell r="O391" t="str">
            <v>Renta Fija Local</v>
          </cell>
          <cell r="P391" t="str">
            <v>N-1</v>
          </cell>
          <cell r="Q391" t="str">
            <v>Corto</v>
          </cell>
          <cell r="R391" t="str">
            <v>Depósitos $</v>
          </cell>
          <cell r="S391">
            <v>0.78408599999999995</v>
          </cell>
          <cell r="T391" t="str">
            <v>N-1</v>
          </cell>
          <cell r="U391" t="str">
            <v>25</v>
          </cell>
          <cell r="V391" t="str">
            <v>Depósitos</v>
          </cell>
          <cell r="W391" t="str">
            <v>Depósitos</v>
          </cell>
          <cell r="X391" t="str">
            <v>Depósitos $</v>
          </cell>
          <cell r="Y391" t="str">
            <v>Depósitos</v>
          </cell>
          <cell r="Z391" t="str">
            <v>Corto $</v>
          </cell>
          <cell r="AA391" t="str">
            <v>Depósitos</v>
          </cell>
          <cell r="AB391" t="str">
            <v>Depósitos $</v>
          </cell>
          <cell r="AC391" t="str">
            <v>Instrumentos de Deuda</v>
          </cell>
          <cell r="AD391" t="str">
            <v>Financieras</v>
          </cell>
          <cell r="AE391" t="str">
            <v>Deposito CLP Banco Bbva</v>
          </cell>
          <cell r="AF391" t="str">
            <v>BBVA</v>
          </cell>
        </row>
        <row r="392">
          <cell r="C392" t="str">
            <v>PAGARE NR</v>
          </cell>
          <cell r="D392" t="str">
            <v>BICE</v>
          </cell>
          <cell r="E392">
            <v>89608113</v>
          </cell>
          <cell r="F392">
            <v>90000000</v>
          </cell>
          <cell r="G392">
            <v>2.235E-3</v>
          </cell>
          <cell r="H392">
            <v>0.32</v>
          </cell>
          <cell r="I392" t="str">
            <v>2017-01-03</v>
          </cell>
          <cell r="J392">
            <v>40</v>
          </cell>
          <cell r="K392">
            <v>0.11</v>
          </cell>
          <cell r="L392">
            <v>0</v>
          </cell>
          <cell r="M392" t="str">
            <v>$</v>
          </cell>
          <cell r="N392" t="str">
            <v>RFL</v>
          </cell>
          <cell r="O392" t="str">
            <v>Renta Fija Local</v>
          </cell>
          <cell r="P392" t="str">
            <v>N-1</v>
          </cell>
          <cell r="Q392" t="str">
            <v>Corto</v>
          </cell>
          <cell r="R392" t="str">
            <v>Depósitos $</v>
          </cell>
          <cell r="S392">
            <v>0.90830999999999995</v>
          </cell>
          <cell r="T392" t="str">
            <v>N-1</v>
          </cell>
          <cell r="U392" t="str">
            <v>25</v>
          </cell>
          <cell r="V392" t="str">
            <v>Depósitos</v>
          </cell>
          <cell r="W392" t="str">
            <v>Depósitos</v>
          </cell>
          <cell r="X392" t="str">
            <v>Depósitos $</v>
          </cell>
          <cell r="Y392" t="str">
            <v>Depósitos</v>
          </cell>
          <cell r="Z392" t="str">
            <v>Corto $</v>
          </cell>
          <cell r="AA392" t="str">
            <v>Depósitos</v>
          </cell>
          <cell r="AB392" t="str">
            <v>Depósitos $</v>
          </cell>
          <cell r="AC392" t="str">
            <v>Instrumentos de Deuda</v>
          </cell>
          <cell r="AD392" t="str">
            <v>Financieras</v>
          </cell>
          <cell r="AE392" t="str">
            <v>Deposito CLP Banco Bice</v>
          </cell>
          <cell r="AF392" t="str">
            <v>BICE</v>
          </cell>
        </row>
        <row r="393">
          <cell r="C393" t="str">
            <v>PAGARE NR</v>
          </cell>
          <cell r="D393" t="str">
            <v>CHILE</v>
          </cell>
          <cell r="E393">
            <v>1120138598</v>
          </cell>
          <cell r="F393">
            <v>1125000000</v>
          </cell>
          <cell r="G393">
            <v>2.7945999999999999E-2</v>
          </cell>
          <cell r="H393">
            <v>0.31</v>
          </cell>
          <cell r="I393" t="str">
            <v>2017-01-04</v>
          </cell>
          <cell r="J393">
            <v>41</v>
          </cell>
          <cell r="K393">
            <v>0.12</v>
          </cell>
          <cell r="L393">
            <v>0</v>
          </cell>
          <cell r="M393" t="str">
            <v>$</v>
          </cell>
          <cell r="N393" t="str">
            <v>RFL</v>
          </cell>
          <cell r="O393" t="str">
            <v>Renta Fija Local</v>
          </cell>
          <cell r="P393" t="str">
            <v>N-1</v>
          </cell>
          <cell r="Q393" t="str">
            <v>Corto</v>
          </cell>
          <cell r="R393" t="str">
            <v>Depósitos $</v>
          </cell>
          <cell r="S393">
            <v>0.78408599999999995</v>
          </cell>
          <cell r="T393" t="str">
            <v>N-1</v>
          </cell>
          <cell r="U393" t="str">
            <v>25</v>
          </cell>
          <cell r="V393" t="str">
            <v>Depósitos</v>
          </cell>
          <cell r="W393" t="str">
            <v>Depósitos</v>
          </cell>
          <cell r="X393" t="str">
            <v>Depósitos $</v>
          </cell>
          <cell r="Y393" t="str">
            <v>Depósitos</v>
          </cell>
          <cell r="Z393" t="str">
            <v>Corto $</v>
          </cell>
          <cell r="AA393" t="str">
            <v>Depósitos</v>
          </cell>
          <cell r="AB393" t="str">
            <v>Depósitos $</v>
          </cell>
          <cell r="AC393" t="str">
            <v>Instrumentos de Deuda</v>
          </cell>
          <cell r="AD393" t="str">
            <v>Financieras</v>
          </cell>
          <cell r="AE393" t="str">
            <v>Deposito CLP Banco Chile</v>
          </cell>
          <cell r="AF393" t="str">
            <v>Banco de Chile</v>
          </cell>
        </row>
        <row r="394">
          <cell r="C394" t="str">
            <v>PAGARE NR</v>
          </cell>
          <cell r="D394" t="str">
            <v>RIPLEY</v>
          </cell>
          <cell r="E394">
            <v>373119478</v>
          </cell>
          <cell r="F394">
            <v>375000000</v>
          </cell>
          <cell r="G394">
            <v>9.3089999999999996E-3</v>
          </cell>
          <cell r="H394">
            <v>0.36</v>
          </cell>
          <cell r="I394" t="str">
            <v>2017-01-04</v>
          </cell>
          <cell r="J394">
            <v>41</v>
          </cell>
          <cell r="K394">
            <v>0.12</v>
          </cell>
          <cell r="L394">
            <v>0</v>
          </cell>
          <cell r="M394" t="str">
            <v>$</v>
          </cell>
          <cell r="N394" t="str">
            <v>RFL</v>
          </cell>
          <cell r="O394" t="str">
            <v>Renta Fija Local</v>
          </cell>
          <cell r="P394" t="str">
            <v>N-1</v>
          </cell>
          <cell r="Q394" t="str">
            <v>Corto</v>
          </cell>
          <cell r="R394" t="str">
            <v>Depósitos $</v>
          </cell>
          <cell r="S394">
            <v>1.406571</v>
          </cell>
          <cell r="T394" t="str">
            <v>N-1</v>
          </cell>
          <cell r="U394" t="str">
            <v>25</v>
          </cell>
          <cell r="V394" t="str">
            <v>Depósitos</v>
          </cell>
          <cell r="W394" t="str">
            <v>Depósitos</v>
          </cell>
          <cell r="X394" t="str">
            <v>Depósitos $</v>
          </cell>
          <cell r="Y394" t="str">
            <v>Depósitos</v>
          </cell>
          <cell r="Z394" t="str">
            <v>Corto $</v>
          </cell>
          <cell r="AA394" t="str">
            <v>Depósitos</v>
          </cell>
          <cell r="AB394" t="str">
            <v>Depósitos $</v>
          </cell>
          <cell r="AC394" t="str">
            <v>Instrumentos de Deuda</v>
          </cell>
          <cell r="AD394" t="str">
            <v>Financieras</v>
          </cell>
          <cell r="AE394" t="str">
            <v>Deposito CLP Banco Ripley</v>
          </cell>
          <cell r="AF394" t="str">
            <v>Banco Ripley</v>
          </cell>
        </row>
        <row r="395">
          <cell r="C395" t="str">
            <v>PAGARE NR</v>
          </cell>
          <cell r="D395" t="str">
            <v>RIPLEY</v>
          </cell>
          <cell r="E395">
            <v>373067510</v>
          </cell>
          <cell r="F395">
            <v>375000000</v>
          </cell>
          <cell r="G395">
            <v>9.3069999999999993E-3</v>
          </cell>
          <cell r="H395">
            <v>0.37</v>
          </cell>
          <cell r="I395" t="str">
            <v>2017-01-04</v>
          </cell>
          <cell r="J395">
            <v>41</v>
          </cell>
          <cell r="K395">
            <v>0.12</v>
          </cell>
          <cell r="L395">
            <v>0</v>
          </cell>
          <cell r="M395" t="str">
            <v>$</v>
          </cell>
          <cell r="N395" t="str">
            <v>RFL</v>
          </cell>
          <cell r="O395" t="str">
            <v>Renta Fija Local</v>
          </cell>
          <cell r="P395" t="str">
            <v>N-1</v>
          </cell>
          <cell r="Q395" t="str">
            <v>Corto</v>
          </cell>
          <cell r="R395" t="str">
            <v>Depósitos $</v>
          </cell>
          <cell r="S395">
            <v>1.5314779999999999</v>
          </cell>
          <cell r="T395" t="str">
            <v>N-1</v>
          </cell>
          <cell r="U395" t="str">
            <v>25</v>
          </cell>
          <cell r="V395" t="str">
            <v>Depósitos</v>
          </cell>
          <cell r="W395" t="str">
            <v>Depósitos</v>
          </cell>
          <cell r="X395" t="str">
            <v>Depósitos $</v>
          </cell>
          <cell r="Y395" t="str">
            <v>Depósitos</v>
          </cell>
          <cell r="Z395" t="str">
            <v>Corto $</v>
          </cell>
          <cell r="AA395" t="str">
            <v>Depósitos</v>
          </cell>
          <cell r="AB395" t="str">
            <v>Depósitos $</v>
          </cell>
          <cell r="AC395" t="str">
            <v>Instrumentos de Deuda</v>
          </cell>
          <cell r="AD395" t="str">
            <v>Financieras</v>
          </cell>
          <cell r="AE395" t="str">
            <v>Deposito CLP Banco Ripley</v>
          </cell>
          <cell r="AF395" t="str">
            <v>Banco Ripley</v>
          </cell>
        </row>
        <row r="396">
          <cell r="C396" t="str">
            <v>PAGARE NR</v>
          </cell>
          <cell r="D396" t="str">
            <v>SCOTIABANK</v>
          </cell>
          <cell r="E396">
            <v>79632100</v>
          </cell>
          <cell r="F396">
            <v>80000000</v>
          </cell>
          <cell r="G396">
            <v>1.9859999999999999E-3</v>
          </cell>
          <cell r="H396">
            <v>0.33</v>
          </cell>
          <cell r="I396" t="str">
            <v>2017-01-04</v>
          </cell>
          <cell r="J396">
            <v>41</v>
          </cell>
          <cell r="K396">
            <v>0.12</v>
          </cell>
          <cell r="L396">
            <v>0</v>
          </cell>
          <cell r="M396" t="str">
            <v>$</v>
          </cell>
          <cell r="N396" t="str">
            <v>RFL</v>
          </cell>
          <cell r="O396" t="str">
            <v>Renta Fija Local</v>
          </cell>
          <cell r="P396" t="str">
            <v>N-1</v>
          </cell>
          <cell r="Q396" t="str">
            <v>Corto</v>
          </cell>
          <cell r="R396" t="str">
            <v>Depósitos $</v>
          </cell>
          <cell r="S396">
            <v>1.0326709999999999</v>
          </cell>
          <cell r="T396" t="str">
            <v>N-1</v>
          </cell>
          <cell r="U396" t="str">
            <v>25</v>
          </cell>
          <cell r="V396" t="str">
            <v>Depósitos</v>
          </cell>
          <cell r="W396" t="str">
            <v>Depósitos</v>
          </cell>
          <cell r="X396" t="str">
            <v>Depósitos $</v>
          </cell>
          <cell r="Y396" t="str">
            <v>Depósitos</v>
          </cell>
          <cell r="Z396" t="str">
            <v>Corto $</v>
          </cell>
          <cell r="AA396" t="str">
            <v>Depósitos</v>
          </cell>
          <cell r="AB396" t="str">
            <v>Depósitos $</v>
          </cell>
          <cell r="AC396" t="str">
            <v>Instrumentos de Deuda</v>
          </cell>
          <cell r="AD396" t="str">
            <v>Financieras</v>
          </cell>
          <cell r="AE396" t="str">
            <v>Deposito CLP Banco Scotiabank</v>
          </cell>
          <cell r="AF396" t="str">
            <v>Scotiabank</v>
          </cell>
        </row>
        <row r="397">
          <cell r="C397" t="str">
            <v>PAGARE NR</v>
          </cell>
          <cell r="D397" t="str">
            <v>SANTANDER</v>
          </cell>
          <cell r="E397">
            <v>497717137</v>
          </cell>
          <cell r="F397">
            <v>500000000</v>
          </cell>
          <cell r="G397">
            <v>1.2416999999999999E-2</v>
          </cell>
          <cell r="H397">
            <v>0.32</v>
          </cell>
          <cell r="I397" t="str">
            <v>2017-01-05</v>
          </cell>
          <cell r="J397">
            <v>42</v>
          </cell>
          <cell r="K397">
            <v>0.12</v>
          </cell>
          <cell r="L397">
            <v>0</v>
          </cell>
          <cell r="M397" t="str">
            <v>$</v>
          </cell>
          <cell r="N397" t="str">
            <v>RFL</v>
          </cell>
          <cell r="O397" t="str">
            <v>Renta Fija Local</v>
          </cell>
          <cell r="P397" t="str">
            <v>N-1</v>
          </cell>
          <cell r="Q397" t="str">
            <v>Corto</v>
          </cell>
          <cell r="R397" t="str">
            <v>Depósitos $</v>
          </cell>
          <cell r="S397">
            <v>0.90830999999999995</v>
          </cell>
          <cell r="T397" t="str">
            <v>N-1</v>
          </cell>
          <cell r="U397" t="str">
            <v>25</v>
          </cell>
          <cell r="V397" t="str">
            <v>Depósitos</v>
          </cell>
          <cell r="W397" t="str">
            <v>Depósitos</v>
          </cell>
          <cell r="X397" t="str">
            <v>Depósitos $</v>
          </cell>
          <cell r="Y397" t="str">
            <v>Depósitos</v>
          </cell>
          <cell r="Z397" t="str">
            <v>Corto $</v>
          </cell>
          <cell r="AA397" t="str">
            <v>Depósitos</v>
          </cell>
          <cell r="AB397" t="str">
            <v>Depósitos $</v>
          </cell>
          <cell r="AC397" t="str">
            <v>Instrumentos de Deuda</v>
          </cell>
          <cell r="AD397" t="str">
            <v>Financieras</v>
          </cell>
          <cell r="AE397" t="str">
            <v>Deposito CLP Banco Santander</v>
          </cell>
          <cell r="AF397" t="str">
            <v>Banco Santander</v>
          </cell>
        </row>
        <row r="398">
          <cell r="C398" t="str">
            <v>PAGARE NR</v>
          </cell>
          <cell r="D398" t="str">
            <v>INTERNACIO</v>
          </cell>
          <cell r="E398">
            <v>203250361</v>
          </cell>
          <cell r="F398">
            <v>204270000</v>
          </cell>
          <cell r="G398">
            <v>5.0699999999999999E-3</v>
          </cell>
          <cell r="H398">
            <v>0.35</v>
          </cell>
          <cell r="I398" t="str">
            <v>2017-01-05</v>
          </cell>
          <cell r="J398">
            <v>42</v>
          </cell>
          <cell r="K398">
            <v>0.12</v>
          </cell>
          <cell r="L398">
            <v>0</v>
          </cell>
          <cell r="M398" t="str">
            <v>$</v>
          </cell>
          <cell r="N398" t="str">
            <v>RFL</v>
          </cell>
          <cell r="O398" t="str">
            <v>Renta Fija Local</v>
          </cell>
          <cell r="P398" t="str">
            <v>N-1</v>
          </cell>
          <cell r="Q398" t="str">
            <v>Corto</v>
          </cell>
          <cell r="R398" t="str">
            <v>Depósitos $</v>
          </cell>
          <cell r="S398">
            <v>1.281801</v>
          </cell>
          <cell r="T398" t="str">
            <v>N-1</v>
          </cell>
          <cell r="U398" t="str">
            <v>25</v>
          </cell>
          <cell r="V398" t="str">
            <v>Depósitos</v>
          </cell>
          <cell r="W398" t="str">
            <v>Depósitos</v>
          </cell>
          <cell r="X398" t="str">
            <v>Depósitos $</v>
          </cell>
          <cell r="Y398" t="str">
            <v>Depósitos</v>
          </cell>
          <cell r="Z398" t="str">
            <v>Corto $</v>
          </cell>
          <cell r="AA398" t="str">
            <v>Depósitos</v>
          </cell>
          <cell r="AB398" t="str">
            <v>Depósitos $</v>
          </cell>
          <cell r="AC398" t="str">
            <v>Instrumentos de Deuda</v>
          </cell>
          <cell r="AD398" t="str">
            <v>Financieras</v>
          </cell>
          <cell r="AE398" t="str">
            <v>Deposito CLP Banco Internacio</v>
          </cell>
          <cell r="AF398" t="str">
            <v>Banco Internacional</v>
          </cell>
        </row>
        <row r="399">
          <cell r="C399" t="str">
            <v>PAGARE NR</v>
          </cell>
          <cell r="D399" t="str">
            <v>BCI</v>
          </cell>
          <cell r="E399">
            <v>406800143</v>
          </cell>
          <cell r="F399">
            <v>408666000</v>
          </cell>
          <cell r="G399">
            <v>1.0149E-2</v>
          </cell>
          <cell r="H399">
            <v>0.32</v>
          </cell>
          <cell r="I399" t="str">
            <v>2017-01-05</v>
          </cell>
          <cell r="J399">
            <v>42</v>
          </cell>
          <cell r="K399">
            <v>0.12</v>
          </cell>
          <cell r="L399">
            <v>0</v>
          </cell>
          <cell r="M399" t="str">
            <v>$</v>
          </cell>
          <cell r="N399" t="str">
            <v>RFL</v>
          </cell>
          <cell r="O399" t="str">
            <v>Renta Fija Local</v>
          </cell>
          <cell r="P399" t="str">
            <v>N-1</v>
          </cell>
          <cell r="Q399" t="str">
            <v>Corto</v>
          </cell>
          <cell r="R399" t="str">
            <v>Depósitos $</v>
          </cell>
          <cell r="S399">
            <v>0.90830999999999995</v>
          </cell>
          <cell r="T399" t="str">
            <v>N-1</v>
          </cell>
          <cell r="U399" t="str">
            <v>25</v>
          </cell>
          <cell r="V399" t="str">
            <v>Depósitos</v>
          </cell>
          <cell r="W399" t="str">
            <v>Depósitos</v>
          </cell>
          <cell r="X399" t="str">
            <v>Depósitos $</v>
          </cell>
          <cell r="Y399" t="str">
            <v>Depósitos</v>
          </cell>
          <cell r="Z399" t="str">
            <v>Corto $</v>
          </cell>
          <cell r="AA399" t="str">
            <v>Depósitos</v>
          </cell>
          <cell r="AB399" t="str">
            <v>Depósitos $</v>
          </cell>
          <cell r="AC399" t="str">
            <v>Instrumentos de Deuda</v>
          </cell>
          <cell r="AD399" t="str">
            <v>Financieras</v>
          </cell>
          <cell r="AE399" t="str">
            <v>Deposito CLP Banco Bci</v>
          </cell>
          <cell r="AF399" t="str">
            <v>BCI</v>
          </cell>
        </row>
        <row r="400">
          <cell r="C400" t="str">
            <v>PAGARE NR</v>
          </cell>
          <cell r="D400" t="str">
            <v>BBVA</v>
          </cell>
          <cell r="E400">
            <v>398173710</v>
          </cell>
          <cell r="F400">
            <v>400000000</v>
          </cell>
          <cell r="G400">
            <v>9.9340000000000001E-3</v>
          </cell>
          <cell r="H400">
            <v>0.32</v>
          </cell>
          <cell r="I400" t="str">
            <v>2017-01-05</v>
          </cell>
          <cell r="J400">
            <v>42</v>
          </cell>
          <cell r="K400">
            <v>0.12</v>
          </cell>
          <cell r="L400">
            <v>0</v>
          </cell>
          <cell r="M400" t="str">
            <v>$</v>
          </cell>
          <cell r="N400" t="str">
            <v>RFL</v>
          </cell>
          <cell r="O400" t="str">
            <v>Renta Fija Local</v>
          </cell>
          <cell r="P400" t="str">
            <v>N-1</v>
          </cell>
          <cell r="Q400" t="str">
            <v>Corto</v>
          </cell>
          <cell r="R400" t="str">
            <v>Depósitos $</v>
          </cell>
          <cell r="S400">
            <v>0.90830999999999995</v>
          </cell>
          <cell r="T400" t="str">
            <v>N-1</v>
          </cell>
          <cell r="U400" t="str">
            <v>25</v>
          </cell>
          <cell r="V400" t="str">
            <v>Depósitos</v>
          </cell>
          <cell r="W400" t="str">
            <v>Depósitos</v>
          </cell>
          <cell r="X400" t="str">
            <v>Depósitos $</v>
          </cell>
          <cell r="Y400" t="str">
            <v>Depósitos</v>
          </cell>
          <cell r="Z400" t="str">
            <v>Corto $</v>
          </cell>
          <cell r="AA400" t="str">
            <v>Depósitos</v>
          </cell>
          <cell r="AB400" t="str">
            <v>Depósitos $</v>
          </cell>
          <cell r="AC400" t="str">
            <v>Instrumentos de Deuda</v>
          </cell>
          <cell r="AD400" t="str">
            <v>Financieras</v>
          </cell>
          <cell r="AE400" t="str">
            <v>Deposito CLP Banco Bbva</v>
          </cell>
          <cell r="AF400" t="str">
            <v>BBVA</v>
          </cell>
        </row>
        <row r="401">
          <cell r="C401" t="str">
            <v>PAGARE NR</v>
          </cell>
          <cell r="D401" t="str">
            <v>CONSORCIO</v>
          </cell>
          <cell r="E401">
            <v>994892883</v>
          </cell>
          <cell r="F401">
            <v>1000000000</v>
          </cell>
          <cell r="G401">
            <v>2.4822E-2</v>
          </cell>
          <cell r="H401">
            <v>0.35</v>
          </cell>
          <cell r="I401" t="str">
            <v>2017-01-06</v>
          </cell>
          <cell r="J401">
            <v>43</v>
          </cell>
          <cell r="K401">
            <v>0.12</v>
          </cell>
          <cell r="L401">
            <v>0</v>
          </cell>
          <cell r="M401" t="str">
            <v>$</v>
          </cell>
          <cell r="N401" t="str">
            <v>RFL</v>
          </cell>
          <cell r="O401" t="str">
            <v>Renta Fija Local</v>
          </cell>
          <cell r="P401" t="str">
            <v>N-1</v>
          </cell>
          <cell r="Q401" t="str">
            <v>Corto</v>
          </cell>
          <cell r="R401" t="str">
            <v>Depósitos $</v>
          </cell>
          <cell r="S401">
            <v>1.281801</v>
          </cell>
          <cell r="T401" t="str">
            <v>N-1</v>
          </cell>
          <cell r="U401" t="str">
            <v>25</v>
          </cell>
          <cell r="V401" t="str">
            <v>Depósitos</v>
          </cell>
          <cell r="W401" t="str">
            <v>Depósitos</v>
          </cell>
          <cell r="X401" t="str">
            <v>Depósitos $</v>
          </cell>
          <cell r="Y401" t="str">
            <v>Depósitos</v>
          </cell>
          <cell r="Z401" t="str">
            <v>Corto $</v>
          </cell>
          <cell r="AA401" t="str">
            <v>Depósitos</v>
          </cell>
          <cell r="AB401" t="str">
            <v>Depósitos $</v>
          </cell>
          <cell r="AC401" t="str">
            <v>Instrumentos de Deuda</v>
          </cell>
          <cell r="AD401" t="str">
            <v>Financieras</v>
          </cell>
          <cell r="AE401" t="str">
            <v>Deposito CLP Banco Consorcio</v>
          </cell>
          <cell r="AF401" t="str">
            <v>Banco Consorcio</v>
          </cell>
        </row>
        <row r="402">
          <cell r="C402" t="str">
            <v>PAGARE NR</v>
          </cell>
          <cell r="D402" t="str">
            <v>CORPBANCA</v>
          </cell>
          <cell r="E402">
            <v>298554994</v>
          </cell>
          <cell r="F402">
            <v>300000000</v>
          </cell>
          <cell r="G402">
            <v>7.4479999999999998E-3</v>
          </cell>
          <cell r="H402">
            <v>0.33</v>
          </cell>
          <cell r="I402" t="str">
            <v>2017-01-06</v>
          </cell>
          <cell r="J402">
            <v>43</v>
          </cell>
          <cell r="K402">
            <v>0.12</v>
          </cell>
          <cell r="L402">
            <v>0</v>
          </cell>
          <cell r="M402" t="str">
            <v>$</v>
          </cell>
          <cell r="N402" t="str">
            <v>RFL</v>
          </cell>
          <cell r="O402" t="str">
            <v>Renta Fija Local</v>
          </cell>
          <cell r="P402" t="str">
            <v>N-1</v>
          </cell>
          <cell r="Q402" t="str">
            <v>Corto</v>
          </cell>
          <cell r="R402" t="str">
            <v>Depósitos $</v>
          </cell>
          <cell r="S402">
            <v>1.0326709999999999</v>
          </cell>
          <cell r="T402" t="str">
            <v>N-1</v>
          </cell>
          <cell r="U402" t="str">
            <v>25</v>
          </cell>
          <cell r="V402" t="str">
            <v>Depósitos</v>
          </cell>
          <cell r="W402" t="str">
            <v>Depósitos</v>
          </cell>
          <cell r="X402" t="str">
            <v>Depósitos $</v>
          </cell>
          <cell r="Y402" t="str">
            <v>Depósitos</v>
          </cell>
          <cell r="Z402" t="str">
            <v>Corto $</v>
          </cell>
          <cell r="AA402" t="str">
            <v>Depósitos</v>
          </cell>
          <cell r="AB402" t="str">
            <v>Depósitos $</v>
          </cell>
          <cell r="AC402" t="str">
            <v>Instrumentos de Deuda</v>
          </cell>
          <cell r="AD402" t="str">
            <v>Financieras</v>
          </cell>
          <cell r="AE402" t="str">
            <v>Deposito CLP Banco Corpbanca</v>
          </cell>
          <cell r="AF402" t="str">
            <v>Itau/Corpbanca</v>
          </cell>
        </row>
        <row r="403">
          <cell r="C403" t="str">
            <v>PAGARE NR</v>
          </cell>
          <cell r="D403" t="str">
            <v>SANTANDER</v>
          </cell>
          <cell r="E403">
            <v>199036663</v>
          </cell>
          <cell r="F403">
            <v>200000000</v>
          </cell>
          <cell r="G403">
            <v>4.9649999999999998E-3</v>
          </cell>
          <cell r="H403">
            <v>0.33</v>
          </cell>
          <cell r="I403" t="str">
            <v>2017-01-06</v>
          </cell>
          <cell r="J403">
            <v>43</v>
          </cell>
          <cell r="K403">
            <v>0.12</v>
          </cell>
          <cell r="L403">
            <v>0</v>
          </cell>
          <cell r="M403" t="str">
            <v>$</v>
          </cell>
          <cell r="N403" t="str">
            <v>RFL</v>
          </cell>
          <cell r="O403" t="str">
            <v>Renta Fija Local</v>
          </cell>
          <cell r="P403" t="str">
            <v>N-1</v>
          </cell>
          <cell r="Q403" t="str">
            <v>Corto</v>
          </cell>
          <cell r="R403" t="str">
            <v>Depósitos $</v>
          </cell>
          <cell r="S403">
            <v>1.0326709999999999</v>
          </cell>
          <cell r="T403" t="str">
            <v>N-1</v>
          </cell>
          <cell r="U403" t="str">
            <v>25</v>
          </cell>
          <cell r="V403" t="str">
            <v>Depósitos</v>
          </cell>
          <cell r="W403" t="str">
            <v>Depósitos</v>
          </cell>
          <cell r="X403" t="str">
            <v>Depósitos $</v>
          </cell>
          <cell r="Y403" t="str">
            <v>Depósitos</v>
          </cell>
          <cell r="Z403" t="str">
            <v>Corto $</v>
          </cell>
          <cell r="AA403" t="str">
            <v>Depósitos</v>
          </cell>
          <cell r="AB403" t="str">
            <v>Depósitos $</v>
          </cell>
          <cell r="AC403" t="str">
            <v>Instrumentos de Deuda</v>
          </cell>
          <cell r="AD403" t="str">
            <v>Financieras</v>
          </cell>
          <cell r="AE403" t="str">
            <v>Deposito CLP Banco Santander</v>
          </cell>
          <cell r="AF403" t="str">
            <v>Banco Santander</v>
          </cell>
        </row>
        <row r="404">
          <cell r="C404" t="str">
            <v>PAGARE NR</v>
          </cell>
          <cell r="D404" t="str">
            <v>SCOTIABANK</v>
          </cell>
          <cell r="E404">
            <v>398131436</v>
          </cell>
          <cell r="F404">
            <v>400000000</v>
          </cell>
          <cell r="G404">
            <v>9.9330000000000009E-3</v>
          </cell>
          <cell r="H404">
            <v>0.32</v>
          </cell>
          <cell r="I404" t="str">
            <v>2017-01-06</v>
          </cell>
          <cell r="J404">
            <v>43</v>
          </cell>
          <cell r="K404">
            <v>0.12</v>
          </cell>
          <cell r="L404">
            <v>0</v>
          </cell>
          <cell r="M404" t="str">
            <v>$</v>
          </cell>
          <cell r="N404" t="str">
            <v>RFL</v>
          </cell>
          <cell r="O404" t="str">
            <v>Renta Fija Local</v>
          </cell>
          <cell r="P404" t="str">
            <v>N-1</v>
          </cell>
          <cell r="Q404" t="str">
            <v>Corto</v>
          </cell>
          <cell r="R404" t="str">
            <v>Depósitos $</v>
          </cell>
          <cell r="S404">
            <v>0.90830999999999995</v>
          </cell>
          <cell r="T404" t="str">
            <v>N-1</v>
          </cell>
          <cell r="U404" t="str">
            <v>25</v>
          </cell>
          <cell r="V404" t="str">
            <v>Depósitos</v>
          </cell>
          <cell r="W404" t="str">
            <v>Depósitos</v>
          </cell>
          <cell r="X404" t="str">
            <v>Depósitos $</v>
          </cell>
          <cell r="Y404" t="str">
            <v>Depósitos</v>
          </cell>
          <cell r="Z404" t="str">
            <v>Corto $</v>
          </cell>
          <cell r="AA404" t="str">
            <v>Depósitos</v>
          </cell>
          <cell r="AB404" t="str">
            <v>Depósitos $</v>
          </cell>
          <cell r="AC404" t="str">
            <v>Instrumentos de Deuda</v>
          </cell>
          <cell r="AD404" t="str">
            <v>Financieras</v>
          </cell>
          <cell r="AE404" t="str">
            <v>Deposito CLP Banco Scotiabank</v>
          </cell>
          <cell r="AF404" t="str">
            <v>Scotiabank</v>
          </cell>
        </row>
        <row r="405">
          <cell r="C405" t="str">
            <v>PAGARE NR</v>
          </cell>
          <cell r="D405" t="str">
            <v>BCI</v>
          </cell>
          <cell r="E405">
            <v>609846096</v>
          </cell>
          <cell r="F405">
            <v>612999000</v>
          </cell>
          <cell r="G405">
            <v>1.5214999999999999E-2</v>
          </cell>
          <cell r="H405">
            <v>0.33</v>
          </cell>
          <cell r="I405" t="str">
            <v>2017-01-09</v>
          </cell>
          <cell r="J405">
            <v>46</v>
          </cell>
          <cell r="K405">
            <v>0.13</v>
          </cell>
          <cell r="L405">
            <v>0</v>
          </cell>
          <cell r="M405" t="str">
            <v>$</v>
          </cell>
          <cell r="N405" t="str">
            <v>RFL</v>
          </cell>
          <cell r="O405" t="str">
            <v>Renta Fija Local</v>
          </cell>
          <cell r="P405" t="str">
            <v>N-1</v>
          </cell>
          <cell r="Q405" t="str">
            <v>Corto</v>
          </cell>
          <cell r="R405" t="str">
            <v>Depósitos $</v>
          </cell>
          <cell r="S405">
            <v>1.0326709999999999</v>
          </cell>
          <cell r="T405" t="str">
            <v>N-1</v>
          </cell>
          <cell r="U405" t="str">
            <v>25</v>
          </cell>
          <cell r="V405" t="str">
            <v>Depósitos</v>
          </cell>
          <cell r="W405" t="str">
            <v>Depósitos</v>
          </cell>
          <cell r="X405" t="str">
            <v>Depósitos $</v>
          </cell>
          <cell r="Y405" t="str">
            <v>Depósitos</v>
          </cell>
          <cell r="Z405" t="str">
            <v>Corto $</v>
          </cell>
          <cell r="AA405" t="str">
            <v>Depósitos</v>
          </cell>
          <cell r="AB405" t="str">
            <v>Depósitos $</v>
          </cell>
          <cell r="AC405" t="str">
            <v>Instrumentos de Deuda</v>
          </cell>
          <cell r="AD405" t="str">
            <v>Financieras</v>
          </cell>
          <cell r="AE405" t="str">
            <v>Deposito CLP Banco Bci</v>
          </cell>
          <cell r="AF405" t="str">
            <v>BCI</v>
          </cell>
        </row>
        <row r="406">
          <cell r="C406" t="str">
            <v>PAGARE NR</v>
          </cell>
          <cell r="D406" t="str">
            <v>ITAU</v>
          </cell>
          <cell r="E406">
            <v>397962432</v>
          </cell>
          <cell r="F406">
            <v>400000000</v>
          </cell>
          <cell r="G406">
            <v>9.9279999999999993E-3</v>
          </cell>
          <cell r="H406">
            <v>0.32</v>
          </cell>
          <cell r="I406" t="str">
            <v>2017-01-10</v>
          </cell>
          <cell r="J406">
            <v>47</v>
          </cell>
          <cell r="K406">
            <v>0.13</v>
          </cell>
          <cell r="L406">
            <v>0</v>
          </cell>
          <cell r="M406" t="str">
            <v>$</v>
          </cell>
          <cell r="N406" t="str">
            <v>RFL</v>
          </cell>
          <cell r="O406" t="str">
            <v>Renta Fija Local</v>
          </cell>
          <cell r="P406" t="str">
            <v>N-1</v>
          </cell>
          <cell r="Q406" t="str">
            <v>Corto</v>
          </cell>
          <cell r="R406" t="str">
            <v>Depósitos $</v>
          </cell>
          <cell r="S406">
            <v>0.90830999999999995</v>
          </cell>
          <cell r="T406" t="str">
            <v>N-1</v>
          </cell>
          <cell r="U406" t="str">
            <v>25</v>
          </cell>
          <cell r="V406" t="str">
            <v>Depósitos</v>
          </cell>
          <cell r="W406" t="str">
            <v>Depósitos</v>
          </cell>
          <cell r="X406" t="str">
            <v>Depósitos $</v>
          </cell>
          <cell r="Y406" t="str">
            <v>Depósitos</v>
          </cell>
          <cell r="Z406" t="str">
            <v>Corto $</v>
          </cell>
          <cell r="AA406" t="str">
            <v>Depósitos</v>
          </cell>
          <cell r="AB406" t="str">
            <v>Depósitos $</v>
          </cell>
          <cell r="AC406" t="str">
            <v>Instrumentos de Deuda</v>
          </cell>
          <cell r="AD406" t="str">
            <v>Financieras</v>
          </cell>
          <cell r="AE406" t="str">
            <v>Deposito CLP Banco Itau</v>
          </cell>
          <cell r="AF406" t="str">
            <v>Itau/Corpbanca</v>
          </cell>
        </row>
        <row r="407">
          <cell r="C407" t="str">
            <v>PAGARE NR</v>
          </cell>
          <cell r="D407" t="str">
            <v>ITAU</v>
          </cell>
          <cell r="E407">
            <v>397855559</v>
          </cell>
          <cell r="F407">
            <v>400000000</v>
          </cell>
          <cell r="G407">
            <v>9.9260000000000008E-3</v>
          </cell>
          <cell r="H407">
            <v>0.33</v>
          </cell>
          <cell r="I407" t="str">
            <v>2017-01-11</v>
          </cell>
          <cell r="J407">
            <v>48</v>
          </cell>
          <cell r="K407">
            <v>0.13</v>
          </cell>
          <cell r="L407">
            <v>0</v>
          </cell>
          <cell r="M407" t="str">
            <v>$</v>
          </cell>
          <cell r="N407" t="str">
            <v>RFL</v>
          </cell>
          <cell r="O407" t="str">
            <v>Renta Fija Local</v>
          </cell>
          <cell r="P407" t="str">
            <v>N-1</v>
          </cell>
          <cell r="Q407" t="str">
            <v>Corto</v>
          </cell>
          <cell r="R407" t="str">
            <v>Depósitos $</v>
          </cell>
          <cell r="S407">
            <v>1.0326709999999999</v>
          </cell>
          <cell r="T407" t="str">
            <v>N-1</v>
          </cell>
          <cell r="U407" t="str">
            <v>25</v>
          </cell>
          <cell r="V407" t="str">
            <v>Depósitos</v>
          </cell>
          <cell r="W407" t="str">
            <v>Depósitos</v>
          </cell>
          <cell r="X407" t="str">
            <v>Depósitos $</v>
          </cell>
          <cell r="Y407" t="str">
            <v>Depósitos</v>
          </cell>
          <cell r="Z407" t="str">
            <v>Corto $</v>
          </cell>
          <cell r="AA407" t="str">
            <v>Depósitos</v>
          </cell>
          <cell r="AB407" t="str">
            <v>Depósitos $</v>
          </cell>
          <cell r="AC407" t="str">
            <v>Instrumentos de Deuda</v>
          </cell>
          <cell r="AD407" t="str">
            <v>Financieras</v>
          </cell>
          <cell r="AE407" t="str">
            <v>Deposito CLP Banco Itau</v>
          </cell>
          <cell r="AF407" t="str">
            <v>Itau/Corpbanca</v>
          </cell>
        </row>
        <row r="408">
          <cell r="C408" t="str">
            <v>PAGARE NR</v>
          </cell>
          <cell r="D408" t="str">
            <v>ESTADO</v>
          </cell>
          <cell r="E408">
            <v>298359025</v>
          </cell>
          <cell r="F408">
            <v>300000000</v>
          </cell>
          <cell r="G408">
            <v>7.443E-3</v>
          </cell>
          <cell r="H408">
            <v>0.33</v>
          </cell>
          <cell r="I408" t="str">
            <v>2017-01-12</v>
          </cell>
          <cell r="J408">
            <v>49</v>
          </cell>
          <cell r="K408">
            <v>0.14000000000000001</v>
          </cell>
          <cell r="L408">
            <v>0</v>
          </cell>
          <cell r="M408" t="str">
            <v>$</v>
          </cell>
          <cell r="N408" t="str">
            <v>RFL</v>
          </cell>
          <cell r="O408" t="str">
            <v>Renta Fija Local</v>
          </cell>
          <cell r="P408" t="str">
            <v>N-1</v>
          </cell>
          <cell r="Q408" t="str">
            <v>Corto</v>
          </cell>
          <cell r="R408" t="str">
            <v>Depósitos $</v>
          </cell>
          <cell r="S408">
            <v>1.0326709999999999</v>
          </cell>
          <cell r="T408" t="str">
            <v>N-1</v>
          </cell>
          <cell r="U408" t="str">
            <v>25</v>
          </cell>
          <cell r="V408" t="str">
            <v>Depósitos</v>
          </cell>
          <cell r="W408" t="str">
            <v>Depósitos</v>
          </cell>
          <cell r="X408" t="str">
            <v>Depósitos $</v>
          </cell>
          <cell r="Y408" t="str">
            <v>Depósitos</v>
          </cell>
          <cell r="Z408" t="str">
            <v>Corto $</v>
          </cell>
          <cell r="AA408" t="str">
            <v>Depósitos</v>
          </cell>
          <cell r="AB408" t="str">
            <v>Depósitos $</v>
          </cell>
          <cell r="AC408" t="str">
            <v>Instrumentos de Deuda</v>
          </cell>
          <cell r="AD408" t="str">
            <v>Financieras</v>
          </cell>
          <cell r="AE408" t="str">
            <v>Deposito CLP Banco Estado</v>
          </cell>
          <cell r="AF408" t="str">
            <v>Banco Estado</v>
          </cell>
        </row>
        <row r="409">
          <cell r="C409" t="str">
            <v>PAGARE NR</v>
          </cell>
          <cell r="D409" t="str">
            <v>ESTADO</v>
          </cell>
          <cell r="E409">
            <v>497429945</v>
          </cell>
          <cell r="F409">
            <v>500000000</v>
          </cell>
          <cell r="G409">
            <v>1.2409999999999999E-2</v>
          </cell>
          <cell r="H409">
            <v>0.31</v>
          </cell>
          <cell r="I409" t="str">
            <v>2017-01-12</v>
          </cell>
          <cell r="J409">
            <v>49</v>
          </cell>
          <cell r="K409">
            <v>0.14000000000000001</v>
          </cell>
          <cell r="L409">
            <v>0</v>
          </cell>
          <cell r="M409" t="str">
            <v>$</v>
          </cell>
          <cell r="N409" t="str">
            <v>RFL</v>
          </cell>
          <cell r="O409" t="str">
            <v>Renta Fija Local</v>
          </cell>
          <cell r="P409" t="str">
            <v>N-1</v>
          </cell>
          <cell r="Q409" t="str">
            <v>Corto</v>
          </cell>
          <cell r="R409" t="str">
            <v>Depósitos $</v>
          </cell>
          <cell r="S409">
            <v>0.78408599999999995</v>
          </cell>
          <cell r="T409" t="str">
            <v>N-1</v>
          </cell>
          <cell r="U409" t="str">
            <v>25</v>
          </cell>
          <cell r="V409" t="str">
            <v>Depósitos</v>
          </cell>
          <cell r="W409" t="str">
            <v>Depósitos</v>
          </cell>
          <cell r="X409" t="str">
            <v>Depósitos $</v>
          </cell>
          <cell r="Y409" t="str">
            <v>Depósitos</v>
          </cell>
          <cell r="Z409" t="str">
            <v>Corto $</v>
          </cell>
          <cell r="AA409" t="str">
            <v>Depósitos</v>
          </cell>
          <cell r="AB409" t="str">
            <v>Depósitos $</v>
          </cell>
          <cell r="AC409" t="str">
            <v>Instrumentos de Deuda</v>
          </cell>
          <cell r="AD409" t="str">
            <v>Financieras</v>
          </cell>
          <cell r="AE409" t="str">
            <v>Deposito CLP Banco Estado</v>
          </cell>
          <cell r="AF409" t="str">
            <v>Banco Estado</v>
          </cell>
        </row>
        <row r="410">
          <cell r="C410" t="str">
            <v>PAGARE NR</v>
          </cell>
          <cell r="D410" t="str">
            <v>ESTADO</v>
          </cell>
          <cell r="E410">
            <v>298376830</v>
          </cell>
          <cell r="F410">
            <v>300000000</v>
          </cell>
          <cell r="G410">
            <v>7.4440000000000001E-3</v>
          </cell>
          <cell r="H410">
            <v>0.32</v>
          </cell>
          <cell r="I410" t="str">
            <v>2017-01-13</v>
          </cell>
          <cell r="J410">
            <v>50</v>
          </cell>
          <cell r="K410">
            <v>0.14000000000000001</v>
          </cell>
          <cell r="L410">
            <v>0</v>
          </cell>
          <cell r="M410" t="str">
            <v>$</v>
          </cell>
          <cell r="N410" t="str">
            <v>RFL</v>
          </cell>
          <cell r="O410" t="str">
            <v>Renta Fija Local</v>
          </cell>
          <cell r="P410" t="str">
            <v>N-1</v>
          </cell>
          <cell r="Q410" t="str">
            <v>Corto</v>
          </cell>
          <cell r="R410" t="str">
            <v>Depósitos $</v>
          </cell>
          <cell r="S410">
            <v>0.90830999999999995</v>
          </cell>
          <cell r="T410" t="str">
            <v>N-1</v>
          </cell>
          <cell r="U410" t="str">
            <v>25</v>
          </cell>
          <cell r="V410" t="str">
            <v>Depósitos</v>
          </cell>
          <cell r="W410" t="str">
            <v>Depósitos</v>
          </cell>
          <cell r="X410" t="str">
            <v>Depósitos $</v>
          </cell>
          <cell r="Y410" t="str">
            <v>Depósitos</v>
          </cell>
          <cell r="Z410" t="str">
            <v>Corto $</v>
          </cell>
          <cell r="AA410" t="str">
            <v>Depósitos</v>
          </cell>
          <cell r="AB410" t="str">
            <v>Depósitos $</v>
          </cell>
          <cell r="AC410" t="str">
            <v>Instrumentos de Deuda</v>
          </cell>
          <cell r="AD410" t="str">
            <v>Financieras</v>
          </cell>
          <cell r="AE410" t="str">
            <v>Deposito CLP Banco Estado</v>
          </cell>
          <cell r="AF410" t="str">
            <v>Banco Estado</v>
          </cell>
        </row>
        <row r="411">
          <cell r="C411" t="str">
            <v>PAGARE NR</v>
          </cell>
          <cell r="D411" t="str">
            <v>ESTADO</v>
          </cell>
          <cell r="E411">
            <v>596652778</v>
          </cell>
          <cell r="F411">
            <v>600000000</v>
          </cell>
          <cell r="G411">
            <v>1.4886E-2</v>
          </cell>
          <cell r="H411">
            <v>0.33</v>
          </cell>
          <cell r="I411" t="str">
            <v>2017-01-13</v>
          </cell>
          <cell r="J411">
            <v>50</v>
          </cell>
          <cell r="K411">
            <v>0.14000000000000001</v>
          </cell>
          <cell r="L411">
            <v>0</v>
          </cell>
          <cell r="M411" t="str">
            <v>$</v>
          </cell>
          <cell r="N411" t="str">
            <v>RFL</v>
          </cell>
          <cell r="O411" t="str">
            <v>Renta Fija Local</v>
          </cell>
          <cell r="P411" t="str">
            <v>N-1</v>
          </cell>
          <cell r="Q411" t="str">
            <v>Corto</v>
          </cell>
          <cell r="R411" t="str">
            <v>Depósitos $</v>
          </cell>
          <cell r="S411">
            <v>1.0326709999999999</v>
          </cell>
          <cell r="T411" t="str">
            <v>N-1</v>
          </cell>
          <cell r="U411" t="str">
            <v>25</v>
          </cell>
          <cell r="V411" t="str">
            <v>Depósitos</v>
          </cell>
          <cell r="W411" t="str">
            <v>Depósitos</v>
          </cell>
          <cell r="X411" t="str">
            <v>Depósitos $</v>
          </cell>
          <cell r="Y411" t="str">
            <v>Depósitos</v>
          </cell>
          <cell r="Z411" t="str">
            <v>Corto $</v>
          </cell>
          <cell r="AA411" t="str">
            <v>Depósitos</v>
          </cell>
          <cell r="AB411" t="str">
            <v>Depósitos $</v>
          </cell>
          <cell r="AC411" t="str">
            <v>Instrumentos de Deuda</v>
          </cell>
          <cell r="AD411" t="str">
            <v>Financieras</v>
          </cell>
          <cell r="AE411" t="str">
            <v>Deposito CLP Banco Estado</v>
          </cell>
          <cell r="AF411" t="str">
            <v>Banco Estado</v>
          </cell>
        </row>
        <row r="412">
          <cell r="C412" t="str">
            <v>PAGARE NR</v>
          </cell>
          <cell r="D412" t="str">
            <v>SCOTIABANK</v>
          </cell>
          <cell r="E412">
            <v>397768519</v>
          </cell>
          <cell r="F412">
            <v>400000000</v>
          </cell>
          <cell r="G412">
            <v>9.9240000000000005E-3</v>
          </cell>
          <cell r="H412">
            <v>0.33</v>
          </cell>
          <cell r="I412" t="str">
            <v>2017-01-13</v>
          </cell>
          <cell r="J412">
            <v>50</v>
          </cell>
          <cell r="K412">
            <v>0.14000000000000001</v>
          </cell>
          <cell r="L412">
            <v>0</v>
          </cell>
          <cell r="M412" t="str">
            <v>$</v>
          </cell>
          <cell r="N412" t="str">
            <v>RFL</v>
          </cell>
          <cell r="O412" t="str">
            <v>Renta Fija Local</v>
          </cell>
          <cell r="P412" t="str">
            <v>N-1</v>
          </cell>
          <cell r="Q412" t="str">
            <v>Corto</v>
          </cell>
          <cell r="R412" t="str">
            <v>Depósitos $</v>
          </cell>
          <cell r="S412">
            <v>1.0326709999999999</v>
          </cell>
          <cell r="T412" t="str">
            <v>N-1</v>
          </cell>
          <cell r="U412" t="str">
            <v>25</v>
          </cell>
          <cell r="V412" t="str">
            <v>Depósitos</v>
          </cell>
          <cell r="W412" t="str">
            <v>Depósitos</v>
          </cell>
          <cell r="X412" t="str">
            <v>Depósitos $</v>
          </cell>
          <cell r="Y412" t="str">
            <v>Depósitos</v>
          </cell>
          <cell r="Z412" t="str">
            <v>Corto $</v>
          </cell>
          <cell r="AA412" t="str">
            <v>Depósitos</v>
          </cell>
          <cell r="AB412" t="str">
            <v>Depósitos $</v>
          </cell>
          <cell r="AC412" t="str">
            <v>Instrumentos de Deuda</v>
          </cell>
          <cell r="AD412" t="str">
            <v>Financieras</v>
          </cell>
          <cell r="AE412" t="str">
            <v>Deposito CLP Banco Scotiabank</v>
          </cell>
          <cell r="AF412" t="str">
            <v>Scotiabank</v>
          </cell>
        </row>
        <row r="413">
          <cell r="C413" t="str">
            <v>PAGARE NR</v>
          </cell>
          <cell r="D413" t="str">
            <v>ITAUCORP</v>
          </cell>
          <cell r="E413">
            <v>497047538</v>
          </cell>
          <cell r="F413">
            <v>500000000</v>
          </cell>
          <cell r="G413">
            <v>1.2401000000000001E-2</v>
          </cell>
          <cell r="H413">
            <v>0.33</v>
          </cell>
          <cell r="I413" t="str">
            <v>2017-01-16</v>
          </cell>
          <cell r="J413">
            <v>53</v>
          </cell>
          <cell r="K413">
            <v>0.15</v>
          </cell>
          <cell r="L413">
            <v>0</v>
          </cell>
          <cell r="M413" t="str">
            <v>$</v>
          </cell>
          <cell r="N413" t="str">
            <v>RFL</v>
          </cell>
          <cell r="O413" t="str">
            <v>Renta Fija Local</v>
          </cell>
          <cell r="P413" t="str">
            <v>N-1</v>
          </cell>
          <cell r="Q413" t="str">
            <v>Corto</v>
          </cell>
          <cell r="R413" t="str">
            <v>Depósitos $</v>
          </cell>
          <cell r="S413">
            <v>1.0326709999999999</v>
          </cell>
          <cell r="T413" t="str">
            <v>N-1</v>
          </cell>
          <cell r="U413" t="str">
            <v>25</v>
          </cell>
          <cell r="V413" t="str">
            <v>Depósitos</v>
          </cell>
          <cell r="W413" t="str">
            <v>Depósitos</v>
          </cell>
          <cell r="X413" t="str">
            <v>Depósitos $</v>
          </cell>
          <cell r="Y413" t="str">
            <v>Depósitos</v>
          </cell>
          <cell r="Z413" t="str">
            <v>Corto $</v>
          </cell>
          <cell r="AA413" t="str">
            <v>Depósitos</v>
          </cell>
          <cell r="AB413" t="str">
            <v>Depósitos $</v>
          </cell>
          <cell r="AC413" t="str">
            <v>Instrumentos de Deuda</v>
          </cell>
          <cell r="AD413" t="str">
            <v>Financieras</v>
          </cell>
          <cell r="AE413" t="str">
            <v>Deposito CLP Banco Itaucorp</v>
          </cell>
          <cell r="AF413" t="str">
            <v>Itau/Corpbanca</v>
          </cell>
        </row>
        <row r="414">
          <cell r="C414" t="str">
            <v>PAGARE NR</v>
          </cell>
          <cell r="D414" t="str">
            <v>ESTADO</v>
          </cell>
          <cell r="E414">
            <v>298281897</v>
          </cell>
          <cell r="F414">
            <v>300000000</v>
          </cell>
          <cell r="G414">
            <v>7.4409999999999997E-3</v>
          </cell>
          <cell r="H414">
            <v>0.32</v>
          </cell>
          <cell r="I414" t="str">
            <v>2017-01-16</v>
          </cell>
          <cell r="J414">
            <v>53</v>
          </cell>
          <cell r="K414">
            <v>0.15</v>
          </cell>
          <cell r="L414">
            <v>0</v>
          </cell>
          <cell r="M414" t="str">
            <v>$</v>
          </cell>
          <cell r="N414" t="str">
            <v>RFL</v>
          </cell>
          <cell r="O414" t="str">
            <v>Renta Fija Local</v>
          </cell>
          <cell r="P414" t="str">
            <v>N-1</v>
          </cell>
          <cell r="Q414" t="str">
            <v>Corto</v>
          </cell>
          <cell r="R414" t="str">
            <v>Depósitos $</v>
          </cell>
          <cell r="S414">
            <v>0.90830999999999995</v>
          </cell>
          <cell r="T414" t="str">
            <v>N-1</v>
          </cell>
          <cell r="U414" t="str">
            <v>25</v>
          </cell>
          <cell r="V414" t="str">
            <v>Depósitos</v>
          </cell>
          <cell r="W414" t="str">
            <v>Depósitos</v>
          </cell>
          <cell r="X414" t="str">
            <v>Depósitos $</v>
          </cell>
          <cell r="Y414" t="str">
            <v>Depósitos</v>
          </cell>
          <cell r="Z414" t="str">
            <v>Corto $</v>
          </cell>
          <cell r="AA414" t="str">
            <v>Depósitos</v>
          </cell>
          <cell r="AB414" t="str">
            <v>Depósitos $</v>
          </cell>
          <cell r="AC414" t="str">
            <v>Instrumentos de Deuda</v>
          </cell>
          <cell r="AD414" t="str">
            <v>Financieras</v>
          </cell>
          <cell r="AE414" t="str">
            <v>Deposito CLP Banco Estado</v>
          </cell>
          <cell r="AF414" t="str">
            <v>Banco Estado</v>
          </cell>
        </row>
        <row r="415">
          <cell r="C415" t="str">
            <v>PAGARE NR</v>
          </cell>
          <cell r="D415" t="str">
            <v>ESTADO</v>
          </cell>
          <cell r="E415">
            <v>99409508</v>
          </cell>
          <cell r="F415">
            <v>100000000</v>
          </cell>
          <cell r="G415">
            <v>2.48E-3</v>
          </cell>
          <cell r="H415">
            <v>0.33</v>
          </cell>
          <cell r="I415" t="str">
            <v>2017-01-16</v>
          </cell>
          <cell r="J415">
            <v>53</v>
          </cell>
          <cell r="K415">
            <v>0.15</v>
          </cell>
          <cell r="L415">
            <v>0</v>
          </cell>
          <cell r="M415" t="str">
            <v>$</v>
          </cell>
          <cell r="N415" t="str">
            <v>RFL</v>
          </cell>
          <cell r="O415" t="str">
            <v>Renta Fija Local</v>
          </cell>
          <cell r="P415" t="str">
            <v>N-1</v>
          </cell>
          <cell r="Q415" t="str">
            <v>Corto</v>
          </cell>
          <cell r="R415" t="str">
            <v>Depósitos $</v>
          </cell>
          <cell r="S415">
            <v>1.0326709999999999</v>
          </cell>
          <cell r="T415" t="str">
            <v>N-1</v>
          </cell>
          <cell r="U415" t="str">
            <v>25</v>
          </cell>
          <cell r="V415" t="str">
            <v>Depósitos</v>
          </cell>
          <cell r="W415" t="str">
            <v>Depósitos</v>
          </cell>
          <cell r="X415" t="str">
            <v>Depósitos $</v>
          </cell>
          <cell r="Y415" t="str">
            <v>Depósitos</v>
          </cell>
          <cell r="Z415" t="str">
            <v>Corto $</v>
          </cell>
          <cell r="AA415" t="str">
            <v>Depósitos</v>
          </cell>
          <cell r="AB415" t="str">
            <v>Depósitos $</v>
          </cell>
          <cell r="AC415" t="str">
            <v>Instrumentos de Deuda</v>
          </cell>
          <cell r="AD415" t="str">
            <v>Financieras</v>
          </cell>
          <cell r="AE415" t="str">
            <v>Deposito CLP Banco Estado</v>
          </cell>
          <cell r="AF415" t="str">
            <v>Banco Estado</v>
          </cell>
        </row>
        <row r="416">
          <cell r="C416" t="str">
            <v>PAGARE NR</v>
          </cell>
          <cell r="D416" t="str">
            <v>BCI</v>
          </cell>
          <cell r="E416">
            <v>49713649</v>
          </cell>
          <cell r="F416">
            <v>50000000</v>
          </cell>
          <cell r="G416">
            <v>1.24E-3</v>
          </cell>
          <cell r="H416">
            <v>0.32</v>
          </cell>
          <cell r="I416" t="str">
            <v>2017-01-16</v>
          </cell>
          <cell r="J416">
            <v>53</v>
          </cell>
          <cell r="K416">
            <v>0.15</v>
          </cell>
          <cell r="L416">
            <v>0</v>
          </cell>
          <cell r="M416" t="str">
            <v>$</v>
          </cell>
          <cell r="N416" t="str">
            <v>RFL</v>
          </cell>
          <cell r="O416" t="str">
            <v>Renta Fija Local</v>
          </cell>
          <cell r="P416" t="str">
            <v>N-1</v>
          </cell>
          <cell r="Q416" t="str">
            <v>Corto</v>
          </cell>
          <cell r="R416" t="str">
            <v>Depósitos $</v>
          </cell>
          <cell r="S416">
            <v>0.90830999999999995</v>
          </cell>
          <cell r="T416" t="str">
            <v>N-1</v>
          </cell>
          <cell r="U416" t="str">
            <v>25</v>
          </cell>
          <cell r="V416" t="str">
            <v>Depósitos</v>
          </cell>
          <cell r="W416" t="str">
            <v>Depósitos</v>
          </cell>
          <cell r="X416" t="str">
            <v>Depósitos $</v>
          </cell>
          <cell r="Y416" t="str">
            <v>Depósitos</v>
          </cell>
          <cell r="Z416" t="str">
            <v>Corto $</v>
          </cell>
          <cell r="AA416" t="str">
            <v>Depósitos</v>
          </cell>
          <cell r="AB416" t="str">
            <v>Depósitos $</v>
          </cell>
          <cell r="AC416" t="str">
            <v>Instrumentos de Deuda</v>
          </cell>
          <cell r="AD416" t="str">
            <v>Financieras</v>
          </cell>
          <cell r="AE416" t="str">
            <v>Deposito CLP Banco Bci</v>
          </cell>
          <cell r="AF416" t="str">
            <v>BCI</v>
          </cell>
        </row>
        <row r="417">
          <cell r="C417" t="str">
            <v>PAGARE NR</v>
          </cell>
          <cell r="D417" t="str">
            <v>ESTADO</v>
          </cell>
          <cell r="E417">
            <v>496938857</v>
          </cell>
          <cell r="F417">
            <v>500000000</v>
          </cell>
          <cell r="G417">
            <v>1.2397999999999999E-2</v>
          </cell>
          <cell r="H417">
            <v>0.33</v>
          </cell>
          <cell r="I417" t="str">
            <v>2017-01-18</v>
          </cell>
          <cell r="J417">
            <v>55</v>
          </cell>
          <cell r="K417">
            <v>0.15</v>
          </cell>
          <cell r="L417">
            <v>0</v>
          </cell>
          <cell r="M417" t="str">
            <v>$</v>
          </cell>
          <cell r="N417" t="str">
            <v>RFL</v>
          </cell>
          <cell r="O417" t="str">
            <v>Renta Fija Local</v>
          </cell>
          <cell r="P417" t="str">
            <v>N-1</v>
          </cell>
          <cell r="Q417" t="str">
            <v>Corto</v>
          </cell>
          <cell r="R417" t="str">
            <v>Depósitos $</v>
          </cell>
          <cell r="S417">
            <v>1.0326709999999999</v>
          </cell>
          <cell r="T417" t="str">
            <v>N-1</v>
          </cell>
          <cell r="U417" t="str">
            <v>25</v>
          </cell>
          <cell r="V417" t="str">
            <v>Depósitos</v>
          </cell>
          <cell r="W417" t="str">
            <v>Depósitos</v>
          </cell>
          <cell r="X417" t="str">
            <v>Depósitos $</v>
          </cell>
          <cell r="Y417" t="str">
            <v>Depósitos</v>
          </cell>
          <cell r="Z417" t="str">
            <v>Corto $</v>
          </cell>
          <cell r="AA417" t="str">
            <v>Depósitos</v>
          </cell>
          <cell r="AB417" t="str">
            <v>Depósitos $</v>
          </cell>
          <cell r="AC417" t="str">
            <v>Instrumentos de Deuda</v>
          </cell>
          <cell r="AD417" t="str">
            <v>Financieras</v>
          </cell>
          <cell r="AE417" t="str">
            <v>Deposito CLP Banco Estado</v>
          </cell>
          <cell r="AF417" t="str">
            <v>Banco Estado</v>
          </cell>
        </row>
        <row r="418">
          <cell r="C418" t="str">
            <v>PAGARE NR</v>
          </cell>
          <cell r="D418" t="str">
            <v>ESTADO</v>
          </cell>
          <cell r="E418">
            <v>248561657</v>
          </cell>
          <cell r="F418">
            <v>250000000</v>
          </cell>
          <cell r="G418">
            <v>6.2009999999999999E-3</v>
          </cell>
          <cell r="H418">
            <v>0.31</v>
          </cell>
          <cell r="I418" t="str">
            <v>2017-01-18</v>
          </cell>
          <cell r="J418">
            <v>55</v>
          </cell>
          <cell r="K418">
            <v>0.15</v>
          </cell>
          <cell r="L418">
            <v>0</v>
          </cell>
          <cell r="M418" t="str">
            <v>$</v>
          </cell>
          <cell r="N418" t="str">
            <v>RFL</v>
          </cell>
          <cell r="O418" t="str">
            <v>Renta Fija Local</v>
          </cell>
          <cell r="P418" t="str">
            <v>N-1</v>
          </cell>
          <cell r="Q418" t="str">
            <v>Corto</v>
          </cell>
          <cell r="R418" t="str">
            <v>Depósitos $</v>
          </cell>
          <cell r="S418">
            <v>0.78408599999999995</v>
          </cell>
          <cell r="T418" t="str">
            <v>N-1</v>
          </cell>
          <cell r="U418" t="str">
            <v>25</v>
          </cell>
          <cell r="V418" t="str">
            <v>Depósitos</v>
          </cell>
          <cell r="W418" t="str">
            <v>Depósitos</v>
          </cell>
          <cell r="X418" t="str">
            <v>Depósitos $</v>
          </cell>
          <cell r="Y418" t="str">
            <v>Depósitos</v>
          </cell>
          <cell r="Z418" t="str">
            <v>Corto $</v>
          </cell>
          <cell r="AA418" t="str">
            <v>Depósitos</v>
          </cell>
          <cell r="AB418" t="str">
            <v>Depósitos $</v>
          </cell>
          <cell r="AC418" t="str">
            <v>Instrumentos de Deuda</v>
          </cell>
          <cell r="AD418" t="str">
            <v>Financieras</v>
          </cell>
          <cell r="AE418" t="str">
            <v>Deposito CLP Banco Estado</v>
          </cell>
          <cell r="AF418" t="str">
            <v>Banco Estado</v>
          </cell>
        </row>
        <row r="419">
          <cell r="C419" t="str">
            <v>PAGARE NR</v>
          </cell>
          <cell r="D419" t="str">
            <v>INTERNACIO</v>
          </cell>
          <cell r="E419">
            <v>99387771</v>
          </cell>
          <cell r="F419">
            <v>100000000</v>
          </cell>
          <cell r="G419">
            <v>2.4789999999999999E-3</v>
          </cell>
          <cell r="H419">
            <v>0.33</v>
          </cell>
          <cell r="I419" t="str">
            <v>2017-01-18</v>
          </cell>
          <cell r="J419">
            <v>55</v>
          </cell>
          <cell r="K419">
            <v>0.15</v>
          </cell>
          <cell r="L419">
            <v>0</v>
          </cell>
          <cell r="M419" t="str">
            <v>$</v>
          </cell>
          <cell r="N419" t="str">
            <v>RFL</v>
          </cell>
          <cell r="O419" t="str">
            <v>Renta Fija Local</v>
          </cell>
          <cell r="P419" t="str">
            <v>N-1</v>
          </cell>
          <cell r="Q419" t="str">
            <v>Corto</v>
          </cell>
          <cell r="R419" t="str">
            <v>Depósitos $</v>
          </cell>
          <cell r="S419">
            <v>1.0326709999999999</v>
          </cell>
          <cell r="T419" t="str">
            <v>N-1</v>
          </cell>
          <cell r="U419" t="str">
            <v>25</v>
          </cell>
          <cell r="V419" t="str">
            <v>Depósitos</v>
          </cell>
          <cell r="W419" t="str">
            <v>Depósitos</v>
          </cell>
          <cell r="X419" t="str">
            <v>Depósitos $</v>
          </cell>
          <cell r="Y419" t="str">
            <v>Depósitos</v>
          </cell>
          <cell r="Z419" t="str">
            <v>Corto $</v>
          </cell>
          <cell r="AA419" t="str">
            <v>Depósitos</v>
          </cell>
          <cell r="AB419" t="str">
            <v>Depósitos $</v>
          </cell>
          <cell r="AC419" t="str">
            <v>Instrumentos de Deuda</v>
          </cell>
          <cell r="AD419" t="str">
            <v>Financieras</v>
          </cell>
          <cell r="AE419" t="str">
            <v>Deposito CLP Banco Internacio</v>
          </cell>
          <cell r="AF419" t="str">
            <v>Banco Internacional</v>
          </cell>
        </row>
        <row r="420">
          <cell r="C420" t="str">
            <v>PAGARE NR</v>
          </cell>
          <cell r="D420" t="str">
            <v>INTERNACIO</v>
          </cell>
          <cell r="E420">
            <v>794954688</v>
          </cell>
          <cell r="F420">
            <v>800000000</v>
          </cell>
          <cell r="G420">
            <v>1.9833E-2</v>
          </cell>
          <cell r="H420">
            <v>0.34</v>
          </cell>
          <cell r="I420" t="str">
            <v>2017-01-18</v>
          </cell>
          <cell r="J420">
            <v>55</v>
          </cell>
          <cell r="K420">
            <v>0.15</v>
          </cell>
          <cell r="L420">
            <v>0</v>
          </cell>
          <cell r="M420" t="str">
            <v>$</v>
          </cell>
          <cell r="N420" t="str">
            <v>RFL</v>
          </cell>
          <cell r="O420" t="str">
            <v>Renta Fija Local</v>
          </cell>
          <cell r="P420" t="str">
            <v>N-1</v>
          </cell>
          <cell r="Q420" t="str">
            <v>Corto</v>
          </cell>
          <cell r="R420" t="str">
            <v>Depósitos $</v>
          </cell>
          <cell r="S420">
            <v>1.1571670000000001</v>
          </cell>
          <cell r="T420" t="str">
            <v>N-1</v>
          </cell>
          <cell r="U420" t="str">
            <v>25</v>
          </cell>
          <cell r="V420" t="str">
            <v>Depósitos</v>
          </cell>
          <cell r="W420" t="str">
            <v>Depósitos</v>
          </cell>
          <cell r="X420" t="str">
            <v>Depósitos $</v>
          </cell>
          <cell r="Y420" t="str">
            <v>Depósitos</v>
          </cell>
          <cell r="Z420" t="str">
            <v>Corto $</v>
          </cell>
          <cell r="AA420" t="str">
            <v>Depósitos</v>
          </cell>
          <cell r="AB420" t="str">
            <v>Depósitos $</v>
          </cell>
          <cell r="AC420" t="str">
            <v>Instrumentos de Deuda</v>
          </cell>
          <cell r="AD420" t="str">
            <v>Financieras</v>
          </cell>
          <cell r="AE420" t="str">
            <v>Deposito CLP Banco Internacio</v>
          </cell>
          <cell r="AF420" t="str">
            <v>Banco Internacional</v>
          </cell>
        </row>
        <row r="421">
          <cell r="C421" t="str">
            <v>PAGARE NR</v>
          </cell>
          <cell r="D421" t="str">
            <v>ITAUCORP</v>
          </cell>
          <cell r="E421">
            <v>198791349</v>
          </cell>
          <cell r="F421">
            <v>200000000</v>
          </cell>
          <cell r="G421">
            <v>4.9589999999999999E-3</v>
          </cell>
          <cell r="H421">
            <v>0.32</v>
          </cell>
          <cell r="I421" t="str">
            <v>2017-01-19</v>
          </cell>
          <cell r="J421">
            <v>56</v>
          </cell>
          <cell r="K421">
            <v>0.16</v>
          </cell>
          <cell r="L421">
            <v>0</v>
          </cell>
          <cell r="M421" t="str">
            <v>$</v>
          </cell>
          <cell r="N421" t="str">
            <v>RFL</v>
          </cell>
          <cell r="O421" t="str">
            <v>Renta Fija Local</v>
          </cell>
          <cell r="P421" t="str">
            <v>N-1</v>
          </cell>
          <cell r="Q421" t="str">
            <v>Corto</v>
          </cell>
          <cell r="R421" t="str">
            <v>Depósitos $</v>
          </cell>
          <cell r="S421">
            <v>0.90830999999999995</v>
          </cell>
          <cell r="T421" t="str">
            <v>N-1</v>
          </cell>
          <cell r="U421" t="str">
            <v>25</v>
          </cell>
          <cell r="V421" t="str">
            <v>Depósitos</v>
          </cell>
          <cell r="W421" t="str">
            <v>Depósitos</v>
          </cell>
          <cell r="X421" t="str">
            <v>Depósitos $</v>
          </cell>
          <cell r="Y421" t="str">
            <v>Depósitos</v>
          </cell>
          <cell r="Z421" t="str">
            <v>Corto $</v>
          </cell>
          <cell r="AA421" t="str">
            <v>Depósitos</v>
          </cell>
          <cell r="AB421" t="str">
            <v>Depósitos $</v>
          </cell>
          <cell r="AC421" t="str">
            <v>Instrumentos de Deuda</v>
          </cell>
          <cell r="AD421" t="str">
            <v>Financieras</v>
          </cell>
          <cell r="AE421" t="str">
            <v>Deposito CLP Banco Itaucorp</v>
          </cell>
          <cell r="AF421" t="str">
            <v>Itau/Corpbanca</v>
          </cell>
        </row>
        <row r="422">
          <cell r="C422" t="str">
            <v>PAGARE NR</v>
          </cell>
          <cell r="D422" t="str">
            <v>ESTADO</v>
          </cell>
          <cell r="E422">
            <v>169141045</v>
          </cell>
          <cell r="F422">
            <v>170169423</v>
          </cell>
          <cell r="G422">
            <v>4.2189999999999997E-3</v>
          </cell>
          <cell r="H422">
            <v>0.32</v>
          </cell>
          <cell r="I422" t="str">
            <v>2017-01-19</v>
          </cell>
          <cell r="J422">
            <v>56</v>
          </cell>
          <cell r="K422">
            <v>0.16</v>
          </cell>
          <cell r="L422">
            <v>0</v>
          </cell>
          <cell r="M422" t="str">
            <v>$</v>
          </cell>
          <cell r="N422" t="str">
            <v>RFL</v>
          </cell>
          <cell r="O422" t="str">
            <v>Renta Fija Local</v>
          </cell>
          <cell r="P422" t="str">
            <v>N-1</v>
          </cell>
          <cell r="Q422" t="str">
            <v>Corto</v>
          </cell>
          <cell r="R422" t="str">
            <v>Depósitos $</v>
          </cell>
          <cell r="S422">
            <v>0.90830999999999995</v>
          </cell>
          <cell r="T422" t="str">
            <v>N-1</v>
          </cell>
          <cell r="U422" t="str">
            <v>25</v>
          </cell>
          <cell r="V422" t="str">
            <v>Depósitos</v>
          </cell>
          <cell r="W422" t="str">
            <v>Depósitos</v>
          </cell>
          <cell r="X422" t="str">
            <v>Depósitos $</v>
          </cell>
          <cell r="Y422" t="str">
            <v>Depósitos</v>
          </cell>
          <cell r="Z422" t="str">
            <v>Corto $</v>
          </cell>
          <cell r="AA422" t="str">
            <v>Depósitos</v>
          </cell>
          <cell r="AB422" t="str">
            <v>Depósitos $</v>
          </cell>
          <cell r="AC422" t="str">
            <v>Instrumentos de Deuda</v>
          </cell>
          <cell r="AD422" t="str">
            <v>Financieras</v>
          </cell>
          <cell r="AE422" t="str">
            <v>Deposito CLP Banco Estado</v>
          </cell>
          <cell r="AF422" t="str">
            <v>Banco Estado</v>
          </cell>
        </row>
        <row r="423">
          <cell r="C423" t="str">
            <v>PAGARE NR</v>
          </cell>
          <cell r="D423" t="str">
            <v>BICE</v>
          </cell>
          <cell r="E423">
            <v>149106356</v>
          </cell>
          <cell r="F423">
            <v>150000000</v>
          </cell>
          <cell r="G423">
            <v>3.7200000000000002E-3</v>
          </cell>
          <cell r="H423">
            <v>0.31</v>
          </cell>
          <cell r="I423" t="str">
            <v>2017-01-20</v>
          </cell>
          <cell r="J423">
            <v>57</v>
          </cell>
          <cell r="K423">
            <v>0.16</v>
          </cell>
          <cell r="L423">
            <v>0</v>
          </cell>
          <cell r="M423" t="str">
            <v>$</v>
          </cell>
          <cell r="N423" t="str">
            <v>RFL</v>
          </cell>
          <cell r="O423" t="str">
            <v>Renta Fija Local</v>
          </cell>
          <cell r="P423" t="str">
            <v>N-1</v>
          </cell>
          <cell r="Q423" t="str">
            <v>Corto</v>
          </cell>
          <cell r="R423" t="str">
            <v>Depósitos $</v>
          </cell>
          <cell r="S423">
            <v>0.78408599999999995</v>
          </cell>
          <cell r="T423" t="str">
            <v>N-1</v>
          </cell>
          <cell r="U423" t="str">
            <v>25</v>
          </cell>
          <cell r="V423" t="str">
            <v>Depósitos</v>
          </cell>
          <cell r="W423" t="str">
            <v>Depósitos</v>
          </cell>
          <cell r="X423" t="str">
            <v>Depósitos $</v>
          </cell>
          <cell r="Y423" t="str">
            <v>Depósitos</v>
          </cell>
          <cell r="Z423" t="str">
            <v>Corto $</v>
          </cell>
          <cell r="AA423" t="str">
            <v>Depósitos</v>
          </cell>
          <cell r="AB423" t="str">
            <v>Depósitos $</v>
          </cell>
          <cell r="AC423" t="str">
            <v>Instrumentos de Deuda</v>
          </cell>
          <cell r="AD423" t="str">
            <v>Financieras</v>
          </cell>
          <cell r="AE423" t="str">
            <v>Deposito CLP Banco Bice</v>
          </cell>
          <cell r="AF423" t="str">
            <v>BICE</v>
          </cell>
        </row>
        <row r="424">
          <cell r="C424" t="str">
            <v>PAGARE NR</v>
          </cell>
          <cell r="D424" t="str">
            <v>BICE</v>
          </cell>
          <cell r="E424">
            <v>546513245</v>
          </cell>
          <cell r="F424">
            <v>550000000</v>
          </cell>
          <cell r="G424">
            <v>1.3635E-2</v>
          </cell>
          <cell r="H424">
            <v>0.33</v>
          </cell>
          <cell r="I424" t="str">
            <v>2017-01-20</v>
          </cell>
          <cell r="J424">
            <v>57</v>
          </cell>
          <cell r="K424">
            <v>0.16</v>
          </cell>
          <cell r="L424">
            <v>0</v>
          </cell>
          <cell r="M424" t="str">
            <v>$</v>
          </cell>
          <cell r="N424" t="str">
            <v>RFL</v>
          </cell>
          <cell r="O424" t="str">
            <v>Renta Fija Local</v>
          </cell>
          <cell r="P424" t="str">
            <v>N-1</v>
          </cell>
          <cell r="Q424" t="str">
            <v>Corto</v>
          </cell>
          <cell r="R424" t="str">
            <v>Depósitos $</v>
          </cell>
          <cell r="S424">
            <v>1.0326709999999999</v>
          </cell>
          <cell r="T424" t="str">
            <v>N-1</v>
          </cell>
          <cell r="U424" t="str">
            <v>25</v>
          </cell>
          <cell r="V424" t="str">
            <v>Depósitos</v>
          </cell>
          <cell r="W424" t="str">
            <v>Depósitos</v>
          </cell>
          <cell r="X424" t="str">
            <v>Depósitos $</v>
          </cell>
          <cell r="Y424" t="str">
            <v>Depósitos</v>
          </cell>
          <cell r="Z424" t="str">
            <v>Corto $</v>
          </cell>
          <cell r="AA424" t="str">
            <v>Depósitos</v>
          </cell>
          <cell r="AB424" t="str">
            <v>Depósitos $</v>
          </cell>
          <cell r="AC424" t="str">
            <v>Instrumentos de Deuda</v>
          </cell>
          <cell r="AD424" t="str">
            <v>Financieras</v>
          </cell>
          <cell r="AE424" t="str">
            <v>Deposito CLP Banco Bice</v>
          </cell>
          <cell r="AF424" t="str">
            <v>BICE</v>
          </cell>
        </row>
        <row r="425">
          <cell r="C425" t="str">
            <v>PAGARE NR</v>
          </cell>
          <cell r="D425" t="str">
            <v>BCI</v>
          </cell>
          <cell r="E425">
            <v>505275601</v>
          </cell>
          <cell r="F425">
            <v>508666000</v>
          </cell>
          <cell r="G425">
            <v>1.2605999999999999E-2</v>
          </cell>
          <cell r="H425">
            <v>0.33</v>
          </cell>
          <cell r="I425" t="str">
            <v>2017-01-23</v>
          </cell>
          <cell r="J425">
            <v>60</v>
          </cell>
          <cell r="K425">
            <v>0.17</v>
          </cell>
          <cell r="L425">
            <v>0</v>
          </cell>
          <cell r="M425" t="str">
            <v>$</v>
          </cell>
          <cell r="N425" t="str">
            <v>RFL</v>
          </cell>
          <cell r="O425" t="str">
            <v>Renta Fija Local</v>
          </cell>
          <cell r="P425" t="str">
            <v>N-1</v>
          </cell>
          <cell r="Q425" t="str">
            <v>Corto</v>
          </cell>
          <cell r="R425" t="str">
            <v>Depósitos $</v>
          </cell>
          <cell r="S425">
            <v>1.0326709999999999</v>
          </cell>
          <cell r="T425" t="str">
            <v>N-1</v>
          </cell>
          <cell r="U425" t="str">
            <v>25</v>
          </cell>
          <cell r="V425" t="str">
            <v>Depósitos</v>
          </cell>
          <cell r="W425" t="str">
            <v>Depósitos</v>
          </cell>
          <cell r="X425" t="str">
            <v>Depósitos $</v>
          </cell>
          <cell r="Y425" t="str">
            <v>Depósitos</v>
          </cell>
          <cell r="Z425" t="str">
            <v>Corto $</v>
          </cell>
          <cell r="AA425" t="str">
            <v>Depósitos</v>
          </cell>
          <cell r="AB425" t="str">
            <v>Depósitos $</v>
          </cell>
          <cell r="AC425" t="str">
            <v>Instrumentos de Deuda</v>
          </cell>
          <cell r="AD425" t="str">
            <v>Financieras</v>
          </cell>
          <cell r="AE425" t="str">
            <v>Deposito CLP Banco Bci</v>
          </cell>
          <cell r="AF425" t="str">
            <v>BCI</v>
          </cell>
        </row>
        <row r="426">
          <cell r="C426" t="str">
            <v>PAGARE NR</v>
          </cell>
          <cell r="D426" t="str">
            <v>BCI</v>
          </cell>
          <cell r="E426">
            <v>202990556</v>
          </cell>
          <cell r="F426">
            <v>204333000</v>
          </cell>
          <cell r="G426">
            <v>5.0639999999999999E-3</v>
          </cell>
          <cell r="H426">
            <v>0.32</v>
          </cell>
          <cell r="I426" t="str">
            <v>2017-01-24</v>
          </cell>
          <cell r="J426">
            <v>61</v>
          </cell>
          <cell r="K426">
            <v>0.17</v>
          </cell>
          <cell r="L426">
            <v>0</v>
          </cell>
          <cell r="M426" t="str">
            <v>$</v>
          </cell>
          <cell r="N426" t="str">
            <v>RFL</v>
          </cell>
          <cell r="O426" t="str">
            <v>Renta Fija Local</v>
          </cell>
          <cell r="P426" t="str">
            <v>N-1</v>
          </cell>
          <cell r="Q426" t="str">
            <v>Corto</v>
          </cell>
          <cell r="R426" t="str">
            <v>Depósitos $</v>
          </cell>
          <cell r="S426">
            <v>0.90830999999999995</v>
          </cell>
          <cell r="T426" t="str">
            <v>N-1</v>
          </cell>
          <cell r="U426" t="str">
            <v>25</v>
          </cell>
          <cell r="V426" t="str">
            <v>Depósitos</v>
          </cell>
          <cell r="W426" t="str">
            <v>Depósitos</v>
          </cell>
          <cell r="X426" t="str">
            <v>Depósitos $</v>
          </cell>
          <cell r="Y426" t="str">
            <v>Depósitos</v>
          </cell>
          <cell r="Z426" t="str">
            <v>Corto $</v>
          </cell>
          <cell r="AA426" t="str">
            <v>Depósitos</v>
          </cell>
          <cell r="AB426" t="str">
            <v>Depósitos $</v>
          </cell>
          <cell r="AC426" t="str">
            <v>Instrumentos de Deuda</v>
          </cell>
          <cell r="AD426" t="str">
            <v>Financieras</v>
          </cell>
          <cell r="AE426" t="str">
            <v>Deposito CLP Banco Bci</v>
          </cell>
          <cell r="AF426" t="str">
            <v>BCI</v>
          </cell>
        </row>
        <row r="427">
          <cell r="C427" t="str">
            <v>PAGARE NR</v>
          </cell>
          <cell r="D427" t="str">
            <v>CONSORCIO</v>
          </cell>
          <cell r="E427">
            <v>198686023</v>
          </cell>
          <cell r="F427">
            <v>200000000</v>
          </cell>
          <cell r="G427">
            <v>4.9569999999999996E-3</v>
          </cell>
          <cell r="H427">
            <v>0.32</v>
          </cell>
          <cell r="I427" t="str">
            <v>2017-01-24</v>
          </cell>
          <cell r="J427">
            <v>61</v>
          </cell>
          <cell r="K427">
            <v>0.17</v>
          </cell>
          <cell r="L427">
            <v>0</v>
          </cell>
          <cell r="M427" t="str">
            <v>$</v>
          </cell>
          <cell r="N427" t="str">
            <v>RFL</v>
          </cell>
          <cell r="O427" t="str">
            <v>Renta Fija Local</v>
          </cell>
          <cell r="P427" t="str">
            <v>N-1</v>
          </cell>
          <cell r="Q427" t="str">
            <v>Corto</v>
          </cell>
          <cell r="R427" t="str">
            <v>Depósitos $</v>
          </cell>
          <cell r="S427">
            <v>0.90830999999999995</v>
          </cell>
          <cell r="T427" t="str">
            <v>N-1</v>
          </cell>
          <cell r="U427" t="str">
            <v>25</v>
          </cell>
          <cell r="V427" t="str">
            <v>Depósitos</v>
          </cell>
          <cell r="W427" t="str">
            <v>Depósitos</v>
          </cell>
          <cell r="X427" t="str">
            <v>Depósitos $</v>
          </cell>
          <cell r="Y427" t="str">
            <v>Depósitos</v>
          </cell>
          <cell r="Z427" t="str">
            <v>Corto $</v>
          </cell>
          <cell r="AA427" t="str">
            <v>Depósitos</v>
          </cell>
          <cell r="AB427" t="str">
            <v>Depósitos $</v>
          </cell>
          <cell r="AC427" t="str">
            <v>Instrumentos de Deuda</v>
          </cell>
          <cell r="AD427" t="str">
            <v>Financieras</v>
          </cell>
          <cell r="AE427" t="str">
            <v>Deposito CLP Banco Consorcio</v>
          </cell>
          <cell r="AF427" t="str">
            <v>Banco Consorcio</v>
          </cell>
        </row>
        <row r="428">
          <cell r="C428" t="str">
            <v>PAGARE NR</v>
          </cell>
          <cell r="D428" t="str">
            <v>BCI</v>
          </cell>
          <cell r="E428">
            <v>64896893</v>
          </cell>
          <cell r="F428">
            <v>65333000</v>
          </cell>
          <cell r="G428">
            <v>1.619E-3</v>
          </cell>
          <cell r="H428">
            <v>0.32</v>
          </cell>
          <cell r="I428" t="str">
            <v>2017-01-25</v>
          </cell>
          <cell r="J428">
            <v>62</v>
          </cell>
          <cell r="K428">
            <v>0.17</v>
          </cell>
          <cell r="L428">
            <v>0</v>
          </cell>
          <cell r="M428" t="str">
            <v>$</v>
          </cell>
          <cell r="N428" t="str">
            <v>RFL</v>
          </cell>
          <cell r="O428" t="str">
            <v>Renta Fija Local</v>
          </cell>
          <cell r="P428" t="str">
            <v>N-1</v>
          </cell>
          <cell r="Q428" t="str">
            <v>Corto</v>
          </cell>
          <cell r="R428" t="str">
            <v>Depósitos $</v>
          </cell>
          <cell r="S428">
            <v>0.90830999999999995</v>
          </cell>
          <cell r="T428" t="str">
            <v>N-1</v>
          </cell>
          <cell r="U428" t="str">
            <v>25</v>
          </cell>
          <cell r="V428" t="str">
            <v>Depósitos</v>
          </cell>
          <cell r="W428" t="str">
            <v>Depósitos</v>
          </cell>
          <cell r="X428" t="str">
            <v>Depósitos $</v>
          </cell>
          <cell r="Y428" t="str">
            <v>Depósitos</v>
          </cell>
          <cell r="Z428" t="str">
            <v>Corto $</v>
          </cell>
          <cell r="AA428" t="str">
            <v>Depósitos</v>
          </cell>
          <cell r="AB428" t="str">
            <v>Depósitos $</v>
          </cell>
          <cell r="AC428" t="str">
            <v>Instrumentos de Deuda</v>
          </cell>
          <cell r="AD428" t="str">
            <v>Financieras</v>
          </cell>
          <cell r="AE428" t="str">
            <v>Deposito CLP Banco Bci</v>
          </cell>
          <cell r="AF428" t="str">
            <v>BCI</v>
          </cell>
        </row>
        <row r="429">
          <cell r="C429" t="str">
            <v>PAGARE NR</v>
          </cell>
          <cell r="D429" t="str">
            <v>BCI</v>
          </cell>
          <cell r="E429">
            <v>403489512</v>
          </cell>
          <cell r="F429">
            <v>406244000</v>
          </cell>
          <cell r="G429">
            <v>1.0066E-2</v>
          </cell>
          <cell r="H429">
            <v>0.32</v>
          </cell>
          <cell r="I429" t="str">
            <v>2017-01-26</v>
          </cell>
          <cell r="J429">
            <v>63</v>
          </cell>
          <cell r="K429">
            <v>0.18</v>
          </cell>
          <cell r="L429">
            <v>0</v>
          </cell>
          <cell r="M429" t="str">
            <v>$</v>
          </cell>
          <cell r="N429" t="str">
            <v>RFL</v>
          </cell>
          <cell r="O429" t="str">
            <v>Renta Fija Local</v>
          </cell>
          <cell r="P429" t="str">
            <v>N-1</v>
          </cell>
          <cell r="Q429" t="str">
            <v>Corto</v>
          </cell>
          <cell r="R429" t="str">
            <v>Depósitos $</v>
          </cell>
          <cell r="S429">
            <v>0.90830999999999995</v>
          </cell>
          <cell r="T429" t="str">
            <v>N-1</v>
          </cell>
          <cell r="U429" t="str">
            <v>25</v>
          </cell>
          <cell r="V429" t="str">
            <v>Depósitos</v>
          </cell>
          <cell r="W429" t="str">
            <v>Depósitos</v>
          </cell>
          <cell r="X429" t="str">
            <v>Depósitos $</v>
          </cell>
          <cell r="Y429" t="str">
            <v>Depósitos</v>
          </cell>
          <cell r="Z429" t="str">
            <v>Corto $</v>
          </cell>
          <cell r="AA429" t="str">
            <v>Depósitos</v>
          </cell>
          <cell r="AB429" t="str">
            <v>Depósitos $</v>
          </cell>
          <cell r="AC429" t="str">
            <v>Instrumentos de Deuda</v>
          </cell>
          <cell r="AD429" t="str">
            <v>Financieras</v>
          </cell>
          <cell r="AE429" t="str">
            <v>Deposito CLP Banco Bci</v>
          </cell>
          <cell r="AF429" t="str">
            <v>BCI</v>
          </cell>
        </row>
        <row r="430">
          <cell r="C430" t="str">
            <v>PAGARE NR</v>
          </cell>
          <cell r="D430" t="str">
            <v>CHILE</v>
          </cell>
          <cell r="E430">
            <v>802585020</v>
          </cell>
          <cell r="F430">
            <v>808064000</v>
          </cell>
          <cell r="G430">
            <v>2.0024E-2</v>
          </cell>
          <cell r="H430">
            <v>0.32</v>
          </cell>
          <cell r="I430" t="str">
            <v>2017-01-26</v>
          </cell>
          <cell r="J430">
            <v>63</v>
          </cell>
          <cell r="K430">
            <v>0.18</v>
          </cell>
          <cell r="L430">
            <v>0</v>
          </cell>
          <cell r="M430" t="str">
            <v>$</v>
          </cell>
          <cell r="N430" t="str">
            <v>RFL</v>
          </cell>
          <cell r="O430" t="str">
            <v>Renta Fija Local</v>
          </cell>
          <cell r="P430" t="str">
            <v>N-1</v>
          </cell>
          <cell r="Q430" t="str">
            <v>Corto</v>
          </cell>
          <cell r="R430" t="str">
            <v>Depósitos $</v>
          </cell>
          <cell r="S430">
            <v>0.90830999999999995</v>
          </cell>
          <cell r="T430" t="str">
            <v>N-1</v>
          </cell>
          <cell r="U430" t="str">
            <v>25</v>
          </cell>
          <cell r="V430" t="str">
            <v>Depósitos</v>
          </cell>
          <cell r="W430" t="str">
            <v>Depósitos</v>
          </cell>
          <cell r="X430" t="str">
            <v>Depósitos $</v>
          </cell>
          <cell r="Y430" t="str">
            <v>Depósitos</v>
          </cell>
          <cell r="Z430" t="str">
            <v>Corto $</v>
          </cell>
          <cell r="AA430" t="str">
            <v>Depósitos</v>
          </cell>
          <cell r="AB430" t="str">
            <v>Depósitos $</v>
          </cell>
          <cell r="AC430" t="str">
            <v>Instrumentos de Deuda</v>
          </cell>
          <cell r="AD430" t="str">
            <v>Financieras</v>
          </cell>
          <cell r="AE430" t="str">
            <v>Deposito CLP Banco Chile</v>
          </cell>
          <cell r="AF430" t="str">
            <v>Banco de Chile</v>
          </cell>
        </row>
        <row r="431">
          <cell r="C431" t="str">
            <v>PAGARE NR</v>
          </cell>
          <cell r="D431" t="str">
            <v>FALABELLA</v>
          </cell>
          <cell r="E431">
            <v>337694671</v>
          </cell>
          <cell r="F431">
            <v>340000000</v>
          </cell>
          <cell r="G431">
            <v>8.4250000000000002E-3</v>
          </cell>
          <cell r="H431">
            <v>0.32</v>
          </cell>
          <cell r="I431" t="str">
            <v>2017-01-26</v>
          </cell>
          <cell r="J431">
            <v>63</v>
          </cell>
          <cell r="K431">
            <v>0.18</v>
          </cell>
          <cell r="L431">
            <v>0</v>
          </cell>
          <cell r="M431" t="str">
            <v>$</v>
          </cell>
          <cell r="N431" t="str">
            <v>RFL</v>
          </cell>
          <cell r="O431" t="str">
            <v>Renta Fija Local</v>
          </cell>
          <cell r="P431" t="str">
            <v>N-1</v>
          </cell>
          <cell r="Q431" t="str">
            <v>Corto</v>
          </cell>
          <cell r="R431" t="str">
            <v>Depósitos $</v>
          </cell>
          <cell r="S431">
            <v>0.90830999999999995</v>
          </cell>
          <cell r="T431" t="str">
            <v>N-1</v>
          </cell>
          <cell r="U431" t="str">
            <v>25</v>
          </cell>
          <cell r="V431" t="str">
            <v>Depósitos</v>
          </cell>
          <cell r="W431" t="str">
            <v>Depósitos</v>
          </cell>
          <cell r="X431" t="str">
            <v>Depósitos $</v>
          </cell>
          <cell r="Y431" t="str">
            <v>Depósitos</v>
          </cell>
          <cell r="Z431" t="str">
            <v>Corto $</v>
          </cell>
          <cell r="AA431" t="str">
            <v>Depósitos</v>
          </cell>
          <cell r="AB431" t="str">
            <v>Depósitos $</v>
          </cell>
          <cell r="AC431" t="str">
            <v>Instrumentos de Deuda</v>
          </cell>
          <cell r="AD431" t="str">
            <v>Financieras</v>
          </cell>
          <cell r="AE431" t="str">
            <v>Deposito CLP Banco Falabella</v>
          </cell>
          <cell r="AF431" t="str">
            <v>Banco Falabella</v>
          </cell>
        </row>
        <row r="432">
          <cell r="C432" t="str">
            <v>PAGARE NR</v>
          </cell>
          <cell r="D432" t="str">
            <v>FALABELLA</v>
          </cell>
          <cell r="E432">
            <v>79440737</v>
          </cell>
          <cell r="F432">
            <v>80000000</v>
          </cell>
          <cell r="G432">
            <v>1.9819999999999998E-3</v>
          </cell>
          <cell r="H432">
            <v>0.33</v>
          </cell>
          <cell r="I432" t="str">
            <v>2017-01-26</v>
          </cell>
          <cell r="J432">
            <v>63</v>
          </cell>
          <cell r="K432">
            <v>0.18</v>
          </cell>
          <cell r="L432">
            <v>0</v>
          </cell>
          <cell r="M432" t="str">
            <v>$</v>
          </cell>
          <cell r="N432" t="str">
            <v>RFL</v>
          </cell>
          <cell r="O432" t="str">
            <v>Renta Fija Local</v>
          </cell>
          <cell r="P432" t="str">
            <v>N-1</v>
          </cell>
          <cell r="Q432" t="str">
            <v>Corto</v>
          </cell>
          <cell r="R432" t="str">
            <v>Depósitos $</v>
          </cell>
          <cell r="S432">
            <v>1.0326709999999999</v>
          </cell>
          <cell r="T432" t="str">
            <v>N-1</v>
          </cell>
          <cell r="U432" t="str">
            <v>25</v>
          </cell>
          <cell r="V432" t="str">
            <v>Depósitos</v>
          </cell>
          <cell r="W432" t="str">
            <v>Depósitos</v>
          </cell>
          <cell r="X432" t="str">
            <v>Depósitos $</v>
          </cell>
          <cell r="Y432" t="str">
            <v>Depósitos</v>
          </cell>
          <cell r="Z432" t="str">
            <v>Corto $</v>
          </cell>
          <cell r="AA432" t="str">
            <v>Depósitos</v>
          </cell>
          <cell r="AB432" t="str">
            <v>Depósitos $</v>
          </cell>
          <cell r="AC432" t="str">
            <v>Instrumentos de Deuda</v>
          </cell>
          <cell r="AD432" t="str">
            <v>Financieras</v>
          </cell>
          <cell r="AE432" t="str">
            <v>Deposito CLP Banco Falabella</v>
          </cell>
          <cell r="AF432" t="str">
            <v>Banco Falabella</v>
          </cell>
        </row>
        <row r="433">
          <cell r="C433" t="str">
            <v>PAGARE NR</v>
          </cell>
          <cell r="D433" t="str">
            <v>BCI</v>
          </cell>
          <cell r="E433">
            <v>99311441</v>
          </cell>
          <cell r="F433">
            <v>100000000</v>
          </cell>
          <cell r="G433">
            <v>2.477E-3</v>
          </cell>
          <cell r="H433">
            <v>0.32</v>
          </cell>
          <cell r="I433" t="str">
            <v>2017-01-27</v>
          </cell>
          <cell r="J433">
            <v>64</v>
          </cell>
          <cell r="K433">
            <v>0.18</v>
          </cell>
          <cell r="L433">
            <v>0</v>
          </cell>
          <cell r="M433" t="str">
            <v>$</v>
          </cell>
          <cell r="N433" t="str">
            <v>RFL</v>
          </cell>
          <cell r="O433" t="str">
            <v>Renta Fija Local</v>
          </cell>
          <cell r="P433" t="str">
            <v>N-1</v>
          </cell>
          <cell r="Q433" t="str">
            <v>Corto</v>
          </cell>
          <cell r="R433" t="str">
            <v>Depósitos $</v>
          </cell>
          <cell r="S433">
            <v>0.90830999999999995</v>
          </cell>
          <cell r="T433" t="str">
            <v>N-1</v>
          </cell>
          <cell r="U433" t="str">
            <v>25</v>
          </cell>
          <cell r="V433" t="str">
            <v>Depósitos</v>
          </cell>
          <cell r="W433" t="str">
            <v>Depósitos</v>
          </cell>
          <cell r="X433" t="str">
            <v>Depósitos $</v>
          </cell>
          <cell r="Y433" t="str">
            <v>Depósitos</v>
          </cell>
          <cell r="Z433" t="str">
            <v>Corto $</v>
          </cell>
          <cell r="AA433" t="str">
            <v>Depósitos</v>
          </cell>
          <cell r="AB433" t="str">
            <v>Depósitos $</v>
          </cell>
          <cell r="AC433" t="str">
            <v>Instrumentos de Deuda</v>
          </cell>
          <cell r="AD433" t="str">
            <v>Financieras</v>
          </cell>
          <cell r="AE433" t="str">
            <v>Deposito CLP Banco Bci</v>
          </cell>
          <cell r="AF433" t="str">
            <v>BCI</v>
          </cell>
        </row>
        <row r="434">
          <cell r="C434" t="str">
            <v>PAGARE NR</v>
          </cell>
          <cell r="D434" t="str">
            <v>ITAUCORP</v>
          </cell>
          <cell r="E434">
            <v>198580152</v>
          </cell>
          <cell r="F434">
            <v>200000000</v>
          </cell>
          <cell r="G434">
            <v>4.9540000000000001E-3</v>
          </cell>
          <cell r="H434">
            <v>0.33</v>
          </cell>
          <cell r="I434" t="str">
            <v>2017-01-27</v>
          </cell>
          <cell r="J434">
            <v>64</v>
          </cell>
          <cell r="K434">
            <v>0.18</v>
          </cell>
          <cell r="L434">
            <v>0</v>
          </cell>
          <cell r="M434" t="str">
            <v>$</v>
          </cell>
          <cell r="N434" t="str">
            <v>RFL</v>
          </cell>
          <cell r="O434" t="str">
            <v>Renta Fija Local</v>
          </cell>
          <cell r="P434" t="str">
            <v>N-1</v>
          </cell>
          <cell r="Q434" t="str">
            <v>Corto</v>
          </cell>
          <cell r="R434" t="str">
            <v>Depósitos $</v>
          </cell>
          <cell r="S434">
            <v>1.0326709999999999</v>
          </cell>
          <cell r="T434" t="str">
            <v>N-1</v>
          </cell>
          <cell r="U434" t="str">
            <v>25</v>
          </cell>
          <cell r="V434" t="str">
            <v>Depósitos</v>
          </cell>
          <cell r="W434" t="str">
            <v>Depósitos</v>
          </cell>
          <cell r="X434" t="str">
            <v>Depósitos $</v>
          </cell>
          <cell r="Y434" t="str">
            <v>Depósitos</v>
          </cell>
          <cell r="Z434" t="str">
            <v>Corto $</v>
          </cell>
          <cell r="AA434" t="str">
            <v>Depósitos</v>
          </cell>
          <cell r="AB434" t="str">
            <v>Depósitos $</v>
          </cell>
          <cell r="AC434" t="str">
            <v>Instrumentos de Deuda</v>
          </cell>
          <cell r="AD434" t="str">
            <v>Financieras</v>
          </cell>
          <cell r="AE434" t="str">
            <v>Deposito CLP Banco Itaucorp</v>
          </cell>
          <cell r="AF434" t="str">
            <v>Itau/Corpbanca</v>
          </cell>
        </row>
        <row r="435">
          <cell r="C435" t="str">
            <v>PAGARE NR</v>
          </cell>
          <cell r="D435" t="str">
            <v>SCOTIABANK</v>
          </cell>
          <cell r="E435">
            <v>893802966</v>
          </cell>
          <cell r="F435">
            <v>900000000</v>
          </cell>
          <cell r="G435">
            <v>2.2298999999999999E-2</v>
          </cell>
          <cell r="H435">
            <v>0.32</v>
          </cell>
          <cell r="I435" t="str">
            <v>2017-01-27</v>
          </cell>
          <cell r="J435">
            <v>64</v>
          </cell>
          <cell r="K435">
            <v>0.18</v>
          </cell>
          <cell r="L435">
            <v>0</v>
          </cell>
          <cell r="M435" t="str">
            <v>$</v>
          </cell>
          <cell r="N435" t="str">
            <v>RFL</v>
          </cell>
          <cell r="O435" t="str">
            <v>Renta Fija Local</v>
          </cell>
          <cell r="P435" t="str">
            <v>N-1</v>
          </cell>
          <cell r="Q435" t="str">
            <v>Corto</v>
          </cell>
          <cell r="R435" t="str">
            <v>Depósitos $</v>
          </cell>
          <cell r="S435">
            <v>0.90830999999999995</v>
          </cell>
          <cell r="T435" t="str">
            <v>N-1</v>
          </cell>
          <cell r="U435" t="str">
            <v>25</v>
          </cell>
          <cell r="V435" t="str">
            <v>Depósitos</v>
          </cell>
          <cell r="W435" t="str">
            <v>Depósitos</v>
          </cell>
          <cell r="X435" t="str">
            <v>Depósitos $</v>
          </cell>
          <cell r="Y435" t="str">
            <v>Depósitos</v>
          </cell>
          <cell r="Z435" t="str">
            <v>Corto $</v>
          </cell>
          <cell r="AA435" t="str">
            <v>Depósitos</v>
          </cell>
          <cell r="AB435" t="str">
            <v>Depósitos $</v>
          </cell>
          <cell r="AC435" t="str">
            <v>Instrumentos de Deuda</v>
          </cell>
          <cell r="AD435" t="str">
            <v>Financieras</v>
          </cell>
          <cell r="AE435" t="str">
            <v>Deposito CLP Banco Scotiabank</v>
          </cell>
          <cell r="AF435" t="str">
            <v>Scotiabank</v>
          </cell>
        </row>
        <row r="436">
          <cell r="C436" t="str">
            <v>PAGARE NR</v>
          </cell>
          <cell r="D436" t="str">
            <v>CONSORCIO</v>
          </cell>
          <cell r="E436">
            <v>99257553</v>
          </cell>
          <cell r="F436">
            <v>100000000</v>
          </cell>
          <cell r="G436">
            <v>2.4759999999999999E-3</v>
          </cell>
          <cell r="H436">
            <v>0.33</v>
          </cell>
          <cell r="I436" t="str">
            <v>2017-01-30</v>
          </cell>
          <cell r="J436">
            <v>67</v>
          </cell>
          <cell r="K436">
            <v>0.19</v>
          </cell>
          <cell r="L436">
            <v>0</v>
          </cell>
          <cell r="M436" t="str">
            <v>$</v>
          </cell>
          <cell r="N436" t="str">
            <v>RFL</v>
          </cell>
          <cell r="O436" t="str">
            <v>Renta Fija Local</v>
          </cell>
          <cell r="P436" t="str">
            <v>N-1</v>
          </cell>
          <cell r="Q436" t="str">
            <v>Corto</v>
          </cell>
          <cell r="R436" t="str">
            <v>Depósitos $</v>
          </cell>
          <cell r="S436">
            <v>1.0326709999999999</v>
          </cell>
          <cell r="T436" t="str">
            <v>N-1</v>
          </cell>
          <cell r="U436" t="str">
            <v>25</v>
          </cell>
          <cell r="V436" t="str">
            <v>Depósitos</v>
          </cell>
          <cell r="W436" t="str">
            <v>Depósitos</v>
          </cell>
          <cell r="X436" t="str">
            <v>Depósitos $</v>
          </cell>
          <cell r="Y436" t="str">
            <v>Depósitos</v>
          </cell>
          <cell r="Z436" t="str">
            <v>Corto $</v>
          </cell>
          <cell r="AA436" t="str">
            <v>Depósitos</v>
          </cell>
          <cell r="AB436" t="str">
            <v>Depósitos $</v>
          </cell>
          <cell r="AC436" t="str">
            <v>Instrumentos de Deuda</v>
          </cell>
          <cell r="AD436" t="str">
            <v>Financieras</v>
          </cell>
          <cell r="AE436" t="str">
            <v>Deposito CLP Banco Consorcio</v>
          </cell>
          <cell r="AF436" t="str">
            <v>Banco Consorcio</v>
          </cell>
        </row>
        <row r="437">
          <cell r="C437" t="str">
            <v>PAGARE NR</v>
          </cell>
          <cell r="D437" t="str">
            <v>SANTANDER</v>
          </cell>
          <cell r="E437">
            <v>19849343</v>
          </cell>
          <cell r="F437">
            <v>20000000</v>
          </cell>
          <cell r="G437">
            <v>4.95E-4</v>
          </cell>
          <cell r="H437">
            <v>0.33</v>
          </cell>
          <cell r="I437" t="str">
            <v>2017-01-31</v>
          </cell>
          <cell r="J437">
            <v>68</v>
          </cell>
          <cell r="K437">
            <v>0.19</v>
          </cell>
          <cell r="L437">
            <v>0</v>
          </cell>
          <cell r="M437" t="str">
            <v>$</v>
          </cell>
          <cell r="N437" t="str">
            <v>RFL</v>
          </cell>
          <cell r="O437" t="str">
            <v>Renta Fija Local</v>
          </cell>
          <cell r="P437" t="str">
            <v>N-1</v>
          </cell>
          <cell r="Q437" t="str">
            <v>Corto</v>
          </cell>
          <cell r="R437" t="str">
            <v>Depósitos $</v>
          </cell>
          <cell r="S437">
            <v>1.0326709999999999</v>
          </cell>
          <cell r="T437" t="str">
            <v>N-1</v>
          </cell>
          <cell r="U437" t="str">
            <v>25</v>
          </cell>
          <cell r="V437" t="str">
            <v>Depósitos</v>
          </cell>
          <cell r="W437" t="str">
            <v>Depósitos</v>
          </cell>
          <cell r="X437" t="str">
            <v>Depósitos $</v>
          </cell>
          <cell r="Y437" t="str">
            <v>Depósitos</v>
          </cell>
          <cell r="Z437" t="str">
            <v>Corto $</v>
          </cell>
          <cell r="AA437" t="str">
            <v>Depósitos</v>
          </cell>
          <cell r="AB437" t="str">
            <v>Depósitos $</v>
          </cell>
          <cell r="AC437" t="str">
            <v>Instrumentos de Deuda</v>
          </cell>
          <cell r="AD437" t="str">
            <v>Financieras</v>
          </cell>
          <cell r="AE437" t="str">
            <v>Deposito CLP Banco Santander</v>
          </cell>
          <cell r="AF437" t="str">
            <v>Banco Santander</v>
          </cell>
        </row>
        <row r="438">
          <cell r="C438" t="str">
            <v>PAGARE NR</v>
          </cell>
          <cell r="D438" t="str">
            <v>BBVA</v>
          </cell>
          <cell r="E438">
            <v>992483591</v>
          </cell>
          <cell r="F438">
            <v>1000000000</v>
          </cell>
          <cell r="G438">
            <v>2.4760999999999998E-2</v>
          </cell>
          <cell r="H438">
            <v>0.32</v>
          </cell>
          <cell r="I438" t="str">
            <v>2017-02-02</v>
          </cell>
          <cell r="J438">
            <v>70</v>
          </cell>
          <cell r="K438">
            <v>0.19</v>
          </cell>
          <cell r="L438">
            <v>0</v>
          </cell>
          <cell r="M438" t="str">
            <v>$</v>
          </cell>
          <cell r="N438" t="str">
            <v>RFL</v>
          </cell>
          <cell r="O438" t="str">
            <v>Renta Fija Local</v>
          </cell>
          <cell r="P438" t="str">
            <v>N-1</v>
          </cell>
          <cell r="Q438" t="str">
            <v>Corto</v>
          </cell>
          <cell r="R438" t="str">
            <v>Depósitos $</v>
          </cell>
          <cell r="S438">
            <v>0.90830999999999995</v>
          </cell>
          <cell r="T438" t="str">
            <v>N-1</v>
          </cell>
          <cell r="U438" t="str">
            <v>25</v>
          </cell>
          <cell r="V438" t="str">
            <v>Depósitos</v>
          </cell>
          <cell r="W438" t="str">
            <v>Depósitos</v>
          </cell>
          <cell r="X438" t="str">
            <v>Depósitos $</v>
          </cell>
          <cell r="Y438" t="str">
            <v>Depósitos</v>
          </cell>
          <cell r="Z438" t="str">
            <v>Corto $</v>
          </cell>
          <cell r="AA438" t="str">
            <v>Depósitos</v>
          </cell>
          <cell r="AB438" t="str">
            <v>Depósitos $</v>
          </cell>
          <cell r="AC438" t="str">
            <v>Instrumentos de Deuda</v>
          </cell>
          <cell r="AD438" t="str">
            <v>Financieras</v>
          </cell>
          <cell r="AE438" t="str">
            <v>Deposito CLP Banco Bbva</v>
          </cell>
          <cell r="AF438" t="str">
            <v>BBVA</v>
          </cell>
        </row>
        <row r="439">
          <cell r="C439" t="str">
            <v>PAGARE NR</v>
          </cell>
          <cell r="D439" t="str">
            <v>BCI</v>
          </cell>
          <cell r="E439">
            <v>20503611</v>
          </cell>
          <cell r="F439">
            <v>20666000</v>
          </cell>
          <cell r="G439">
            <v>5.1099999999999995E-4</v>
          </cell>
          <cell r="H439">
            <v>0.33</v>
          </cell>
          <cell r="I439" t="str">
            <v>2017-02-03</v>
          </cell>
          <cell r="J439">
            <v>71</v>
          </cell>
          <cell r="K439">
            <v>0.2</v>
          </cell>
          <cell r="L439">
            <v>0</v>
          </cell>
          <cell r="M439" t="str">
            <v>$</v>
          </cell>
          <cell r="N439" t="str">
            <v>RFL</v>
          </cell>
          <cell r="O439" t="str">
            <v>Renta Fija Local</v>
          </cell>
          <cell r="P439" t="str">
            <v>N-1</v>
          </cell>
          <cell r="Q439" t="str">
            <v>Corto</v>
          </cell>
          <cell r="R439" t="str">
            <v>Depósitos $</v>
          </cell>
          <cell r="S439">
            <v>1.0326709999999999</v>
          </cell>
          <cell r="T439" t="str">
            <v>N-1</v>
          </cell>
          <cell r="U439" t="str">
            <v>25</v>
          </cell>
          <cell r="V439" t="str">
            <v>Depósitos</v>
          </cell>
          <cell r="W439" t="str">
            <v>Depósitos</v>
          </cell>
          <cell r="X439" t="str">
            <v>Depósitos $</v>
          </cell>
          <cell r="Y439" t="str">
            <v>Depósitos</v>
          </cell>
          <cell r="Z439" t="str">
            <v>Corto $</v>
          </cell>
          <cell r="AA439" t="str">
            <v>Depósitos</v>
          </cell>
          <cell r="AB439" t="str">
            <v>Depósitos $</v>
          </cell>
          <cell r="AC439" t="str">
            <v>Instrumentos de Deuda</v>
          </cell>
          <cell r="AD439" t="str">
            <v>Financieras</v>
          </cell>
          <cell r="AE439" t="str">
            <v>Deposito CLP Banco Bci</v>
          </cell>
          <cell r="AF439" t="str">
            <v>BCI</v>
          </cell>
        </row>
        <row r="440">
          <cell r="C440" t="str">
            <v>PAGARE NR</v>
          </cell>
          <cell r="D440" t="str">
            <v>CONSORCIO</v>
          </cell>
          <cell r="E440">
            <v>198428447</v>
          </cell>
          <cell r="F440">
            <v>200000000</v>
          </cell>
          <cell r="G440">
            <v>4.9500000000000004E-3</v>
          </cell>
          <cell r="H440">
            <v>0.33</v>
          </cell>
          <cell r="I440" t="str">
            <v>2017-02-03</v>
          </cell>
          <cell r="J440">
            <v>71</v>
          </cell>
          <cell r="K440">
            <v>0.2</v>
          </cell>
          <cell r="L440">
            <v>0</v>
          </cell>
          <cell r="M440" t="str">
            <v>$</v>
          </cell>
          <cell r="N440" t="str">
            <v>RFL</v>
          </cell>
          <cell r="O440" t="str">
            <v>Renta Fija Local</v>
          </cell>
          <cell r="P440" t="str">
            <v>N-1</v>
          </cell>
          <cell r="Q440" t="str">
            <v>Corto</v>
          </cell>
          <cell r="R440" t="str">
            <v>Depósitos $</v>
          </cell>
          <cell r="S440">
            <v>1.0326709999999999</v>
          </cell>
          <cell r="T440" t="str">
            <v>N-1</v>
          </cell>
          <cell r="U440" t="str">
            <v>25</v>
          </cell>
          <cell r="V440" t="str">
            <v>Depósitos</v>
          </cell>
          <cell r="W440" t="str">
            <v>Depósitos</v>
          </cell>
          <cell r="X440" t="str">
            <v>Depósitos $</v>
          </cell>
          <cell r="Y440" t="str">
            <v>Depósitos</v>
          </cell>
          <cell r="Z440" t="str">
            <v>Corto $</v>
          </cell>
          <cell r="AA440" t="str">
            <v>Depósitos</v>
          </cell>
          <cell r="AB440" t="str">
            <v>Depósitos $</v>
          </cell>
          <cell r="AC440" t="str">
            <v>Instrumentos de Deuda</v>
          </cell>
          <cell r="AD440" t="str">
            <v>Financieras</v>
          </cell>
          <cell r="AE440" t="str">
            <v>Deposito CLP Banco Consorcio</v>
          </cell>
          <cell r="AF440" t="str">
            <v>Banco Consorcio</v>
          </cell>
        </row>
        <row r="441">
          <cell r="C441" t="str">
            <v>PAGARE NR</v>
          </cell>
          <cell r="D441" t="str">
            <v>SANTANDER</v>
          </cell>
          <cell r="E441">
            <v>29764267</v>
          </cell>
          <cell r="F441">
            <v>30000000</v>
          </cell>
          <cell r="G441">
            <v>7.4200000000000004E-4</v>
          </cell>
          <cell r="H441">
            <v>0.33</v>
          </cell>
          <cell r="I441" t="str">
            <v>2017-02-03</v>
          </cell>
          <cell r="J441">
            <v>71</v>
          </cell>
          <cell r="K441">
            <v>0.2</v>
          </cell>
          <cell r="L441">
            <v>0</v>
          </cell>
          <cell r="M441" t="str">
            <v>$</v>
          </cell>
          <cell r="N441" t="str">
            <v>RFL</v>
          </cell>
          <cell r="O441" t="str">
            <v>Renta Fija Local</v>
          </cell>
          <cell r="P441" t="str">
            <v>N-1</v>
          </cell>
          <cell r="Q441" t="str">
            <v>Corto</v>
          </cell>
          <cell r="R441" t="str">
            <v>Depósitos $</v>
          </cell>
          <cell r="S441">
            <v>1.0326709999999999</v>
          </cell>
          <cell r="T441" t="str">
            <v>N-1</v>
          </cell>
          <cell r="U441" t="str">
            <v>25</v>
          </cell>
          <cell r="V441" t="str">
            <v>Depósitos</v>
          </cell>
          <cell r="W441" t="str">
            <v>Depósitos</v>
          </cell>
          <cell r="X441" t="str">
            <v>Depósitos $</v>
          </cell>
          <cell r="Y441" t="str">
            <v>Depósitos</v>
          </cell>
          <cell r="Z441" t="str">
            <v>Corto $</v>
          </cell>
          <cell r="AA441" t="str">
            <v>Depósitos</v>
          </cell>
          <cell r="AB441" t="str">
            <v>Depósitos $</v>
          </cell>
          <cell r="AC441" t="str">
            <v>Instrumentos de Deuda</v>
          </cell>
          <cell r="AD441" t="str">
            <v>Financieras</v>
          </cell>
          <cell r="AE441" t="str">
            <v>Deposito CLP Banco Santander</v>
          </cell>
          <cell r="AF441" t="str">
            <v>Banco Santander</v>
          </cell>
        </row>
        <row r="442">
          <cell r="C442" t="str">
            <v>PAGARE NR</v>
          </cell>
          <cell r="D442" t="str">
            <v>FALABELLA</v>
          </cell>
          <cell r="E442">
            <v>99181751</v>
          </cell>
          <cell r="F442">
            <v>100000000</v>
          </cell>
          <cell r="G442">
            <v>2.4740000000000001E-3</v>
          </cell>
          <cell r="H442">
            <v>0.33</v>
          </cell>
          <cell r="I442" t="str">
            <v>2017-02-06</v>
          </cell>
          <cell r="J442">
            <v>74</v>
          </cell>
          <cell r="K442">
            <v>0.21</v>
          </cell>
          <cell r="L442">
            <v>0</v>
          </cell>
          <cell r="M442" t="str">
            <v>$</v>
          </cell>
          <cell r="N442" t="str">
            <v>RFL</v>
          </cell>
          <cell r="O442" t="str">
            <v>Renta Fija Local</v>
          </cell>
          <cell r="P442" t="str">
            <v>N-1</v>
          </cell>
          <cell r="Q442" t="str">
            <v>Corto</v>
          </cell>
          <cell r="R442" t="str">
            <v>Depósitos $</v>
          </cell>
          <cell r="S442">
            <v>1.0326709999999999</v>
          </cell>
          <cell r="T442" t="str">
            <v>N-1</v>
          </cell>
          <cell r="U442" t="str">
            <v>25</v>
          </cell>
          <cell r="V442" t="str">
            <v>Depósitos</v>
          </cell>
          <cell r="W442" t="str">
            <v>Depósitos</v>
          </cell>
          <cell r="X442" t="str">
            <v>Depósitos $</v>
          </cell>
          <cell r="Y442" t="str">
            <v>Depósitos</v>
          </cell>
          <cell r="Z442" t="str">
            <v>Corto $</v>
          </cell>
          <cell r="AA442" t="str">
            <v>Depósitos</v>
          </cell>
          <cell r="AB442" t="str">
            <v>Depósitos $</v>
          </cell>
          <cell r="AC442" t="str">
            <v>Instrumentos de Deuda</v>
          </cell>
          <cell r="AD442" t="str">
            <v>Financieras</v>
          </cell>
          <cell r="AE442" t="str">
            <v>Deposito CLP Banco Falabella</v>
          </cell>
          <cell r="AF442" t="str">
            <v>Banco Falabella</v>
          </cell>
        </row>
        <row r="443">
          <cell r="C443" t="str">
            <v>PAGARE NR</v>
          </cell>
          <cell r="D443" t="str">
            <v>BICE</v>
          </cell>
          <cell r="E443">
            <v>991709310</v>
          </cell>
          <cell r="F443">
            <v>1000000000</v>
          </cell>
          <cell r="G443">
            <v>2.4742E-2</v>
          </cell>
          <cell r="H443">
            <v>0.33</v>
          </cell>
          <cell r="I443" t="str">
            <v>2017-02-07</v>
          </cell>
          <cell r="J443">
            <v>75</v>
          </cell>
          <cell r="K443">
            <v>0.21</v>
          </cell>
          <cell r="L443">
            <v>0</v>
          </cell>
          <cell r="M443" t="str">
            <v>$</v>
          </cell>
          <cell r="N443" t="str">
            <v>RFL</v>
          </cell>
          <cell r="O443" t="str">
            <v>Renta Fija Local</v>
          </cell>
          <cell r="P443" t="str">
            <v>N-1</v>
          </cell>
          <cell r="Q443" t="str">
            <v>Corto</v>
          </cell>
          <cell r="R443" t="str">
            <v>Depósitos $</v>
          </cell>
          <cell r="S443">
            <v>1.0326709999999999</v>
          </cell>
          <cell r="T443" t="str">
            <v>N-1</v>
          </cell>
          <cell r="U443" t="str">
            <v>25</v>
          </cell>
          <cell r="V443" t="str">
            <v>Depósitos</v>
          </cell>
          <cell r="W443" t="str">
            <v>Depósitos</v>
          </cell>
          <cell r="X443" t="str">
            <v>Depósitos $</v>
          </cell>
          <cell r="Y443" t="str">
            <v>Depósitos</v>
          </cell>
          <cell r="Z443" t="str">
            <v>Corto $</v>
          </cell>
          <cell r="AA443" t="str">
            <v>Depósitos</v>
          </cell>
          <cell r="AB443" t="str">
            <v>Depósitos $</v>
          </cell>
          <cell r="AC443" t="str">
            <v>Instrumentos de Deuda</v>
          </cell>
          <cell r="AD443" t="str">
            <v>Financieras</v>
          </cell>
          <cell r="AE443" t="str">
            <v>Deposito CLP Banco Bice</v>
          </cell>
          <cell r="AF443" t="str">
            <v>BICE</v>
          </cell>
        </row>
        <row r="444">
          <cell r="C444" t="str">
            <v>PAGARE NR</v>
          </cell>
          <cell r="D444" t="str">
            <v>FALABELLA</v>
          </cell>
          <cell r="E444">
            <v>148778036</v>
          </cell>
          <cell r="F444">
            <v>150000000</v>
          </cell>
          <cell r="G444">
            <v>3.7109999999999999E-3</v>
          </cell>
          <cell r="H444">
            <v>0.32</v>
          </cell>
          <cell r="I444" t="str">
            <v>2017-02-08</v>
          </cell>
          <cell r="J444">
            <v>76</v>
          </cell>
          <cell r="K444">
            <v>0.21</v>
          </cell>
          <cell r="L444">
            <v>0</v>
          </cell>
          <cell r="M444" t="str">
            <v>$</v>
          </cell>
          <cell r="N444" t="str">
            <v>RFL</v>
          </cell>
          <cell r="O444" t="str">
            <v>Renta Fija Local</v>
          </cell>
          <cell r="P444" t="str">
            <v>N-1</v>
          </cell>
          <cell r="Q444" t="str">
            <v>Corto</v>
          </cell>
          <cell r="R444" t="str">
            <v>Depósitos $</v>
          </cell>
          <cell r="S444">
            <v>0.90830999999999995</v>
          </cell>
          <cell r="T444" t="str">
            <v>N-1</v>
          </cell>
          <cell r="U444" t="str">
            <v>25</v>
          </cell>
          <cell r="V444" t="str">
            <v>Depósitos</v>
          </cell>
          <cell r="W444" t="str">
            <v>Depósitos</v>
          </cell>
          <cell r="X444" t="str">
            <v>Depósitos $</v>
          </cell>
          <cell r="Y444" t="str">
            <v>Depósitos</v>
          </cell>
          <cell r="Z444" t="str">
            <v>Corto $</v>
          </cell>
          <cell r="AA444" t="str">
            <v>Depósitos</v>
          </cell>
          <cell r="AB444" t="str">
            <v>Depósitos $</v>
          </cell>
          <cell r="AC444" t="str">
            <v>Instrumentos de Deuda</v>
          </cell>
          <cell r="AD444" t="str">
            <v>Financieras</v>
          </cell>
          <cell r="AE444" t="str">
            <v>Deposito CLP Banco Falabella</v>
          </cell>
          <cell r="AF444" t="str">
            <v>Banco Falabella</v>
          </cell>
        </row>
        <row r="445">
          <cell r="C445" t="str">
            <v>PAGARE NR</v>
          </cell>
          <cell r="D445" t="str">
            <v>SECURITY</v>
          </cell>
          <cell r="E445">
            <v>595112146</v>
          </cell>
          <cell r="F445">
            <v>600000000</v>
          </cell>
          <cell r="G445">
            <v>1.4847000000000001E-2</v>
          </cell>
          <cell r="H445">
            <v>0.32</v>
          </cell>
          <cell r="I445" t="str">
            <v>2017-02-08</v>
          </cell>
          <cell r="J445">
            <v>76</v>
          </cell>
          <cell r="K445">
            <v>0.21</v>
          </cell>
          <cell r="L445">
            <v>0</v>
          </cell>
          <cell r="M445" t="str">
            <v>$</v>
          </cell>
          <cell r="N445" t="str">
            <v>RFL</v>
          </cell>
          <cell r="O445" t="str">
            <v>Renta Fija Local</v>
          </cell>
          <cell r="P445" t="str">
            <v>N-1</v>
          </cell>
          <cell r="Q445" t="str">
            <v>Corto</v>
          </cell>
          <cell r="R445" t="str">
            <v>Depósitos $</v>
          </cell>
          <cell r="S445">
            <v>0.90830999999999995</v>
          </cell>
          <cell r="T445" t="str">
            <v>N-1</v>
          </cell>
          <cell r="U445" t="str">
            <v>25</v>
          </cell>
          <cell r="V445" t="str">
            <v>Depósitos</v>
          </cell>
          <cell r="W445" t="str">
            <v>Depósitos</v>
          </cell>
          <cell r="X445" t="str">
            <v>Depósitos $</v>
          </cell>
          <cell r="Y445" t="str">
            <v>Depósitos</v>
          </cell>
          <cell r="Z445" t="str">
            <v>Corto $</v>
          </cell>
          <cell r="AA445" t="str">
            <v>Depósitos</v>
          </cell>
          <cell r="AB445" t="str">
            <v>Depósitos $</v>
          </cell>
          <cell r="AC445" t="str">
            <v>Instrumentos de Deuda</v>
          </cell>
          <cell r="AD445" t="str">
            <v>Financieras</v>
          </cell>
          <cell r="AE445" t="str">
            <v>Deposito CLP Banco Security</v>
          </cell>
          <cell r="AF445" t="str">
            <v>Banco Security</v>
          </cell>
        </row>
        <row r="446">
          <cell r="C446" t="str">
            <v>PAGARE NR</v>
          </cell>
          <cell r="D446" t="str">
            <v>BBVA</v>
          </cell>
          <cell r="E446">
            <v>594895794</v>
          </cell>
          <cell r="F446">
            <v>600000000</v>
          </cell>
          <cell r="G446">
            <v>1.4841999999999999E-2</v>
          </cell>
          <cell r="H446">
            <v>0.33</v>
          </cell>
          <cell r="I446" t="str">
            <v>2017-02-09</v>
          </cell>
          <cell r="J446">
            <v>77</v>
          </cell>
          <cell r="K446">
            <v>0.21</v>
          </cell>
          <cell r="L446">
            <v>0</v>
          </cell>
          <cell r="M446" t="str">
            <v>$</v>
          </cell>
          <cell r="N446" t="str">
            <v>RFL</v>
          </cell>
          <cell r="O446" t="str">
            <v>Renta Fija Local</v>
          </cell>
          <cell r="P446" t="str">
            <v>N-1</v>
          </cell>
          <cell r="Q446" t="str">
            <v>Corto</v>
          </cell>
          <cell r="R446" t="str">
            <v>Depósitos $</v>
          </cell>
          <cell r="S446">
            <v>1.0326709999999999</v>
          </cell>
          <cell r="T446" t="str">
            <v>N-1</v>
          </cell>
          <cell r="U446" t="str">
            <v>25</v>
          </cell>
          <cell r="V446" t="str">
            <v>Depósitos</v>
          </cell>
          <cell r="W446" t="str">
            <v>Depósitos</v>
          </cell>
          <cell r="X446" t="str">
            <v>Depósitos $</v>
          </cell>
          <cell r="Y446" t="str">
            <v>Depósitos</v>
          </cell>
          <cell r="Z446" t="str">
            <v>Corto $</v>
          </cell>
          <cell r="AA446" t="str">
            <v>Depósitos</v>
          </cell>
          <cell r="AB446" t="str">
            <v>Depósitos $</v>
          </cell>
          <cell r="AC446" t="str">
            <v>Instrumentos de Deuda</v>
          </cell>
          <cell r="AD446" t="str">
            <v>Financieras</v>
          </cell>
          <cell r="AE446" t="str">
            <v>Deposito CLP Banco Bbva</v>
          </cell>
          <cell r="AF446" t="str">
            <v>BBVA</v>
          </cell>
        </row>
        <row r="447">
          <cell r="C447" t="str">
            <v>PAGARE NR</v>
          </cell>
          <cell r="D447" t="str">
            <v>ESTADO</v>
          </cell>
          <cell r="E447">
            <v>298126255</v>
          </cell>
          <cell r="F447">
            <v>300638466</v>
          </cell>
          <cell r="G447">
            <v>7.4380000000000002E-3</v>
          </cell>
          <cell r="H447">
            <v>0.32</v>
          </cell>
          <cell r="I447" t="str">
            <v>2017-02-10</v>
          </cell>
          <cell r="J447">
            <v>78</v>
          </cell>
          <cell r="K447">
            <v>0.22</v>
          </cell>
          <cell r="L447">
            <v>0</v>
          </cell>
          <cell r="M447" t="str">
            <v>$</v>
          </cell>
          <cell r="N447" t="str">
            <v>RFL</v>
          </cell>
          <cell r="O447" t="str">
            <v>Renta Fija Local</v>
          </cell>
          <cell r="P447" t="str">
            <v>N-1</v>
          </cell>
          <cell r="Q447" t="str">
            <v>Corto</v>
          </cell>
          <cell r="R447" t="str">
            <v>Depósitos $</v>
          </cell>
          <cell r="S447">
            <v>0.90830999999999995</v>
          </cell>
          <cell r="T447" t="str">
            <v>N-1</v>
          </cell>
          <cell r="U447" t="str">
            <v>25</v>
          </cell>
          <cell r="V447" t="str">
            <v>Depósitos</v>
          </cell>
          <cell r="W447" t="str">
            <v>Depósitos</v>
          </cell>
          <cell r="X447" t="str">
            <v>Depósitos $</v>
          </cell>
          <cell r="Y447" t="str">
            <v>Depósitos</v>
          </cell>
          <cell r="Z447" t="str">
            <v>Corto $</v>
          </cell>
          <cell r="AA447" t="str">
            <v>Depósitos</v>
          </cell>
          <cell r="AB447" t="str">
            <v>Depósitos $</v>
          </cell>
          <cell r="AC447" t="str">
            <v>Instrumentos de Deuda</v>
          </cell>
          <cell r="AD447" t="str">
            <v>Financieras</v>
          </cell>
          <cell r="AE447" t="str">
            <v>Deposito CLP Banco Estado</v>
          </cell>
          <cell r="AF447" t="str">
            <v>Banco Estado</v>
          </cell>
        </row>
        <row r="448">
          <cell r="C448" t="str">
            <v>PAGARE NR</v>
          </cell>
          <cell r="D448" t="str">
            <v>ESTADO</v>
          </cell>
          <cell r="E448">
            <v>396447827</v>
          </cell>
          <cell r="F448">
            <v>400000000</v>
          </cell>
          <cell r="G448">
            <v>9.8910000000000005E-3</v>
          </cell>
          <cell r="H448">
            <v>0.32</v>
          </cell>
          <cell r="I448" t="str">
            <v>2017-02-15</v>
          </cell>
          <cell r="J448">
            <v>83</v>
          </cell>
          <cell r="K448">
            <v>0.23</v>
          </cell>
          <cell r="L448">
            <v>0</v>
          </cell>
          <cell r="M448" t="str">
            <v>$</v>
          </cell>
          <cell r="N448" t="str">
            <v>RFL</v>
          </cell>
          <cell r="O448" t="str">
            <v>Renta Fija Local</v>
          </cell>
          <cell r="P448" t="str">
            <v>N-1</v>
          </cell>
          <cell r="Q448" t="str">
            <v>Corto</v>
          </cell>
          <cell r="R448" t="str">
            <v>Depósitos $</v>
          </cell>
          <cell r="S448">
            <v>0.90830999999999995</v>
          </cell>
          <cell r="T448" t="str">
            <v>N-1</v>
          </cell>
          <cell r="U448" t="str">
            <v>25</v>
          </cell>
          <cell r="V448" t="str">
            <v>Depósitos</v>
          </cell>
          <cell r="W448" t="str">
            <v>Depósitos</v>
          </cell>
          <cell r="X448" t="str">
            <v>Depósitos $</v>
          </cell>
          <cell r="Y448" t="str">
            <v>Depósitos</v>
          </cell>
          <cell r="Z448" t="str">
            <v>Corto $</v>
          </cell>
          <cell r="AA448" t="str">
            <v>Depósitos</v>
          </cell>
          <cell r="AB448" t="str">
            <v>Depósitos $</v>
          </cell>
          <cell r="AC448" t="str">
            <v>Instrumentos de Deuda</v>
          </cell>
          <cell r="AD448" t="str">
            <v>Financieras</v>
          </cell>
          <cell r="AE448" t="str">
            <v>Deposito CLP Banco Estado</v>
          </cell>
          <cell r="AF448" t="str">
            <v>Banco Estado</v>
          </cell>
        </row>
        <row r="449">
          <cell r="C449" t="str">
            <v>PAGARE NR</v>
          </cell>
          <cell r="D449" t="str">
            <v>ITAUCORP</v>
          </cell>
          <cell r="E449">
            <v>901969716</v>
          </cell>
          <cell r="F449">
            <v>910800000</v>
          </cell>
          <cell r="G449">
            <v>2.2502999999999999E-2</v>
          </cell>
          <cell r="H449">
            <v>0.33</v>
          </cell>
          <cell r="I449" t="str">
            <v>2017-02-20</v>
          </cell>
          <cell r="J449">
            <v>88</v>
          </cell>
          <cell r="K449">
            <v>0.24</v>
          </cell>
          <cell r="L449">
            <v>0</v>
          </cell>
          <cell r="M449" t="str">
            <v>$</v>
          </cell>
          <cell r="N449" t="str">
            <v>RFL</v>
          </cell>
          <cell r="O449" t="str">
            <v>Renta Fija Local</v>
          </cell>
          <cell r="P449" t="str">
            <v>N-1</v>
          </cell>
          <cell r="Q449" t="str">
            <v>Corto</v>
          </cell>
          <cell r="R449" t="str">
            <v>Depósitos $</v>
          </cell>
          <cell r="S449">
            <v>1.0326709999999999</v>
          </cell>
          <cell r="T449" t="str">
            <v>N-1</v>
          </cell>
          <cell r="U449" t="str">
            <v>25</v>
          </cell>
          <cell r="V449" t="str">
            <v>Depósitos</v>
          </cell>
          <cell r="W449" t="str">
            <v>Depósitos</v>
          </cell>
          <cell r="X449" t="str">
            <v>Depósitos $</v>
          </cell>
          <cell r="Y449" t="str">
            <v>Depósitos</v>
          </cell>
          <cell r="Z449" t="str">
            <v>Corto $</v>
          </cell>
          <cell r="AA449" t="str">
            <v>Depósitos</v>
          </cell>
          <cell r="AB449" t="str">
            <v>Depósitos $</v>
          </cell>
          <cell r="AC449" t="str">
            <v>Instrumentos de Deuda</v>
          </cell>
          <cell r="AD449" t="str">
            <v>Financieras</v>
          </cell>
          <cell r="AE449" t="str">
            <v>Deposito CLP Banco Itaucorp</v>
          </cell>
          <cell r="AF449" t="str">
            <v>Itau/Corpbanca</v>
          </cell>
        </row>
        <row r="450">
          <cell r="C450" t="str">
            <v>PAGARE NR</v>
          </cell>
          <cell r="D450" t="str">
            <v>SECURITY</v>
          </cell>
          <cell r="E450">
            <v>198039410</v>
          </cell>
          <cell r="F450">
            <v>200000000</v>
          </cell>
          <cell r="G450">
            <v>4.9399999999999999E-3</v>
          </cell>
          <cell r="H450">
            <v>0.33</v>
          </cell>
          <cell r="I450" t="str">
            <v>2017-02-21</v>
          </cell>
          <cell r="J450">
            <v>89</v>
          </cell>
          <cell r="K450">
            <v>0.25</v>
          </cell>
          <cell r="L450">
            <v>0</v>
          </cell>
          <cell r="M450" t="str">
            <v>$</v>
          </cell>
          <cell r="N450" t="str">
            <v>RFL</v>
          </cell>
          <cell r="O450" t="str">
            <v>Renta Fija Local</v>
          </cell>
          <cell r="P450" t="str">
            <v>N-1</v>
          </cell>
          <cell r="Q450" t="str">
            <v>Corto</v>
          </cell>
          <cell r="R450" t="str">
            <v>Depósitos $</v>
          </cell>
          <cell r="S450">
            <v>1.0326709999999999</v>
          </cell>
          <cell r="T450" t="str">
            <v>N-1</v>
          </cell>
          <cell r="U450" t="str">
            <v>25</v>
          </cell>
          <cell r="V450" t="str">
            <v>Depósitos</v>
          </cell>
          <cell r="W450" t="str">
            <v>Depósitos</v>
          </cell>
          <cell r="X450" t="str">
            <v>Depósitos $</v>
          </cell>
          <cell r="Y450" t="str">
            <v>Depósitos</v>
          </cell>
          <cell r="Z450" t="str">
            <v>Corto $</v>
          </cell>
          <cell r="AA450" t="str">
            <v>Depósitos</v>
          </cell>
          <cell r="AB450" t="str">
            <v>Depósitos $</v>
          </cell>
          <cell r="AC450" t="str">
            <v>Instrumentos de Deuda</v>
          </cell>
          <cell r="AD450" t="str">
            <v>Financieras</v>
          </cell>
          <cell r="AE450" t="str">
            <v>Deposito CLP Banco Security</v>
          </cell>
          <cell r="AF450" t="str">
            <v>Banco Security</v>
          </cell>
        </row>
        <row r="451">
          <cell r="C451" t="str">
            <v>PAGARE NR</v>
          </cell>
          <cell r="D451" t="str">
            <v>INTERNACIO</v>
          </cell>
          <cell r="E451">
            <v>98912621</v>
          </cell>
          <cell r="F451">
            <v>100000000</v>
          </cell>
          <cell r="G451">
            <v>2.467E-3</v>
          </cell>
          <cell r="H451">
            <v>0.34</v>
          </cell>
          <cell r="I451" t="str">
            <v>2017-02-28</v>
          </cell>
          <cell r="J451">
            <v>96</v>
          </cell>
          <cell r="K451">
            <v>0.27</v>
          </cell>
          <cell r="L451">
            <v>0</v>
          </cell>
          <cell r="M451" t="str">
            <v>$</v>
          </cell>
          <cell r="N451" t="str">
            <v>RFL</v>
          </cell>
          <cell r="O451" t="str">
            <v>Renta Fija Local</v>
          </cell>
          <cell r="P451" t="str">
            <v>N-1</v>
          </cell>
          <cell r="Q451" t="str">
            <v>Corto</v>
          </cell>
          <cell r="R451" t="str">
            <v>Depósitos $</v>
          </cell>
          <cell r="S451">
            <v>1.1571670000000001</v>
          </cell>
          <cell r="T451" t="str">
            <v>N-1</v>
          </cell>
          <cell r="U451" t="str">
            <v>25</v>
          </cell>
          <cell r="V451" t="str">
            <v>Depósitos</v>
          </cell>
          <cell r="W451" t="str">
            <v>Depósitos</v>
          </cell>
          <cell r="X451" t="str">
            <v>Depósitos $</v>
          </cell>
          <cell r="Y451" t="str">
            <v>Depósitos</v>
          </cell>
          <cell r="Z451" t="str">
            <v>Corto $</v>
          </cell>
          <cell r="AA451" t="str">
            <v>Depósitos</v>
          </cell>
          <cell r="AB451" t="str">
            <v>Depósitos $</v>
          </cell>
          <cell r="AC451" t="str">
            <v>Instrumentos de Deuda</v>
          </cell>
          <cell r="AD451" t="str">
            <v>Financieras</v>
          </cell>
          <cell r="AE451" t="str">
            <v>Deposito CLP Banco Internacio</v>
          </cell>
          <cell r="AF451" t="str">
            <v>Banco Internacional</v>
          </cell>
        </row>
        <row r="452">
          <cell r="C452" t="str">
            <v>PAGARE NR</v>
          </cell>
          <cell r="D452" t="str">
            <v>BICE</v>
          </cell>
          <cell r="E452">
            <v>395475757</v>
          </cell>
          <cell r="F452">
            <v>400000000</v>
          </cell>
          <cell r="G452">
            <v>9.8659999999999998E-3</v>
          </cell>
          <cell r="H452">
            <v>0.33</v>
          </cell>
          <cell r="I452" t="str">
            <v>2017-03-07</v>
          </cell>
          <cell r="J452">
            <v>103</v>
          </cell>
          <cell r="K452">
            <v>0.28000000000000003</v>
          </cell>
          <cell r="L452">
            <v>0</v>
          </cell>
          <cell r="M452" t="str">
            <v>$</v>
          </cell>
          <cell r="N452" t="str">
            <v>RFL</v>
          </cell>
          <cell r="O452" t="str">
            <v>Renta Fija Local</v>
          </cell>
          <cell r="P452" t="str">
            <v>N-1</v>
          </cell>
          <cell r="Q452" t="str">
            <v>Corto</v>
          </cell>
          <cell r="R452" t="str">
            <v>Depósitos $</v>
          </cell>
          <cell r="S452">
            <v>1.0326709999999999</v>
          </cell>
          <cell r="T452" t="str">
            <v>N-1</v>
          </cell>
          <cell r="U452" t="str">
            <v>25</v>
          </cell>
          <cell r="V452" t="str">
            <v>Depósitos</v>
          </cell>
          <cell r="W452" t="str">
            <v>Depósitos</v>
          </cell>
          <cell r="X452" t="str">
            <v>Depósitos $</v>
          </cell>
          <cell r="Y452" t="str">
            <v>Depósitos</v>
          </cell>
          <cell r="Z452" t="str">
            <v>Corto $</v>
          </cell>
          <cell r="AA452" t="str">
            <v>Depósitos</v>
          </cell>
          <cell r="AB452" t="str">
            <v>Depósitos $</v>
          </cell>
          <cell r="AC452" t="str">
            <v>Instrumentos de Deuda</v>
          </cell>
          <cell r="AD452" t="str">
            <v>Financieras</v>
          </cell>
          <cell r="AE452" t="str">
            <v>Deposito CLP Banco Bice</v>
          </cell>
          <cell r="AF452" t="str">
            <v>BICE</v>
          </cell>
        </row>
        <row r="453">
          <cell r="C453" t="str">
            <v>PAGARE NR</v>
          </cell>
          <cell r="D453" t="str">
            <v>SECURITY</v>
          </cell>
          <cell r="E453">
            <v>197716376</v>
          </cell>
          <cell r="F453">
            <v>200000000</v>
          </cell>
          <cell r="G453">
            <v>4.9319999999999998E-3</v>
          </cell>
          <cell r="H453">
            <v>0.33</v>
          </cell>
          <cell r="I453" t="str">
            <v>2017-03-08</v>
          </cell>
          <cell r="J453">
            <v>104</v>
          </cell>
          <cell r="K453">
            <v>0.28999999999999998</v>
          </cell>
          <cell r="L453">
            <v>0</v>
          </cell>
          <cell r="M453" t="str">
            <v>$</v>
          </cell>
          <cell r="N453" t="str">
            <v>RFL</v>
          </cell>
          <cell r="O453" t="str">
            <v>Renta Fija Local</v>
          </cell>
          <cell r="P453" t="str">
            <v>N-1</v>
          </cell>
          <cell r="Q453" t="str">
            <v>Corto</v>
          </cell>
          <cell r="R453" t="str">
            <v>Depósitos $</v>
          </cell>
          <cell r="S453">
            <v>1.0326709999999999</v>
          </cell>
          <cell r="T453" t="str">
            <v>N-1</v>
          </cell>
          <cell r="U453" t="str">
            <v>25</v>
          </cell>
          <cell r="V453" t="str">
            <v>Depósitos</v>
          </cell>
          <cell r="W453" t="str">
            <v>Depósitos</v>
          </cell>
          <cell r="X453" t="str">
            <v>Depósitos $</v>
          </cell>
          <cell r="Y453" t="str">
            <v>Depósitos</v>
          </cell>
          <cell r="Z453" t="str">
            <v>Corto $</v>
          </cell>
          <cell r="AA453" t="str">
            <v>Depósitos</v>
          </cell>
          <cell r="AB453" t="str">
            <v>Depósitos $</v>
          </cell>
          <cell r="AC453" t="str">
            <v>Instrumentos de Deuda</v>
          </cell>
          <cell r="AD453" t="str">
            <v>Financieras</v>
          </cell>
          <cell r="AE453" t="str">
            <v>Deposito CLP Banco Security</v>
          </cell>
          <cell r="AF453" t="str">
            <v>Banco Security</v>
          </cell>
        </row>
        <row r="454">
          <cell r="C454" t="str">
            <v>PAGARE NR</v>
          </cell>
          <cell r="D454" t="str">
            <v>SECURITY</v>
          </cell>
          <cell r="E454">
            <v>98793729</v>
          </cell>
          <cell r="F454">
            <v>100000000</v>
          </cell>
          <cell r="G454">
            <v>2.464E-3</v>
          </cell>
          <cell r="H454">
            <v>0.33</v>
          </cell>
          <cell r="I454" t="str">
            <v>2017-03-14</v>
          </cell>
          <cell r="J454">
            <v>110</v>
          </cell>
          <cell r="K454">
            <v>0.3</v>
          </cell>
          <cell r="L454">
            <v>0</v>
          </cell>
          <cell r="M454" t="str">
            <v>$</v>
          </cell>
          <cell r="N454" t="str">
            <v>RFL</v>
          </cell>
          <cell r="O454" t="str">
            <v>Renta Fija Local</v>
          </cell>
          <cell r="P454" t="str">
            <v>N-1</v>
          </cell>
          <cell r="Q454" t="str">
            <v>Corto</v>
          </cell>
          <cell r="R454" t="str">
            <v>Depósitos $</v>
          </cell>
          <cell r="S454">
            <v>1.0326709999999999</v>
          </cell>
          <cell r="T454" t="str">
            <v>N-1</v>
          </cell>
          <cell r="U454" t="str">
            <v>25</v>
          </cell>
          <cell r="V454" t="str">
            <v>Depósitos</v>
          </cell>
          <cell r="W454" t="str">
            <v>Depósitos</v>
          </cell>
          <cell r="X454" t="str">
            <v>Depósitos $</v>
          </cell>
          <cell r="Y454" t="str">
            <v>Depósitos</v>
          </cell>
          <cell r="Z454" t="str">
            <v>Corto $</v>
          </cell>
          <cell r="AA454" t="str">
            <v>Depósitos</v>
          </cell>
          <cell r="AB454" t="str">
            <v>Depósitos $</v>
          </cell>
          <cell r="AC454" t="str">
            <v>Instrumentos de Deuda</v>
          </cell>
          <cell r="AD454" t="str">
            <v>Financieras</v>
          </cell>
          <cell r="AE454" t="str">
            <v>Deposito CLP Banco Security</v>
          </cell>
          <cell r="AF454" t="str">
            <v>Banco Security</v>
          </cell>
        </row>
        <row r="455">
          <cell r="C455" t="str">
            <v>PAGARE NR</v>
          </cell>
          <cell r="D455" t="str">
            <v>ESTADO</v>
          </cell>
          <cell r="E455">
            <v>197638874</v>
          </cell>
          <cell r="F455">
            <v>200000000</v>
          </cell>
          <cell r="G455">
            <v>4.9300000000000004E-3</v>
          </cell>
          <cell r="H455">
            <v>0.32</v>
          </cell>
          <cell r="I455" t="str">
            <v>2017-03-15</v>
          </cell>
          <cell r="J455">
            <v>111</v>
          </cell>
          <cell r="K455">
            <v>0.31</v>
          </cell>
          <cell r="L455">
            <v>0</v>
          </cell>
          <cell r="M455" t="str">
            <v>$</v>
          </cell>
          <cell r="N455" t="str">
            <v>RFL</v>
          </cell>
          <cell r="O455" t="str">
            <v>Renta Fija Local</v>
          </cell>
          <cell r="P455" t="str">
            <v>N-1</v>
          </cell>
          <cell r="Q455" t="str">
            <v>Corto</v>
          </cell>
          <cell r="R455" t="str">
            <v>Depósitos $</v>
          </cell>
          <cell r="S455">
            <v>0.90830999999999995</v>
          </cell>
          <cell r="T455" t="str">
            <v>N-1</v>
          </cell>
          <cell r="U455" t="str">
            <v>25</v>
          </cell>
          <cell r="V455" t="str">
            <v>Depósitos</v>
          </cell>
          <cell r="W455" t="str">
            <v>Depósitos</v>
          </cell>
          <cell r="X455" t="str">
            <v>Depósitos $</v>
          </cell>
          <cell r="Y455" t="str">
            <v>Depósitos</v>
          </cell>
          <cell r="Z455" t="str">
            <v>Corto $</v>
          </cell>
          <cell r="AA455" t="str">
            <v>Depósitos</v>
          </cell>
          <cell r="AB455" t="str">
            <v>Depósitos $</v>
          </cell>
          <cell r="AC455" t="str">
            <v>Instrumentos de Deuda</v>
          </cell>
          <cell r="AD455" t="str">
            <v>Financieras</v>
          </cell>
          <cell r="AE455" t="str">
            <v>Deposito CLP Banco Estado</v>
          </cell>
          <cell r="AF455" t="str">
            <v>Banco Estado</v>
          </cell>
        </row>
        <row r="456">
          <cell r="C456" t="str">
            <v>PAGARE NR</v>
          </cell>
          <cell r="D456" t="str">
            <v>CHILE</v>
          </cell>
          <cell r="E456">
            <v>246957484</v>
          </cell>
          <cell r="F456">
            <v>250000000</v>
          </cell>
          <cell r="G456">
            <v>6.1609999999999998E-3</v>
          </cell>
          <cell r="H456">
            <v>0.33</v>
          </cell>
          <cell r="I456" t="str">
            <v>2017-03-15</v>
          </cell>
          <cell r="J456">
            <v>111</v>
          </cell>
          <cell r="K456">
            <v>0.31</v>
          </cell>
          <cell r="L456">
            <v>0</v>
          </cell>
          <cell r="M456" t="str">
            <v>$</v>
          </cell>
          <cell r="N456" t="str">
            <v>RFL</v>
          </cell>
          <cell r="O456" t="str">
            <v>Renta Fija Local</v>
          </cell>
          <cell r="P456" t="str">
            <v>N-1</v>
          </cell>
          <cell r="Q456" t="str">
            <v>Corto</v>
          </cell>
          <cell r="R456" t="str">
            <v>Depósitos $</v>
          </cell>
          <cell r="S456">
            <v>1.0326709999999999</v>
          </cell>
          <cell r="T456" t="str">
            <v>N-1</v>
          </cell>
          <cell r="U456" t="str">
            <v>25</v>
          </cell>
          <cell r="V456" t="str">
            <v>Depósitos</v>
          </cell>
          <cell r="W456" t="str">
            <v>Depósitos</v>
          </cell>
          <cell r="X456" t="str">
            <v>Depósitos $</v>
          </cell>
          <cell r="Y456" t="str">
            <v>Depósitos</v>
          </cell>
          <cell r="Z456" t="str">
            <v>Corto $</v>
          </cell>
          <cell r="AA456" t="str">
            <v>Depósitos</v>
          </cell>
          <cell r="AB456" t="str">
            <v>Depósitos $</v>
          </cell>
          <cell r="AC456" t="str">
            <v>Instrumentos de Deuda</v>
          </cell>
          <cell r="AD456" t="str">
            <v>Financieras</v>
          </cell>
          <cell r="AE456" t="str">
            <v>Deposito CLP Banco Chile</v>
          </cell>
          <cell r="AF456" t="str">
            <v>Banco de Chile</v>
          </cell>
        </row>
        <row r="457">
          <cell r="C457" t="str">
            <v>PAGARE NR</v>
          </cell>
          <cell r="D457" t="str">
            <v>COOPEUCH</v>
          </cell>
          <cell r="E457">
            <v>49367764</v>
          </cell>
          <cell r="F457">
            <v>50000000</v>
          </cell>
          <cell r="G457">
            <v>1.2310000000000001E-3</v>
          </cell>
          <cell r="H457">
            <v>0.34</v>
          </cell>
          <cell r="I457" t="str">
            <v>2017-03-16</v>
          </cell>
          <cell r="J457">
            <v>112</v>
          </cell>
          <cell r="K457">
            <v>0.31</v>
          </cell>
          <cell r="L457">
            <v>0</v>
          </cell>
          <cell r="M457" t="str">
            <v>$</v>
          </cell>
          <cell r="N457" t="str">
            <v>RFL</v>
          </cell>
          <cell r="O457" t="str">
            <v>Renta Fija Local</v>
          </cell>
          <cell r="P457" t="str">
            <v>N-1</v>
          </cell>
          <cell r="Q457" t="str">
            <v>Corto</v>
          </cell>
          <cell r="R457" t="str">
            <v>Depósitos $</v>
          </cell>
          <cell r="S457">
            <v>1.1571670000000001</v>
          </cell>
          <cell r="T457" t="str">
            <v>N-1</v>
          </cell>
          <cell r="U457" t="str">
            <v>25</v>
          </cell>
          <cell r="V457" t="str">
            <v>Depósitos</v>
          </cell>
          <cell r="W457" t="str">
            <v>Depósitos</v>
          </cell>
          <cell r="X457" t="str">
            <v>Depósitos $</v>
          </cell>
          <cell r="Y457" t="str">
            <v>Depósitos</v>
          </cell>
          <cell r="Z457" t="str">
            <v>Corto $</v>
          </cell>
          <cell r="AA457" t="str">
            <v>Depósitos</v>
          </cell>
          <cell r="AB457" t="str">
            <v>Depósitos $</v>
          </cell>
          <cell r="AC457" t="str">
            <v>Instrumentos de Deuda</v>
          </cell>
          <cell r="AD457" t="str">
            <v>Financieras</v>
          </cell>
          <cell r="AE457" t="str">
            <v>Deposito CLP Banco Coopeuch</v>
          </cell>
          <cell r="AF457" t="str">
            <v>COOPEUCH</v>
          </cell>
        </row>
        <row r="458">
          <cell r="C458" t="str">
            <v>PAGARE NR</v>
          </cell>
          <cell r="D458" t="str">
            <v>BCI</v>
          </cell>
          <cell r="E458">
            <v>200715111</v>
          </cell>
          <cell r="F458">
            <v>203210000</v>
          </cell>
          <cell r="G458">
            <v>5.0070000000000002E-3</v>
          </cell>
          <cell r="H458">
            <v>0.33</v>
          </cell>
          <cell r="I458" t="str">
            <v>2017-03-16</v>
          </cell>
          <cell r="J458">
            <v>112</v>
          </cell>
          <cell r="K458">
            <v>0.31</v>
          </cell>
          <cell r="L458">
            <v>0</v>
          </cell>
          <cell r="M458" t="str">
            <v>$</v>
          </cell>
          <cell r="N458" t="str">
            <v>RFL</v>
          </cell>
          <cell r="O458" t="str">
            <v>Renta Fija Local</v>
          </cell>
          <cell r="P458" t="str">
            <v>N-1</v>
          </cell>
          <cell r="Q458" t="str">
            <v>Corto</v>
          </cell>
          <cell r="R458" t="str">
            <v>Depósitos $</v>
          </cell>
          <cell r="S458">
            <v>1.0326709999999999</v>
          </cell>
          <cell r="T458" t="str">
            <v>N-1</v>
          </cell>
          <cell r="U458" t="str">
            <v>25</v>
          </cell>
          <cell r="V458" t="str">
            <v>Depósitos</v>
          </cell>
          <cell r="W458" t="str">
            <v>Depósitos</v>
          </cell>
          <cell r="X458" t="str">
            <v>Depósitos $</v>
          </cell>
          <cell r="Y458" t="str">
            <v>Depósitos</v>
          </cell>
          <cell r="Z458" t="str">
            <v>Corto $</v>
          </cell>
          <cell r="AA458" t="str">
            <v>Depósitos</v>
          </cell>
          <cell r="AB458" t="str">
            <v>Depósitos $</v>
          </cell>
          <cell r="AC458" t="str">
            <v>Instrumentos de Deuda</v>
          </cell>
          <cell r="AD458" t="str">
            <v>Financieras</v>
          </cell>
          <cell r="AE458" t="str">
            <v>Deposito CLP Banco Bci</v>
          </cell>
          <cell r="AF458" t="str">
            <v>BCI</v>
          </cell>
        </row>
        <row r="459">
          <cell r="C459" t="str">
            <v>PAGARE NR</v>
          </cell>
          <cell r="D459" t="str">
            <v>BICE</v>
          </cell>
          <cell r="E459">
            <v>10139384</v>
          </cell>
          <cell r="F459">
            <v>10269878</v>
          </cell>
          <cell r="G459">
            <v>2.52E-4</v>
          </cell>
          <cell r="H459">
            <v>0.33</v>
          </cell>
          <cell r="I459" t="str">
            <v>2017-03-20</v>
          </cell>
          <cell r="J459">
            <v>116</v>
          </cell>
          <cell r="K459">
            <v>0.32</v>
          </cell>
          <cell r="L459">
            <v>0</v>
          </cell>
          <cell r="M459" t="str">
            <v>$</v>
          </cell>
          <cell r="N459" t="str">
            <v>RFL</v>
          </cell>
          <cell r="O459" t="str">
            <v>Renta Fija Local</v>
          </cell>
          <cell r="P459" t="str">
            <v>N-1</v>
          </cell>
          <cell r="Q459" t="str">
            <v>Corto</v>
          </cell>
          <cell r="R459" t="str">
            <v>Depósitos $</v>
          </cell>
          <cell r="S459">
            <v>1.0326709999999999</v>
          </cell>
          <cell r="T459" t="str">
            <v>N-1</v>
          </cell>
          <cell r="U459" t="str">
            <v>25</v>
          </cell>
          <cell r="V459" t="str">
            <v>Depósitos</v>
          </cell>
          <cell r="W459" t="str">
            <v>Depósitos</v>
          </cell>
          <cell r="X459" t="str">
            <v>Depósitos $</v>
          </cell>
          <cell r="Y459" t="str">
            <v>Depósitos</v>
          </cell>
          <cell r="Z459" t="str">
            <v>Corto $</v>
          </cell>
          <cell r="AA459" t="str">
            <v>Depósitos</v>
          </cell>
          <cell r="AB459" t="str">
            <v>Depósitos $</v>
          </cell>
          <cell r="AC459" t="str">
            <v>Instrumentos de Deuda</v>
          </cell>
          <cell r="AD459" t="str">
            <v>Financieras</v>
          </cell>
          <cell r="AE459" t="str">
            <v>Deposito CLP Banco Bice</v>
          </cell>
          <cell r="AF459" t="str">
            <v>BICE</v>
          </cell>
        </row>
        <row r="460">
          <cell r="C460" t="str">
            <v>PAGARE NR</v>
          </cell>
          <cell r="D460" t="str">
            <v>CHILE</v>
          </cell>
          <cell r="E460">
            <v>197162179</v>
          </cell>
          <cell r="F460">
            <v>200000000</v>
          </cell>
          <cell r="G460">
            <v>4.9189999999999998E-3</v>
          </cell>
          <cell r="H460">
            <v>0.34</v>
          </cell>
          <cell r="I460" t="str">
            <v>2017-03-30</v>
          </cell>
          <cell r="J460">
            <v>126</v>
          </cell>
          <cell r="K460">
            <v>0.35</v>
          </cell>
          <cell r="L460">
            <v>0</v>
          </cell>
          <cell r="M460" t="str">
            <v>$</v>
          </cell>
          <cell r="N460" t="str">
            <v>RFL</v>
          </cell>
          <cell r="O460" t="str">
            <v>Renta Fija Local</v>
          </cell>
          <cell r="P460" t="str">
            <v>N-1</v>
          </cell>
          <cell r="Q460" t="str">
            <v>Corto</v>
          </cell>
          <cell r="R460" t="str">
            <v>Depósitos $</v>
          </cell>
          <cell r="S460">
            <v>1.1571670000000001</v>
          </cell>
          <cell r="T460" t="str">
            <v>N-1</v>
          </cell>
          <cell r="U460" t="str">
            <v>25</v>
          </cell>
          <cell r="V460" t="str">
            <v>Depósitos</v>
          </cell>
          <cell r="W460" t="str">
            <v>Depósitos</v>
          </cell>
          <cell r="X460" t="str">
            <v>Depósitos $</v>
          </cell>
          <cell r="Y460" t="str">
            <v>Depósitos</v>
          </cell>
          <cell r="Z460" t="str">
            <v>Corto $</v>
          </cell>
          <cell r="AA460" t="str">
            <v>Depósitos</v>
          </cell>
          <cell r="AB460" t="str">
            <v>Depósitos $</v>
          </cell>
          <cell r="AC460" t="str">
            <v>Instrumentos de Deuda</v>
          </cell>
          <cell r="AD460" t="str">
            <v>Financieras</v>
          </cell>
          <cell r="AE460" t="str">
            <v>Deposito CLP Banco Chile</v>
          </cell>
          <cell r="AF460" t="str">
            <v>Banco de Chile</v>
          </cell>
        </row>
        <row r="461">
          <cell r="C461" t="str">
            <v>PAGARE NR</v>
          </cell>
          <cell r="D461" t="str">
            <v>BICE</v>
          </cell>
          <cell r="E461">
            <v>51547871</v>
          </cell>
          <cell r="F461">
            <v>52273665</v>
          </cell>
          <cell r="G461">
            <v>1.286E-3</v>
          </cell>
          <cell r="H461">
            <v>0.33</v>
          </cell>
          <cell r="I461" t="str">
            <v>2017-03-31</v>
          </cell>
          <cell r="J461">
            <v>127</v>
          </cell>
          <cell r="K461">
            <v>0.35</v>
          </cell>
          <cell r="L461">
            <v>0</v>
          </cell>
          <cell r="M461" t="str">
            <v>$</v>
          </cell>
          <cell r="N461" t="str">
            <v>RFL</v>
          </cell>
          <cell r="O461" t="str">
            <v>Renta Fija Local</v>
          </cell>
          <cell r="P461" t="str">
            <v>N-1</v>
          </cell>
          <cell r="Q461" t="str">
            <v>Corto</v>
          </cell>
          <cell r="R461" t="str">
            <v>Depósitos $</v>
          </cell>
          <cell r="S461">
            <v>1.0326709999999999</v>
          </cell>
          <cell r="T461" t="str">
            <v>N-1</v>
          </cell>
          <cell r="U461" t="str">
            <v>25</v>
          </cell>
          <cell r="V461" t="str">
            <v>Depósitos</v>
          </cell>
          <cell r="W461" t="str">
            <v>Depósitos</v>
          </cell>
          <cell r="X461" t="str">
            <v>Depósitos $</v>
          </cell>
          <cell r="Y461" t="str">
            <v>Depósitos</v>
          </cell>
          <cell r="Z461" t="str">
            <v>Corto $</v>
          </cell>
          <cell r="AA461" t="str">
            <v>Depósitos</v>
          </cell>
          <cell r="AB461" t="str">
            <v>Depósitos $</v>
          </cell>
          <cell r="AC461" t="str">
            <v>Instrumentos de Deuda</v>
          </cell>
          <cell r="AD461" t="str">
            <v>Financieras</v>
          </cell>
          <cell r="AE461" t="str">
            <v>Deposito CLP Banco Bice</v>
          </cell>
          <cell r="AF461" t="str">
            <v>BICE</v>
          </cell>
        </row>
        <row r="462">
          <cell r="C462" t="str">
            <v>PAGARE NR</v>
          </cell>
          <cell r="D462" t="str">
            <v>SANTANDER</v>
          </cell>
          <cell r="E462">
            <v>591669296</v>
          </cell>
          <cell r="F462">
            <v>600000000</v>
          </cell>
          <cell r="G462">
            <v>1.4761E-2</v>
          </cell>
          <cell r="H462">
            <v>0.33</v>
          </cell>
          <cell r="I462" t="str">
            <v>2017-03-31</v>
          </cell>
          <cell r="J462">
            <v>127</v>
          </cell>
          <cell r="K462">
            <v>0.35</v>
          </cell>
          <cell r="L462">
            <v>0</v>
          </cell>
          <cell r="M462" t="str">
            <v>$</v>
          </cell>
          <cell r="N462" t="str">
            <v>RFL</v>
          </cell>
          <cell r="O462" t="str">
            <v>Renta Fija Local</v>
          </cell>
          <cell r="P462" t="str">
            <v>N-1</v>
          </cell>
          <cell r="Q462" t="str">
            <v>Corto</v>
          </cell>
          <cell r="R462" t="str">
            <v>Depósitos $</v>
          </cell>
          <cell r="S462">
            <v>1.0326709999999999</v>
          </cell>
          <cell r="T462" t="str">
            <v>N-1</v>
          </cell>
          <cell r="U462" t="str">
            <v>25</v>
          </cell>
          <cell r="V462" t="str">
            <v>Depósitos</v>
          </cell>
          <cell r="W462" t="str">
            <v>Depósitos</v>
          </cell>
          <cell r="X462" t="str">
            <v>Depósitos $</v>
          </cell>
          <cell r="Y462" t="str">
            <v>Depósitos</v>
          </cell>
          <cell r="Z462" t="str">
            <v>Corto $</v>
          </cell>
          <cell r="AA462" t="str">
            <v>Depósitos</v>
          </cell>
          <cell r="AB462" t="str">
            <v>Depósitos $</v>
          </cell>
          <cell r="AC462" t="str">
            <v>Instrumentos de Deuda</v>
          </cell>
          <cell r="AD462" t="str">
            <v>Financieras</v>
          </cell>
          <cell r="AE462" t="str">
            <v>Deposito CLP Banco Santander</v>
          </cell>
          <cell r="AF462" t="str">
            <v>Banco Santander</v>
          </cell>
        </row>
        <row r="463">
          <cell r="C463" t="str">
            <v>PAGARE NR</v>
          </cell>
          <cell r="D463" t="str">
            <v>SANTANDER</v>
          </cell>
          <cell r="E463">
            <v>788635759</v>
          </cell>
          <cell r="F463">
            <v>800000000</v>
          </cell>
          <cell r="G463">
            <v>1.9675999999999999E-2</v>
          </cell>
          <cell r="H463">
            <v>0.33</v>
          </cell>
          <cell r="I463" t="str">
            <v>2017-04-03</v>
          </cell>
          <cell r="J463">
            <v>130</v>
          </cell>
          <cell r="K463">
            <v>0.36</v>
          </cell>
          <cell r="L463">
            <v>0</v>
          </cell>
          <cell r="M463" t="str">
            <v>$</v>
          </cell>
          <cell r="N463" t="str">
            <v>RFL</v>
          </cell>
          <cell r="O463" t="str">
            <v>Renta Fija Local</v>
          </cell>
          <cell r="P463" t="str">
            <v>N-1</v>
          </cell>
          <cell r="Q463" t="str">
            <v>Corto</v>
          </cell>
          <cell r="R463" t="str">
            <v>Depósitos $</v>
          </cell>
          <cell r="S463">
            <v>1.0326709999999999</v>
          </cell>
          <cell r="T463" t="str">
            <v>N-1</v>
          </cell>
          <cell r="U463" t="str">
            <v>25</v>
          </cell>
          <cell r="V463" t="str">
            <v>Depósitos</v>
          </cell>
          <cell r="W463" t="str">
            <v>Depósitos</v>
          </cell>
          <cell r="X463" t="str">
            <v>Depósitos $</v>
          </cell>
          <cell r="Y463" t="str">
            <v>Depósitos</v>
          </cell>
          <cell r="Z463" t="str">
            <v>Corto $</v>
          </cell>
          <cell r="AA463" t="str">
            <v>Depósitos</v>
          </cell>
          <cell r="AB463" t="str">
            <v>Depósitos $</v>
          </cell>
          <cell r="AC463" t="str">
            <v>Instrumentos de Deuda</v>
          </cell>
          <cell r="AD463" t="str">
            <v>Financieras</v>
          </cell>
          <cell r="AE463" t="str">
            <v>Deposito CLP Banco Santander</v>
          </cell>
          <cell r="AF463" t="str">
            <v>Banco Santander</v>
          </cell>
        </row>
        <row r="464">
          <cell r="C464" t="str">
            <v>PAGARE NR</v>
          </cell>
          <cell r="D464" t="str">
            <v>SCOTIABANK</v>
          </cell>
          <cell r="E464">
            <v>197137562</v>
          </cell>
          <cell r="F464">
            <v>200000000</v>
          </cell>
          <cell r="G464">
            <v>4.9179999999999996E-3</v>
          </cell>
          <cell r="H464">
            <v>0.33</v>
          </cell>
          <cell r="I464" t="str">
            <v>2017-04-04</v>
          </cell>
          <cell r="J464">
            <v>131</v>
          </cell>
          <cell r="K464">
            <v>0.36</v>
          </cell>
          <cell r="L464">
            <v>0</v>
          </cell>
          <cell r="M464" t="str">
            <v>$</v>
          </cell>
          <cell r="N464" t="str">
            <v>RFL</v>
          </cell>
          <cell r="O464" t="str">
            <v>Renta Fija Local</v>
          </cell>
          <cell r="P464" t="str">
            <v>N-1</v>
          </cell>
          <cell r="Q464" t="str">
            <v>Corto</v>
          </cell>
          <cell r="R464" t="str">
            <v>Depósitos $</v>
          </cell>
          <cell r="S464">
            <v>1.0326709999999999</v>
          </cell>
          <cell r="T464" t="str">
            <v>N-1</v>
          </cell>
          <cell r="U464" t="str">
            <v>25</v>
          </cell>
          <cell r="V464" t="str">
            <v>Depósitos</v>
          </cell>
          <cell r="W464" t="str">
            <v>Depósitos</v>
          </cell>
          <cell r="X464" t="str">
            <v>Depósitos $</v>
          </cell>
          <cell r="Y464" t="str">
            <v>Depósitos</v>
          </cell>
          <cell r="Z464" t="str">
            <v>Corto $</v>
          </cell>
          <cell r="AA464" t="str">
            <v>Depósitos</v>
          </cell>
          <cell r="AB464" t="str">
            <v>Depósitos $</v>
          </cell>
          <cell r="AC464" t="str">
            <v>Instrumentos de Deuda</v>
          </cell>
          <cell r="AD464" t="str">
            <v>Financieras</v>
          </cell>
          <cell r="AE464" t="str">
            <v>Deposito CLP Banco Scotiabank</v>
          </cell>
          <cell r="AF464" t="str">
            <v>Scotiabank</v>
          </cell>
        </row>
        <row r="465">
          <cell r="C465" t="str">
            <v>PAGARE NR</v>
          </cell>
          <cell r="D465" t="str">
            <v>SCOTIABANK</v>
          </cell>
          <cell r="E465">
            <v>591156302</v>
          </cell>
          <cell r="F465">
            <v>600000000</v>
          </cell>
          <cell r="G465">
            <v>1.4749E-2</v>
          </cell>
          <cell r="H465">
            <v>0.34</v>
          </cell>
          <cell r="I465" t="str">
            <v>2017-04-04</v>
          </cell>
          <cell r="J465">
            <v>131</v>
          </cell>
          <cell r="K465">
            <v>0.36</v>
          </cell>
          <cell r="L465">
            <v>0</v>
          </cell>
          <cell r="M465" t="str">
            <v>$</v>
          </cell>
          <cell r="N465" t="str">
            <v>RFL</v>
          </cell>
          <cell r="O465" t="str">
            <v>Renta Fija Local</v>
          </cell>
          <cell r="P465" t="str">
            <v>N-1</v>
          </cell>
          <cell r="Q465" t="str">
            <v>Corto</v>
          </cell>
          <cell r="R465" t="str">
            <v>Depósitos $</v>
          </cell>
          <cell r="S465">
            <v>1.1571670000000001</v>
          </cell>
          <cell r="T465" t="str">
            <v>N-1</v>
          </cell>
          <cell r="U465" t="str">
            <v>25</v>
          </cell>
          <cell r="V465" t="str">
            <v>Depósitos</v>
          </cell>
          <cell r="W465" t="str">
            <v>Depósitos</v>
          </cell>
          <cell r="X465" t="str">
            <v>Depósitos $</v>
          </cell>
          <cell r="Y465" t="str">
            <v>Depósitos</v>
          </cell>
          <cell r="Z465" t="str">
            <v>Corto $</v>
          </cell>
          <cell r="AA465" t="str">
            <v>Depósitos</v>
          </cell>
          <cell r="AB465" t="str">
            <v>Depósitos $</v>
          </cell>
          <cell r="AC465" t="str">
            <v>Instrumentos de Deuda</v>
          </cell>
          <cell r="AD465" t="str">
            <v>Financieras</v>
          </cell>
          <cell r="AE465" t="str">
            <v>Deposito CLP Banco Scotiabank</v>
          </cell>
          <cell r="AF465" t="str">
            <v>Scotiabank</v>
          </cell>
        </row>
        <row r="466">
          <cell r="C466" t="str">
            <v>PAGARE NR</v>
          </cell>
          <cell r="D466" t="str">
            <v>BCI</v>
          </cell>
          <cell r="E466">
            <v>201117649</v>
          </cell>
          <cell r="F466">
            <v>204060000</v>
          </cell>
          <cell r="G466">
            <v>5.0169999999999998E-3</v>
          </cell>
          <cell r="H466">
            <v>0.33</v>
          </cell>
          <cell r="I466" t="str">
            <v>2017-04-05</v>
          </cell>
          <cell r="J466">
            <v>132</v>
          </cell>
          <cell r="K466">
            <v>0.36</v>
          </cell>
          <cell r="L466">
            <v>0</v>
          </cell>
          <cell r="M466" t="str">
            <v>$</v>
          </cell>
          <cell r="N466" t="str">
            <v>RFL</v>
          </cell>
          <cell r="O466" t="str">
            <v>Renta Fija Local</v>
          </cell>
          <cell r="P466" t="str">
            <v>N-1</v>
          </cell>
          <cell r="Q466" t="str">
            <v>Corto</v>
          </cell>
          <cell r="R466" t="str">
            <v>Depósitos $</v>
          </cell>
          <cell r="S466">
            <v>1.0326709999999999</v>
          </cell>
          <cell r="T466" t="str">
            <v>N-1</v>
          </cell>
          <cell r="U466" t="str">
            <v>25</v>
          </cell>
          <cell r="V466" t="str">
            <v>Depósitos</v>
          </cell>
          <cell r="W466" t="str">
            <v>Depósitos</v>
          </cell>
          <cell r="X466" t="str">
            <v>Depósitos $</v>
          </cell>
          <cell r="Y466" t="str">
            <v>Depósitos</v>
          </cell>
          <cell r="Z466" t="str">
            <v>Corto $</v>
          </cell>
          <cell r="AA466" t="str">
            <v>Depósitos</v>
          </cell>
          <cell r="AB466" t="str">
            <v>Depósitos $</v>
          </cell>
          <cell r="AC466" t="str">
            <v>Instrumentos de Deuda</v>
          </cell>
          <cell r="AD466" t="str">
            <v>Financieras</v>
          </cell>
          <cell r="AE466" t="str">
            <v>Deposito CLP Banco Bci</v>
          </cell>
          <cell r="AF466" t="str">
            <v>BCI</v>
          </cell>
        </row>
        <row r="467">
          <cell r="C467" t="str">
            <v>PAGARE NR</v>
          </cell>
          <cell r="D467" t="str">
            <v>BBVA</v>
          </cell>
          <cell r="E467">
            <v>98558095</v>
          </cell>
          <cell r="F467">
            <v>100000000</v>
          </cell>
          <cell r="G467">
            <v>2.4580000000000001E-3</v>
          </cell>
          <cell r="H467">
            <v>0.33</v>
          </cell>
          <cell r="I467" t="str">
            <v>2017-04-05</v>
          </cell>
          <cell r="J467">
            <v>132</v>
          </cell>
          <cell r="K467">
            <v>0.36</v>
          </cell>
          <cell r="L467">
            <v>0</v>
          </cell>
          <cell r="M467" t="str">
            <v>$</v>
          </cell>
          <cell r="N467" t="str">
            <v>RFL</v>
          </cell>
          <cell r="O467" t="str">
            <v>Renta Fija Local</v>
          </cell>
          <cell r="P467" t="str">
            <v>N-1</v>
          </cell>
          <cell r="Q467" t="str">
            <v>Corto</v>
          </cell>
          <cell r="R467" t="str">
            <v>Depósitos $</v>
          </cell>
          <cell r="S467">
            <v>1.0326709999999999</v>
          </cell>
          <cell r="T467" t="str">
            <v>N-1</v>
          </cell>
          <cell r="U467" t="str">
            <v>25</v>
          </cell>
          <cell r="V467" t="str">
            <v>Depósitos</v>
          </cell>
          <cell r="W467" t="str">
            <v>Depósitos</v>
          </cell>
          <cell r="X467" t="str">
            <v>Depósitos $</v>
          </cell>
          <cell r="Y467" t="str">
            <v>Depósitos</v>
          </cell>
          <cell r="Z467" t="str">
            <v>Corto $</v>
          </cell>
          <cell r="AA467" t="str">
            <v>Depósitos</v>
          </cell>
          <cell r="AB467" t="str">
            <v>Depósitos $</v>
          </cell>
          <cell r="AC467" t="str">
            <v>Instrumentos de Deuda</v>
          </cell>
          <cell r="AD467" t="str">
            <v>Financieras</v>
          </cell>
          <cell r="AE467" t="str">
            <v>Deposito CLP Banco Bbva</v>
          </cell>
          <cell r="AF467" t="str">
            <v>BBVA</v>
          </cell>
        </row>
        <row r="468">
          <cell r="C468" t="str">
            <v>PAGARE NR</v>
          </cell>
          <cell r="D468" t="str">
            <v>ESTADO</v>
          </cell>
          <cell r="E468">
            <v>98558095</v>
          </cell>
          <cell r="F468">
            <v>100000000</v>
          </cell>
          <cell r="G468">
            <v>2.4580000000000001E-3</v>
          </cell>
          <cell r="H468">
            <v>0.33</v>
          </cell>
          <cell r="I468" t="str">
            <v>2017-04-05</v>
          </cell>
          <cell r="J468">
            <v>132</v>
          </cell>
          <cell r="K468">
            <v>0.36</v>
          </cell>
          <cell r="L468">
            <v>0</v>
          </cell>
          <cell r="M468" t="str">
            <v>$</v>
          </cell>
          <cell r="N468" t="str">
            <v>RFL</v>
          </cell>
          <cell r="O468" t="str">
            <v>Renta Fija Local</v>
          </cell>
          <cell r="P468" t="str">
            <v>N-1</v>
          </cell>
          <cell r="Q468" t="str">
            <v>Corto</v>
          </cell>
          <cell r="R468" t="str">
            <v>Depósitos $</v>
          </cell>
          <cell r="S468">
            <v>1.0326709999999999</v>
          </cell>
          <cell r="T468" t="str">
            <v>N-1</v>
          </cell>
          <cell r="U468" t="str">
            <v>25</v>
          </cell>
          <cell r="V468" t="str">
            <v>Depósitos</v>
          </cell>
          <cell r="W468" t="str">
            <v>Depósitos</v>
          </cell>
          <cell r="X468" t="str">
            <v>Depósitos $</v>
          </cell>
          <cell r="Y468" t="str">
            <v>Depósitos</v>
          </cell>
          <cell r="Z468" t="str">
            <v>Corto $</v>
          </cell>
          <cell r="AA468" t="str">
            <v>Depósitos</v>
          </cell>
          <cell r="AB468" t="str">
            <v>Depósitos $</v>
          </cell>
          <cell r="AC468" t="str">
            <v>Instrumentos de Deuda</v>
          </cell>
          <cell r="AD468" t="str">
            <v>Financieras</v>
          </cell>
          <cell r="AE468" t="str">
            <v>Deposito CLP Banco Estado</v>
          </cell>
          <cell r="AF468" t="str">
            <v>Banco Estado</v>
          </cell>
        </row>
        <row r="469">
          <cell r="C469" t="str">
            <v>PAGARE NR</v>
          </cell>
          <cell r="D469" t="str">
            <v>BICE</v>
          </cell>
          <cell r="E469">
            <v>49273706</v>
          </cell>
          <cell r="F469">
            <v>50000000</v>
          </cell>
          <cell r="G469">
            <v>1.2290000000000001E-3</v>
          </cell>
          <cell r="H469">
            <v>0.33</v>
          </cell>
          <cell r="I469" t="str">
            <v>2017-04-06</v>
          </cell>
          <cell r="J469">
            <v>133</v>
          </cell>
          <cell r="K469">
            <v>0.37</v>
          </cell>
          <cell r="L469">
            <v>0</v>
          </cell>
          <cell r="M469" t="str">
            <v>$</v>
          </cell>
          <cell r="N469" t="str">
            <v>RFL</v>
          </cell>
          <cell r="O469" t="str">
            <v>Renta Fija Local</v>
          </cell>
          <cell r="P469" t="str">
            <v>N-1</v>
          </cell>
          <cell r="Q469" t="str">
            <v>Corto</v>
          </cell>
          <cell r="R469" t="str">
            <v>Depósitos $</v>
          </cell>
          <cell r="S469">
            <v>1.0326709999999999</v>
          </cell>
          <cell r="T469" t="str">
            <v>N-1</v>
          </cell>
          <cell r="U469" t="str">
            <v>25</v>
          </cell>
          <cell r="V469" t="str">
            <v>Depósitos</v>
          </cell>
          <cell r="W469" t="str">
            <v>Depósitos</v>
          </cell>
          <cell r="X469" t="str">
            <v>Depósitos $</v>
          </cell>
          <cell r="Y469" t="str">
            <v>Depósitos</v>
          </cell>
          <cell r="Z469" t="str">
            <v>Corto $</v>
          </cell>
          <cell r="AA469" t="str">
            <v>Depósitos</v>
          </cell>
          <cell r="AB469" t="str">
            <v>Depósitos $</v>
          </cell>
          <cell r="AC469" t="str">
            <v>Instrumentos de Deuda</v>
          </cell>
          <cell r="AD469" t="str">
            <v>Financieras</v>
          </cell>
          <cell r="AE469" t="str">
            <v>Deposito CLP Banco Bice</v>
          </cell>
          <cell r="AF469" t="str">
            <v>BICE</v>
          </cell>
        </row>
        <row r="470">
          <cell r="C470" t="str">
            <v>PAGARE NR</v>
          </cell>
          <cell r="D470" t="str">
            <v>BCI</v>
          </cell>
          <cell r="E470">
            <v>201014928</v>
          </cell>
          <cell r="F470">
            <v>204000000</v>
          </cell>
          <cell r="G470">
            <v>5.0150000000000004E-3</v>
          </cell>
          <cell r="H470">
            <v>0.33</v>
          </cell>
          <cell r="I470" t="str">
            <v>2017-04-07</v>
          </cell>
          <cell r="J470">
            <v>134</v>
          </cell>
          <cell r="K470">
            <v>0.37</v>
          </cell>
          <cell r="L470">
            <v>0</v>
          </cell>
          <cell r="M470" t="str">
            <v>$</v>
          </cell>
          <cell r="N470" t="str">
            <v>RFL</v>
          </cell>
          <cell r="O470" t="str">
            <v>Renta Fija Local</v>
          </cell>
          <cell r="P470" t="str">
            <v>N-1</v>
          </cell>
          <cell r="Q470" t="str">
            <v>Corto</v>
          </cell>
          <cell r="R470" t="str">
            <v>Depósitos $</v>
          </cell>
          <cell r="S470">
            <v>1.0326709999999999</v>
          </cell>
          <cell r="T470" t="str">
            <v>N-1</v>
          </cell>
          <cell r="U470" t="str">
            <v>25</v>
          </cell>
          <cell r="V470" t="str">
            <v>Depósitos</v>
          </cell>
          <cell r="W470" t="str">
            <v>Depósitos</v>
          </cell>
          <cell r="X470" t="str">
            <v>Depósitos $</v>
          </cell>
          <cell r="Y470" t="str">
            <v>Depósitos</v>
          </cell>
          <cell r="Z470" t="str">
            <v>Corto $</v>
          </cell>
          <cell r="AA470" t="str">
            <v>Depósitos</v>
          </cell>
          <cell r="AB470" t="str">
            <v>Depósitos $</v>
          </cell>
          <cell r="AC470" t="str">
            <v>Instrumentos de Deuda</v>
          </cell>
          <cell r="AD470" t="str">
            <v>Financieras</v>
          </cell>
          <cell r="AE470" t="str">
            <v>Deposito CLP Banco Bci</v>
          </cell>
          <cell r="AF470" t="str">
            <v>BCI</v>
          </cell>
        </row>
        <row r="471">
          <cell r="C471" t="str">
            <v>PAGARE NR</v>
          </cell>
          <cell r="D471" t="str">
            <v>SANTANDER</v>
          </cell>
          <cell r="E471">
            <v>886830566</v>
          </cell>
          <cell r="F471">
            <v>900000000</v>
          </cell>
          <cell r="G471">
            <v>2.2124999999999999E-2</v>
          </cell>
          <cell r="H471">
            <v>0.33</v>
          </cell>
          <cell r="I471" t="str">
            <v>2017-04-07</v>
          </cell>
          <cell r="J471">
            <v>134</v>
          </cell>
          <cell r="K471">
            <v>0.37</v>
          </cell>
          <cell r="L471">
            <v>0</v>
          </cell>
          <cell r="M471" t="str">
            <v>$</v>
          </cell>
          <cell r="N471" t="str">
            <v>RFL</v>
          </cell>
          <cell r="O471" t="str">
            <v>Renta Fija Local</v>
          </cell>
          <cell r="P471" t="str">
            <v>N-1</v>
          </cell>
          <cell r="Q471" t="str">
            <v>Corto</v>
          </cell>
          <cell r="R471" t="str">
            <v>Depósitos $</v>
          </cell>
          <cell r="S471">
            <v>1.0326709999999999</v>
          </cell>
          <cell r="T471" t="str">
            <v>N-1</v>
          </cell>
          <cell r="U471" t="str">
            <v>25</v>
          </cell>
          <cell r="V471" t="str">
            <v>Depósitos</v>
          </cell>
          <cell r="W471" t="str">
            <v>Depósitos</v>
          </cell>
          <cell r="X471" t="str">
            <v>Depósitos $</v>
          </cell>
          <cell r="Y471" t="str">
            <v>Depósitos</v>
          </cell>
          <cell r="Z471" t="str">
            <v>Corto $</v>
          </cell>
          <cell r="AA471" t="str">
            <v>Depósitos</v>
          </cell>
          <cell r="AB471" t="str">
            <v>Depósitos $</v>
          </cell>
          <cell r="AC471" t="str">
            <v>Instrumentos de Deuda</v>
          </cell>
          <cell r="AD471" t="str">
            <v>Financieras</v>
          </cell>
          <cell r="AE471" t="str">
            <v>Deposito CLP Banco Santander</v>
          </cell>
          <cell r="AF471" t="str">
            <v>Banco Santander</v>
          </cell>
        </row>
        <row r="472">
          <cell r="C472" t="str">
            <v>PAGARE NR</v>
          </cell>
          <cell r="D472" t="str">
            <v>BCI</v>
          </cell>
          <cell r="E472">
            <v>228511130</v>
          </cell>
          <cell r="F472">
            <v>231979929</v>
          </cell>
          <cell r="G472">
            <v>5.7010000000000003E-3</v>
          </cell>
          <cell r="H472">
            <v>0.33</v>
          </cell>
          <cell r="I472" t="str">
            <v>2017-04-10</v>
          </cell>
          <cell r="J472">
            <v>137</v>
          </cell>
          <cell r="K472">
            <v>0.38</v>
          </cell>
          <cell r="L472">
            <v>0</v>
          </cell>
          <cell r="M472" t="str">
            <v>$</v>
          </cell>
          <cell r="N472" t="str">
            <v>RFL</v>
          </cell>
          <cell r="O472" t="str">
            <v>Renta Fija Local</v>
          </cell>
          <cell r="P472" t="str">
            <v>N-1</v>
          </cell>
          <cell r="Q472" t="str">
            <v>Corto</v>
          </cell>
          <cell r="R472" t="str">
            <v>Depósitos $</v>
          </cell>
          <cell r="S472">
            <v>1.0326709999999999</v>
          </cell>
          <cell r="T472" t="str">
            <v>N-1</v>
          </cell>
          <cell r="U472" t="str">
            <v>25</v>
          </cell>
          <cell r="V472" t="str">
            <v>Depósitos</v>
          </cell>
          <cell r="W472" t="str">
            <v>Depósitos</v>
          </cell>
          <cell r="X472" t="str">
            <v>Depósitos $</v>
          </cell>
          <cell r="Y472" t="str">
            <v>Depósitos</v>
          </cell>
          <cell r="Z472" t="str">
            <v>Corto $</v>
          </cell>
          <cell r="AA472" t="str">
            <v>Depósitos</v>
          </cell>
          <cell r="AB472" t="str">
            <v>Depósitos $</v>
          </cell>
          <cell r="AC472" t="str">
            <v>Instrumentos de Deuda</v>
          </cell>
          <cell r="AD472" t="str">
            <v>Financieras</v>
          </cell>
          <cell r="AE472" t="str">
            <v>Deposito CLP Banco Bci</v>
          </cell>
          <cell r="AF472" t="str">
            <v>BCI</v>
          </cell>
        </row>
        <row r="473">
          <cell r="C473" t="str">
            <v>PAGARE NR</v>
          </cell>
          <cell r="D473" t="str">
            <v>SECURITY</v>
          </cell>
          <cell r="E473">
            <v>886350207</v>
          </cell>
          <cell r="F473">
            <v>900000000</v>
          </cell>
          <cell r="G473">
            <v>2.2113000000000001E-2</v>
          </cell>
          <cell r="H473">
            <v>0.33</v>
          </cell>
          <cell r="I473" t="str">
            <v>2017-04-12</v>
          </cell>
          <cell r="J473">
            <v>139</v>
          </cell>
          <cell r="K473">
            <v>0.38</v>
          </cell>
          <cell r="L473">
            <v>0</v>
          </cell>
          <cell r="M473" t="str">
            <v>$</v>
          </cell>
          <cell r="N473" t="str">
            <v>RFL</v>
          </cell>
          <cell r="O473" t="str">
            <v>Renta Fija Local</v>
          </cell>
          <cell r="P473" t="str">
            <v>N-1</v>
          </cell>
          <cell r="Q473" t="str">
            <v>Corto</v>
          </cell>
          <cell r="R473" t="str">
            <v>Depósitos $</v>
          </cell>
          <cell r="S473">
            <v>1.0326709999999999</v>
          </cell>
          <cell r="T473" t="str">
            <v>N-1</v>
          </cell>
          <cell r="U473" t="str">
            <v>25</v>
          </cell>
          <cell r="V473" t="str">
            <v>Depósitos</v>
          </cell>
          <cell r="W473" t="str">
            <v>Depósitos</v>
          </cell>
          <cell r="X473" t="str">
            <v>Depósitos $</v>
          </cell>
          <cell r="Y473" t="str">
            <v>Depósitos</v>
          </cell>
          <cell r="Z473" t="str">
            <v>Corto $</v>
          </cell>
          <cell r="AA473" t="str">
            <v>Depósitos</v>
          </cell>
          <cell r="AB473" t="str">
            <v>Depósitos $</v>
          </cell>
          <cell r="AC473" t="str">
            <v>Instrumentos de Deuda</v>
          </cell>
          <cell r="AD473" t="str">
            <v>Financieras</v>
          </cell>
          <cell r="AE473" t="str">
            <v>Deposito CLP Banco Security</v>
          </cell>
          <cell r="AF473" t="str">
            <v>Banco Security</v>
          </cell>
        </row>
        <row r="474">
          <cell r="C474" t="str">
            <v>PAGARE NR</v>
          </cell>
          <cell r="D474" t="str">
            <v>SECURITY</v>
          </cell>
          <cell r="E474">
            <v>689010286</v>
          </cell>
          <cell r="F474">
            <v>700000000</v>
          </cell>
          <cell r="G474">
            <v>1.719E-2</v>
          </cell>
          <cell r="H474">
            <v>0.33</v>
          </cell>
          <cell r="I474" t="str">
            <v>2017-04-17</v>
          </cell>
          <cell r="J474">
            <v>144</v>
          </cell>
          <cell r="K474">
            <v>0.4</v>
          </cell>
          <cell r="L474">
            <v>0</v>
          </cell>
          <cell r="M474" t="str">
            <v>$</v>
          </cell>
          <cell r="N474" t="str">
            <v>RFL</v>
          </cell>
          <cell r="O474" t="str">
            <v>Renta Fija Local</v>
          </cell>
          <cell r="P474" t="str">
            <v>N-1</v>
          </cell>
          <cell r="Q474" t="str">
            <v>Corto</v>
          </cell>
          <cell r="R474" t="str">
            <v>Depósitos $</v>
          </cell>
          <cell r="S474">
            <v>1.0326709999999999</v>
          </cell>
          <cell r="T474" t="str">
            <v>N-1</v>
          </cell>
          <cell r="U474" t="str">
            <v>25</v>
          </cell>
          <cell r="V474" t="str">
            <v>Depósitos</v>
          </cell>
          <cell r="W474" t="str">
            <v>Depósitos</v>
          </cell>
          <cell r="X474" t="str">
            <v>Depósitos $</v>
          </cell>
          <cell r="Y474" t="str">
            <v>Depósitos</v>
          </cell>
          <cell r="Z474" t="str">
            <v>Corto $</v>
          </cell>
          <cell r="AA474" t="str">
            <v>Depósitos</v>
          </cell>
          <cell r="AB474" t="str">
            <v>Depósitos $</v>
          </cell>
          <cell r="AC474" t="str">
            <v>Instrumentos de Deuda</v>
          </cell>
          <cell r="AD474" t="str">
            <v>Financieras</v>
          </cell>
          <cell r="AE474" t="str">
            <v>Deposito CLP Banco Security</v>
          </cell>
          <cell r="AF474" t="str">
            <v>Banco Security</v>
          </cell>
        </row>
        <row r="475">
          <cell r="C475" t="str">
            <v>PAGARE NR</v>
          </cell>
          <cell r="D475" t="str">
            <v>SANTANDER</v>
          </cell>
          <cell r="E475">
            <v>393720163</v>
          </cell>
          <cell r="F475">
            <v>400000000</v>
          </cell>
          <cell r="G475">
            <v>9.8230000000000001E-3</v>
          </cell>
          <cell r="H475">
            <v>0.33</v>
          </cell>
          <cell r="I475" t="str">
            <v>2017-04-17</v>
          </cell>
          <cell r="J475">
            <v>144</v>
          </cell>
          <cell r="K475">
            <v>0.4</v>
          </cell>
          <cell r="L475">
            <v>0</v>
          </cell>
          <cell r="M475" t="str">
            <v>$</v>
          </cell>
          <cell r="N475" t="str">
            <v>RFL</v>
          </cell>
          <cell r="O475" t="str">
            <v>Renta Fija Local</v>
          </cell>
          <cell r="P475" t="str">
            <v>N-1</v>
          </cell>
          <cell r="Q475" t="str">
            <v>Corto</v>
          </cell>
          <cell r="R475" t="str">
            <v>Depósitos $</v>
          </cell>
          <cell r="S475">
            <v>1.0326709999999999</v>
          </cell>
          <cell r="T475" t="str">
            <v>N-1</v>
          </cell>
          <cell r="U475" t="str">
            <v>25</v>
          </cell>
          <cell r="V475" t="str">
            <v>Depósitos</v>
          </cell>
          <cell r="W475" t="str">
            <v>Depósitos</v>
          </cell>
          <cell r="X475" t="str">
            <v>Depósitos $</v>
          </cell>
          <cell r="Y475" t="str">
            <v>Depósitos</v>
          </cell>
          <cell r="Z475" t="str">
            <v>Corto $</v>
          </cell>
          <cell r="AA475" t="str">
            <v>Depósitos</v>
          </cell>
          <cell r="AB475" t="str">
            <v>Depósitos $</v>
          </cell>
          <cell r="AC475" t="str">
            <v>Instrumentos de Deuda</v>
          </cell>
          <cell r="AD475" t="str">
            <v>Financieras</v>
          </cell>
          <cell r="AE475" t="str">
            <v>Deposito CLP Banco Santander</v>
          </cell>
          <cell r="AF475" t="str">
            <v>Banco Santander</v>
          </cell>
        </row>
        <row r="476">
          <cell r="C476" t="str">
            <v>PAGARE NR</v>
          </cell>
          <cell r="D476" t="str">
            <v>SCOTIABANK</v>
          </cell>
          <cell r="E476">
            <v>639656750</v>
          </cell>
          <cell r="F476">
            <v>650000000</v>
          </cell>
          <cell r="G476">
            <v>1.5959000000000001E-2</v>
          </cell>
          <cell r="H476">
            <v>0.33</v>
          </cell>
          <cell r="I476" t="str">
            <v>2017-04-19</v>
          </cell>
          <cell r="J476">
            <v>146</v>
          </cell>
          <cell r="K476">
            <v>0.4</v>
          </cell>
          <cell r="L476">
            <v>0</v>
          </cell>
          <cell r="M476" t="str">
            <v>$</v>
          </cell>
          <cell r="N476" t="str">
            <v>RFL</v>
          </cell>
          <cell r="O476" t="str">
            <v>Renta Fija Local</v>
          </cell>
          <cell r="P476" t="str">
            <v>N-1</v>
          </cell>
          <cell r="Q476" t="str">
            <v>Corto</v>
          </cell>
          <cell r="R476" t="str">
            <v>Depósitos $</v>
          </cell>
          <cell r="S476">
            <v>1.0326709999999999</v>
          </cell>
          <cell r="T476" t="str">
            <v>N-1</v>
          </cell>
          <cell r="U476" t="str">
            <v>25</v>
          </cell>
          <cell r="V476" t="str">
            <v>Depósitos</v>
          </cell>
          <cell r="W476" t="str">
            <v>Depósitos</v>
          </cell>
          <cell r="X476" t="str">
            <v>Depósitos $</v>
          </cell>
          <cell r="Y476" t="str">
            <v>Depósitos</v>
          </cell>
          <cell r="Z476" t="str">
            <v>Corto $</v>
          </cell>
          <cell r="AA476" t="str">
            <v>Depósitos</v>
          </cell>
          <cell r="AB476" t="str">
            <v>Depósitos $</v>
          </cell>
          <cell r="AC476" t="str">
            <v>Instrumentos de Deuda</v>
          </cell>
          <cell r="AD476" t="str">
            <v>Financieras</v>
          </cell>
          <cell r="AE476" t="str">
            <v>Deposito CLP Banco Scotiabank</v>
          </cell>
          <cell r="AF476" t="str">
            <v>Scotiabank</v>
          </cell>
        </row>
        <row r="477">
          <cell r="C477" t="str">
            <v>PAGARE NR</v>
          </cell>
          <cell r="D477" t="str">
            <v>BICE</v>
          </cell>
          <cell r="E477">
            <v>210629305</v>
          </cell>
          <cell r="F477">
            <v>214058350</v>
          </cell>
          <cell r="G477">
            <v>5.2550000000000001E-3</v>
          </cell>
          <cell r="H477">
            <v>0.33</v>
          </cell>
          <cell r="I477" t="str">
            <v>2017-04-20</v>
          </cell>
          <cell r="J477">
            <v>147</v>
          </cell>
          <cell r="K477">
            <v>0.41</v>
          </cell>
          <cell r="L477">
            <v>0</v>
          </cell>
          <cell r="M477" t="str">
            <v>$</v>
          </cell>
          <cell r="N477" t="str">
            <v>RFL</v>
          </cell>
          <cell r="O477" t="str">
            <v>Renta Fija Local</v>
          </cell>
          <cell r="P477" t="str">
            <v>N-1</v>
          </cell>
          <cell r="Q477" t="str">
            <v>Corto</v>
          </cell>
          <cell r="R477" t="str">
            <v>Depósitos $</v>
          </cell>
          <cell r="S477">
            <v>1.0326709999999999</v>
          </cell>
          <cell r="T477" t="str">
            <v>N-1</v>
          </cell>
          <cell r="U477" t="str">
            <v>25</v>
          </cell>
          <cell r="V477" t="str">
            <v>Depósitos</v>
          </cell>
          <cell r="W477" t="str">
            <v>Depósitos</v>
          </cell>
          <cell r="X477" t="str">
            <v>Depósitos $</v>
          </cell>
          <cell r="Y477" t="str">
            <v>Depósitos</v>
          </cell>
          <cell r="Z477" t="str">
            <v>Corto $</v>
          </cell>
          <cell r="AA477" t="str">
            <v>Depósitos</v>
          </cell>
          <cell r="AB477" t="str">
            <v>Depósitos $</v>
          </cell>
          <cell r="AC477" t="str">
            <v>Instrumentos de Deuda</v>
          </cell>
          <cell r="AD477" t="str">
            <v>Financieras</v>
          </cell>
          <cell r="AE477" t="str">
            <v>Deposito CLP Banco Bice</v>
          </cell>
          <cell r="AF477" t="str">
            <v>BICE</v>
          </cell>
        </row>
        <row r="478">
          <cell r="C478" t="str">
            <v>PAGARE NR</v>
          </cell>
          <cell r="D478" t="str">
            <v>CONSORCIO</v>
          </cell>
          <cell r="E478">
            <v>60585884</v>
          </cell>
          <cell r="F478">
            <v>61632000</v>
          </cell>
          <cell r="G478">
            <v>1.511E-3</v>
          </cell>
          <cell r="H478">
            <v>0.35</v>
          </cell>
          <cell r="I478" t="str">
            <v>2017-04-20</v>
          </cell>
          <cell r="J478">
            <v>147</v>
          </cell>
          <cell r="K478">
            <v>0.41</v>
          </cell>
          <cell r="L478">
            <v>0</v>
          </cell>
          <cell r="M478" t="str">
            <v>$</v>
          </cell>
          <cell r="N478" t="str">
            <v>RFL</v>
          </cell>
          <cell r="O478" t="str">
            <v>Renta Fija Local</v>
          </cell>
          <cell r="P478" t="str">
            <v>N-1</v>
          </cell>
          <cell r="Q478" t="str">
            <v>Corto</v>
          </cell>
          <cell r="R478" t="str">
            <v>Depósitos $</v>
          </cell>
          <cell r="S478">
            <v>1.281801</v>
          </cell>
          <cell r="T478" t="str">
            <v>N-1</v>
          </cell>
          <cell r="U478" t="str">
            <v>25</v>
          </cell>
          <cell r="V478" t="str">
            <v>Depósitos</v>
          </cell>
          <cell r="W478" t="str">
            <v>Depósitos</v>
          </cell>
          <cell r="X478" t="str">
            <v>Depósitos $</v>
          </cell>
          <cell r="Y478" t="str">
            <v>Depósitos</v>
          </cell>
          <cell r="Z478" t="str">
            <v>Corto $</v>
          </cell>
          <cell r="AA478" t="str">
            <v>Depósitos</v>
          </cell>
          <cell r="AB478" t="str">
            <v>Depósitos $</v>
          </cell>
          <cell r="AC478" t="str">
            <v>Instrumentos de Deuda</v>
          </cell>
          <cell r="AD478" t="str">
            <v>Financieras</v>
          </cell>
          <cell r="AE478" t="str">
            <v>Deposito CLP Banco Consorcio</v>
          </cell>
          <cell r="AF478" t="str">
            <v>Banco Consorcio</v>
          </cell>
        </row>
        <row r="479">
          <cell r="C479" t="str">
            <v>PAGARE NR</v>
          </cell>
          <cell r="D479" t="str">
            <v>ESTADO</v>
          </cell>
          <cell r="E479">
            <v>491937150</v>
          </cell>
          <cell r="F479">
            <v>500000000</v>
          </cell>
          <cell r="G479">
            <v>1.2272999999999999E-2</v>
          </cell>
          <cell r="H479">
            <v>0.33</v>
          </cell>
          <cell r="I479" t="str">
            <v>2017-04-21</v>
          </cell>
          <cell r="J479">
            <v>148</v>
          </cell>
          <cell r="K479">
            <v>0.41</v>
          </cell>
          <cell r="L479">
            <v>0</v>
          </cell>
          <cell r="M479" t="str">
            <v>$</v>
          </cell>
          <cell r="N479" t="str">
            <v>RFL</v>
          </cell>
          <cell r="O479" t="str">
            <v>Renta Fija Local</v>
          </cell>
          <cell r="P479" t="str">
            <v>N-1</v>
          </cell>
          <cell r="Q479" t="str">
            <v>Corto</v>
          </cell>
          <cell r="R479" t="str">
            <v>Depósitos $</v>
          </cell>
          <cell r="S479">
            <v>1.0326709999999999</v>
          </cell>
          <cell r="T479" t="str">
            <v>N-1</v>
          </cell>
          <cell r="U479" t="str">
            <v>25</v>
          </cell>
          <cell r="V479" t="str">
            <v>Depósitos</v>
          </cell>
          <cell r="W479" t="str">
            <v>Depósitos</v>
          </cell>
          <cell r="X479" t="str">
            <v>Depósitos $</v>
          </cell>
          <cell r="Y479" t="str">
            <v>Depósitos</v>
          </cell>
          <cell r="Z479" t="str">
            <v>Corto $</v>
          </cell>
          <cell r="AA479" t="str">
            <v>Depósitos</v>
          </cell>
          <cell r="AB479" t="str">
            <v>Depósitos $</v>
          </cell>
          <cell r="AC479" t="str">
            <v>Instrumentos de Deuda</v>
          </cell>
          <cell r="AD479" t="str">
            <v>Financieras</v>
          </cell>
          <cell r="AE479" t="str">
            <v>Deposito CLP Banco Estado</v>
          </cell>
          <cell r="AF479" t="str">
            <v>Banco Estado</v>
          </cell>
        </row>
        <row r="480">
          <cell r="C480" t="str">
            <v>PAGARE NR</v>
          </cell>
          <cell r="D480" t="str">
            <v>INTERNACIO</v>
          </cell>
          <cell r="E480">
            <v>135542541</v>
          </cell>
          <cell r="F480">
            <v>138168000</v>
          </cell>
          <cell r="G480">
            <v>3.3809999999999999E-3</v>
          </cell>
          <cell r="H480">
            <v>0.39</v>
          </cell>
          <cell r="I480" t="str">
            <v>2017-04-21</v>
          </cell>
          <cell r="J480">
            <v>148</v>
          </cell>
          <cell r="K480">
            <v>0.41</v>
          </cell>
          <cell r="L480">
            <v>0</v>
          </cell>
          <cell r="M480" t="str">
            <v>$</v>
          </cell>
          <cell r="N480" t="str">
            <v>RFL</v>
          </cell>
          <cell r="O480" t="str">
            <v>Renta Fija Local</v>
          </cell>
          <cell r="P480" t="str">
            <v>N-1</v>
          </cell>
          <cell r="Q480" t="str">
            <v>Corto</v>
          </cell>
          <cell r="R480" t="str">
            <v>Depósitos $</v>
          </cell>
          <cell r="S480">
            <v>1.781703</v>
          </cell>
          <cell r="T480" t="str">
            <v>N-1</v>
          </cell>
          <cell r="U480" t="str">
            <v>25</v>
          </cell>
          <cell r="V480" t="str">
            <v>Depósitos</v>
          </cell>
          <cell r="W480" t="str">
            <v>Depósitos</v>
          </cell>
          <cell r="X480" t="str">
            <v>Depósitos $</v>
          </cell>
          <cell r="Y480" t="str">
            <v>Depósitos</v>
          </cell>
          <cell r="Z480" t="str">
            <v>Corto $</v>
          </cell>
          <cell r="AA480" t="str">
            <v>Depósitos</v>
          </cell>
          <cell r="AB480" t="str">
            <v>Depósitos $</v>
          </cell>
          <cell r="AC480" t="str">
            <v>Instrumentos de Deuda</v>
          </cell>
          <cell r="AD480" t="str">
            <v>Financieras</v>
          </cell>
          <cell r="AE480" t="str">
            <v>Deposito CLP Banco Internacio</v>
          </cell>
          <cell r="AF480" t="str">
            <v>Banco Internacional</v>
          </cell>
        </row>
        <row r="481">
          <cell r="C481" t="str">
            <v>PAGARE NR</v>
          </cell>
          <cell r="D481" t="str">
            <v>SANTANDER</v>
          </cell>
          <cell r="E481">
            <v>983342183</v>
          </cell>
          <cell r="F481">
            <v>1000000000</v>
          </cell>
          <cell r="G481">
            <v>2.4532999999999999E-2</v>
          </cell>
          <cell r="H481">
            <v>0.33</v>
          </cell>
          <cell r="I481" t="str">
            <v>2017-04-26</v>
          </cell>
          <cell r="J481">
            <v>153</v>
          </cell>
          <cell r="K481">
            <v>0.42</v>
          </cell>
          <cell r="L481">
            <v>0</v>
          </cell>
          <cell r="M481" t="str">
            <v>$</v>
          </cell>
          <cell r="N481" t="str">
            <v>RFL</v>
          </cell>
          <cell r="O481" t="str">
            <v>Renta Fija Local</v>
          </cell>
          <cell r="P481" t="str">
            <v>N-1</v>
          </cell>
          <cell r="Q481" t="str">
            <v>Corto</v>
          </cell>
          <cell r="R481" t="str">
            <v>Depósitos $</v>
          </cell>
          <cell r="S481">
            <v>1.0326709999999999</v>
          </cell>
          <cell r="T481" t="str">
            <v>N-1</v>
          </cell>
          <cell r="U481" t="str">
            <v>25</v>
          </cell>
          <cell r="V481" t="str">
            <v>Depósitos</v>
          </cell>
          <cell r="W481" t="str">
            <v>Depósitos</v>
          </cell>
          <cell r="X481" t="str">
            <v>Depósitos $</v>
          </cell>
          <cell r="Y481" t="str">
            <v>Depósitos</v>
          </cell>
          <cell r="Z481" t="str">
            <v>Corto $</v>
          </cell>
          <cell r="AA481" t="str">
            <v>Depósitos</v>
          </cell>
          <cell r="AB481" t="str">
            <v>Depósitos $</v>
          </cell>
          <cell r="AC481" t="str">
            <v>Instrumentos de Deuda</v>
          </cell>
          <cell r="AD481" t="str">
            <v>Financieras</v>
          </cell>
          <cell r="AE481" t="str">
            <v>Deposito CLP Banco Santander</v>
          </cell>
          <cell r="AF481" t="str">
            <v>Banco Santander</v>
          </cell>
        </row>
        <row r="482">
          <cell r="C482" t="str">
            <v>PAGARE NR</v>
          </cell>
          <cell r="D482" t="str">
            <v>CHILE</v>
          </cell>
          <cell r="E482">
            <v>952923721</v>
          </cell>
          <cell r="F482">
            <v>969800000</v>
          </cell>
          <cell r="G482">
            <v>2.3774E-2</v>
          </cell>
          <cell r="H482">
            <v>0.33</v>
          </cell>
          <cell r="I482" t="str">
            <v>2017-05-03</v>
          </cell>
          <cell r="J482">
            <v>160</v>
          </cell>
          <cell r="K482">
            <v>0.44</v>
          </cell>
          <cell r="L482">
            <v>0</v>
          </cell>
          <cell r="M482" t="str">
            <v>$</v>
          </cell>
          <cell r="N482" t="str">
            <v>RFL</v>
          </cell>
          <cell r="O482" t="str">
            <v>Renta Fija Local</v>
          </cell>
          <cell r="P482" t="str">
            <v>N-1</v>
          </cell>
          <cell r="Q482" t="str">
            <v>Corto</v>
          </cell>
          <cell r="R482" t="str">
            <v>Depósitos $</v>
          </cell>
          <cell r="S482">
            <v>1.0326709999999999</v>
          </cell>
          <cell r="T482" t="str">
            <v>N-1</v>
          </cell>
          <cell r="U482" t="str">
            <v>25</v>
          </cell>
          <cell r="V482" t="str">
            <v>Depósitos</v>
          </cell>
          <cell r="W482" t="str">
            <v>Depósitos</v>
          </cell>
          <cell r="X482" t="str">
            <v>Depósitos $</v>
          </cell>
          <cell r="Y482" t="str">
            <v>Depósitos</v>
          </cell>
          <cell r="Z482" t="str">
            <v>Corto $</v>
          </cell>
          <cell r="AA482" t="str">
            <v>Depósitos</v>
          </cell>
          <cell r="AB482" t="str">
            <v>Depósitos $</v>
          </cell>
          <cell r="AC482" t="str">
            <v>Instrumentos de Deuda</v>
          </cell>
          <cell r="AD482" t="str">
            <v>Financieras</v>
          </cell>
          <cell r="AE482" t="str">
            <v>Deposito CLP Banco Chile</v>
          </cell>
          <cell r="AF482" t="str">
            <v>Banco de Chile</v>
          </cell>
        </row>
        <row r="483">
          <cell r="C483" t="str">
            <v>PAGARE NR</v>
          </cell>
          <cell r="D483" t="str">
            <v>SANTANDER</v>
          </cell>
          <cell r="E483">
            <v>392996797</v>
          </cell>
          <cell r="F483">
            <v>400000000</v>
          </cell>
          <cell r="G483">
            <v>9.8049999999999995E-3</v>
          </cell>
          <cell r="H483">
            <v>0.33</v>
          </cell>
          <cell r="I483" t="str">
            <v>2017-05-04</v>
          </cell>
          <cell r="J483">
            <v>161</v>
          </cell>
          <cell r="K483">
            <v>0.44</v>
          </cell>
          <cell r="L483">
            <v>0</v>
          </cell>
          <cell r="M483" t="str">
            <v>$</v>
          </cell>
          <cell r="N483" t="str">
            <v>RFL</v>
          </cell>
          <cell r="O483" t="str">
            <v>Renta Fija Local</v>
          </cell>
          <cell r="P483" t="str">
            <v>N-1</v>
          </cell>
          <cell r="Q483" t="str">
            <v>Corto</v>
          </cell>
          <cell r="R483" t="str">
            <v>Depósitos $</v>
          </cell>
          <cell r="S483">
            <v>1.0326709999999999</v>
          </cell>
          <cell r="T483" t="str">
            <v>N-1</v>
          </cell>
          <cell r="U483" t="str">
            <v>25</v>
          </cell>
          <cell r="V483" t="str">
            <v>Depósitos</v>
          </cell>
          <cell r="W483" t="str">
            <v>Depósitos</v>
          </cell>
          <cell r="X483" t="str">
            <v>Depósitos $</v>
          </cell>
          <cell r="Y483" t="str">
            <v>Depósitos</v>
          </cell>
          <cell r="Z483" t="str">
            <v>Corto $</v>
          </cell>
          <cell r="AA483" t="str">
            <v>Depósitos</v>
          </cell>
          <cell r="AB483" t="str">
            <v>Depósitos $</v>
          </cell>
          <cell r="AC483" t="str">
            <v>Instrumentos de Deuda</v>
          </cell>
          <cell r="AD483" t="str">
            <v>Financieras</v>
          </cell>
          <cell r="AE483" t="str">
            <v>Deposito CLP Banco Santander</v>
          </cell>
          <cell r="AF483" t="str">
            <v>Banco Santander</v>
          </cell>
        </row>
        <row r="484">
          <cell r="C484" t="str">
            <v>PAGARE NR</v>
          </cell>
          <cell r="D484" t="str">
            <v>BICE</v>
          </cell>
          <cell r="E484">
            <v>196413490</v>
          </cell>
          <cell r="F484">
            <v>200000000</v>
          </cell>
          <cell r="G484">
            <v>4.8999999999999998E-3</v>
          </cell>
          <cell r="H484">
            <v>0.33</v>
          </cell>
          <cell r="I484" t="str">
            <v>2017-05-08</v>
          </cell>
          <cell r="J484">
            <v>165</v>
          </cell>
          <cell r="K484">
            <v>0.45</v>
          </cell>
          <cell r="L484">
            <v>0</v>
          </cell>
          <cell r="M484" t="str">
            <v>$</v>
          </cell>
          <cell r="N484" t="str">
            <v>RFL</v>
          </cell>
          <cell r="O484" t="str">
            <v>Renta Fija Local</v>
          </cell>
          <cell r="P484" t="str">
            <v>N-1</v>
          </cell>
          <cell r="Q484" t="str">
            <v>Corto</v>
          </cell>
          <cell r="R484" t="str">
            <v>Depósitos $</v>
          </cell>
          <cell r="S484">
            <v>1.0326709999999999</v>
          </cell>
          <cell r="T484" t="str">
            <v>N-1</v>
          </cell>
          <cell r="U484" t="str">
            <v>25</v>
          </cell>
          <cell r="V484" t="str">
            <v>Depósitos</v>
          </cell>
          <cell r="W484" t="str">
            <v>Depósitos</v>
          </cell>
          <cell r="X484" t="str">
            <v>Depósitos $</v>
          </cell>
          <cell r="Y484" t="str">
            <v>Depósitos</v>
          </cell>
          <cell r="Z484" t="str">
            <v>Corto $</v>
          </cell>
          <cell r="AA484" t="str">
            <v>Depósitos</v>
          </cell>
          <cell r="AB484" t="str">
            <v>Depósitos $</v>
          </cell>
          <cell r="AC484" t="str">
            <v>Instrumentos de Deuda</v>
          </cell>
          <cell r="AD484" t="str">
            <v>Financieras</v>
          </cell>
          <cell r="AE484" t="str">
            <v>Deposito CLP Banco Bice</v>
          </cell>
          <cell r="AF484" t="str">
            <v>BICE</v>
          </cell>
        </row>
        <row r="485">
          <cell r="C485" t="str">
            <v>PAGARE NR</v>
          </cell>
          <cell r="D485" t="str">
            <v>SANTANDER</v>
          </cell>
          <cell r="E485">
            <v>196222713</v>
          </cell>
          <cell r="F485">
            <v>200000000</v>
          </cell>
          <cell r="G485">
            <v>4.895E-3</v>
          </cell>
          <cell r="H485">
            <v>0.33</v>
          </cell>
          <cell r="I485" t="str">
            <v>2017-05-17</v>
          </cell>
          <cell r="J485">
            <v>174</v>
          </cell>
          <cell r="K485">
            <v>0.48</v>
          </cell>
          <cell r="L485">
            <v>0</v>
          </cell>
          <cell r="M485" t="str">
            <v>$</v>
          </cell>
          <cell r="N485" t="str">
            <v>RFL</v>
          </cell>
          <cell r="O485" t="str">
            <v>Renta Fija Local</v>
          </cell>
          <cell r="P485" t="str">
            <v>N-1</v>
          </cell>
          <cell r="Q485" t="str">
            <v>Corto</v>
          </cell>
          <cell r="R485" t="str">
            <v>Depósitos $</v>
          </cell>
          <cell r="S485">
            <v>1.0326709999999999</v>
          </cell>
          <cell r="T485" t="str">
            <v>N-1</v>
          </cell>
          <cell r="U485" t="str">
            <v>25</v>
          </cell>
          <cell r="V485" t="str">
            <v>Depósitos</v>
          </cell>
          <cell r="W485" t="str">
            <v>Depósitos</v>
          </cell>
          <cell r="X485" t="str">
            <v>Depósitos $</v>
          </cell>
          <cell r="Y485" t="str">
            <v>Depósitos</v>
          </cell>
          <cell r="Z485" t="str">
            <v>Corto $</v>
          </cell>
          <cell r="AA485" t="str">
            <v>Depósitos</v>
          </cell>
          <cell r="AB485" t="str">
            <v>Depósitos $</v>
          </cell>
          <cell r="AC485" t="str">
            <v>Instrumentos de Deuda</v>
          </cell>
          <cell r="AD485" t="str">
            <v>Financieras</v>
          </cell>
          <cell r="AE485" t="str">
            <v>Deposito CLP Banco Santander</v>
          </cell>
          <cell r="AF485" t="str">
            <v>Banco Santander</v>
          </cell>
        </row>
        <row r="486">
          <cell r="C486" t="str">
            <v>PAGARE NR</v>
          </cell>
          <cell r="D486" t="str">
            <v>BICE</v>
          </cell>
          <cell r="E486">
            <v>136758298</v>
          </cell>
          <cell r="F486">
            <v>139501670</v>
          </cell>
          <cell r="G486">
            <v>3.4120000000000001E-3</v>
          </cell>
          <cell r="H486">
            <v>0.34</v>
          </cell>
          <cell r="I486" t="str">
            <v>2017-05-19</v>
          </cell>
          <cell r="J486">
            <v>176</v>
          </cell>
          <cell r="K486">
            <v>0.48</v>
          </cell>
          <cell r="L486">
            <v>0</v>
          </cell>
          <cell r="M486" t="str">
            <v>$</v>
          </cell>
          <cell r="N486" t="str">
            <v>RFL</v>
          </cell>
          <cell r="O486" t="str">
            <v>Renta Fija Local</v>
          </cell>
          <cell r="P486" t="str">
            <v>N-1</v>
          </cell>
          <cell r="Q486" t="str">
            <v>Corto</v>
          </cell>
          <cell r="R486" t="str">
            <v>Depósitos $</v>
          </cell>
          <cell r="S486">
            <v>1.1571670000000001</v>
          </cell>
          <cell r="T486" t="str">
            <v>N-1</v>
          </cell>
          <cell r="U486" t="str">
            <v>25</v>
          </cell>
          <cell r="V486" t="str">
            <v>Depósitos</v>
          </cell>
          <cell r="W486" t="str">
            <v>Depósitos</v>
          </cell>
          <cell r="X486" t="str">
            <v>Depósitos $</v>
          </cell>
          <cell r="Y486" t="str">
            <v>Depósitos</v>
          </cell>
          <cell r="Z486" t="str">
            <v>Corto $</v>
          </cell>
          <cell r="AA486" t="str">
            <v>Depósitos</v>
          </cell>
          <cell r="AB486" t="str">
            <v>Depósitos $</v>
          </cell>
          <cell r="AC486" t="str">
            <v>Instrumentos de Deuda</v>
          </cell>
          <cell r="AD486" t="str">
            <v>Financieras</v>
          </cell>
          <cell r="AE486" t="str">
            <v>Deposito CLP Banco Bice</v>
          </cell>
          <cell r="AF486" t="str">
            <v>BICE</v>
          </cell>
        </row>
        <row r="487">
          <cell r="C487" t="str">
            <v>PAGARE NR</v>
          </cell>
          <cell r="D487" t="str">
            <v>SANTANDER</v>
          </cell>
          <cell r="E487">
            <v>98058443</v>
          </cell>
          <cell r="F487">
            <v>100000000</v>
          </cell>
          <cell r="G487">
            <v>2.4459999999999998E-3</v>
          </cell>
          <cell r="H487">
            <v>0.33</v>
          </cell>
          <cell r="I487" t="str">
            <v>2017-05-22</v>
          </cell>
          <cell r="J487">
            <v>179</v>
          </cell>
          <cell r="K487">
            <v>0.49</v>
          </cell>
          <cell r="L487">
            <v>0</v>
          </cell>
          <cell r="M487" t="str">
            <v>$</v>
          </cell>
          <cell r="N487" t="str">
            <v>RFL</v>
          </cell>
          <cell r="O487" t="str">
            <v>Renta Fija Local</v>
          </cell>
          <cell r="P487" t="str">
            <v>N-1</v>
          </cell>
          <cell r="Q487" t="str">
            <v>Corto</v>
          </cell>
          <cell r="R487" t="str">
            <v>Depósitos $</v>
          </cell>
          <cell r="S487">
            <v>1.0326709999999999</v>
          </cell>
          <cell r="T487" t="str">
            <v>N-1</v>
          </cell>
          <cell r="U487" t="str">
            <v>25</v>
          </cell>
          <cell r="V487" t="str">
            <v>Depósitos</v>
          </cell>
          <cell r="W487" t="str">
            <v>Depósitos</v>
          </cell>
          <cell r="X487" t="str">
            <v>Depósitos $</v>
          </cell>
          <cell r="Y487" t="str">
            <v>Depósitos</v>
          </cell>
          <cell r="Z487" t="str">
            <v>Corto $</v>
          </cell>
          <cell r="AA487" t="str">
            <v>Depósitos</v>
          </cell>
          <cell r="AB487" t="str">
            <v>Depósitos $</v>
          </cell>
          <cell r="AC487" t="str">
            <v>Instrumentos de Deuda</v>
          </cell>
          <cell r="AD487" t="str">
            <v>Financieras</v>
          </cell>
          <cell r="AE487" t="str">
            <v>Deposito CLP Banco Santander</v>
          </cell>
          <cell r="AF487" t="str">
            <v>Banco Santander</v>
          </cell>
        </row>
        <row r="488">
          <cell r="C488" t="str">
            <v>PAGARE NR</v>
          </cell>
          <cell r="D488" t="str">
            <v>INTERNACIO</v>
          </cell>
          <cell r="E488">
            <v>97619706</v>
          </cell>
          <cell r="F488">
            <v>100000000</v>
          </cell>
          <cell r="G488">
            <v>2.4350000000000001E-3</v>
          </cell>
          <cell r="H488">
            <v>0.35</v>
          </cell>
          <cell r="I488" t="str">
            <v>2017-06-20</v>
          </cell>
          <cell r="J488">
            <v>208</v>
          </cell>
          <cell r="K488">
            <v>0.56999999999999995</v>
          </cell>
          <cell r="L488">
            <v>0</v>
          </cell>
          <cell r="M488" t="str">
            <v>$</v>
          </cell>
          <cell r="N488" t="str">
            <v>RFL</v>
          </cell>
          <cell r="O488" t="str">
            <v>Renta Fija Local</v>
          </cell>
          <cell r="P488" t="str">
            <v>N-1</v>
          </cell>
          <cell r="Q488" t="str">
            <v>Corto</v>
          </cell>
          <cell r="R488" t="str">
            <v>Depósitos $</v>
          </cell>
          <cell r="S488">
            <v>1.281801</v>
          </cell>
          <cell r="T488" t="str">
            <v>N-1</v>
          </cell>
          <cell r="U488" t="str">
            <v>25</v>
          </cell>
          <cell r="V488" t="str">
            <v>Depósitos</v>
          </cell>
          <cell r="W488" t="str">
            <v>Depósitos</v>
          </cell>
          <cell r="X488" t="str">
            <v>Depósitos $</v>
          </cell>
          <cell r="Y488" t="str">
            <v>Depósitos</v>
          </cell>
          <cell r="Z488" t="str">
            <v>Corto $</v>
          </cell>
          <cell r="AA488" t="str">
            <v>Depósitos</v>
          </cell>
          <cell r="AB488" t="str">
            <v>Depósitos $</v>
          </cell>
          <cell r="AC488" t="str">
            <v>Instrumentos de Deuda</v>
          </cell>
          <cell r="AD488" t="str">
            <v>Financieras</v>
          </cell>
          <cell r="AE488" t="str">
            <v>Deposito CLP Banco Internacio</v>
          </cell>
          <cell r="AF488" t="str">
            <v>Banco Internacional</v>
          </cell>
        </row>
        <row r="489">
          <cell r="C489" t="str">
            <v>PAGARE NR</v>
          </cell>
          <cell r="D489" t="str">
            <v>SECURITY</v>
          </cell>
          <cell r="E489">
            <v>195069933</v>
          </cell>
          <cell r="F489">
            <v>200000000</v>
          </cell>
          <cell r="G489">
            <v>4.8659999999999997E-3</v>
          </cell>
          <cell r="H489">
            <v>0.34</v>
          </cell>
          <cell r="I489" t="str">
            <v>2017-07-04</v>
          </cell>
          <cell r="J489">
            <v>222</v>
          </cell>
          <cell r="K489">
            <v>0.61</v>
          </cell>
          <cell r="L489">
            <v>0</v>
          </cell>
          <cell r="M489" t="str">
            <v>$</v>
          </cell>
          <cell r="N489" t="str">
            <v>RFL</v>
          </cell>
          <cell r="O489" t="str">
            <v>Renta Fija Local</v>
          </cell>
          <cell r="P489" t="str">
            <v>N-1</v>
          </cell>
          <cell r="Q489" t="str">
            <v>Corto</v>
          </cell>
          <cell r="R489" t="str">
            <v>Depósitos $</v>
          </cell>
          <cell r="S489">
            <v>1.1571670000000001</v>
          </cell>
          <cell r="T489" t="str">
            <v>N-1</v>
          </cell>
          <cell r="U489" t="str">
            <v>25</v>
          </cell>
          <cell r="V489" t="str">
            <v>Depósitos</v>
          </cell>
          <cell r="W489" t="str">
            <v>Depósitos</v>
          </cell>
          <cell r="X489" t="str">
            <v>Depósitos $</v>
          </cell>
          <cell r="Y489" t="str">
            <v>Depósitos</v>
          </cell>
          <cell r="Z489" t="str">
            <v>Corto $</v>
          </cell>
          <cell r="AA489" t="str">
            <v>Depósitos</v>
          </cell>
          <cell r="AB489" t="str">
            <v>Depósitos $</v>
          </cell>
          <cell r="AC489" t="str">
            <v>Instrumentos de Deuda</v>
          </cell>
          <cell r="AD489" t="str">
            <v>Financieras</v>
          </cell>
          <cell r="AE489" t="str">
            <v>Deposito CLP Banco Security</v>
          </cell>
          <cell r="AF489" t="str">
            <v>Banco Security</v>
          </cell>
        </row>
        <row r="490">
          <cell r="C490" t="str">
            <v>PAGARE NR</v>
          </cell>
          <cell r="D490" t="str">
            <v>SCOTIABANK</v>
          </cell>
          <cell r="E490">
            <v>487297771</v>
          </cell>
          <cell r="F490">
            <v>500000000</v>
          </cell>
          <cell r="G490">
            <v>1.2156999999999999E-2</v>
          </cell>
          <cell r="H490">
            <v>0.34</v>
          </cell>
          <cell r="I490" t="str">
            <v>2017-07-11</v>
          </cell>
          <cell r="J490">
            <v>229</v>
          </cell>
          <cell r="K490">
            <v>0.63</v>
          </cell>
          <cell r="L490">
            <v>0</v>
          </cell>
          <cell r="M490" t="str">
            <v>$</v>
          </cell>
          <cell r="N490" t="str">
            <v>RFL</v>
          </cell>
          <cell r="O490" t="str">
            <v>Renta Fija Local</v>
          </cell>
          <cell r="P490" t="str">
            <v>N-1</v>
          </cell>
          <cell r="Q490" t="str">
            <v>Corto</v>
          </cell>
          <cell r="R490" t="str">
            <v>Depósitos $</v>
          </cell>
          <cell r="S490">
            <v>1.1571670000000001</v>
          </cell>
          <cell r="T490" t="str">
            <v>N-1</v>
          </cell>
          <cell r="U490" t="str">
            <v>25</v>
          </cell>
          <cell r="V490" t="str">
            <v>Depósitos</v>
          </cell>
          <cell r="W490" t="str">
            <v>Depósitos</v>
          </cell>
          <cell r="X490" t="str">
            <v>Depósitos $</v>
          </cell>
          <cell r="Y490" t="str">
            <v>Depósitos</v>
          </cell>
          <cell r="Z490" t="str">
            <v>Corto $</v>
          </cell>
          <cell r="AA490" t="str">
            <v>Depósitos</v>
          </cell>
          <cell r="AB490" t="str">
            <v>Depósitos $</v>
          </cell>
          <cell r="AC490" t="str">
            <v>Instrumentos de Deuda</v>
          </cell>
          <cell r="AD490" t="str">
            <v>Financieras</v>
          </cell>
          <cell r="AE490" t="str">
            <v>Deposito CLP Banco Scotiabank</v>
          </cell>
          <cell r="AF490" t="str">
            <v>Scotiabank</v>
          </cell>
        </row>
        <row r="491">
          <cell r="C491" t="str">
            <v>TREA0317</v>
          </cell>
          <cell r="D491" t="str">
            <v>TREASURY</v>
          </cell>
          <cell r="E491">
            <v>997851.39</v>
          </cell>
          <cell r="F491">
            <v>1000000</v>
          </cell>
          <cell r="G491">
            <v>2.0244000000000002E-2</v>
          </cell>
          <cell r="H491">
            <v>0</v>
          </cell>
          <cell r="I491" t="str">
            <v>2017-03-30</v>
          </cell>
          <cell r="J491">
            <v>126</v>
          </cell>
          <cell r="K491">
            <v>0</v>
          </cell>
          <cell r="L491">
            <v>99.785139000000001</v>
          </cell>
          <cell r="M491" t="str">
            <v>USD</v>
          </cell>
          <cell r="N491"/>
          <cell r="O491"/>
          <cell r="P491" t="str">
            <v>AAA</v>
          </cell>
          <cell r="Q491" t="str">
            <v>Corto</v>
          </cell>
          <cell r="R491"/>
          <cell r="S491">
            <v>0</v>
          </cell>
          <cell r="T491" t="str">
            <v>Gob</v>
          </cell>
          <cell r="U491" t="str">
            <v>0</v>
          </cell>
          <cell r="V491" t="str">
            <v>Gobierno</v>
          </cell>
          <cell r="W491" t="str">
            <v>Gobierno</v>
          </cell>
          <cell r="X491" t="str">
            <v>Gobierno Corto USD</v>
          </cell>
          <cell r="Y491" t="str">
            <v>Gobierno Corto</v>
          </cell>
          <cell r="Z491" t="str">
            <v>Corto USD</v>
          </cell>
          <cell r="AA491" t="str">
            <v>Gobierno</v>
          </cell>
          <cell r="AB491" t="str">
            <v>Gobierno USD</v>
          </cell>
          <cell r="AC491"/>
          <cell r="AD491"/>
          <cell r="AE491"/>
          <cell r="AF491" t="str">
            <v>U.S. Government National</v>
          </cell>
        </row>
        <row r="492">
          <cell r="C492" t="str">
            <v>PAGARE R</v>
          </cell>
          <cell r="D492" t="str">
            <v>SECURITY</v>
          </cell>
          <cell r="E492">
            <v>500205.55</v>
          </cell>
          <cell r="F492">
            <v>500216.67</v>
          </cell>
          <cell r="G492">
            <v>1.0148000000000001E-2</v>
          </cell>
          <cell r="H492">
            <v>0.4</v>
          </cell>
          <cell r="I492" t="str">
            <v>2016-11-25</v>
          </cell>
          <cell r="J492">
            <v>1</v>
          </cell>
          <cell r="K492">
            <v>0.01</v>
          </cell>
          <cell r="L492">
            <v>0</v>
          </cell>
          <cell r="M492" t="str">
            <v>USD</v>
          </cell>
          <cell r="N492" t="str">
            <v>RFL</v>
          </cell>
          <cell r="O492" t="str">
            <v>Renta Fija Local</v>
          </cell>
          <cell r="P492" t="str">
            <v>N-1</v>
          </cell>
          <cell r="Q492" t="str">
            <v>Corto</v>
          </cell>
          <cell r="R492" t="str">
            <v>Depósitos USD</v>
          </cell>
          <cell r="S492">
            <v>0.4</v>
          </cell>
          <cell r="T492" t="str">
            <v>N-1</v>
          </cell>
          <cell r="U492" t="str">
            <v>25</v>
          </cell>
          <cell r="V492" t="str">
            <v>Depósitos</v>
          </cell>
          <cell r="W492" t="str">
            <v>Depósitos</v>
          </cell>
          <cell r="X492" t="str">
            <v>Depósitos USD</v>
          </cell>
          <cell r="Y492" t="str">
            <v>Depósitos</v>
          </cell>
          <cell r="Z492" t="str">
            <v>Corto USD</v>
          </cell>
          <cell r="AA492" t="str">
            <v>Depósitos</v>
          </cell>
          <cell r="AB492" t="str">
            <v>Depósitos USD</v>
          </cell>
          <cell r="AC492" t="str">
            <v>Instrumentos de Deuda</v>
          </cell>
          <cell r="AD492" t="str">
            <v>Financieras</v>
          </cell>
          <cell r="AE492" t="str">
            <v>Deposito UF Banco Security</v>
          </cell>
          <cell r="AF492" t="str">
            <v>Banco Security</v>
          </cell>
        </row>
        <row r="493">
          <cell r="C493" t="str">
            <v>PAGARE R</v>
          </cell>
          <cell r="D493" t="str">
            <v>SECURITY</v>
          </cell>
          <cell r="E493">
            <v>1001180.47</v>
          </cell>
          <cell r="F493">
            <v>1001250</v>
          </cell>
          <cell r="G493">
            <v>2.0312E-2</v>
          </cell>
          <cell r="H493">
            <v>0.5</v>
          </cell>
          <cell r="I493" t="str">
            <v>2016-11-28</v>
          </cell>
          <cell r="J493">
            <v>4</v>
          </cell>
          <cell r="K493">
            <v>0.01</v>
          </cell>
          <cell r="L493">
            <v>0</v>
          </cell>
          <cell r="M493" t="str">
            <v>USD</v>
          </cell>
          <cell r="N493" t="str">
            <v>RFL</v>
          </cell>
          <cell r="O493" t="str">
            <v>Renta Fija Local</v>
          </cell>
          <cell r="P493" t="str">
            <v>N-1</v>
          </cell>
          <cell r="Q493" t="str">
            <v>Corto</v>
          </cell>
          <cell r="R493" t="str">
            <v>Depósitos USD</v>
          </cell>
          <cell r="S493">
            <v>0.5</v>
          </cell>
          <cell r="T493" t="str">
            <v>N-1</v>
          </cell>
          <cell r="U493" t="str">
            <v>25</v>
          </cell>
          <cell r="V493" t="str">
            <v>Depósitos</v>
          </cell>
          <cell r="W493" t="str">
            <v>Depósitos</v>
          </cell>
          <cell r="X493" t="str">
            <v>Depósitos USD</v>
          </cell>
          <cell r="Y493" t="str">
            <v>Depósitos</v>
          </cell>
          <cell r="Z493" t="str">
            <v>Corto USD</v>
          </cell>
          <cell r="AA493" t="str">
            <v>Depósitos</v>
          </cell>
          <cell r="AB493" t="str">
            <v>Depósitos USD</v>
          </cell>
          <cell r="AC493" t="str">
            <v>Instrumentos de Deuda</v>
          </cell>
          <cell r="AD493" t="str">
            <v>Financieras</v>
          </cell>
          <cell r="AE493" t="str">
            <v>Deposito UF Banco Security</v>
          </cell>
          <cell r="AF493" t="str">
            <v>Banco Security</v>
          </cell>
        </row>
        <row r="494">
          <cell r="C494" t="str">
            <v>PAGARE R</v>
          </cell>
          <cell r="D494" t="str">
            <v>ESTADO</v>
          </cell>
          <cell r="E494">
            <v>1001504.87</v>
          </cell>
          <cell r="F494">
            <v>1001592.5</v>
          </cell>
          <cell r="G494">
            <v>2.0317999999999999E-2</v>
          </cell>
          <cell r="H494">
            <v>0.63</v>
          </cell>
          <cell r="I494" t="str">
            <v>2016-11-28</v>
          </cell>
          <cell r="J494">
            <v>4</v>
          </cell>
          <cell r="K494">
            <v>0.01</v>
          </cell>
          <cell r="L494">
            <v>0</v>
          </cell>
          <cell r="M494" t="str">
            <v>USD</v>
          </cell>
          <cell r="N494" t="str">
            <v>RFL</v>
          </cell>
          <cell r="O494" t="str">
            <v>Renta Fija Local</v>
          </cell>
          <cell r="P494" t="str">
            <v>N-1</v>
          </cell>
          <cell r="Q494" t="str">
            <v>Corto</v>
          </cell>
          <cell r="R494" t="str">
            <v>Depósitos USD</v>
          </cell>
          <cell r="S494">
            <v>0.63</v>
          </cell>
          <cell r="T494" t="str">
            <v>N-1</v>
          </cell>
          <cell r="U494" t="str">
            <v>25</v>
          </cell>
          <cell r="V494" t="str">
            <v>Depósitos</v>
          </cell>
          <cell r="W494" t="str">
            <v>Depósitos</v>
          </cell>
          <cell r="X494" t="str">
            <v>Depósitos USD</v>
          </cell>
          <cell r="Y494" t="str">
            <v>Depósitos</v>
          </cell>
          <cell r="Z494" t="str">
            <v>Corto USD</v>
          </cell>
          <cell r="AA494" t="str">
            <v>Depósitos</v>
          </cell>
          <cell r="AB494" t="str">
            <v>Depósitos USD</v>
          </cell>
          <cell r="AC494" t="str">
            <v>Instrumentos de Deuda</v>
          </cell>
          <cell r="AD494" t="str">
            <v>Financieras</v>
          </cell>
          <cell r="AE494" t="str">
            <v>Deposito UF Banco Estado</v>
          </cell>
          <cell r="AF494" t="str">
            <v>Banco Estado</v>
          </cell>
        </row>
        <row r="495">
          <cell r="C495" t="str">
            <v>PAGARE R</v>
          </cell>
          <cell r="D495" t="str">
            <v>FALABELLA</v>
          </cell>
          <cell r="E495">
            <v>1499907.51</v>
          </cell>
          <cell r="F495">
            <v>1500000</v>
          </cell>
          <cell r="G495">
            <v>3.0429999999999999E-2</v>
          </cell>
          <cell r="H495">
            <v>0.37</v>
          </cell>
          <cell r="I495" t="str">
            <v>2016-11-29</v>
          </cell>
          <cell r="J495">
            <v>5</v>
          </cell>
          <cell r="K495">
            <v>0.02</v>
          </cell>
          <cell r="L495">
            <v>0</v>
          </cell>
          <cell r="M495" t="str">
            <v>USD</v>
          </cell>
          <cell r="N495" t="str">
            <v>RFL</v>
          </cell>
          <cell r="O495" t="str">
            <v>Renta Fija Local</v>
          </cell>
          <cell r="P495" t="str">
            <v>N-1</v>
          </cell>
          <cell r="Q495" t="str">
            <v>Corto</v>
          </cell>
          <cell r="R495" t="str">
            <v>Depósitos USD</v>
          </cell>
          <cell r="S495">
            <v>0.37</v>
          </cell>
          <cell r="T495" t="str">
            <v>N-1</v>
          </cell>
          <cell r="U495" t="str">
            <v>25</v>
          </cell>
          <cell r="V495" t="str">
            <v>Depósitos</v>
          </cell>
          <cell r="W495" t="str">
            <v>Depósitos</v>
          </cell>
          <cell r="X495" t="str">
            <v>Depósitos USD</v>
          </cell>
          <cell r="Y495" t="str">
            <v>Depósitos</v>
          </cell>
          <cell r="Z495" t="str">
            <v>Corto USD</v>
          </cell>
          <cell r="AA495" t="str">
            <v>Depósitos</v>
          </cell>
          <cell r="AB495" t="str">
            <v>Depósitos USD</v>
          </cell>
          <cell r="AC495" t="str">
            <v>Instrumentos de Deuda</v>
          </cell>
          <cell r="AD495" t="str">
            <v>Financieras</v>
          </cell>
          <cell r="AE495" t="str">
            <v>Deposito UF Banco Falabella</v>
          </cell>
          <cell r="AF495" t="str">
            <v>Banco Falabella</v>
          </cell>
        </row>
        <row r="496">
          <cell r="C496" t="str">
            <v>PAGARE R</v>
          </cell>
          <cell r="D496" t="str">
            <v>SECURITY</v>
          </cell>
          <cell r="E496">
            <v>749906.26</v>
          </cell>
          <cell r="F496">
            <v>750000</v>
          </cell>
          <cell r="G496">
            <v>1.5214E-2</v>
          </cell>
          <cell r="H496">
            <v>0.75</v>
          </cell>
          <cell r="I496" t="str">
            <v>2016-11-29</v>
          </cell>
          <cell r="J496">
            <v>5</v>
          </cell>
          <cell r="K496">
            <v>0.02</v>
          </cell>
          <cell r="L496">
            <v>0</v>
          </cell>
          <cell r="M496" t="str">
            <v>USD</v>
          </cell>
          <cell r="N496" t="str">
            <v>RFL</v>
          </cell>
          <cell r="O496" t="str">
            <v>Renta Fija Local</v>
          </cell>
          <cell r="P496" t="str">
            <v>N-1</v>
          </cell>
          <cell r="Q496" t="str">
            <v>Corto</v>
          </cell>
          <cell r="R496" t="str">
            <v>Depósitos USD</v>
          </cell>
          <cell r="S496">
            <v>0.75</v>
          </cell>
          <cell r="T496" t="str">
            <v>N-1</v>
          </cell>
          <cell r="U496" t="str">
            <v>25</v>
          </cell>
          <cell r="V496" t="str">
            <v>Depósitos</v>
          </cell>
          <cell r="W496" t="str">
            <v>Depósitos</v>
          </cell>
          <cell r="X496" t="str">
            <v>Depósitos USD</v>
          </cell>
          <cell r="Y496" t="str">
            <v>Depósitos</v>
          </cell>
          <cell r="Z496" t="str">
            <v>Corto USD</v>
          </cell>
          <cell r="AA496" t="str">
            <v>Depósitos</v>
          </cell>
          <cell r="AB496" t="str">
            <v>Depósitos USD</v>
          </cell>
          <cell r="AC496" t="str">
            <v>Instrumentos de Deuda</v>
          </cell>
          <cell r="AD496" t="str">
            <v>Financieras</v>
          </cell>
          <cell r="AE496" t="str">
            <v>Deposito UF Banco Security</v>
          </cell>
          <cell r="AF496" t="str">
            <v>Banco Security</v>
          </cell>
        </row>
        <row r="497">
          <cell r="C497" t="str">
            <v>PAGARE R</v>
          </cell>
          <cell r="D497" t="str">
            <v>SCOTIABANK</v>
          </cell>
          <cell r="E497">
            <v>2002074.82</v>
          </cell>
          <cell r="F497">
            <v>2002250</v>
          </cell>
          <cell r="G497">
            <v>4.0618000000000001E-2</v>
          </cell>
          <cell r="H497">
            <v>0.45</v>
          </cell>
          <cell r="I497" t="str">
            <v>2016-11-30</v>
          </cell>
          <cell r="J497">
            <v>6</v>
          </cell>
          <cell r="K497">
            <v>0.02</v>
          </cell>
          <cell r="L497">
            <v>0</v>
          </cell>
          <cell r="M497" t="str">
            <v>USD</v>
          </cell>
          <cell r="N497" t="str">
            <v>RFL</v>
          </cell>
          <cell r="O497" t="str">
            <v>Renta Fija Local</v>
          </cell>
          <cell r="P497" t="str">
            <v>N-1</v>
          </cell>
          <cell r="Q497" t="str">
            <v>Corto</v>
          </cell>
          <cell r="R497" t="str">
            <v>Depósitos USD</v>
          </cell>
          <cell r="S497">
            <v>0.45</v>
          </cell>
          <cell r="T497" t="str">
            <v>N-1</v>
          </cell>
          <cell r="U497" t="str">
            <v>25</v>
          </cell>
          <cell r="V497" t="str">
            <v>Depósitos</v>
          </cell>
          <cell r="W497" t="str">
            <v>Depósitos</v>
          </cell>
          <cell r="X497" t="str">
            <v>Depósitos USD</v>
          </cell>
          <cell r="Y497" t="str">
            <v>Depósitos</v>
          </cell>
          <cell r="Z497" t="str">
            <v>Corto USD</v>
          </cell>
          <cell r="AA497" t="str">
            <v>Depósitos</v>
          </cell>
          <cell r="AB497" t="str">
            <v>Depósitos USD</v>
          </cell>
          <cell r="AC497" t="str">
            <v>Instrumentos de Deuda</v>
          </cell>
          <cell r="AD497" t="str">
            <v>Financieras</v>
          </cell>
          <cell r="AE497" t="str">
            <v>Deposito UF Banco Scotiabank</v>
          </cell>
          <cell r="AF497" t="str">
            <v>Scotiabank</v>
          </cell>
        </row>
        <row r="498">
          <cell r="C498" t="str">
            <v>PAGARE R</v>
          </cell>
          <cell r="D498" t="str">
            <v>INTERNACIO</v>
          </cell>
          <cell r="E498">
            <v>199960.01</v>
          </cell>
          <cell r="F498">
            <v>200000</v>
          </cell>
          <cell r="G498">
            <v>4.0559999999999997E-3</v>
          </cell>
          <cell r="H498">
            <v>0.9</v>
          </cell>
          <cell r="I498" t="str">
            <v>2016-12-01</v>
          </cell>
          <cell r="J498">
            <v>7</v>
          </cell>
          <cell r="K498">
            <v>0.02</v>
          </cell>
          <cell r="L498">
            <v>0</v>
          </cell>
          <cell r="M498" t="str">
            <v>USD</v>
          </cell>
          <cell r="N498" t="str">
            <v>RFL</v>
          </cell>
          <cell r="O498" t="str">
            <v>Renta Fija Local</v>
          </cell>
          <cell r="P498" t="str">
            <v>N-1</v>
          </cell>
          <cell r="Q498" t="str">
            <v>Corto</v>
          </cell>
          <cell r="R498" t="str">
            <v>Depósitos USD</v>
          </cell>
          <cell r="S498">
            <v>0.9</v>
          </cell>
          <cell r="T498" t="str">
            <v>N-1</v>
          </cell>
          <cell r="U498" t="str">
            <v>25</v>
          </cell>
          <cell r="V498" t="str">
            <v>Depósitos</v>
          </cell>
          <cell r="W498" t="str">
            <v>Depósitos</v>
          </cell>
          <cell r="X498" t="str">
            <v>Depósitos USD</v>
          </cell>
          <cell r="Y498" t="str">
            <v>Depósitos</v>
          </cell>
          <cell r="Z498" t="str">
            <v>Corto USD</v>
          </cell>
          <cell r="AA498" t="str">
            <v>Depósitos</v>
          </cell>
          <cell r="AB498" t="str">
            <v>Depósitos USD</v>
          </cell>
          <cell r="AC498" t="str">
            <v>Instrumentos de Deuda</v>
          </cell>
          <cell r="AD498" t="str">
            <v>Financieras</v>
          </cell>
          <cell r="AE498" t="str">
            <v>Deposito UF Banco Internacio</v>
          </cell>
          <cell r="AF498" t="str">
            <v>Banco Internacional</v>
          </cell>
        </row>
        <row r="499">
          <cell r="C499" t="str">
            <v>PAGARE R</v>
          </cell>
          <cell r="D499" t="str">
            <v>SANTANDER</v>
          </cell>
          <cell r="E499">
            <v>3001537.33</v>
          </cell>
          <cell r="F499">
            <v>3001875</v>
          </cell>
          <cell r="G499">
            <v>6.0894999999999998E-2</v>
          </cell>
          <cell r="H499">
            <v>0.45</v>
          </cell>
          <cell r="I499" t="str">
            <v>2016-12-02</v>
          </cell>
          <cell r="J499">
            <v>8</v>
          </cell>
          <cell r="K499">
            <v>0.02</v>
          </cell>
          <cell r="L499">
            <v>0</v>
          </cell>
          <cell r="M499" t="str">
            <v>USD</v>
          </cell>
          <cell r="N499" t="str">
            <v>RFL</v>
          </cell>
          <cell r="O499" t="str">
            <v>Renta Fija Local</v>
          </cell>
          <cell r="P499" t="str">
            <v>N-1</v>
          </cell>
          <cell r="Q499" t="str">
            <v>Corto</v>
          </cell>
          <cell r="R499" t="str">
            <v>Depósitos USD</v>
          </cell>
          <cell r="S499">
            <v>0.45</v>
          </cell>
          <cell r="T499" t="str">
            <v>N-1</v>
          </cell>
          <cell r="U499" t="str">
            <v>25</v>
          </cell>
          <cell r="V499" t="str">
            <v>Depósitos</v>
          </cell>
          <cell r="W499" t="str">
            <v>Depósitos</v>
          </cell>
          <cell r="X499" t="str">
            <v>Depósitos USD</v>
          </cell>
          <cell r="Y499" t="str">
            <v>Depósitos</v>
          </cell>
          <cell r="Z499" t="str">
            <v>Corto USD</v>
          </cell>
          <cell r="AA499" t="str">
            <v>Depósitos</v>
          </cell>
          <cell r="AB499" t="str">
            <v>Depósitos USD</v>
          </cell>
          <cell r="AC499" t="str">
            <v>Instrumentos de Deuda</v>
          </cell>
          <cell r="AD499" t="str">
            <v>Financieras</v>
          </cell>
          <cell r="AE499" t="str">
            <v>Deposito UF Banco Santander</v>
          </cell>
          <cell r="AF499" t="str">
            <v>Banco Santander</v>
          </cell>
        </row>
        <row r="500">
          <cell r="C500" t="str">
            <v>PAGARE R</v>
          </cell>
          <cell r="D500" t="str">
            <v>FBBVA NY</v>
          </cell>
          <cell r="E500">
            <v>1000394.35</v>
          </cell>
          <cell r="F500">
            <v>1000631.11</v>
          </cell>
          <cell r="G500">
            <v>2.0296000000000002E-2</v>
          </cell>
          <cell r="H500">
            <v>0.71</v>
          </cell>
          <cell r="I500" t="str">
            <v>2016-12-05</v>
          </cell>
          <cell r="J500">
            <v>11</v>
          </cell>
          <cell r="K500">
            <v>0.03</v>
          </cell>
          <cell r="L500">
            <v>0</v>
          </cell>
          <cell r="M500" t="str">
            <v>USD</v>
          </cell>
          <cell r="N500" t="str">
            <v>RFL</v>
          </cell>
          <cell r="O500" t="str">
            <v>Renta Fija Local</v>
          </cell>
          <cell r="P500" t="str">
            <v>N-1</v>
          </cell>
          <cell r="Q500" t="str">
            <v>Corto</v>
          </cell>
          <cell r="R500" t="str">
            <v>Depósitos USD</v>
          </cell>
          <cell r="S500">
            <v>0.71</v>
          </cell>
          <cell r="T500" t="str">
            <v>N-1</v>
          </cell>
          <cell r="U500" t="str">
            <v>25</v>
          </cell>
          <cell r="V500" t="str">
            <v>Depósitos</v>
          </cell>
          <cell r="W500" t="str">
            <v>Depósitos</v>
          </cell>
          <cell r="X500" t="str">
            <v>Depósitos USD</v>
          </cell>
          <cell r="Y500" t="str">
            <v>Depósitos</v>
          </cell>
          <cell r="Z500" t="str">
            <v>Corto USD</v>
          </cell>
          <cell r="AA500" t="str">
            <v>Depósitos</v>
          </cell>
          <cell r="AB500" t="str">
            <v>Depósitos USD</v>
          </cell>
          <cell r="AC500" t="str">
            <v>Instrumentos de Deuda</v>
          </cell>
          <cell r="AD500" t="str">
            <v>Financieras</v>
          </cell>
          <cell r="AE500"/>
          <cell r="AF500"/>
        </row>
        <row r="501">
          <cell r="C501" t="str">
            <v>PAGARE R</v>
          </cell>
          <cell r="D501" t="str">
            <v>BBVA</v>
          </cell>
          <cell r="E501">
            <v>1501583.03</v>
          </cell>
          <cell r="F501">
            <v>1501875</v>
          </cell>
          <cell r="G501">
            <v>3.0464000000000001E-2</v>
          </cell>
          <cell r="H501">
            <v>0.5</v>
          </cell>
          <cell r="I501" t="str">
            <v>2016-12-07</v>
          </cell>
          <cell r="J501">
            <v>13</v>
          </cell>
          <cell r="K501">
            <v>0.04</v>
          </cell>
          <cell r="L501">
            <v>0</v>
          </cell>
          <cell r="M501" t="str">
            <v>USD</v>
          </cell>
          <cell r="N501" t="str">
            <v>RFL</v>
          </cell>
          <cell r="O501" t="str">
            <v>Renta Fija Local</v>
          </cell>
          <cell r="P501" t="str">
            <v>N-1</v>
          </cell>
          <cell r="Q501" t="str">
            <v>Corto</v>
          </cell>
          <cell r="R501" t="str">
            <v>Depósitos USD</v>
          </cell>
          <cell r="S501">
            <v>0.5</v>
          </cell>
          <cell r="T501" t="str">
            <v>N-1</v>
          </cell>
          <cell r="U501" t="str">
            <v>25</v>
          </cell>
          <cell r="V501" t="str">
            <v>Depósitos</v>
          </cell>
          <cell r="W501" t="str">
            <v>Depósitos</v>
          </cell>
          <cell r="X501" t="str">
            <v>Depósitos USD</v>
          </cell>
          <cell r="Y501" t="str">
            <v>Depósitos</v>
          </cell>
          <cell r="Z501" t="str">
            <v>Corto USD</v>
          </cell>
          <cell r="AA501" t="str">
            <v>Depósitos</v>
          </cell>
          <cell r="AB501" t="str">
            <v>Depósitos USD</v>
          </cell>
          <cell r="AC501" t="str">
            <v>Instrumentos de Deuda</v>
          </cell>
          <cell r="AD501" t="str">
            <v>Financieras</v>
          </cell>
          <cell r="AE501" t="str">
            <v>Deposito UF Banco Bbva</v>
          </cell>
          <cell r="AF501" t="str">
            <v>BBVA</v>
          </cell>
        </row>
        <row r="502">
          <cell r="C502" t="str">
            <v>PAGARE R</v>
          </cell>
          <cell r="D502" t="str">
            <v>SCOTIABANK</v>
          </cell>
          <cell r="E502">
            <v>1501718.33</v>
          </cell>
          <cell r="F502">
            <v>1502085.42</v>
          </cell>
          <cell r="G502">
            <v>3.0466E-2</v>
          </cell>
          <cell r="H502">
            <v>0.55000000000000004</v>
          </cell>
          <cell r="I502" t="str">
            <v>2016-12-09</v>
          </cell>
          <cell r="J502">
            <v>15</v>
          </cell>
          <cell r="K502">
            <v>0.04</v>
          </cell>
          <cell r="L502">
            <v>0</v>
          </cell>
          <cell r="M502" t="str">
            <v>USD</v>
          </cell>
          <cell r="N502" t="str">
            <v>RFL</v>
          </cell>
          <cell r="O502" t="str">
            <v>Renta Fija Local</v>
          </cell>
          <cell r="P502" t="str">
            <v>N-1</v>
          </cell>
          <cell r="Q502" t="str">
            <v>Corto</v>
          </cell>
          <cell r="R502" t="str">
            <v>Depósitos USD</v>
          </cell>
          <cell r="S502">
            <v>0.55000000000000004</v>
          </cell>
          <cell r="T502" t="str">
            <v>N-1</v>
          </cell>
          <cell r="U502" t="str">
            <v>25</v>
          </cell>
          <cell r="V502" t="str">
            <v>Depósitos</v>
          </cell>
          <cell r="W502" t="str">
            <v>Depósitos</v>
          </cell>
          <cell r="X502" t="str">
            <v>Depósitos USD</v>
          </cell>
          <cell r="Y502" t="str">
            <v>Depósitos</v>
          </cell>
          <cell r="Z502" t="str">
            <v>Corto USD</v>
          </cell>
          <cell r="AA502" t="str">
            <v>Depósitos</v>
          </cell>
          <cell r="AB502" t="str">
            <v>Depósitos USD</v>
          </cell>
          <cell r="AC502" t="str">
            <v>Instrumentos de Deuda</v>
          </cell>
          <cell r="AD502" t="str">
            <v>Financieras</v>
          </cell>
          <cell r="AE502" t="str">
            <v>Deposito UF Banco Scotiabank</v>
          </cell>
          <cell r="AF502" t="str">
            <v>Scotiabank</v>
          </cell>
        </row>
        <row r="503">
          <cell r="C503" t="str">
            <v>PAGARE R</v>
          </cell>
          <cell r="D503" t="str">
            <v>BBVA</v>
          </cell>
          <cell r="E503">
            <v>600108.31000000006</v>
          </cell>
          <cell r="F503">
            <v>600283.34</v>
          </cell>
          <cell r="G503">
            <v>1.2175E-2</v>
          </cell>
          <cell r="H503">
            <v>0.5</v>
          </cell>
          <cell r="I503" t="str">
            <v>2016-12-14</v>
          </cell>
          <cell r="J503">
            <v>20</v>
          </cell>
          <cell r="K503">
            <v>0.06</v>
          </cell>
          <cell r="L503">
            <v>0</v>
          </cell>
          <cell r="M503" t="str">
            <v>USD</v>
          </cell>
          <cell r="N503" t="str">
            <v>RFL</v>
          </cell>
          <cell r="O503" t="str">
            <v>Renta Fija Local</v>
          </cell>
          <cell r="P503" t="str">
            <v>N-1</v>
          </cell>
          <cell r="Q503" t="str">
            <v>Corto</v>
          </cell>
          <cell r="R503" t="str">
            <v>Depósitos USD</v>
          </cell>
          <cell r="S503">
            <v>0.5</v>
          </cell>
          <cell r="T503" t="str">
            <v>N-1</v>
          </cell>
          <cell r="U503" t="str">
            <v>25</v>
          </cell>
          <cell r="V503" t="str">
            <v>Depósitos</v>
          </cell>
          <cell r="W503" t="str">
            <v>Depósitos</v>
          </cell>
          <cell r="X503" t="str">
            <v>Depósitos USD</v>
          </cell>
          <cell r="Y503" t="str">
            <v>Depósitos</v>
          </cell>
          <cell r="Z503" t="str">
            <v>Corto USD</v>
          </cell>
          <cell r="AA503" t="str">
            <v>Depósitos</v>
          </cell>
          <cell r="AB503" t="str">
            <v>Depósitos USD</v>
          </cell>
          <cell r="AC503" t="str">
            <v>Instrumentos de Deuda</v>
          </cell>
          <cell r="AD503" t="str">
            <v>Financieras</v>
          </cell>
          <cell r="AE503" t="str">
            <v>Deposito UF Banco Bbva</v>
          </cell>
          <cell r="AF503" t="str">
            <v>BBVA</v>
          </cell>
        </row>
        <row r="504">
          <cell r="C504" t="str">
            <v>PAGARE R</v>
          </cell>
          <cell r="D504" t="str">
            <v>BCI</v>
          </cell>
          <cell r="E504">
            <v>2003067.5</v>
          </cell>
          <cell r="F504">
            <v>2004333.33</v>
          </cell>
          <cell r="G504">
            <v>4.0638000000000001E-2</v>
          </cell>
          <cell r="H504">
            <v>0.65</v>
          </cell>
          <cell r="I504" t="str">
            <v>2016-12-28</v>
          </cell>
          <cell r="J504">
            <v>34</v>
          </cell>
          <cell r="K504">
            <v>0.1</v>
          </cell>
          <cell r="L504">
            <v>0</v>
          </cell>
          <cell r="M504" t="str">
            <v>USD</v>
          </cell>
          <cell r="N504" t="str">
            <v>RFL</v>
          </cell>
          <cell r="O504" t="str">
            <v>Renta Fija Local</v>
          </cell>
          <cell r="P504" t="str">
            <v>N-1</v>
          </cell>
          <cell r="Q504" t="str">
            <v>Corto</v>
          </cell>
          <cell r="R504" t="str">
            <v>Depósitos USD</v>
          </cell>
          <cell r="S504">
            <v>0.65</v>
          </cell>
          <cell r="T504" t="str">
            <v>N-1</v>
          </cell>
          <cell r="U504" t="str">
            <v>25</v>
          </cell>
          <cell r="V504" t="str">
            <v>Depósitos</v>
          </cell>
          <cell r="W504" t="str">
            <v>Depósitos</v>
          </cell>
          <cell r="X504" t="str">
            <v>Depósitos USD</v>
          </cell>
          <cell r="Y504" t="str">
            <v>Depósitos</v>
          </cell>
          <cell r="Z504" t="str">
            <v>Corto USD</v>
          </cell>
          <cell r="AA504" t="str">
            <v>Depósitos</v>
          </cell>
          <cell r="AB504" t="str">
            <v>Depósitos USD</v>
          </cell>
          <cell r="AC504" t="str">
            <v>Instrumentos de Deuda</v>
          </cell>
          <cell r="AD504" t="str">
            <v>Financieras</v>
          </cell>
          <cell r="AE504" t="str">
            <v>Deposito UF Banco Bci</v>
          </cell>
          <cell r="AF504" t="str">
            <v>BCI</v>
          </cell>
        </row>
        <row r="505">
          <cell r="C505" t="str">
            <v>PAGARE R</v>
          </cell>
          <cell r="D505" t="str">
            <v>SECURITY</v>
          </cell>
          <cell r="E505">
            <v>899352.97</v>
          </cell>
          <cell r="F505">
            <v>900000</v>
          </cell>
          <cell r="G505">
            <v>1.8245999999999998E-2</v>
          </cell>
          <cell r="H505">
            <v>0.7</v>
          </cell>
          <cell r="I505" t="str">
            <v>2016-12-30</v>
          </cell>
          <cell r="J505">
            <v>36</v>
          </cell>
          <cell r="K505">
            <v>0.1</v>
          </cell>
          <cell r="L505">
            <v>0</v>
          </cell>
          <cell r="M505" t="str">
            <v>USD</v>
          </cell>
          <cell r="N505" t="str">
            <v>RFL</v>
          </cell>
          <cell r="O505" t="str">
            <v>Renta Fija Local</v>
          </cell>
          <cell r="P505" t="str">
            <v>N-1</v>
          </cell>
          <cell r="Q505" t="str">
            <v>Corto</v>
          </cell>
          <cell r="R505" t="str">
            <v>Depósitos USD</v>
          </cell>
          <cell r="S505">
            <v>0.7</v>
          </cell>
          <cell r="T505" t="str">
            <v>N-1</v>
          </cell>
          <cell r="U505" t="str">
            <v>25</v>
          </cell>
          <cell r="V505" t="str">
            <v>Depósitos</v>
          </cell>
          <cell r="W505" t="str">
            <v>Depósitos</v>
          </cell>
          <cell r="X505" t="str">
            <v>Depósitos USD</v>
          </cell>
          <cell r="Y505" t="str">
            <v>Depósitos</v>
          </cell>
          <cell r="Z505" t="str">
            <v>Corto USD</v>
          </cell>
          <cell r="AA505" t="str">
            <v>Depósitos</v>
          </cell>
          <cell r="AB505" t="str">
            <v>Depósitos USD</v>
          </cell>
          <cell r="AC505" t="str">
            <v>Instrumentos de Deuda</v>
          </cell>
          <cell r="AD505" t="str">
            <v>Financieras</v>
          </cell>
          <cell r="AE505" t="str">
            <v>Deposito UF Banco Security</v>
          </cell>
          <cell r="AF505" t="str">
            <v>Banco Security</v>
          </cell>
        </row>
        <row r="506">
          <cell r="C506" t="str">
            <v>PAGARE R</v>
          </cell>
          <cell r="D506" t="str">
            <v>BBVA</v>
          </cell>
          <cell r="E506">
            <v>1000849.44</v>
          </cell>
          <cell r="F506">
            <v>1001516.67</v>
          </cell>
          <cell r="G506">
            <v>2.0305E-2</v>
          </cell>
          <cell r="H506">
            <v>0.6</v>
          </cell>
          <cell r="I506" t="str">
            <v>2017-01-02</v>
          </cell>
          <cell r="J506">
            <v>39</v>
          </cell>
          <cell r="K506">
            <v>0.11</v>
          </cell>
          <cell r="L506">
            <v>0</v>
          </cell>
          <cell r="M506" t="str">
            <v>USD</v>
          </cell>
          <cell r="N506" t="str">
            <v>RFL</v>
          </cell>
          <cell r="O506" t="str">
            <v>Renta Fija Local</v>
          </cell>
          <cell r="P506" t="str">
            <v>N-1</v>
          </cell>
          <cell r="Q506" t="str">
            <v>Corto</v>
          </cell>
          <cell r="R506" t="str">
            <v>Depósitos USD</v>
          </cell>
          <cell r="S506">
            <v>0.6</v>
          </cell>
          <cell r="T506" t="str">
            <v>N-1</v>
          </cell>
          <cell r="U506" t="str">
            <v>25</v>
          </cell>
          <cell r="V506" t="str">
            <v>Depósitos</v>
          </cell>
          <cell r="W506" t="str">
            <v>Depósitos</v>
          </cell>
          <cell r="X506" t="str">
            <v>Depósitos USD</v>
          </cell>
          <cell r="Y506" t="str">
            <v>Depósitos</v>
          </cell>
          <cell r="Z506" t="str">
            <v>Corto USD</v>
          </cell>
          <cell r="AA506" t="str">
            <v>Depósitos</v>
          </cell>
          <cell r="AB506" t="str">
            <v>Depósitos USD</v>
          </cell>
          <cell r="AC506" t="str">
            <v>Instrumentos de Deuda</v>
          </cell>
          <cell r="AD506" t="str">
            <v>Financieras</v>
          </cell>
          <cell r="AE506" t="str">
            <v>Deposito UF Banco Bbva</v>
          </cell>
          <cell r="AF506" t="str">
            <v>BBVA</v>
          </cell>
        </row>
        <row r="507">
          <cell r="C507" t="str">
            <v>PAGARE R</v>
          </cell>
          <cell r="D507" t="str">
            <v>SANTANDER</v>
          </cell>
          <cell r="E507">
            <v>1000612.19</v>
          </cell>
          <cell r="F507">
            <v>1001125</v>
          </cell>
          <cell r="G507">
            <v>2.0299999999999999E-2</v>
          </cell>
          <cell r="H507">
            <v>0.45</v>
          </cell>
          <cell r="I507" t="str">
            <v>2017-01-03</v>
          </cell>
          <cell r="J507">
            <v>40</v>
          </cell>
          <cell r="K507">
            <v>0.11</v>
          </cell>
          <cell r="L507">
            <v>0</v>
          </cell>
          <cell r="M507" t="str">
            <v>USD</v>
          </cell>
          <cell r="N507" t="str">
            <v>RFL</v>
          </cell>
          <cell r="O507" t="str">
            <v>Renta Fija Local</v>
          </cell>
          <cell r="P507" t="str">
            <v>N-1</v>
          </cell>
          <cell r="Q507" t="str">
            <v>Corto</v>
          </cell>
          <cell r="R507" t="str">
            <v>Depósitos USD</v>
          </cell>
          <cell r="S507">
            <v>0.45</v>
          </cell>
          <cell r="T507" t="str">
            <v>N-1</v>
          </cell>
          <cell r="U507" t="str">
            <v>25</v>
          </cell>
          <cell r="V507" t="str">
            <v>Depósitos</v>
          </cell>
          <cell r="W507" t="str">
            <v>Depósitos</v>
          </cell>
          <cell r="X507" t="str">
            <v>Depósitos USD</v>
          </cell>
          <cell r="Y507" t="str">
            <v>Depósitos</v>
          </cell>
          <cell r="Z507" t="str">
            <v>Corto USD</v>
          </cell>
          <cell r="AA507" t="str">
            <v>Depósitos</v>
          </cell>
          <cell r="AB507" t="str">
            <v>Depósitos USD</v>
          </cell>
          <cell r="AC507" t="str">
            <v>Instrumentos de Deuda</v>
          </cell>
          <cell r="AD507" t="str">
            <v>Financieras</v>
          </cell>
          <cell r="AE507" t="str">
            <v>Deposito UF Banco Santander</v>
          </cell>
          <cell r="AF507" t="str">
            <v>Banco Santander</v>
          </cell>
        </row>
        <row r="508">
          <cell r="C508" t="str">
            <v>PAGARE R</v>
          </cell>
          <cell r="D508" t="str">
            <v>INTERNACIO</v>
          </cell>
          <cell r="E508">
            <v>499467.23</v>
          </cell>
          <cell r="F508">
            <v>500000</v>
          </cell>
          <cell r="G508">
            <v>1.0133E-2</v>
          </cell>
          <cell r="H508">
            <v>0.8</v>
          </cell>
          <cell r="I508" t="str">
            <v>2017-01-10</v>
          </cell>
          <cell r="J508">
            <v>47</v>
          </cell>
          <cell r="K508">
            <v>0.13</v>
          </cell>
          <cell r="L508">
            <v>0</v>
          </cell>
          <cell r="M508" t="str">
            <v>USD</v>
          </cell>
          <cell r="N508" t="str">
            <v>RFL</v>
          </cell>
          <cell r="O508" t="str">
            <v>Renta Fija Local</v>
          </cell>
          <cell r="P508" t="str">
            <v>N-1</v>
          </cell>
          <cell r="Q508" t="str">
            <v>Corto</v>
          </cell>
          <cell r="R508" t="str">
            <v>Depósitos USD</v>
          </cell>
          <cell r="S508">
            <v>0.8</v>
          </cell>
          <cell r="T508" t="str">
            <v>N-1</v>
          </cell>
          <cell r="U508" t="str">
            <v>25</v>
          </cell>
          <cell r="V508" t="str">
            <v>Depósitos</v>
          </cell>
          <cell r="W508" t="str">
            <v>Depósitos</v>
          </cell>
          <cell r="X508" t="str">
            <v>Depósitos USD</v>
          </cell>
          <cell r="Y508" t="str">
            <v>Depósitos</v>
          </cell>
          <cell r="Z508" t="str">
            <v>Corto USD</v>
          </cell>
          <cell r="AA508" t="str">
            <v>Depósitos</v>
          </cell>
          <cell r="AB508" t="str">
            <v>Depósitos USD</v>
          </cell>
          <cell r="AC508" t="str">
            <v>Instrumentos de Deuda</v>
          </cell>
          <cell r="AD508" t="str">
            <v>Financieras</v>
          </cell>
          <cell r="AE508" t="str">
            <v>Deposito UF Banco Internacio</v>
          </cell>
          <cell r="AF508" t="str">
            <v>Banco Internacional</v>
          </cell>
        </row>
        <row r="509">
          <cell r="C509" t="str">
            <v>PAGARE R</v>
          </cell>
          <cell r="D509" t="str">
            <v>BBVA</v>
          </cell>
          <cell r="E509">
            <v>2001551.43</v>
          </cell>
          <cell r="F509">
            <v>2003286.11</v>
          </cell>
          <cell r="G509">
            <v>4.0606999999999997E-2</v>
          </cell>
          <cell r="H509">
            <v>0.65</v>
          </cell>
          <cell r="I509" t="str">
            <v>2017-01-10</v>
          </cell>
          <cell r="J509">
            <v>47</v>
          </cell>
          <cell r="K509">
            <v>0.13</v>
          </cell>
          <cell r="L509">
            <v>0</v>
          </cell>
          <cell r="M509" t="str">
            <v>USD</v>
          </cell>
          <cell r="N509" t="str">
            <v>RFL</v>
          </cell>
          <cell r="O509" t="str">
            <v>Renta Fija Local</v>
          </cell>
          <cell r="P509" t="str">
            <v>N-1</v>
          </cell>
          <cell r="Q509" t="str">
            <v>Corto</v>
          </cell>
          <cell r="R509" t="str">
            <v>Depósitos USD</v>
          </cell>
          <cell r="S509">
            <v>0.65</v>
          </cell>
          <cell r="T509" t="str">
            <v>N-1</v>
          </cell>
          <cell r="U509" t="str">
            <v>25</v>
          </cell>
          <cell r="V509" t="str">
            <v>Depósitos</v>
          </cell>
          <cell r="W509" t="str">
            <v>Depósitos</v>
          </cell>
          <cell r="X509" t="str">
            <v>Depósitos USD</v>
          </cell>
          <cell r="Y509" t="str">
            <v>Depósitos</v>
          </cell>
          <cell r="Z509" t="str">
            <v>Corto USD</v>
          </cell>
          <cell r="AA509" t="str">
            <v>Depósitos</v>
          </cell>
          <cell r="AB509" t="str">
            <v>Depósitos USD</v>
          </cell>
          <cell r="AC509" t="str">
            <v>Instrumentos de Deuda</v>
          </cell>
          <cell r="AD509" t="str">
            <v>Financieras</v>
          </cell>
          <cell r="AE509" t="str">
            <v>Deposito UF Banco Bbva</v>
          </cell>
          <cell r="AF509" t="str">
            <v>BBVA</v>
          </cell>
        </row>
        <row r="510">
          <cell r="C510" t="str">
            <v>PAGARE R</v>
          </cell>
          <cell r="D510" t="str">
            <v>BCI</v>
          </cell>
          <cell r="E510">
            <v>749161.56</v>
          </cell>
          <cell r="F510">
            <v>750000</v>
          </cell>
          <cell r="G510">
            <v>1.5199000000000001E-2</v>
          </cell>
          <cell r="H510">
            <v>0.79</v>
          </cell>
          <cell r="I510" t="str">
            <v>2017-01-13</v>
          </cell>
          <cell r="J510">
            <v>50</v>
          </cell>
          <cell r="K510">
            <v>0.14000000000000001</v>
          </cell>
          <cell r="L510">
            <v>0</v>
          </cell>
          <cell r="M510" t="str">
            <v>USD</v>
          </cell>
          <cell r="N510" t="str">
            <v>RFL</v>
          </cell>
          <cell r="O510" t="str">
            <v>Renta Fija Local</v>
          </cell>
          <cell r="P510" t="str">
            <v>N-1</v>
          </cell>
          <cell r="Q510" t="str">
            <v>Corto</v>
          </cell>
          <cell r="R510" t="str">
            <v>Depósitos USD</v>
          </cell>
          <cell r="S510">
            <v>0.79</v>
          </cell>
          <cell r="T510" t="str">
            <v>N-1</v>
          </cell>
          <cell r="U510" t="str">
            <v>25</v>
          </cell>
          <cell r="V510" t="str">
            <v>Depósitos</v>
          </cell>
          <cell r="W510" t="str">
            <v>Depósitos</v>
          </cell>
          <cell r="X510" t="str">
            <v>Depósitos USD</v>
          </cell>
          <cell r="Y510" t="str">
            <v>Depósitos</v>
          </cell>
          <cell r="Z510" t="str">
            <v>Corto USD</v>
          </cell>
          <cell r="AA510" t="str">
            <v>Depósitos</v>
          </cell>
          <cell r="AB510" t="str">
            <v>Depósitos USD</v>
          </cell>
          <cell r="AC510" t="str">
            <v>Instrumentos de Deuda</v>
          </cell>
          <cell r="AD510" t="str">
            <v>Financieras</v>
          </cell>
          <cell r="AE510" t="str">
            <v>Deposito UF Banco Bci</v>
          </cell>
          <cell r="AF510" t="str">
            <v>BCI</v>
          </cell>
        </row>
        <row r="511">
          <cell r="C511" t="str">
            <v>PAGARE R</v>
          </cell>
          <cell r="D511" t="str">
            <v>BBVA</v>
          </cell>
          <cell r="E511">
            <v>1000660.39</v>
          </cell>
          <cell r="F511">
            <v>1001750</v>
          </cell>
          <cell r="G511">
            <v>2.0301E-2</v>
          </cell>
          <cell r="H511">
            <v>0.7</v>
          </cell>
          <cell r="I511" t="str">
            <v>2017-01-18</v>
          </cell>
          <cell r="J511">
            <v>55</v>
          </cell>
          <cell r="K511">
            <v>0.15</v>
          </cell>
          <cell r="L511">
            <v>0</v>
          </cell>
          <cell r="M511" t="str">
            <v>USD</v>
          </cell>
          <cell r="N511" t="str">
            <v>RFL</v>
          </cell>
          <cell r="O511" t="str">
            <v>Renta Fija Local</v>
          </cell>
          <cell r="P511" t="str">
            <v>N-1</v>
          </cell>
          <cell r="Q511" t="str">
            <v>Corto</v>
          </cell>
          <cell r="R511" t="str">
            <v>Depósitos USD</v>
          </cell>
          <cell r="S511">
            <v>0.7</v>
          </cell>
          <cell r="T511" t="str">
            <v>N-1</v>
          </cell>
          <cell r="U511" t="str">
            <v>25</v>
          </cell>
          <cell r="V511" t="str">
            <v>Depósitos</v>
          </cell>
          <cell r="W511" t="str">
            <v>Depósitos</v>
          </cell>
          <cell r="X511" t="str">
            <v>Depósitos USD</v>
          </cell>
          <cell r="Y511" t="str">
            <v>Depósitos</v>
          </cell>
          <cell r="Z511" t="str">
            <v>Corto USD</v>
          </cell>
          <cell r="AA511" t="str">
            <v>Depósitos</v>
          </cell>
          <cell r="AB511" t="str">
            <v>Depósitos USD</v>
          </cell>
          <cell r="AC511" t="str">
            <v>Instrumentos de Deuda</v>
          </cell>
          <cell r="AD511" t="str">
            <v>Financieras</v>
          </cell>
          <cell r="AE511" t="str">
            <v>Deposito UF Banco Bbva</v>
          </cell>
          <cell r="AF511" t="str">
            <v>BBVA</v>
          </cell>
        </row>
        <row r="512">
          <cell r="C512" t="str">
            <v>PAGARE R</v>
          </cell>
          <cell r="D512" t="str">
            <v>FBANCOLOMB</v>
          </cell>
          <cell r="E512">
            <v>1001025.22</v>
          </cell>
          <cell r="F512">
            <v>1003250</v>
          </cell>
          <cell r="G512">
            <v>2.0308E-2</v>
          </cell>
          <cell r="H512">
            <v>1.27</v>
          </cell>
          <cell r="I512" t="str">
            <v>2017-01-25</v>
          </cell>
          <cell r="J512">
            <v>62</v>
          </cell>
          <cell r="K512">
            <v>0.17</v>
          </cell>
          <cell r="L512">
            <v>0</v>
          </cell>
          <cell r="M512" t="str">
            <v>USD</v>
          </cell>
          <cell r="N512" t="str">
            <v>RFL</v>
          </cell>
          <cell r="O512" t="str">
            <v>Renta Fija Local</v>
          </cell>
          <cell r="P512" t="str">
            <v>BBB</v>
          </cell>
          <cell r="Q512" t="str">
            <v>Corto</v>
          </cell>
          <cell r="R512" t="str">
            <v>Depósitos USD</v>
          </cell>
          <cell r="S512">
            <v>1.27</v>
          </cell>
          <cell r="T512" t="str">
            <v>BBB</v>
          </cell>
          <cell r="U512" t="str">
            <v>9</v>
          </cell>
          <cell r="V512" t="str">
            <v>Depósitos</v>
          </cell>
          <cell r="W512" t="str">
            <v>Depósitos</v>
          </cell>
          <cell r="X512" t="str">
            <v>Depósitos USD</v>
          </cell>
          <cell r="Y512" t="str">
            <v>Depósitos</v>
          </cell>
          <cell r="Z512" t="str">
            <v>Corto USD</v>
          </cell>
          <cell r="AA512" t="str">
            <v>Depósitos</v>
          </cell>
          <cell r="AB512" t="str">
            <v>Depósitos USD</v>
          </cell>
          <cell r="AC512" t="str">
            <v>Instrumentos de Deuda</v>
          </cell>
          <cell r="AD512" t="str">
            <v>Financieras</v>
          </cell>
          <cell r="AE512" t="str">
            <v>Deposito USD Bancolombia</v>
          </cell>
          <cell r="AF512" t="str">
            <v>BANCOLOMBIA</v>
          </cell>
        </row>
        <row r="513">
          <cell r="C513" t="str">
            <v>PAGARE R</v>
          </cell>
          <cell r="D513" t="str">
            <v>CHILE</v>
          </cell>
          <cell r="E513">
            <v>1500898.74</v>
          </cell>
          <cell r="F513">
            <v>1503000</v>
          </cell>
          <cell r="G513">
            <v>3.0450000000000001E-2</v>
          </cell>
          <cell r="H513">
            <v>0.8</v>
          </cell>
          <cell r="I513" t="str">
            <v>2017-01-25</v>
          </cell>
          <cell r="J513">
            <v>62</v>
          </cell>
          <cell r="K513">
            <v>0.17</v>
          </cell>
          <cell r="L513">
            <v>0</v>
          </cell>
          <cell r="M513" t="str">
            <v>USD</v>
          </cell>
          <cell r="N513" t="str">
            <v>RFL</v>
          </cell>
          <cell r="O513" t="str">
            <v>Renta Fija Local</v>
          </cell>
          <cell r="P513" t="str">
            <v>N-1</v>
          </cell>
          <cell r="Q513" t="str">
            <v>Corto</v>
          </cell>
          <cell r="R513" t="str">
            <v>Depósitos USD</v>
          </cell>
          <cell r="S513">
            <v>0.8</v>
          </cell>
          <cell r="T513" t="str">
            <v>N-1</v>
          </cell>
          <cell r="U513" t="str">
            <v>25</v>
          </cell>
          <cell r="V513" t="str">
            <v>Depósitos</v>
          </cell>
          <cell r="W513" t="str">
            <v>Depósitos</v>
          </cell>
          <cell r="X513" t="str">
            <v>Depósitos USD</v>
          </cell>
          <cell r="Y513" t="str">
            <v>Depósitos</v>
          </cell>
          <cell r="Z513" t="str">
            <v>Corto USD</v>
          </cell>
          <cell r="AA513" t="str">
            <v>Depósitos</v>
          </cell>
          <cell r="AB513" t="str">
            <v>Depósitos USD</v>
          </cell>
          <cell r="AC513" t="str">
            <v>Instrumentos de Deuda</v>
          </cell>
          <cell r="AD513" t="str">
            <v>Financieras</v>
          </cell>
          <cell r="AE513" t="str">
            <v>Deposito UF Banco Chile</v>
          </cell>
          <cell r="AF513" t="str">
            <v>Banco de Chile</v>
          </cell>
        </row>
        <row r="514">
          <cell r="C514" t="str">
            <v>PAGARE R</v>
          </cell>
          <cell r="D514" t="str">
            <v>ITAUCORP</v>
          </cell>
          <cell r="E514">
            <v>2002546.09</v>
          </cell>
          <cell r="F514">
            <v>2005619.44</v>
          </cell>
          <cell r="G514">
            <v>4.0627000000000003E-2</v>
          </cell>
          <cell r="H514">
            <v>0.85</v>
          </cell>
          <cell r="I514" t="str">
            <v>2017-01-27</v>
          </cell>
          <cell r="J514">
            <v>64</v>
          </cell>
          <cell r="K514">
            <v>0.18</v>
          </cell>
          <cell r="L514">
            <v>0</v>
          </cell>
          <cell r="M514" t="str">
            <v>USD</v>
          </cell>
          <cell r="N514" t="str">
            <v>RFL</v>
          </cell>
          <cell r="O514" t="str">
            <v>Renta Fija Local</v>
          </cell>
          <cell r="P514" t="str">
            <v>N-1</v>
          </cell>
          <cell r="Q514" t="str">
            <v>Corto</v>
          </cell>
          <cell r="R514" t="str">
            <v>Depósitos USD</v>
          </cell>
          <cell r="S514">
            <v>0.85</v>
          </cell>
          <cell r="T514" t="str">
            <v>N-1</v>
          </cell>
          <cell r="U514" t="str">
            <v>25</v>
          </cell>
          <cell r="V514" t="str">
            <v>Depósitos</v>
          </cell>
          <cell r="W514" t="str">
            <v>Depósitos</v>
          </cell>
          <cell r="X514" t="str">
            <v>Depósitos USD</v>
          </cell>
          <cell r="Y514" t="str">
            <v>Depósitos</v>
          </cell>
          <cell r="Z514" t="str">
            <v>Corto USD</v>
          </cell>
          <cell r="AA514" t="str">
            <v>Depósitos</v>
          </cell>
          <cell r="AB514" t="str">
            <v>Depósitos USD</v>
          </cell>
          <cell r="AC514" t="str">
            <v>Instrumentos de Deuda</v>
          </cell>
          <cell r="AD514" t="str">
            <v>Financieras</v>
          </cell>
          <cell r="AE514" t="str">
            <v>Deposito UF Banco Itaucorp</v>
          </cell>
          <cell r="AF514" t="str">
            <v>Itau/Corpbanca</v>
          </cell>
        </row>
        <row r="515">
          <cell r="C515" t="str">
            <v>PAGARE R</v>
          </cell>
          <cell r="D515" t="str">
            <v>CHILE</v>
          </cell>
          <cell r="E515">
            <v>399540.53</v>
          </cell>
          <cell r="F515">
            <v>400000</v>
          </cell>
          <cell r="G515">
            <v>8.1049999999999994E-3</v>
          </cell>
          <cell r="H515">
            <v>0.6</v>
          </cell>
          <cell r="I515" t="str">
            <v>2017-01-31</v>
          </cell>
          <cell r="J515">
            <v>68</v>
          </cell>
          <cell r="K515">
            <v>0.19</v>
          </cell>
          <cell r="L515">
            <v>0</v>
          </cell>
          <cell r="M515" t="str">
            <v>USD</v>
          </cell>
          <cell r="N515" t="str">
            <v>RFL</v>
          </cell>
          <cell r="O515" t="str">
            <v>Renta Fija Local</v>
          </cell>
          <cell r="P515" t="str">
            <v>N-1</v>
          </cell>
          <cell r="Q515" t="str">
            <v>Corto</v>
          </cell>
          <cell r="R515" t="str">
            <v>Depósitos USD</v>
          </cell>
          <cell r="S515">
            <v>0.6</v>
          </cell>
          <cell r="T515" t="str">
            <v>N-1</v>
          </cell>
          <cell r="U515" t="str">
            <v>25</v>
          </cell>
          <cell r="V515" t="str">
            <v>Depósitos</v>
          </cell>
          <cell r="W515" t="str">
            <v>Depósitos</v>
          </cell>
          <cell r="X515" t="str">
            <v>Depósitos USD</v>
          </cell>
          <cell r="Y515" t="str">
            <v>Depósitos</v>
          </cell>
          <cell r="Z515" t="str">
            <v>Corto USD</v>
          </cell>
          <cell r="AA515" t="str">
            <v>Depósitos</v>
          </cell>
          <cell r="AB515" t="str">
            <v>Depósitos USD</v>
          </cell>
          <cell r="AC515" t="str">
            <v>Instrumentos de Deuda</v>
          </cell>
          <cell r="AD515" t="str">
            <v>Financieras</v>
          </cell>
          <cell r="AE515" t="str">
            <v>Deposito UF Banco Chile</v>
          </cell>
          <cell r="AF515" t="str">
            <v>Banco de Chile</v>
          </cell>
        </row>
        <row r="516">
          <cell r="C516" t="str">
            <v>PAGARE R</v>
          </cell>
          <cell r="D516" t="str">
            <v>CHILE</v>
          </cell>
          <cell r="E516">
            <v>2501019.4700000002</v>
          </cell>
          <cell r="F516">
            <v>2504375</v>
          </cell>
          <cell r="G516">
            <v>5.074E-2</v>
          </cell>
          <cell r="H516">
            <v>0.7</v>
          </cell>
          <cell r="I516" t="str">
            <v>2017-01-31</v>
          </cell>
          <cell r="J516">
            <v>68</v>
          </cell>
          <cell r="K516">
            <v>0.19</v>
          </cell>
          <cell r="L516">
            <v>0</v>
          </cell>
          <cell r="M516" t="str">
            <v>USD</v>
          </cell>
          <cell r="N516" t="str">
            <v>RFL</v>
          </cell>
          <cell r="O516" t="str">
            <v>Renta Fija Local</v>
          </cell>
          <cell r="P516" t="str">
            <v>N-1</v>
          </cell>
          <cell r="Q516" t="str">
            <v>Corto</v>
          </cell>
          <cell r="R516" t="str">
            <v>Depósitos USD</v>
          </cell>
          <cell r="S516">
            <v>0.7</v>
          </cell>
          <cell r="T516" t="str">
            <v>N-1</v>
          </cell>
          <cell r="U516" t="str">
            <v>25</v>
          </cell>
          <cell r="V516" t="str">
            <v>Depósitos</v>
          </cell>
          <cell r="W516" t="str">
            <v>Depósitos</v>
          </cell>
          <cell r="X516" t="str">
            <v>Depósitos USD</v>
          </cell>
          <cell r="Y516" t="str">
            <v>Depósitos</v>
          </cell>
          <cell r="Z516" t="str">
            <v>Corto USD</v>
          </cell>
          <cell r="AA516" t="str">
            <v>Depósitos</v>
          </cell>
          <cell r="AB516" t="str">
            <v>Depósitos USD</v>
          </cell>
          <cell r="AC516" t="str">
            <v>Instrumentos de Deuda</v>
          </cell>
          <cell r="AD516" t="str">
            <v>Financieras</v>
          </cell>
          <cell r="AE516" t="str">
            <v>Deposito UF Banco Chile</v>
          </cell>
          <cell r="AF516" t="str">
            <v>Banco de Chile</v>
          </cell>
        </row>
        <row r="517">
          <cell r="C517" t="str">
            <v>PAGARE R</v>
          </cell>
          <cell r="D517" t="str">
            <v>BCI</v>
          </cell>
          <cell r="E517">
            <v>2501193.96</v>
          </cell>
          <cell r="F517">
            <v>2505125</v>
          </cell>
          <cell r="G517">
            <v>5.0743999999999997E-2</v>
          </cell>
          <cell r="H517">
            <v>0.82</v>
          </cell>
          <cell r="I517" t="str">
            <v>2017-01-31</v>
          </cell>
          <cell r="J517">
            <v>68</v>
          </cell>
          <cell r="K517">
            <v>0.19</v>
          </cell>
          <cell r="L517">
            <v>0</v>
          </cell>
          <cell r="M517" t="str">
            <v>USD</v>
          </cell>
          <cell r="N517" t="str">
            <v>RFL</v>
          </cell>
          <cell r="O517" t="str">
            <v>Renta Fija Local</v>
          </cell>
          <cell r="P517" t="str">
            <v>N-1</v>
          </cell>
          <cell r="Q517" t="str">
            <v>Corto</v>
          </cell>
          <cell r="R517" t="str">
            <v>Depósitos USD</v>
          </cell>
          <cell r="S517">
            <v>0.82</v>
          </cell>
          <cell r="T517" t="str">
            <v>N-1</v>
          </cell>
          <cell r="U517" t="str">
            <v>25</v>
          </cell>
          <cell r="V517" t="str">
            <v>Depósitos</v>
          </cell>
          <cell r="W517" t="str">
            <v>Depósitos</v>
          </cell>
          <cell r="X517" t="str">
            <v>Depósitos USD</v>
          </cell>
          <cell r="Y517" t="str">
            <v>Depósitos</v>
          </cell>
          <cell r="Z517" t="str">
            <v>Corto USD</v>
          </cell>
          <cell r="AA517" t="str">
            <v>Depósitos</v>
          </cell>
          <cell r="AB517" t="str">
            <v>Depósitos USD</v>
          </cell>
          <cell r="AC517" t="str">
            <v>Instrumentos de Deuda</v>
          </cell>
          <cell r="AD517" t="str">
            <v>Financieras</v>
          </cell>
          <cell r="AE517" t="str">
            <v>Deposito UF Banco Bci</v>
          </cell>
          <cell r="AF517" t="str">
            <v>BCI</v>
          </cell>
        </row>
        <row r="518">
          <cell r="C518" t="str">
            <v>PAGARE R</v>
          </cell>
          <cell r="D518" t="str">
            <v>CHILE</v>
          </cell>
          <cell r="E518">
            <v>998402.56000000006</v>
          </cell>
          <cell r="F518">
            <v>1000000</v>
          </cell>
          <cell r="G518">
            <v>2.0254999999999999E-2</v>
          </cell>
          <cell r="H518">
            <v>0.8</v>
          </cell>
          <cell r="I518" t="str">
            <v>2017-02-03</v>
          </cell>
          <cell r="J518">
            <v>71</v>
          </cell>
          <cell r="K518">
            <v>0.2</v>
          </cell>
          <cell r="L518">
            <v>0</v>
          </cell>
          <cell r="M518" t="str">
            <v>USD</v>
          </cell>
          <cell r="N518" t="str">
            <v>RFL</v>
          </cell>
          <cell r="O518" t="str">
            <v>Renta Fija Local</v>
          </cell>
          <cell r="P518" t="str">
            <v>N-1</v>
          </cell>
          <cell r="Q518" t="str">
            <v>Corto</v>
          </cell>
          <cell r="R518" t="str">
            <v>Depósitos USD</v>
          </cell>
          <cell r="S518">
            <v>0.8</v>
          </cell>
          <cell r="T518" t="str">
            <v>N-1</v>
          </cell>
          <cell r="U518" t="str">
            <v>25</v>
          </cell>
          <cell r="V518" t="str">
            <v>Depósitos</v>
          </cell>
          <cell r="W518" t="str">
            <v>Depósitos</v>
          </cell>
          <cell r="X518" t="str">
            <v>Depósitos USD</v>
          </cell>
          <cell r="Y518" t="str">
            <v>Depósitos</v>
          </cell>
          <cell r="Z518" t="str">
            <v>Corto USD</v>
          </cell>
          <cell r="AA518" t="str">
            <v>Depósitos</v>
          </cell>
          <cell r="AB518" t="str">
            <v>Depósitos USD</v>
          </cell>
          <cell r="AC518" t="str">
            <v>Instrumentos de Deuda</v>
          </cell>
          <cell r="AD518" t="str">
            <v>Financieras</v>
          </cell>
          <cell r="AE518" t="str">
            <v>Deposito UF Banco Chile</v>
          </cell>
          <cell r="AF518" t="str">
            <v>Banco de Chile</v>
          </cell>
        </row>
        <row r="519">
          <cell r="C519" t="str">
            <v>PAGARE R</v>
          </cell>
          <cell r="D519" t="str">
            <v>CONSORCIO</v>
          </cell>
          <cell r="E519">
            <v>897957.15</v>
          </cell>
          <cell r="F519">
            <v>900000</v>
          </cell>
          <cell r="G519">
            <v>1.8217000000000001E-2</v>
          </cell>
          <cell r="H519">
            <v>0.9</v>
          </cell>
          <cell r="I519" t="str">
            <v>2017-02-22</v>
          </cell>
          <cell r="J519">
            <v>90</v>
          </cell>
          <cell r="K519">
            <v>0.25</v>
          </cell>
          <cell r="L519">
            <v>0</v>
          </cell>
          <cell r="M519" t="str">
            <v>USD</v>
          </cell>
          <cell r="N519" t="str">
            <v>RFL</v>
          </cell>
          <cell r="O519" t="str">
            <v>Renta Fija Local</v>
          </cell>
          <cell r="P519" t="str">
            <v>N-1</v>
          </cell>
          <cell r="Q519" t="str">
            <v>Corto</v>
          </cell>
          <cell r="R519" t="str">
            <v>Depósitos USD</v>
          </cell>
          <cell r="S519">
            <v>0.9</v>
          </cell>
          <cell r="T519" t="str">
            <v>N-1</v>
          </cell>
          <cell r="U519" t="str">
            <v>25</v>
          </cell>
          <cell r="V519" t="str">
            <v>Depósitos</v>
          </cell>
          <cell r="W519" t="str">
            <v>Depósitos</v>
          </cell>
          <cell r="X519" t="str">
            <v>Depósitos USD</v>
          </cell>
          <cell r="Y519" t="str">
            <v>Depósitos</v>
          </cell>
          <cell r="Z519" t="str">
            <v>Corto USD</v>
          </cell>
          <cell r="AA519" t="str">
            <v>Depósitos</v>
          </cell>
          <cell r="AB519" t="str">
            <v>Depósitos USD</v>
          </cell>
          <cell r="AC519" t="str">
            <v>Instrumentos de Deuda</v>
          </cell>
          <cell r="AD519" t="str">
            <v>Financieras</v>
          </cell>
          <cell r="AE519" t="str">
            <v>Deposito UF Banco Consorcio</v>
          </cell>
          <cell r="AF519" t="str">
            <v>Banco Consorcio</v>
          </cell>
        </row>
        <row r="520">
          <cell r="C520" t="str">
            <v>PAGARE R</v>
          </cell>
          <cell r="D520" t="str">
            <v>INTERNACIO</v>
          </cell>
          <cell r="E520">
            <v>997478.6</v>
          </cell>
          <cell r="F520">
            <v>1000000</v>
          </cell>
          <cell r="G520">
            <v>2.0236000000000001E-2</v>
          </cell>
          <cell r="H520">
            <v>1</v>
          </cell>
          <cell r="I520" t="str">
            <v>2017-02-22</v>
          </cell>
          <cell r="J520">
            <v>90</v>
          </cell>
          <cell r="K520">
            <v>0.25</v>
          </cell>
          <cell r="L520">
            <v>0</v>
          </cell>
          <cell r="M520" t="str">
            <v>USD</v>
          </cell>
          <cell r="N520" t="str">
            <v>RFL</v>
          </cell>
          <cell r="O520" t="str">
            <v>Renta Fija Local</v>
          </cell>
          <cell r="P520" t="str">
            <v>N-1</v>
          </cell>
          <cell r="Q520" t="str">
            <v>Corto</v>
          </cell>
          <cell r="R520" t="str">
            <v>Depósitos USD</v>
          </cell>
          <cell r="S520">
            <v>1</v>
          </cell>
          <cell r="T520" t="str">
            <v>N-1</v>
          </cell>
          <cell r="U520" t="str">
            <v>25</v>
          </cell>
          <cell r="V520" t="str">
            <v>Depósitos</v>
          </cell>
          <cell r="W520" t="str">
            <v>Depósitos</v>
          </cell>
          <cell r="X520" t="str">
            <v>Depósitos USD</v>
          </cell>
          <cell r="Y520" t="str">
            <v>Depósitos</v>
          </cell>
          <cell r="Z520" t="str">
            <v>Corto USD</v>
          </cell>
          <cell r="AA520" t="str">
            <v>Depósitos</v>
          </cell>
          <cell r="AB520" t="str">
            <v>Depósitos USD</v>
          </cell>
          <cell r="AC520" t="str">
            <v>Instrumentos de Deuda</v>
          </cell>
          <cell r="AD520" t="str">
            <v>Financieras</v>
          </cell>
          <cell r="AE520" t="str">
            <v>Deposito UF Banco Internacio</v>
          </cell>
          <cell r="AF520" t="str">
            <v>Banco Internacional</v>
          </cell>
        </row>
        <row r="521">
          <cell r="C521" t="str">
            <v>PAGARE R</v>
          </cell>
          <cell r="D521" t="str">
            <v>BBVA</v>
          </cell>
          <cell r="E521">
            <v>900822.74</v>
          </cell>
          <cell r="F521">
            <v>903300</v>
          </cell>
          <cell r="G521">
            <v>1.8275E-2</v>
          </cell>
          <cell r="H521">
            <v>1</v>
          </cell>
          <cell r="I521" t="str">
            <v>2017-03-02</v>
          </cell>
          <cell r="J521">
            <v>98</v>
          </cell>
          <cell r="K521">
            <v>0.27</v>
          </cell>
          <cell r="L521">
            <v>0</v>
          </cell>
          <cell r="M521" t="str">
            <v>USD</v>
          </cell>
          <cell r="N521" t="str">
            <v>RFL</v>
          </cell>
          <cell r="O521" t="str">
            <v>Renta Fija Local</v>
          </cell>
          <cell r="P521" t="str">
            <v>N-1</v>
          </cell>
          <cell r="Q521" t="str">
            <v>Corto</v>
          </cell>
          <cell r="R521" t="str">
            <v>Depósitos USD</v>
          </cell>
          <cell r="S521">
            <v>1</v>
          </cell>
          <cell r="T521" t="str">
            <v>N-1</v>
          </cell>
          <cell r="U521" t="str">
            <v>25</v>
          </cell>
          <cell r="V521" t="str">
            <v>Depósitos</v>
          </cell>
          <cell r="W521" t="str">
            <v>Depósitos</v>
          </cell>
          <cell r="X521" t="str">
            <v>Depósitos USD</v>
          </cell>
          <cell r="Y521" t="str">
            <v>Depósitos</v>
          </cell>
          <cell r="Z521" t="str">
            <v>Corto USD</v>
          </cell>
          <cell r="AA521" t="str">
            <v>Depósitos</v>
          </cell>
          <cell r="AB521" t="str">
            <v>Depósitos USD</v>
          </cell>
          <cell r="AC521" t="str">
            <v>Instrumentos de Deuda</v>
          </cell>
          <cell r="AD521" t="str">
            <v>Financieras</v>
          </cell>
          <cell r="AE521" t="str">
            <v>Deposito UF Banco Bbva</v>
          </cell>
          <cell r="AF521" t="str">
            <v>BBVA</v>
          </cell>
        </row>
        <row r="522">
          <cell r="C522" t="str">
            <v>PAGARE R</v>
          </cell>
          <cell r="D522" t="str">
            <v>CONSORCIO</v>
          </cell>
          <cell r="E522">
            <v>897258.38</v>
          </cell>
          <cell r="F522">
            <v>900000</v>
          </cell>
          <cell r="G522">
            <v>1.8203E-2</v>
          </cell>
          <cell r="H522">
            <v>1</v>
          </cell>
          <cell r="I522" t="str">
            <v>2017-03-13</v>
          </cell>
          <cell r="J522">
            <v>109</v>
          </cell>
          <cell r="K522">
            <v>0.3</v>
          </cell>
          <cell r="L522">
            <v>0</v>
          </cell>
          <cell r="M522" t="str">
            <v>USD</v>
          </cell>
          <cell r="N522" t="str">
            <v>RFL</v>
          </cell>
          <cell r="O522" t="str">
            <v>Renta Fija Local</v>
          </cell>
          <cell r="P522" t="str">
            <v>N-1</v>
          </cell>
          <cell r="Q522" t="str">
            <v>Corto</v>
          </cell>
          <cell r="R522" t="str">
            <v>Depósitos USD</v>
          </cell>
          <cell r="S522">
            <v>1</v>
          </cell>
          <cell r="T522" t="str">
            <v>N-1</v>
          </cell>
          <cell r="U522" t="str">
            <v>25</v>
          </cell>
          <cell r="V522" t="str">
            <v>Depósitos</v>
          </cell>
          <cell r="W522" t="str">
            <v>Depósitos</v>
          </cell>
          <cell r="X522" t="str">
            <v>Depósitos USD</v>
          </cell>
          <cell r="Y522" t="str">
            <v>Depósitos</v>
          </cell>
          <cell r="Z522" t="str">
            <v>Corto USD</v>
          </cell>
          <cell r="AA522" t="str">
            <v>Depósitos</v>
          </cell>
          <cell r="AB522" t="str">
            <v>Depósitos USD</v>
          </cell>
          <cell r="AC522" t="str">
            <v>Instrumentos de Deuda</v>
          </cell>
          <cell r="AD522" t="str">
            <v>Financieras</v>
          </cell>
          <cell r="AE522" t="str">
            <v>Deposito UF Banco Consorcio</v>
          </cell>
          <cell r="AF522" t="str">
            <v>Banco Consorcio</v>
          </cell>
        </row>
        <row r="523">
          <cell r="C523" t="str">
            <v>PAGARE R</v>
          </cell>
          <cell r="D523" t="str">
            <v>BICE</v>
          </cell>
          <cell r="E523">
            <v>1602334.82</v>
          </cell>
          <cell r="F523">
            <v>1606073.6</v>
          </cell>
          <cell r="G523">
            <v>3.2508000000000002E-2</v>
          </cell>
          <cell r="H523">
            <v>0.75</v>
          </cell>
          <cell r="I523" t="str">
            <v>2017-03-15</v>
          </cell>
          <cell r="J523">
            <v>111</v>
          </cell>
          <cell r="K523">
            <v>0.31</v>
          </cell>
          <cell r="L523">
            <v>0</v>
          </cell>
          <cell r="M523" t="str">
            <v>USD</v>
          </cell>
          <cell r="N523" t="str">
            <v>RFL</v>
          </cell>
          <cell r="O523" t="str">
            <v>Renta Fija Local</v>
          </cell>
          <cell r="P523" t="str">
            <v>N-1</v>
          </cell>
          <cell r="Q523" t="str">
            <v>Corto</v>
          </cell>
          <cell r="R523" t="str">
            <v>Depósitos USD</v>
          </cell>
          <cell r="S523">
            <v>0.75</v>
          </cell>
          <cell r="T523" t="str">
            <v>N-1</v>
          </cell>
          <cell r="U523" t="str">
            <v>25</v>
          </cell>
          <cell r="V523" t="str">
            <v>Depósitos</v>
          </cell>
          <cell r="W523" t="str">
            <v>Depósitos</v>
          </cell>
          <cell r="X523" t="str">
            <v>Depósitos USD</v>
          </cell>
          <cell r="Y523" t="str">
            <v>Depósitos</v>
          </cell>
          <cell r="Z523" t="str">
            <v>Corto USD</v>
          </cell>
          <cell r="AA523" t="str">
            <v>Depósitos</v>
          </cell>
          <cell r="AB523" t="str">
            <v>Depósitos USD</v>
          </cell>
          <cell r="AC523" t="str">
            <v>Instrumentos de Deuda</v>
          </cell>
          <cell r="AD523" t="str">
            <v>Financieras</v>
          </cell>
          <cell r="AE523" t="str">
            <v>Deposito UF Banco Bice</v>
          </cell>
          <cell r="AF523" t="str">
            <v>BICE</v>
          </cell>
        </row>
        <row r="524">
          <cell r="C524" t="str">
            <v>PAGARE R</v>
          </cell>
          <cell r="D524" t="str">
            <v>BICE</v>
          </cell>
          <cell r="E524">
            <v>1201838.76</v>
          </cell>
          <cell r="F524">
            <v>1204830</v>
          </cell>
          <cell r="G524">
            <v>2.4382999999999998E-2</v>
          </cell>
          <cell r="H524">
            <v>0.8</v>
          </cell>
          <cell r="I524" t="str">
            <v>2017-03-15</v>
          </cell>
          <cell r="J524">
            <v>111</v>
          </cell>
          <cell r="K524">
            <v>0.31</v>
          </cell>
          <cell r="L524">
            <v>0</v>
          </cell>
          <cell r="M524" t="str">
            <v>USD</v>
          </cell>
          <cell r="N524" t="str">
            <v>RFL</v>
          </cell>
          <cell r="O524" t="str">
            <v>Renta Fija Local</v>
          </cell>
          <cell r="P524" t="str">
            <v>N-1</v>
          </cell>
          <cell r="Q524" t="str">
            <v>Corto</v>
          </cell>
          <cell r="R524" t="str">
            <v>Depósitos USD</v>
          </cell>
          <cell r="S524">
            <v>0.8</v>
          </cell>
          <cell r="T524" t="str">
            <v>N-1</v>
          </cell>
          <cell r="U524" t="str">
            <v>25</v>
          </cell>
          <cell r="V524" t="str">
            <v>Depósitos</v>
          </cell>
          <cell r="W524" t="str">
            <v>Depósitos</v>
          </cell>
          <cell r="X524" t="str">
            <v>Depósitos USD</v>
          </cell>
          <cell r="Y524" t="str">
            <v>Depósitos</v>
          </cell>
          <cell r="Z524" t="str">
            <v>Corto USD</v>
          </cell>
          <cell r="AA524" t="str">
            <v>Depósitos</v>
          </cell>
          <cell r="AB524" t="str">
            <v>Depósitos USD</v>
          </cell>
          <cell r="AC524" t="str">
            <v>Instrumentos de Deuda</v>
          </cell>
          <cell r="AD524" t="str">
            <v>Financieras</v>
          </cell>
          <cell r="AE524" t="str">
            <v>Deposito UF Banco Bice</v>
          </cell>
          <cell r="AF524" t="str">
            <v>BICE</v>
          </cell>
        </row>
        <row r="525">
          <cell r="C525" t="str">
            <v>PAGARE R</v>
          </cell>
          <cell r="D525" t="str">
            <v>BICE</v>
          </cell>
          <cell r="E525">
            <v>400384.91</v>
          </cell>
          <cell r="F525">
            <v>401686.16</v>
          </cell>
          <cell r="G525">
            <v>8.123E-3</v>
          </cell>
          <cell r="H525">
            <v>1</v>
          </cell>
          <cell r="I525" t="str">
            <v>2017-03-20</v>
          </cell>
          <cell r="J525">
            <v>116</v>
          </cell>
          <cell r="K525">
            <v>0.32</v>
          </cell>
          <cell r="L525">
            <v>0</v>
          </cell>
          <cell r="M525" t="str">
            <v>USD</v>
          </cell>
          <cell r="N525" t="str">
            <v>RFL</v>
          </cell>
          <cell r="O525" t="str">
            <v>Renta Fija Local</v>
          </cell>
          <cell r="P525" t="str">
            <v>N-1</v>
          </cell>
          <cell r="Q525" t="str">
            <v>Corto</v>
          </cell>
          <cell r="R525" t="str">
            <v>Depósitos USD</v>
          </cell>
          <cell r="S525">
            <v>1</v>
          </cell>
          <cell r="T525" t="str">
            <v>N-1</v>
          </cell>
          <cell r="U525" t="str">
            <v>25</v>
          </cell>
          <cell r="V525" t="str">
            <v>Depósitos</v>
          </cell>
          <cell r="W525" t="str">
            <v>Depósitos</v>
          </cell>
          <cell r="X525" t="str">
            <v>Depósitos USD</v>
          </cell>
          <cell r="Y525" t="str">
            <v>Depósitos</v>
          </cell>
          <cell r="Z525" t="str">
            <v>Corto USD</v>
          </cell>
          <cell r="AA525" t="str">
            <v>Depósitos</v>
          </cell>
          <cell r="AB525" t="str">
            <v>Depósitos USD</v>
          </cell>
          <cell r="AC525" t="str">
            <v>Instrumentos de Deuda</v>
          </cell>
          <cell r="AD525" t="str">
            <v>Financieras</v>
          </cell>
          <cell r="AE525" t="str">
            <v>Deposito UF Banco Bice</v>
          </cell>
          <cell r="AF525" t="str">
            <v>BICE</v>
          </cell>
        </row>
        <row r="526">
          <cell r="C526" t="str">
            <v>PAGARE R</v>
          </cell>
          <cell r="D526" t="str">
            <v>ITAUCORP</v>
          </cell>
          <cell r="E526">
            <v>996407.4</v>
          </cell>
          <cell r="F526">
            <v>1000000</v>
          </cell>
          <cell r="G526">
            <v>2.0215E-2</v>
          </cell>
          <cell r="H526">
            <v>1.1000000000000001</v>
          </cell>
          <cell r="I526" t="str">
            <v>2017-03-21</v>
          </cell>
          <cell r="J526">
            <v>117</v>
          </cell>
          <cell r="K526">
            <v>0.32</v>
          </cell>
          <cell r="L526">
            <v>0</v>
          </cell>
          <cell r="M526" t="str">
            <v>USD</v>
          </cell>
          <cell r="N526" t="str">
            <v>RFL</v>
          </cell>
          <cell r="O526" t="str">
            <v>Renta Fija Local</v>
          </cell>
          <cell r="P526" t="str">
            <v>N-1</v>
          </cell>
          <cell r="Q526" t="str">
            <v>Corto</v>
          </cell>
          <cell r="R526" t="str">
            <v>Depósitos USD</v>
          </cell>
          <cell r="S526">
            <v>1.1000000000000001</v>
          </cell>
          <cell r="T526" t="str">
            <v>N-1</v>
          </cell>
          <cell r="U526" t="str">
            <v>25</v>
          </cell>
          <cell r="V526" t="str">
            <v>Depósitos</v>
          </cell>
          <cell r="W526" t="str">
            <v>Depósitos</v>
          </cell>
          <cell r="X526" t="str">
            <v>Depósitos USD</v>
          </cell>
          <cell r="Y526" t="str">
            <v>Depósitos</v>
          </cell>
          <cell r="Z526" t="str">
            <v>Corto USD</v>
          </cell>
          <cell r="AA526" t="str">
            <v>Depósitos</v>
          </cell>
          <cell r="AB526" t="str">
            <v>Depósitos USD</v>
          </cell>
          <cell r="AC526" t="str">
            <v>Instrumentos de Deuda</v>
          </cell>
          <cell r="AD526" t="str">
            <v>Financieras</v>
          </cell>
          <cell r="AE526" t="str">
            <v>Deposito UF Banco Itaucorp</v>
          </cell>
          <cell r="AF526" t="str">
            <v>Itau/Corpbanca</v>
          </cell>
        </row>
        <row r="527">
          <cell r="C527" t="str">
            <v>PAGARE R</v>
          </cell>
          <cell r="D527" t="str">
            <v>ESTADO</v>
          </cell>
          <cell r="E527">
            <v>997318.32</v>
          </cell>
          <cell r="F527">
            <v>1000000</v>
          </cell>
          <cell r="G527">
            <v>2.0233000000000001E-2</v>
          </cell>
          <cell r="H527">
            <v>0.8</v>
          </cell>
          <cell r="I527" t="str">
            <v>2017-03-24</v>
          </cell>
          <cell r="J527">
            <v>120</v>
          </cell>
          <cell r="K527">
            <v>0.33</v>
          </cell>
          <cell r="L527">
            <v>0</v>
          </cell>
          <cell r="M527" t="str">
            <v>USD</v>
          </cell>
          <cell r="N527" t="str">
            <v>RFL</v>
          </cell>
          <cell r="O527" t="str">
            <v>Renta Fija Local</v>
          </cell>
          <cell r="P527" t="str">
            <v>N-1</v>
          </cell>
          <cell r="Q527" t="str">
            <v>Corto</v>
          </cell>
          <cell r="R527" t="str">
            <v>Depósitos USD</v>
          </cell>
          <cell r="S527">
            <v>0.8</v>
          </cell>
          <cell r="T527" t="str">
            <v>N-1</v>
          </cell>
          <cell r="U527" t="str">
            <v>25</v>
          </cell>
          <cell r="V527" t="str">
            <v>Depósitos</v>
          </cell>
          <cell r="W527" t="str">
            <v>Depósitos</v>
          </cell>
          <cell r="X527" t="str">
            <v>Depósitos USD</v>
          </cell>
          <cell r="Y527" t="str">
            <v>Depósitos</v>
          </cell>
          <cell r="Z527" t="str">
            <v>Corto USD</v>
          </cell>
          <cell r="AA527" t="str">
            <v>Depósitos</v>
          </cell>
          <cell r="AB527" t="str">
            <v>Depósitos USD</v>
          </cell>
          <cell r="AC527" t="str">
            <v>Instrumentos de Deuda</v>
          </cell>
          <cell r="AD527" t="str">
            <v>Financieras</v>
          </cell>
          <cell r="AE527" t="str">
            <v>Deposito UF Banco Estado</v>
          </cell>
          <cell r="AF527" t="str">
            <v>Banco Estado</v>
          </cell>
        </row>
        <row r="528">
          <cell r="C528" t="str">
            <v>PAGARE R</v>
          </cell>
          <cell r="D528" t="str">
            <v>BICE</v>
          </cell>
          <cell r="E528">
            <v>800903.1</v>
          </cell>
          <cell r="F528">
            <v>803756.32</v>
          </cell>
          <cell r="G528">
            <v>1.6247999999999999E-2</v>
          </cell>
          <cell r="H528">
            <v>0.95</v>
          </cell>
          <cell r="I528" t="str">
            <v>2017-04-07</v>
          </cell>
          <cell r="J528">
            <v>134</v>
          </cell>
          <cell r="K528">
            <v>0.37</v>
          </cell>
          <cell r="L528">
            <v>0</v>
          </cell>
          <cell r="M528" t="str">
            <v>USD</v>
          </cell>
          <cell r="N528" t="str">
            <v>RFL</v>
          </cell>
          <cell r="O528" t="str">
            <v>Renta Fija Local</v>
          </cell>
          <cell r="P528" t="str">
            <v>N-1</v>
          </cell>
          <cell r="Q528" t="str">
            <v>Corto</v>
          </cell>
          <cell r="R528" t="str">
            <v>Depósitos USD</v>
          </cell>
          <cell r="S528">
            <v>0.95</v>
          </cell>
          <cell r="T528" t="str">
            <v>N-1</v>
          </cell>
          <cell r="U528" t="str">
            <v>25</v>
          </cell>
          <cell r="V528" t="str">
            <v>Depósitos</v>
          </cell>
          <cell r="W528" t="str">
            <v>Depósitos</v>
          </cell>
          <cell r="X528" t="str">
            <v>Depósitos USD</v>
          </cell>
          <cell r="Y528" t="str">
            <v>Depósitos</v>
          </cell>
          <cell r="Z528" t="str">
            <v>Corto USD</v>
          </cell>
          <cell r="AA528" t="str">
            <v>Depósitos</v>
          </cell>
          <cell r="AB528" t="str">
            <v>Depósitos USD</v>
          </cell>
          <cell r="AC528" t="str">
            <v>Instrumentos de Deuda</v>
          </cell>
          <cell r="AD528" t="str">
            <v>Financieras</v>
          </cell>
          <cell r="AE528" t="str">
            <v>Deposito UF Banco Bice</v>
          </cell>
          <cell r="AF528" t="str">
            <v>BICE</v>
          </cell>
        </row>
        <row r="529">
          <cell r="C529" t="str">
            <v>PAGARE R</v>
          </cell>
          <cell r="D529" t="str">
            <v>ESTADO</v>
          </cell>
          <cell r="E529">
            <v>2985404.69</v>
          </cell>
          <cell r="F529">
            <v>3000000</v>
          </cell>
          <cell r="G529">
            <v>6.0567999999999997E-2</v>
          </cell>
          <cell r="H529">
            <v>1</v>
          </cell>
          <cell r="I529" t="str">
            <v>2017-05-18</v>
          </cell>
          <cell r="J529">
            <v>175</v>
          </cell>
          <cell r="K529">
            <v>0.48</v>
          </cell>
          <cell r="L529">
            <v>0</v>
          </cell>
          <cell r="M529" t="str">
            <v>USD</v>
          </cell>
          <cell r="N529" t="str">
            <v>RFL</v>
          </cell>
          <cell r="O529" t="str">
            <v>Renta Fija Local</v>
          </cell>
          <cell r="P529" t="str">
            <v>N-1</v>
          </cell>
          <cell r="Q529" t="str">
            <v>Corto</v>
          </cell>
          <cell r="R529" t="str">
            <v>Depósitos USD</v>
          </cell>
          <cell r="S529">
            <v>1</v>
          </cell>
          <cell r="T529" t="str">
            <v>N-1</v>
          </cell>
          <cell r="U529" t="str">
            <v>25</v>
          </cell>
          <cell r="V529" t="str">
            <v>Depósitos</v>
          </cell>
          <cell r="W529" t="str">
            <v>Depósitos</v>
          </cell>
          <cell r="X529" t="str">
            <v>Depósitos USD</v>
          </cell>
          <cell r="Y529" t="str">
            <v>Depósitos</v>
          </cell>
          <cell r="Z529" t="str">
            <v>Corto USD</v>
          </cell>
          <cell r="AA529" t="str">
            <v>Depósitos</v>
          </cell>
          <cell r="AB529" t="str">
            <v>Depósitos USD</v>
          </cell>
          <cell r="AC529" t="str">
            <v>Instrumentos de Deuda</v>
          </cell>
          <cell r="AD529" t="str">
            <v>Financieras</v>
          </cell>
          <cell r="AE529" t="str">
            <v>Deposito UF Banco Estado</v>
          </cell>
          <cell r="AF529" t="str">
            <v>Banco Estado</v>
          </cell>
        </row>
        <row r="530">
          <cell r="C530" t="str">
            <v>PAGARE R</v>
          </cell>
          <cell r="D530" t="str">
            <v>CHILE</v>
          </cell>
          <cell r="E530">
            <v>994620.76</v>
          </cell>
          <cell r="F530">
            <v>1000000</v>
          </cell>
          <cell r="G530">
            <v>2.0178000000000001E-2</v>
          </cell>
          <cell r="H530">
            <v>1.1000000000000001</v>
          </cell>
          <cell r="I530" t="str">
            <v>2017-05-19</v>
          </cell>
          <cell r="J530">
            <v>176</v>
          </cell>
          <cell r="K530">
            <v>0.48</v>
          </cell>
          <cell r="L530">
            <v>0</v>
          </cell>
          <cell r="M530" t="str">
            <v>USD</v>
          </cell>
          <cell r="N530" t="str">
            <v>RFL</v>
          </cell>
          <cell r="O530" t="str">
            <v>Renta Fija Local</v>
          </cell>
          <cell r="P530" t="str">
            <v>N-1</v>
          </cell>
          <cell r="Q530" t="str">
            <v>Corto</v>
          </cell>
          <cell r="R530" t="str">
            <v>Depósitos USD</v>
          </cell>
          <cell r="S530">
            <v>1.1000000000000001</v>
          </cell>
          <cell r="T530" t="str">
            <v>N-1</v>
          </cell>
          <cell r="U530" t="str">
            <v>25</v>
          </cell>
          <cell r="V530" t="str">
            <v>Depósitos</v>
          </cell>
          <cell r="W530" t="str">
            <v>Depósitos</v>
          </cell>
          <cell r="X530" t="str">
            <v>Depósitos USD</v>
          </cell>
          <cell r="Y530" t="str">
            <v>Depósitos</v>
          </cell>
          <cell r="Z530" t="str">
            <v>Corto USD</v>
          </cell>
          <cell r="AA530" t="str">
            <v>Depósitos</v>
          </cell>
          <cell r="AB530" t="str">
            <v>Depósitos USD</v>
          </cell>
          <cell r="AC530" t="str">
            <v>Instrumentos de Deuda</v>
          </cell>
          <cell r="AD530" t="str">
            <v>Financieras</v>
          </cell>
          <cell r="AE530" t="str">
            <v>Deposito UF Banco Chile</v>
          </cell>
          <cell r="AF530" t="str">
            <v>Banco de Chile</v>
          </cell>
        </row>
        <row r="531">
          <cell r="C531" t="str">
            <v>DOLAR</v>
          </cell>
          <cell r="D531" t="str">
            <v>DOLAR</v>
          </cell>
          <cell r="E531">
            <v>415016</v>
          </cell>
          <cell r="F531">
            <v>611</v>
          </cell>
          <cell r="G531">
            <v>1.1400000000000001E-4</v>
          </cell>
          <cell r="H531">
            <v>0</v>
          </cell>
          <cell r="I531" t="str">
            <v xml:space="preserve">          </v>
          </cell>
          <cell r="J531">
            <v>-42696</v>
          </cell>
          <cell r="K531">
            <v>0</v>
          </cell>
          <cell r="L531">
            <v>679.24</v>
          </cell>
          <cell r="M531" t="str">
            <v>$</v>
          </cell>
          <cell r="N531" t="str">
            <v>Liq_USD</v>
          </cell>
          <cell r="O531" t="str">
            <v>Liquidez USD</v>
          </cell>
          <cell r="P531" t="str">
            <v>NA</v>
          </cell>
          <cell r="Q531" t="str">
            <v>Corto</v>
          </cell>
          <cell r="R531" t="str">
            <v>Gobierno</v>
          </cell>
          <cell r="S531">
            <v>0</v>
          </cell>
          <cell r="T531"/>
          <cell r="U531"/>
          <cell r="V531"/>
          <cell r="W531"/>
          <cell r="X531"/>
          <cell r="Y531"/>
          <cell r="Z531"/>
          <cell r="AA531"/>
          <cell r="AB531"/>
          <cell r="AC531" t="str">
            <v>Instrumentos de Deuda</v>
          </cell>
          <cell r="AD531" t="str">
            <v>Otros</v>
          </cell>
          <cell r="AE531" t="str">
            <v>Dolar Estados Unidos N.A.</v>
          </cell>
          <cell r="AF531" t="str">
            <v>Dólar Estados Unidos</v>
          </cell>
        </row>
        <row r="532">
          <cell r="C532" t="str">
            <v>PAGARE NR</v>
          </cell>
          <cell r="D532" t="str">
            <v>COOPEUCH</v>
          </cell>
          <cell r="E532">
            <v>199748982</v>
          </cell>
          <cell r="F532">
            <v>200000000</v>
          </cell>
          <cell r="G532">
            <v>5.4898000000000002E-2</v>
          </cell>
          <cell r="H532">
            <v>0.28999999999999998</v>
          </cell>
          <cell r="I532" t="str">
            <v>2016-12-06</v>
          </cell>
          <cell r="J532">
            <v>12</v>
          </cell>
          <cell r="K532">
            <v>0.04</v>
          </cell>
          <cell r="L532">
            <v>0</v>
          </cell>
          <cell r="M532" t="str">
            <v>$</v>
          </cell>
          <cell r="N532" t="str">
            <v>RFL</v>
          </cell>
          <cell r="O532" t="str">
            <v>Renta Fija Local</v>
          </cell>
          <cell r="P532" t="str">
            <v>N-1</v>
          </cell>
          <cell r="Q532" t="str">
            <v>Corto</v>
          </cell>
          <cell r="R532" t="str">
            <v>Depósitos $</v>
          </cell>
          <cell r="S532">
            <v>0.53604600000000002</v>
          </cell>
          <cell r="T532" t="str">
            <v>N-1</v>
          </cell>
          <cell r="U532" t="str">
            <v>25</v>
          </cell>
          <cell r="V532" t="str">
            <v>Depósitos</v>
          </cell>
          <cell r="W532" t="str">
            <v>Depósitos</v>
          </cell>
          <cell r="X532" t="str">
            <v>Depósitos $</v>
          </cell>
          <cell r="Y532" t="str">
            <v>Depósitos</v>
          </cell>
          <cell r="Z532" t="str">
            <v>Corto $</v>
          </cell>
          <cell r="AA532" t="str">
            <v>Depósitos</v>
          </cell>
          <cell r="AB532" t="str">
            <v>Depósitos $</v>
          </cell>
          <cell r="AC532" t="str">
            <v>Instrumentos de Deuda</v>
          </cell>
          <cell r="AD532" t="str">
            <v>Financieras</v>
          </cell>
          <cell r="AE532" t="str">
            <v>Deposito CLP Banco Coopeuch</v>
          </cell>
          <cell r="AF532" t="str">
            <v>COOPEUCH</v>
          </cell>
        </row>
        <row r="533">
          <cell r="C533" t="str">
            <v>PAGARE NR</v>
          </cell>
          <cell r="D533" t="str">
            <v>ITAUCORP</v>
          </cell>
          <cell r="E533">
            <v>99395674</v>
          </cell>
          <cell r="F533">
            <v>100000000</v>
          </cell>
          <cell r="G533">
            <v>2.7317000000000001E-2</v>
          </cell>
          <cell r="H533">
            <v>0.32</v>
          </cell>
          <cell r="I533" t="str">
            <v>2017-01-19</v>
          </cell>
          <cell r="J533">
            <v>56</v>
          </cell>
          <cell r="K533">
            <v>0.16</v>
          </cell>
          <cell r="L533">
            <v>0</v>
          </cell>
          <cell r="M533" t="str">
            <v>$</v>
          </cell>
          <cell r="N533" t="str">
            <v>RFL</v>
          </cell>
          <cell r="O533" t="str">
            <v>Renta Fija Local</v>
          </cell>
          <cell r="P533" t="str">
            <v>N-1</v>
          </cell>
          <cell r="Q533" t="str">
            <v>Corto</v>
          </cell>
          <cell r="R533" t="str">
            <v>Depósitos $</v>
          </cell>
          <cell r="S533">
            <v>0.90830999999999995</v>
          </cell>
          <cell r="T533" t="str">
            <v>N-1</v>
          </cell>
          <cell r="U533" t="str">
            <v>25</v>
          </cell>
          <cell r="V533" t="str">
            <v>Depósitos</v>
          </cell>
          <cell r="W533" t="str">
            <v>Depósitos</v>
          </cell>
          <cell r="X533" t="str">
            <v>Depósitos $</v>
          </cell>
          <cell r="Y533" t="str">
            <v>Depósitos</v>
          </cell>
          <cell r="Z533" t="str">
            <v>Corto $</v>
          </cell>
          <cell r="AA533" t="str">
            <v>Depósitos</v>
          </cell>
          <cell r="AB533" t="str">
            <v>Depósitos $</v>
          </cell>
          <cell r="AC533" t="str">
            <v>Instrumentos de Deuda</v>
          </cell>
          <cell r="AD533" t="str">
            <v>Financieras</v>
          </cell>
          <cell r="AE533" t="str">
            <v>Deposito CLP Banco Itaucorp</v>
          </cell>
          <cell r="AF533" t="str">
            <v>Itau/Corpbanca</v>
          </cell>
        </row>
        <row r="534">
          <cell r="C534" t="str">
            <v>PAGARE R</v>
          </cell>
          <cell r="D534" t="str">
            <v>BCI</v>
          </cell>
          <cell r="E534">
            <v>208842525</v>
          </cell>
          <cell r="F534">
            <v>8000</v>
          </cell>
          <cell r="G534">
            <v>5.7396999999999997E-2</v>
          </cell>
          <cell r="H534">
            <v>3.86</v>
          </cell>
          <cell r="I534" t="str">
            <v>2017-02-01</v>
          </cell>
          <cell r="J534">
            <v>69</v>
          </cell>
          <cell r="K534">
            <v>0.19</v>
          </cell>
          <cell r="L534">
            <v>0</v>
          </cell>
          <cell r="M534" t="str">
            <v>UF</v>
          </cell>
          <cell r="N534" t="str">
            <v>RFL</v>
          </cell>
          <cell r="O534" t="str">
            <v>Renta Fija Local</v>
          </cell>
          <cell r="P534" t="str">
            <v>N-1</v>
          </cell>
          <cell r="Q534" t="str">
            <v>Corto</v>
          </cell>
          <cell r="R534" t="str">
            <v>Depósitos UF</v>
          </cell>
          <cell r="S534">
            <v>3.86</v>
          </cell>
          <cell r="T534" t="str">
            <v>N-1</v>
          </cell>
          <cell r="U534" t="str">
            <v>25</v>
          </cell>
          <cell r="V534" t="str">
            <v>Depósitos</v>
          </cell>
          <cell r="W534" t="str">
            <v>Depósitos</v>
          </cell>
          <cell r="X534" t="str">
            <v>Depósitos UF</v>
          </cell>
          <cell r="Y534" t="str">
            <v>Depósitos</v>
          </cell>
          <cell r="Z534" t="str">
            <v>Corto UF</v>
          </cell>
          <cell r="AA534" t="str">
            <v>Depósitos</v>
          </cell>
          <cell r="AB534" t="str">
            <v>Depósitos UF</v>
          </cell>
          <cell r="AC534" t="str">
            <v>Instrumentos de Deuda</v>
          </cell>
          <cell r="AD534" t="str">
            <v>Financieras</v>
          </cell>
          <cell r="AE534" t="str">
            <v>Deposito UF Banco Bci</v>
          </cell>
          <cell r="AF534" t="str">
            <v>BCI</v>
          </cell>
        </row>
        <row r="535">
          <cell r="C535" t="str">
            <v>PAGARE NR</v>
          </cell>
          <cell r="D535" t="str">
            <v>CORPBANCA</v>
          </cell>
          <cell r="E535">
            <v>218104670</v>
          </cell>
          <cell r="F535">
            <v>220000000</v>
          </cell>
          <cell r="G535">
            <v>5.9943000000000003E-2</v>
          </cell>
          <cell r="H535">
            <v>0.33</v>
          </cell>
          <cell r="I535" t="str">
            <v>2017-02-10</v>
          </cell>
          <cell r="J535">
            <v>78</v>
          </cell>
          <cell r="K535">
            <v>0.22</v>
          </cell>
          <cell r="L535">
            <v>0</v>
          </cell>
          <cell r="M535" t="str">
            <v>$</v>
          </cell>
          <cell r="N535" t="str">
            <v>RFL</v>
          </cell>
          <cell r="O535" t="str">
            <v>Renta Fija Local</v>
          </cell>
          <cell r="P535" t="str">
            <v>N-1</v>
          </cell>
          <cell r="Q535" t="str">
            <v>Corto</v>
          </cell>
          <cell r="R535" t="str">
            <v>Depósitos $</v>
          </cell>
          <cell r="S535">
            <v>1.0326709999999999</v>
          </cell>
          <cell r="T535" t="str">
            <v>N-1</v>
          </cell>
          <cell r="U535" t="str">
            <v>25</v>
          </cell>
          <cell r="V535" t="str">
            <v>Depósitos</v>
          </cell>
          <cell r="W535" t="str">
            <v>Depósitos</v>
          </cell>
          <cell r="X535" t="str">
            <v>Depósitos $</v>
          </cell>
          <cell r="Y535" t="str">
            <v>Depósitos</v>
          </cell>
          <cell r="Z535" t="str">
            <v>Corto $</v>
          </cell>
          <cell r="AA535" t="str">
            <v>Depósitos</v>
          </cell>
          <cell r="AB535" t="str">
            <v>Depósitos $</v>
          </cell>
          <cell r="AC535" t="str">
            <v>Instrumentos de Deuda</v>
          </cell>
          <cell r="AD535" t="str">
            <v>Financieras</v>
          </cell>
          <cell r="AE535" t="str">
            <v>Deposito CLP Banco Corpbanca</v>
          </cell>
          <cell r="AF535" t="str">
            <v>Itau/Corpbanca</v>
          </cell>
        </row>
        <row r="536">
          <cell r="C536" t="str">
            <v>PAGARE NR</v>
          </cell>
          <cell r="D536" t="str">
            <v>BCI</v>
          </cell>
          <cell r="E536">
            <v>43763596</v>
          </cell>
          <cell r="F536">
            <v>44177600</v>
          </cell>
          <cell r="G536">
            <v>1.2026999999999999E-2</v>
          </cell>
          <cell r="H536">
            <v>0.33</v>
          </cell>
          <cell r="I536" t="str">
            <v>2017-02-17</v>
          </cell>
          <cell r="J536">
            <v>85</v>
          </cell>
          <cell r="K536">
            <v>0.24</v>
          </cell>
          <cell r="L536">
            <v>0</v>
          </cell>
          <cell r="M536" t="str">
            <v>$</v>
          </cell>
          <cell r="N536" t="str">
            <v>RFL</v>
          </cell>
          <cell r="O536" t="str">
            <v>Renta Fija Local</v>
          </cell>
          <cell r="P536" t="str">
            <v>N-1</v>
          </cell>
          <cell r="Q536" t="str">
            <v>Corto</v>
          </cell>
          <cell r="R536" t="str">
            <v>Depósitos $</v>
          </cell>
          <cell r="S536">
            <v>1.0326709999999999</v>
          </cell>
          <cell r="T536" t="str">
            <v>N-1</v>
          </cell>
          <cell r="U536" t="str">
            <v>25</v>
          </cell>
          <cell r="V536" t="str">
            <v>Depósitos</v>
          </cell>
          <cell r="W536" t="str">
            <v>Depósitos</v>
          </cell>
          <cell r="X536" t="str">
            <v>Depósitos $</v>
          </cell>
          <cell r="Y536" t="str">
            <v>Depósitos</v>
          </cell>
          <cell r="Z536" t="str">
            <v>Corto $</v>
          </cell>
          <cell r="AA536" t="str">
            <v>Depósitos</v>
          </cell>
          <cell r="AB536" t="str">
            <v>Depósitos $</v>
          </cell>
          <cell r="AC536" t="str">
            <v>Instrumentos de Deuda</v>
          </cell>
          <cell r="AD536" t="str">
            <v>Financieras</v>
          </cell>
          <cell r="AE536" t="str">
            <v>Deposito CLP Banco Bci</v>
          </cell>
          <cell r="AF536" t="str">
            <v>BCI</v>
          </cell>
        </row>
        <row r="537">
          <cell r="C537" t="str">
            <v>PAGARE NR</v>
          </cell>
          <cell r="D537" t="str">
            <v>BCI</v>
          </cell>
          <cell r="E537">
            <v>73639722</v>
          </cell>
          <cell r="F537">
            <v>74741372</v>
          </cell>
          <cell r="G537">
            <v>2.0237999999999999E-2</v>
          </cell>
          <cell r="H537">
            <v>0.34</v>
          </cell>
          <cell r="I537" t="str">
            <v>2017-04-04</v>
          </cell>
          <cell r="J537">
            <v>131</v>
          </cell>
          <cell r="K537">
            <v>0.36</v>
          </cell>
          <cell r="L537">
            <v>0</v>
          </cell>
          <cell r="M537" t="str">
            <v>$</v>
          </cell>
          <cell r="N537" t="str">
            <v>RFL</v>
          </cell>
          <cell r="O537" t="str">
            <v>Renta Fija Local</v>
          </cell>
          <cell r="P537" t="str">
            <v>N-1</v>
          </cell>
          <cell r="Q537" t="str">
            <v>Corto</v>
          </cell>
          <cell r="R537" t="str">
            <v>Depósitos $</v>
          </cell>
          <cell r="S537">
            <v>1.1571670000000001</v>
          </cell>
          <cell r="T537" t="str">
            <v>N-1</v>
          </cell>
          <cell r="U537" t="str">
            <v>25</v>
          </cell>
          <cell r="V537" t="str">
            <v>Depósitos</v>
          </cell>
          <cell r="W537" t="str">
            <v>Depósitos</v>
          </cell>
          <cell r="X537" t="str">
            <v>Depósitos $</v>
          </cell>
          <cell r="Y537" t="str">
            <v>Depósitos</v>
          </cell>
          <cell r="Z537" t="str">
            <v>Corto $</v>
          </cell>
          <cell r="AA537" t="str">
            <v>Depósitos</v>
          </cell>
          <cell r="AB537" t="str">
            <v>Depósitos $</v>
          </cell>
          <cell r="AC537" t="str">
            <v>Instrumentos de Deuda</v>
          </cell>
          <cell r="AD537" t="str">
            <v>Financieras</v>
          </cell>
          <cell r="AE537" t="str">
            <v>Deposito CLP Banco Bci</v>
          </cell>
          <cell r="AF537" t="str">
            <v>BCI</v>
          </cell>
        </row>
        <row r="538">
          <cell r="C538" t="str">
            <v>PAGARE NR</v>
          </cell>
          <cell r="D538" t="str">
            <v>INTERNACIO</v>
          </cell>
          <cell r="E538">
            <v>206089478</v>
          </cell>
          <cell r="F538">
            <v>209672000</v>
          </cell>
          <cell r="G538">
            <v>5.6640999999999997E-2</v>
          </cell>
          <cell r="H538">
            <v>0.35</v>
          </cell>
          <cell r="I538" t="str">
            <v>2017-04-21</v>
          </cell>
          <cell r="J538">
            <v>148</v>
          </cell>
          <cell r="K538">
            <v>0.41</v>
          </cell>
          <cell r="L538">
            <v>0</v>
          </cell>
          <cell r="M538" t="str">
            <v>$</v>
          </cell>
          <cell r="N538" t="str">
            <v>RFL</v>
          </cell>
          <cell r="O538" t="str">
            <v>Renta Fija Local</v>
          </cell>
          <cell r="P538" t="str">
            <v>N-1</v>
          </cell>
          <cell r="Q538" t="str">
            <v>Corto</v>
          </cell>
          <cell r="R538" t="str">
            <v>Depósitos $</v>
          </cell>
          <cell r="S538">
            <v>1.281801</v>
          </cell>
          <cell r="T538" t="str">
            <v>N-1</v>
          </cell>
          <cell r="U538" t="str">
            <v>25</v>
          </cell>
          <cell r="V538" t="str">
            <v>Depósitos</v>
          </cell>
          <cell r="W538" t="str">
            <v>Depósitos</v>
          </cell>
          <cell r="X538" t="str">
            <v>Depósitos $</v>
          </cell>
          <cell r="Y538" t="str">
            <v>Depósitos</v>
          </cell>
          <cell r="Z538" t="str">
            <v>Corto $</v>
          </cell>
          <cell r="AA538" t="str">
            <v>Depósitos</v>
          </cell>
          <cell r="AB538" t="str">
            <v>Depósitos $</v>
          </cell>
          <cell r="AC538" t="str">
            <v>Instrumentos de Deuda</v>
          </cell>
          <cell r="AD538" t="str">
            <v>Financieras</v>
          </cell>
          <cell r="AE538" t="str">
            <v>Deposito CLP Banco Internacio</v>
          </cell>
          <cell r="AF538" t="str">
            <v>Banco Internacional</v>
          </cell>
        </row>
        <row r="539">
          <cell r="C539" t="str">
            <v>PAGARE NR</v>
          </cell>
          <cell r="D539" t="str">
            <v>BICE</v>
          </cell>
          <cell r="E539">
            <v>100924602</v>
          </cell>
          <cell r="F539">
            <v>102823330</v>
          </cell>
          <cell r="G539">
            <v>2.7737000000000001E-2</v>
          </cell>
          <cell r="H539">
            <v>0.34</v>
          </cell>
          <cell r="I539" t="str">
            <v>2017-05-08</v>
          </cell>
          <cell r="J539">
            <v>165</v>
          </cell>
          <cell r="K539">
            <v>0.45</v>
          </cell>
          <cell r="L539">
            <v>0</v>
          </cell>
          <cell r="M539" t="str">
            <v>$</v>
          </cell>
          <cell r="N539" t="str">
            <v>RFL</v>
          </cell>
          <cell r="O539" t="str">
            <v>Renta Fija Local</v>
          </cell>
          <cell r="P539" t="str">
            <v>N-1</v>
          </cell>
          <cell r="Q539" t="str">
            <v>Corto</v>
          </cell>
          <cell r="R539" t="str">
            <v>Depósitos $</v>
          </cell>
          <cell r="S539">
            <v>1.1571670000000001</v>
          </cell>
          <cell r="T539" t="str">
            <v>N-1</v>
          </cell>
          <cell r="U539" t="str">
            <v>25</v>
          </cell>
          <cell r="V539" t="str">
            <v>Depósitos</v>
          </cell>
          <cell r="W539" t="str">
            <v>Depósitos</v>
          </cell>
          <cell r="X539" t="str">
            <v>Depósitos $</v>
          </cell>
          <cell r="Y539" t="str">
            <v>Depósitos</v>
          </cell>
          <cell r="Z539" t="str">
            <v>Corto $</v>
          </cell>
          <cell r="AA539" t="str">
            <v>Depósitos</v>
          </cell>
          <cell r="AB539" t="str">
            <v>Depósitos $</v>
          </cell>
          <cell r="AC539" t="str">
            <v>Instrumentos de Deuda</v>
          </cell>
          <cell r="AD539" t="str">
            <v>Financieras</v>
          </cell>
          <cell r="AE539" t="str">
            <v>Deposito CLP Banco Bice</v>
          </cell>
          <cell r="AF539" t="str">
            <v>BICE</v>
          </cell>
        </row>
        <row r="540">
          <cell r="C540" t="str">
            <v>PAGARE NR</v>
          </cell>
          <cell r="D540" t="str">
            <v>SANTANDER</v>
          </cell>
          <cell r="E540">
            <v>97752666</v>
          </cell>
          <cell r="F540">
            <v>100000000</v>
          </cell>
          <cell r="G540">
            <v>2.6866000000000001E-2</v>
          </cell>
          <cell r="H540">
            <v>0.33</v>
          </cell>
          <cell r="I540" t="str">
            <v>2017-06-20</v>
          </cell>
          <cell r="J540">
            <v>208</v>
          </cell>
          <cell r="K540">
            <v>0.56999999999999995</v>
          </cell>
          <cell r="L540">
            <v>0</v>
          </cell>
          <cell r="M540" t="str">
            <v>$</v>
          </cell>
          <cell r="N540" t="str">
            <v>RFL</v>
          </cell>
          <cell r="O540" t="str">
            <v>Renta Fija Local</v>
          </cell>
          <cell r="P540" t="str">
            <v>N-1</v>
          </cell>
          <cell r="Q540" t="str">
            <v>Corto</v>
          </cell>
          <cell r="R540" t="str">
            <v>Depósitos $</v>
          </cell>
          <cell r="S540">
            <v>1.0326709999999999</v>
          </cell>
          <cell r="T540" t="str">
            <v>N-1</v>
          </cell>
          <cell r="U540" t="str">
            <v>25</v>
          </cell>
          <cell r="V540" t="str">
            <v>Depósitos</v>
          </cell>
          <cell r="W540" t="str">
            <v>Depósitos</v>
          </cell>
          <cell r="X540" t="str">
            <v>Depósitos $</v>
          </cell>
          <cell r="Y540" t="str">
            <v>Depósitos</v>
          </cell>
          <cell r="Z540" t="str">
            <v>Corto $</v>
          </cell>
          <cell r="AA540" t="str">
            <v>Depósitos</v>
          </cell>
          <cell r="AB540" t="str">
            <v>Depósitos $</v>
          </cell>
          <cell r="AC540" t="str">
            <v>Instrumentos de Deuda</v>
          </cell>
          <cell r="AD540" t="str">
            <v>Financieras</v>
          </cell>
          <cell r="AE540" t="str">
            <v>Deposito CLP Banco Santander</v>
          </cell>
          <cell r="AF540" t="str">
            <v>Banco Santander</v>
          </cell>
        </row>
        <row r="541">
          <cell r="C541" t="str">
            <v>BRAZIL0617</v>
          </cell>
          <cell r="D541" t="str">
            <v>FED REP BR</v>
          </cell>
          <cell r="E541">
            <v>217555793</v>
          </cell>
          <cell r="F541">
            <v>275000</v>
          </cell>
          <cell r="G541">
            <v>5.9791999999999998E-2</v>
          </cell>
          <cell r="H541">
            <v>0</v>
          </cell>
          <cell r="I541" t="str">
            <v>2017-06-26</v>
          </cell>
          <cell r="J541">
            <v>214</v>
          </cell>
          <cell r="K541">
            <v>0.59</v>
          </cell>
          <cell r="L541">
            <v>105.9098</v>
          </cell>
          <cell r="M541" t="str">
            <v>$</v>
          </cell>
          <cell r="N541" t="str">
            <v>RFL</v>
          </cell>
          <cell r="O541" t="str">
            <v>Renta Fija Local</v>
          </cell>
          <cell r="P541" t="str">
            <v>BB</v>
          </cell>
          <cell r="Q541" t="str">
            <v>Corto</v>
          </cell>
          <cell r="R541" t="str">
            <v>Corporativo Alto Riesgo Corto</v>
          </cell>
          <cell r="S541">
            <v>0</v>
          </cell>
          <cell r="T541" t="str">
            <v>BB</v>
          </cell>
          <cell r="U541" t="str">
            <v>12</v>
          </cell>
          <cell r="V541" t="str">
            <v>Alto Riesgo</v>
          </cell>
          <cell r="W541" t="str">
            <v>Corporativo</v>
          </cell>
          <cell r="X541" t="str">
            <v>Alto Riesgo Corto $</v>
          </cell>
          <cell r="Y541" t="str">
            <v>Corporativo Alto Riesgo Corto</v>
          </cell>
          <cell r="Z541" t="str">
            <v>Corto $</v>
          </cell>
          <cell r="AA541" t="str">
            <v>Corporativo Corto</v>
          </cell>
          <cell r="AB541" t="str">
            <v>Corporativo $</v>
          </cell>
          <cell r="AC541"/>
          <cell r="AD541"/>
          <cell r="AE541"/>
          <cell r="AF541"/>
        </row>
        <row r="542">
          <cell r="C542" t="str">
            <v>PAGARE NR</v>
          </cell>
          <cell r="D542" t="str">
            <v>BCI</v>
          </cell>
          <cell r="E542">
            <v>97534966</v>
          </cell>
          <cell r="F542">
            <v>100000000</v>
          </cell>
          <cell r="G542">
            <v>2.6806E-2</v>
          </cell>
          <cell r="H542">
            <v>0.34</v>
          </cell>
          <cell r="I542" t="str">
            <v>2017-07-04</v>
          </cell>
          <cell r="J542">
            <v>222</v>
          </cell>
          <cell r="K542">
            <v>0.61</v>
          </cell>
          <cell r="L542">
            <v>0</v>
          </cell>
          <cell r="M542" t="str">
            <v>$</v>
          </cell>
          <cell r="N542" t="str">
            <v>RFL</v>
          </cell>
          <cell r="O542" t="str">
            <v>Renta Fija Local</v>
          </cell>
          <cell r="P542" t="str">
            <v>N-1</v>
          </cell>
          <cell r="Q542" t="str">
            <v>Corto</v>
          </cell>
          <cell r="R542" t="str">
            <v>Depósitos $</v>
          </cell>
          <cell r="S542">
            <v>1.1571670000000001</v>
          </cell>
          <cell r="T542" t="str">
            <v>N-1</v>
          </cell>
          <cell r="U542" t="str">
            <v>25</v>
          </cell>
          <cell r="V542" t="str">
            <v>Depósitos</v>
          </cell>
          <cell r="W542" t="str">
            <v>Depósitos</v>
          </cell>
          <cell r="X542" t="str">
            <v>Depósitos $</v>
          </cell>
          <cell r="Y542" t="str">
            <v>Depósitos</v>
          </cell>
          <cell r="Z542" t="str">
            <v>Corto $</v>
          </cell>
          <cell r="AA542" t="str">
            <v>Depósitos</v>
          </cell>
          <cell r="AB542" t="str">
            <v>Depósitos $</v>
          </cell>
          <cell r="AC542" t="str">
            <v>Instrumentos de Deuda</v>
          </cell>
          <cell r="AD542" t="str">
            <v>Financieras</v>
          </cell>
          <cell r="AE542" t="str">
            <v>Deposito CLP Banco Bci</v>
          </cell>
          <cell r="AF542" t="str">
            <v>BCI</v>
          </cell>
        </row>
        <row r="543">
          <cell r="C543" t="str">
            <v>MEX0717</v>
          </cell>
          <cell r="D543" t="str">
            <v>UNITED MEX</v>
          </cell>
          <cell r="E543">
            <v>111675838</v>
          </cell>
          <cell r="F543">
            <v>150000</v>
          </cell>
          <cell r="G543">
            <v>3.0692000000000001E-2</v>
          </cell>
          <cell r="H543">
            <v>0</v>
          </cell>
          <cell r="I543" t="str">
            <v>2017-07-14</v>
          </cell>
          <cell r="J543">
            <v>232</v>
          </cell>
          <cell r="K543">
            <v>0.64</v>
          </cell>
          <cell r="L543">
            <v>102.3896</v>
          </cell>
          <cell r="M543" t="str">
            <v>$</v>
          </cell>
          <cell r="N543" t="str">
            <v>RFL</v>
          </cell>
          <cell r="O543" t="str">
            <v>Renta Fija Local</v>
          </cell>
          <cell r="P543" t="str">
            <v>BBB</v>
          </cell>
          <cell r="Q543" t="str">
            <v>Corto</v>
          </cell>
          <cell r="R543" t="str">
            <v>Corporativo Alto Riesgo Corto</v>
          </cell>
          <cell r="S543">
            <v>0</v>
          </cell>
          <cell r="T543" t="str">
            <v>BBB</v>
          </cell>
          <cell r="U543" t="str">
            <v>9</v>
          </cell>
          <cell r="V543" t="str">
            <v>Alto Riesgo</v>
          </cell>
          <cell r="W543" t="str">
            <v>Corporativo</v>
          </cell>
          <cell r="X543" t="str">
            <v>Alto Riesgo Corto $</v>
          </cell>
          <cell r="Y543" t="str">
            <v>Corporativo Alto Riesgo Corto</v>
          </cell>
          <cell r="Z543" t="str">
            <v>Corto $</v>
          </cell>
          <cell r="AA543" t="str">
            <v>Corporativo Corto</v>
          </cell>
          <cell r="AB543" t="str">
            <v>Corporativo $</v>
          </cell>
          <cell r="AC543"/>
          <cell r="AD543"/>
          <cell r="AE543"/>
          <cell r="AF543"/>
        </row>
        <row r="544">
          <cell r="C544" t="str">
            <v>PAGARE NR</v>
          </cell>
          <cell r="D544" t="str">
            <v>ESTADO</v>
          </cell>
          <cell r="E544">
            <v>194339537</v>
          </cell>
          <cell r="F544">
            <v>200000000</v>
          </cell>
          <cell r="G544">
            <v>5.3411E-2</v>
          </cell>
          <cell r="H544">
            <v>0.34</v>
          </cell>
          <cell r="I544" t="str">
            <v>2017-08-07</v>
          </cell>
          <cell r="J544">
            <v>256</v>
          </cell>
          <cell r="K544">
            <v>0.7</v>
          </cell>
          <cell r="L544">
            <v>0</v>
          </cell>
          <cell r="M544" t="str">
            <v>$</v>
          </cell>
          <cell r="N544" t="str">
            <v>RFL</v>
          </cell>
          <cell r="O544" t="str">
            <v>Renta Fija Local</v>
          </cell>
          <cell r="P544" t="str">
            <v>N-1</v>
          </cell>
          <cell r="Q544" t="str">
            <v>Corto</v>
          </cell>
          <cell r="R544" t="str">
            <v>Depósitos $</v>
          </cell>
          <cell r="S544">
            <v>1.1571670000000001</v>
          </cell>
          <cell r="T544" t="str">
            <v>N-1</v>
          </cell>
          <cell r="U544" t="str">
            <v>25</v>
          </cell>
          <cell r="V544" t="str">
            <v>Depósitos</v>
          </cell>
          <cell r="W544" t="str">
            <v>Depósitos</v>
          </cell>
          <cell r="X544" t="str">
            <v>Depósitos $</v>
          </cell>
          <cell r="Y544" t="str">
            <v>Depósitos</v>
          </cell>
          <cell r="Z544" t="str">
            <v>Corto $</v>
          </cell>
          <cell r="AA544" t="str">
            <v>Depósitos</v>
          </cell>
          <cell r="AB544" t="str">
            <v>Depósitos $</v>
          </cell>
          <cell r="AC544" t="str">
            <v>Instrumentos de Deuda</v>
          </cell>
          <cell r="AD544" t="str">
            <v>Financieras</v>
          </cell>
          <cell r="AE544" t="str">
            <v>Deposito CLP Banco Estado</v>
          </cell>
          <cell r="AF544" t="str">
            <v>Banco Estado</v>
          </cell>
        </row>
        <row r="545">
          <cell r="C545" t="str">
            <v>PAGARE NR</v>
          </cell>
          <cell r="D545" t="str">
            <v>SECURITY</v>
          </cell>
          <cell r="E545">
            <v>145754653</v>
          </cell>
          <cell r="F545">
            <v>150000000</v>
          </cell>
          <cell r="G545">
            <v>4.0058000000000003E-2</v>
          </cell>
          <cell r="H545">
            <v>0.34</v>
          </cell>
          <cell r="I545" t="str">
            <v>2017-08-07</v>
          </cell>
          <cell r="J545">
            <v>256</v>
          </cell>
          <cell r="K545">
            <v>0.7</v>
          </cell>
          <cell r="L545">
            <v>0</v>
          </cell>
          <cell r="M545" t="str">
            <v>$</v>
          </cell>
          <cell r="N545" t="str">
            <v>RFL</v>
          </cell>
          <cell r="O545" t="str">
            <v>Renta Fija Local</v>
          </cell>
          <cell r="P545" t="str">
            <v>N-1</v>
          </cell>
          <cell r="Q545" t="str">
            <v>Corto</v>
          </cell>
          <cell r="R545" t="str">
            <v>Depósitos $</v>
          </cell>
          <cell r="S545">
            <v>1.1571670000000001</v>
          </cell>
          <cell r="T545" t="str">
            <v>N-1</v>
          </cell>
          <cell r="U545" t="str">
            <v>25</v>
          </cell>
          <cell r="V545" t="str">
            <v>Depósitos</v>
          </cell>
          <cell r="W545" t="str">
            <v>Depósitos</v>
          </cell>
          <cell r="X545" t="str">
            <v>Depósitos $</v>
          </cell>
          <cell r="Y545" t="str">
            <v>Depósitos</v>
          </cell>
          <cell r="Z545" t="str">
            <v>Corto $</v>
          </cell>
          <cell r="AA545" t="str">
            <v>Depósitos</v>
          </cell>
          <cell r="AB545" t="str">
            <v>Depósitos $</v>
          </cell>
          <cell r="AC545" t="str">
            <v>Instrumentos de Deuda</v>
          </cell>
          <cell r="AD545" t="str">
            <v>Financieras</v>
          </cell>
          <cell r="AE545" t="str">
            <v>Deposito CLP Banco Security</v>
          </cell>
          <cell r="AF545" t="str">
            <v>Banco Security</v>
          </cell>
        </row>
        <row r="546">
          <cell r="C546" t="str">
            <v>PAGARE NR</v>
          </cell>
          <cell r="D546" t="str">
            <v>SCOTIABANK</v>
          </cell>
          <cell r="E546">
            <v>96913624</v>
          </cell>
          <cell r="F546">
            <v>100000000</v>
          </cell>
          <cell r="G546">
            <v>2.6634999999999999E-2</v>
          </cell>
          <cell r="H546">
            <v>0.34</v>
          </cell>
          <cell r="I546" t="str">
            <v>2017-08-31</v>
          </cell>
          <cell r="J546">
            <v>280</v>
          </cell>
          <cell r="K546">
            <v>0.77</v>
          </cell>
          <cell r="L546">
            <v>0</v>
          </cell>
          <cell r="M546" t="str">
            <v>$</v>
          </cell>
          <cell r="N546" t="str">
            <v>RFL</v>
          </cell>
          <cell r="O546" t="str">
            <v>Renta Fija Local</v>
          </cell>
          <cell r="P546" t="str">
            <v>N-1</v>
          </cell>
          <cell r="Q546" t="str">
            <v>Corto</v>
          </cell>
          <cell r="R546" t="str">
            <v>Depósitos $</v>
          </cell>
          <cell r="S546">
            <v>1.1571670000000001</v>
          </cell>
          <cell r="T546" t="str">
            <v>N-1</v>
          </cell>
          <cell r="U546" t="str">
            <v>25</v>
          </cell>
          <cell r="V546" t="str">
            <v>Depósitos</v>
          </cell>
          <cell r="W546" t="str">
            <v>Depósitos</v>
          </cell>
          <cell r="X546" t="str">
            <v>Depósitos $</v>
          </cell>
          <cell r="Y546" t="str">
            <v>Depósitos</v>
          </cell>
          <cell r="Z546" t="str">
            <v>Corto $</v>
          </cell>
          <cell r="AA546" t="str">
            <v>Depósitos</v>
          </cell>
          <cell r="AB546" t="str">
            <v>Depósitos $</v>
          </cell>
          <cell r="AC546" t="str">
            <v>Instrumentos de Deuda</v>
          </cell>
          <cell r="AD546" t="str">
            <v>Financieras</v>
          </cell>
          <cell r="AE546" t="str">
            <v>Deposito CLP Banco Scotiabank</v>
          </cell>
          <cell r="AF546" t="str">
            <v>Scotiabank</v>
          </cell>
        </row>
        <row r="547">
          <cell r="C547" t="str">
            <v>PAGARE NR</v>
          </cell>
          <cell r="D547" t="str">
            <v>CONSORCIO</v>
          </cell>
          <cell r="E547">
            <v>348095146</v>
          </cell>
          <cell r="F547">
            <v>360000000</v>
          </cell>
          <cell r="G547">
            <v>9.5669000000000004E-2</v>
          </cell>
          <cell r="H547">
            <v>0.36</v>
          </cell>
          <cell r="I547" t="str">
            <v>2017-09-04</v>
          </cell>
          <cell r="J547">
            <v>284</v>
          </cell>
          <cell r="K547">
            <v>0.78</v>
          </cell>
          <cell r="L547">
            <v>0</v>
          </cell>
          <cell r="M547" t="str">
            <v>$</v>
          </cell>
          <cell r="N547" t="str">
            <v>RFL</v>
          </cell>
          <cell r="O547" t="str">
            <v>Renta Fija Local</v>
          </cell>
          <cell r="P547" t="str">
            <v>N-1</v>
          </cell>
          <cell r="Q547" t="str">
            <v>Corto</v>
          </cell>
          <cell r="R547" t="str">
            <v>Depósitos $</v>
          </cell>
          <cell r="S547">
            <v>1.406571</v>
          </cell>
          <cell r="T547" t="str">
            <v>N-1</v>
          </cell>
          <cell r="U547" t="str">
            <v>25</v>
          </cell>
          <cell r="V547" t="str">
            <v>Depósitos</v>
          </cell>
          <cell r="W547" t="str">
            <v>Depósitos</v>
          </cell>
          <cell r="X547" t="str">
            <v>Depósitos $</v>
          </cell>
          <cell r="Y547" t="str">
            <v>Depósitos</v>
          </cell>
          <cell r="Z547" t="str">
            <v>Corto $</v>
          </cell>
          <cell r="AA547" t="str">
            <v>Depósitos</v>
          </cell>
          <cell r="AB547" t="str">
            <v>Depósitos $</v>
          </cell>
          <cell r="AC547" t="str">
            <v>Instrumentos de Deuda</v>
          </cell>
          <cell r="AD547" t="str">
            <v>Financieras</v>
          </cell>
          <cell r="AE547" t="str">
            <v>Deposito CLP Banco Consorcio</v>
          </cell>
          <cell r="AF547" t="str">
            <v>Banco Consorcio</v>
          </cell>
        </row>
        <row r="548">
          <cell r="C548" t="str">
            <v>PAGARE NR</v>
          </cell>
          <cell r="D548" t="str">
            <v>SCOTIABANK</v>
          </cell>
          <cell r="E548">
            <v>96249479</v>
          </cell>
          <cell r="F548">
            <v>100000000</v>
          </cell>
          <cell r="G548">
            <v>2.6452E-2</v>
          </cell>
          <cell r="H548">
            <v>0.35</v>
          </cell>
          <cell r="I548" t="str">
            <v>2017-10-23</v>
          </cell>
          <cell r="J548">
            <v>333</v>
          </cell>
          <cell r="K548">
            <v>0.92</v>
          </cell>
          <cell r="L548">
            <v>0</v>
          </cell>
          <cell r="M548" t="str">
            <v>$</v>
          </cell>
          <cell r="N548" t="str">
            <v>RFL</v>
          </cell>
          <cell r="O548" t="str">
            <v>Renta Fija Local</v>
          </cell>
          <cell r="P548" t="str">
            <v>N-1</v>
          </cell>
          <cell r="Q548" t="str">
            <v>Corto</v>
          </cell>
          <cell r="R548" t="str">
            <v>Depósitos $</v>
          </cell>
          <cell r="S548">
            <v>1.281801</v>
          </cell>
          <cell r="T548" t="str">
            <v>N-1</v>
          </cell>
          <cell r="U548" t="str">
            <v>25</v>
          </cell>
          <cell r="V548" t="str">
            <v>Depósitos</v>
          </cell>
          <cell r="W548" t="str">
            <v>Depósitos</v>
          </cell>
          <cell r="X548" t="str">
            <v>Depósitos $</v>
          </cell>
          <cell r="Y548" t="str">
            <v>Depósitos</v>
          </cell>
          <cell r="Z548" t="str">
            <v>Corto $</v>
          </cell>
          <cell r="AA548" t="str">
            <v>Depósitos</v>
          </cell>
          <cell r="AB548" t="str">
            <v>Depósitos $</v>
          </cell>
          <cell r="AC548" t="str">
            <v>Instrumentos de Deuda</v>
          </cell>
          <cell r="AD548" t="str">
            <v>Financieras</v>
          </cell>
          <cell r="AE548" t="str">
            <v>Deposito CLP Banco Scotiabank</v>
          </cell>
          <cell r="AF548" t="str">
            <v>Scotiabank</v>
          </cell>
        </row>
        <row r="549">
          <cell r="C549" t="str">
            <v>BCU0300818</v>
          </cell>
          <cell r="D549" t="str">
            <v>BCU</v>
          </cell>
          <cell r="E549">
            <v>135800449</v>
          </cell>
          <cell r="F549">
            <v>5000</v>
          </cell>
          <cell r="G549">
            <v>3.7323000000000002E-2</v>
          </cell>
          <cell r="H549">
            <v>1.6</v>
          </cell>
          <cell r="I549" t="str">
            <v>2018-08-01</v>
          </cell>
          <cell r="J549">
            <v>615</v>
          </cell>
          <cell r="K549">
            <v>1.64</v>
          </cell>
          <cell r="L549">
            <v>102.31</v>
          </cell>
          <cell r="M549" t="str">
            <v>UF</v>
          </cell>
          <cell r="N549" t="str">
            <v>RFL</v>
          </cell>
          <cell r="O549" t="str">
            <v>Renta Fija Local</v>
          </cell>
          <cell r="P549"/>
          <cell r="Q549" t="str">
            <v>Corto</v>
          </cell>
          <cell r="R549" t="str">
            <v>Gobierno UF Corto</v>
          </cell>
          <cell r="S549">
            <v>1.6</v>
          </cell>
          <cell r="T549" t="str">
            <v>Gob</v>
          </cell>
          <cell r="U549" t="str">
            <v>0</v>
          </cell>
          <cell r="V549" t="str">
            <v>Gobierno</v>
          </cell>
          <cell r="W549" t="str">
            <v>Gobierno</v>
          </cell>
          <cell r="X549" t="str">
            <v>Gobierno Corto UF</v>
          </cell>
          <cell r="Y549" t="str">
            <v>Gobierno Corto</v>
          </cell>
          <cell r="Z549" t="str">
            <v>Corto UF</v>
          </cell>
          <cell r="AA549" t="str">
            <v>Gobierno</v>
          </cell>
          <cell r="AB549" t="str">
            <v>Gobierno UF</v>
          </cell>
          <cell r="AC549" t="str">
            <v>Instrumentos de Deuda</v>
          </cell>
          <cell r="AD549" t="str">
            <v>Gobierno</v>
          </cell>
          <cell r="AE549" t="str">
            <v>Bono Bullet Bco Central En Uf</v>
          </cell>
          <cell r="AF549" t="str">
            <v>Banco Central de Chile</v>
          </cell>
        </row>
        <row r="550">
          <cell r="C550" t="str">
            <v>BCU0300221</v>
          </cell>
          <cell r="D550" t="str">
            <v>BCU</v>
          </cell>
          <cell r="E550">
            <v>182873114</v>
          </cell>
          <cell r="F550">
            <v>6500</v>
          </cell>
          <cell r="G550">
            <v>5.0259999999999999E-2</v>
          </cell>
          <cell r="H550">
            <v>1.51</v>
          </cell>
          <cell r="I550" t="str">
            <v>2021-02-01</v>
          </cell>
          <cell r="J550">
            <v>1530</v>
          </cell>
          <cell r="K550">
            <v>3.94</v>
          </cell>
          <cell r="L550">
            <v>105.98</v>
          </cell>
          <cell r="M550" t="str">
            <v>UF</v>
          </cell>
          <cell r="N550" t="str">
            <v>RFL</v>
          </cell>
          <cell r="O550" t="str">
            <v>Renta Fija Local</v>
          </cell>
          <cell r="P550"/>
          <cell r="Q550" t="str">
            <v>Corto</v>
          </cell>
          <cell r="R550" t="str">
            <v>Gobierno UF Corto</v>
          </cell>
          <cell r="S550">
            <v>1.51</v>
          </cell>
          <cell r="T550" t="str">
            <v>Gob</v>
          </cell>
          <cell r="U550" t="str">
            <v>0</v>
          </cell>
          <cell r="V550" t="str">
            <v>Gobierno</v>
          </cell>
          <cell r="W550" t="str">
            <v>Gobierno</v>
          </cell>
          <cell r="X550" t="str">
            <v>Gobierno Corto UF</v>
          </cell>
          <cell r="Y550" t="str">
            <v>Gobierno Corto</v>
          </cell>
          <cell r="Z550" t="str">
            <v>Corto UF</v>
          </cell>
          <cell r="AA550" t="str">
            <v>Gobierno</v>
          </cell>
          <cell r="AB550" t="str">
            <v>Gobierno UF</v>
          </cell>
          <cell r="AC550" t="str">
            <v>Instrumentos de Deuda</v>
          </cell>
          <cell r="AD550" t="str">
            <v>Gobierno</v>
          </cell>
          <cell r="AE550" t="str">
            <v>Bono Bullet Bco Central En Uf</v>
          </cell>
          <cell r="AF550" t="str">
            <v>Banco Central de Chile</v>
          </cell>
        </row>
        <row r="551">
          <cell r="C551" t="str">
            <v>BTU0150321</v>
          </cell>
          <cell r="D551" t="str">
            <v>BTU</v>
          </cell>
          <cell r="E551">
            <v>633250256</v>
          </cell>
          <cell r="F551">
            <v>24000</v>
          </cell>
          <cell r="G551">
            <v>0.174041</v>
          </cell>
          <cell r="H551">
            <v>1.51</v>
          </cell>
          <cell r="I551" t="str">
            <v>2021-03-01</v>
          </cell>
          <cell r="J551">
            <v>1558</v>
          </cell>
          <cell r="K551">
            <v>4.1399999999999997</v>
          </cell>
          <cell r="L551">
            <v>99.98</v>
          </cell>
          <cell r="M551" t="str">
            <v>UF</v>
          </cell>
          <cell r="N551" t="str">
            <v>RFL</v>
          </cell>
          <cell r="O551" t="str">
            <v>Renta Fija Local</v>
          </cell>
          <cell r="P551"/>
          <cell r="Q551" t="str">
            <v>Corto</v>
          </cell>
          <cell r="R551" t="str">
            <v>Gobierno UF Corto</v>
          </cell>
          <cell r="S551">
            <v>1.51</v>
          </cell>
          <cell r="T551" t="str">
            <v>Gob</v>
          </cell>
          <cell r="U551" t="str">
            <v>0</v>
          </cell>
          <cell r="V551" t="str">
            <v>Gobierno</v>
          </cell>
          <cell r="W551" t="str">
            <v>Gobierno</v>
          </cell>
          <cell r="X551" t="str">
            <v>Gobierno Corto UF</v>
          </cell>
          <cell r="Y551" t="str">
            <v>Gobierno Corto</v>
          </cell>
          <cell r="Z551" t="str">
            <v>Corto UF</v>
          </cell>
          <cell r="AA551" t="str">
            <v>Gobierno</v>
          </cell>
          <cell r="AB551" t="str">
            <v>Gobierno UF</v>
          </cell>
          <cell r="AC551" t="str">
            <v>Instrumentos de Deuda</v>
          </cell>
          <cell r="AD551" t="str">
            <v>Financieras</v>
          </cell>
          <cell r="AE551" t="str">
            <v>Bono Tesoreria En Uf</v>
          </cell>
          <cell r="AF551" t="str">
            <v>Tesorería General de la República</v>
          </cell>
        </row>
        <row r="552">
          <cell r="C552" t="str">
            <v>BTU0150326</v>
          </cell>
          <cell r="D552" t="str">
            <v>BTU</v>
          </cell>
          <cell r="E552">
            <v>129789548</v>
          </cell>
          <cell r="F552">
            <v>5000</v>
          </cell>
          <cell r="G552">
            <v>3.5671000000000001E-2</v>
          </cell>
          <cell r="H552">
            <v>1.7</v>
          </cell>
          <cell r="I552" t="str">
            <v>2026-03-01</v>
          </cell>
          <cell r="J552">
            <v>3384</v>
          </cell>
          <cell r="K552">
            <v>8.65</v>
          </cell>
          <cell r="L552">
            <v>98.36</v>
          </cell>
          <cell r="M552" t="str">
            <v>UF</v>
          </cell>
          <cell r="N552" t="str">
            <v>RFL</v>
          </cell>
          <cell r="O552" t="str">
            <v>Renta Fija Local</v>
          </cell>
          <cell r="P552"/>
          <cell r="Q552" t="str">
            <v>Largo</v>
          </cell>
          <cell r="R552" t="str">
            <v>Gobierno UF Largo</v>
          </cell>
          <cell r="S552">
            <v>1.7</v>
          </cell>
          <cell r="T552" t="str">
            <v>Gob</v>
          </cell>
          <cell r="U552" t="str">
            <v>0</v>
          </cell>
          <cell r="V552" t="str">
            <v>Gobierno</v>
          </cell>
          <cell r="W552" t="str">
            <v>Gobierno</v>
          </cell>
          <cell r="X552" t="str">
            <v>Gobierno Largo UF</v>
          </cell>
          <cell r="Y552" t="str">
            <v>Gobierno Largo</v>
          </cell>
          <cell r="Z552" t="str">
            <v>Largo UF</v>
          </cell>
          <cell r="AA552" t="str">
            <v>Gobierno</v>
          </cell>
          <cell r="AB552" t="str">
            <v>Gobierno UF</v>
          </cell>
          <cell r="AC552" t="str">
            <v>Instrumentos de Deuda</v>
          </cell>
          <cell r="AD552" t="str">
            <v>Financieras</v>
          </cell>
          <cell r="AE552" t="str">
            <v>Bono Tesoreria En Uf</v>
          </cell>
          <cell r="AF552" t="str">
            <v>Tesorería General de la República</v>
          </cell>
        </row>
        <row r="553">
          <cell r="C553" t="str">
            <v>CFI9107B</v>
          </cell>
          <cell r="D553" t="str">
            <v>MACRO CLP3</v>
          </cell>
          <cell r="E553">
            <v>0</v>
          </cell>
          <cell r="F553">
            <v>57725</v>
          </cell>
          <cell r="G553">
            <v>0</v>
          </cell>
          <cell r="H553">
            <v>0</v>
          </cell>
          <cell r="I553" t="str">
            <v xml:space="preserve">          </v>
          </cell>
          <cell r="J553">
            <v>-42696</v>
          </cell>
          <cell r="K553">
            <v>0</v>
          </cell>
          <cell r="L553">
            <v>0</v>
          </cell>
          <cell r="M553" t="str">
            <v>$</v>
          </cell>
          <cell r="N553"/>
          <cell r="O553"/>
          <cell r="P553"/>
          <cell r="Q553" t="str">
            <v>Corto</v>
          </cell>
          <cell r="R553" t="str">
            <v>Cuotas de Fondos</v>
          </cell>
          <cell r="S553">
            <v>0</v>
          </cell>
          <cell r="T553"/>
          <cell r="U553"/>
          <cell r="V553"/>
          <cell r="W553" t="str">
            <v>Corporativo</v>
          </cell>
          <cell r="X553"/>
          <cell r="Y553"/>
          <cell r="Z553" t="str">
            <v>Corto $</v>
          </cell>
          <cell r="AA553" t="str">
            <v>Corporativo Corto</v>
          </cell>
          <cell r="AB553" t="str">
            <v>Corporativo $</v>
          </cell>
          <cell r="AC553"/>
          <cell r="AD553"/>
          <cell r="AE553"/>
          <cell r="AF553"/>
        </row>
        <row r="554">
          <cell r="C554" t="str">
            <v>CFI9107I</v>
          </cell>
          <cell r="D554" t="str">
            <v>MACRO CLP3</v>
          </cell>
          <cell r="E554">
            <v>0</v>
          </cell>
          <cell r="F554">
            <v>104768</v>
          </cell>
          <cell r="G554">
            <v>0</v>
          </cell>
          <cell r="H554">
            <v>0</v>
          </cell>
          <cell r="I554" t="str">
            <v xml:space="preserve">          </v>
          </cell>
          <cell r="J554">
            <v>-42696</v>
          </cell>
          <cell r="K554">
            <v>0</v>
          </cell>
          <cell r="L554">
            <v>0</v>
          </cell>
          <cell r="M554" t="str">
            <v>$</v>
          </cell>
          <cell r="N554"/>
          <cell r="O554"/>
          <cell r="P554"/>
          <cell r="Q554" t="str">
            <v>Corto</v>
          </cell>
          <cell r="R554" t="str">
            <v>Cuotas de Fondos</v>
          </cell>
          <cell r="S554">
            <v>0</v>
          </cell>
          <cell r="T554"/>
          <cell r="U554"/>
          <cell r="V554"/>
          <cell r="W554" t="str">
            <v>Corporativo</v>
          </cell>
          <cell r="X554"/>
          <cell r="Y554"/>
          <cell r="Z554" t="str">
            <v>Corto $</v>
          </cell>
          <cell r="AA554" t="str">
            <v>Corporativo Corto</v>
          </cell>
          <cell r="AB554" t="str">
            <v>Corporativo $</v>
          </cell>
          <cell r="AC554"/>
          <cell r="AD554"/>
          <cell r="AE554"/>
          <cell r="AF554"/>
        </row>
        <row r="555">
          <cell r="C555" t="str">
            <v>PAGARE NR</v>
          </cell>
          <cell r="D555" t="str">
            <v>BCI</v>
          </cell>
          <cell r="E555">
            <v>4764200</v>
          </cell>
          <cell r="F555">
            <v>4777000</v>
          </cell>
          <cell r="G555">
            <v>4.9799999999999996E-4</v>
          </cell>
          <cell r="H555">
            <v>0.31</v>
          </cell>
          <cell r="I555" t="str">
            <v>2016-12-19</v>
          </cell>
          <cell r="J555">
            <v>25</v>
          </cell>
          <cell r="K555">
            <v>7.0000000000000007E-2</v>
          </cell>
          <cell r="L555">
            <v>0.51</v>
          </cell>
          <cell r="M555" t="str">
            <v>$</v>
          </cell>
          <cell r="N555" t="str">
            <v>RFL</v>
          </cell>
          <cell r="O555" t="str">
            <v>Renta Fija Local</v>
          </cell>
          <cell r="P555" t="str">
            <v>N1 ; N1</v>
          </cell>
          <cell r="Q555" t="str">
            <v>Corto</v>
          </cell>
          <cell r="R555" t="str">
            <v>Depósitos $</v>
          </cell>
          <cell r="S555">
            <v>0.78408599999999995</v>
          </cell>
          <cell r="T555" t="str">
            <v>N-1</v>
          </cell>
          <cell r="U555" t="str">
            <v>25</v>
          </cell>
          <cell r="V555" t="str">
            <v>Depósitos</v>
          </cell>
          <cell r="W555" t="str">
            <v>Depósitos</v>
          </cell>
          <cell r="X555" t="str">
            <v>Depósitos $</v>
          </cell>
          <cell r="Y555" t="str">
            <v>Depósitos</v>
          </cell>
          <cell r="Z555" t="str">
            <v>Corto $</v>
          </cell>
          <cell r="AA555" t="str">
            <v>Depósitos</v>
          </cell>
          <cell r="AB555" t="str">
            <v>Depósitos $</v>
          </cell>
          <cell r="AC555" t="str">
            <v>Instrumentos de Deuda</v>
          </cell>
          <cell r="AD555" t="str">
            <v>Financieras</v>
          </cell>
          <cell r="AE555" t="str">
            <v>Deposito CLP Banco Bci</v>
          </cell>
          <cell r="AF555" t="str">
            <v>BCI</v>
          </cell>
        </row>
        <row r="556">
          <cell r="C556" t="str">
            <v>PAGARE R</v>
          </cell>
          <cell r="D556" t="str">
            <v>BCI</v>
          </cell>
          <cell r="E556">
            <v>574316943</v>
          </cell>
          <cell r="F556">
            <v>22000</v>
          </cell>
          <cell r="G556">
            <v>6.0092E-2</v>
          </cell>
          <cell r="H556">
            <v>3.86</v>
          </cell>
          <cell r="I556" t="str">
            <v>2017-02-01</v>
          </cell>
          <cell r="J556">
            <v>69</v>
          </cell>
          <cell r="K556">
            <v>0.19</v>
          </cell>
          <cell r="L556">
            <v>0</v>
          </cell>
          <cell r="M556" t="str">
            <v>UF</v>
          </cell>
          <cell r="N556" t="str">
            <v>RFL</v>
          </cell>
          <cell r="O556" t="str">
            <v>Renta Fija Local</v>
          </cell>
          <cell r="P556" t="str">
            <v>N1 ; N1</v>
          </cell>
          <cell r="Q556" t="str">
            <v>Corto</v>
          </cell>
          <cell r="R556" t="str">
            <v>Depósitos UF</v>
          </cell>
          <cell r="S556">
            <v>3.86</v>
          </cell>
          <cell r="T556" t="str">
            <v>N-1</v>
          </cell>
          <cell r="U556" t="str">
            <v>25</v>
          </cell>
          <cell r="V556" t="str">
            <v>Depósitos</v>
          </cell>
          <cell r="W556" t="str">
            <v>Depósitos</v>
          </cell>
          <cell r="X556" t="str">
            <v>Depósitos UF</v>
          </cell>
          <cell r="Y556" t="str">
            <v>Depósitos</v>
          </cell>
          <cell r="Z556" t="str">
            <v>Corto UF</v>
          </cell>
          <cell r="AA556" t="str">
            <v>Depósitos</v>
          </cell>
          <cell r="AB556" t="str">
            <v>Depósitos UF</v>
          </cell>
          <cell r="AC556" t="str">
            <v>Instrumentos de Deuda</v>
          </cell>
          <cell r="AD556" t="str">
            <v>Financieras</v>
          </cell>
          <cell r="AE556" t="str">
            <v>Deposito UF Banco Bci</v>
          </cell>
          <cell r="AF556" t="str">
            <v>BCI</v>
          </cell>
        </row>
        <row r="557">
          <cell r="C557" t="str">
            <v>PAGARE NR</v>
          </cell>
          <cell r="D557" t="str">
            <v>BBVA</v>
          </cell>
          <cell r="E557">
            <v>24787325</v>
          </cell>
          <cell r="F557">
            <v>25000000</v>
          </cell>
          <cell r="G557">
            <v>2.5929999999999998E-3</v>
          </cell>
          <cell r="H557">
            <v>0.33</v>
          </cell>
          <cell r="I557" t="str">
            <v>2017-02-09</v>
          </cell>
          <cell r="J557">
            <v>77</v>
          </cell>
          <cell r="K557">
            <v>0.21</v>
          </cell>
          <cell r="L557">
            <v>0.51</v>
          </cell>
          <cell r="M557" t="str">
            <v>$</v>
          </cell>
          <cell r="N557" t="str">
            <v>RFL</v>
          </cell>
          <cell r="O557" t="str">
            <v>Renta Fija Local</v>
          </cell>
          <cell r="P557" t="str">
            <v>N1 ; N1</v>
          </cell>
          <cell r="Q557" t="str">
            <v>Corto</v>
          </cell>
          <cell r="R557" t="str">
            <v>Depósitos $</v>
          </cell>
          <cell r="S557">
            <v>1.0326709999999999</v>
          </cell>
          <cell r="T557" t="str">
            <v>N-1</v>
          </cell>
          <cell r="U557" t="str">
            <v>25</v>
          </cell>
          <cell r="V557" t="str">
            <v>Depósitos</v>
          </cell>
          <cell r="W557" t="str">
            <v>Depósitos</v>
          </cell>
          <cell r="X557" t="str">
            <v>Depósitos $</v>
          </cell>
          <cell r="Y557" t="str">
            <v>Depósitos</v>
          </cell>
          <cell r="Z557" t="str">
            <v>Corto $</v>
          </cell>
          <cell r="AA557" t="str">
            <v>Depósitos</v>
          </cell>
          <cell r="AB557" t="str">
            <v>Depósitos $</v>
          </cell>
          <cell r="AC557" t="str">
            <v>Instrumentos de Deuda</v>
          </cell>
          <cell r="AD557" t="str">
            <v>Financieras</v>
          </cell>
          <cell r="AE557" t="str">
            <v>Deposito CLP Banco Bbva</v>
          </cell>
          <cell r="AF557" t="str">
            <v>BBVA</v>
          </cell>
        </row>
        <row r="558">
          <cell r="C558" t="str">
            <v>PAGARE NR</v>
          </cell>
          <cell r="D558" t="str">
            <v>INTERNACIO</v>
          </cell>
          <cell r="E558">
            <v>8473884</v>
          </cell>
          <cell r="F558">
            <v>8568000</v>
          </cell>
          <cell r="G558">
            <v>8.8599999999999996E-4</v>
          </cell>
          <cell r="H558">
            <v>0.34</v>
          </cell>
          <cell r="I558" t="str">
            <v>2017-03-01</v>
          </cell>
          <cell r="J558">
            <v>97</v>
          </cell>
          <cell r="K558">
            <v>0.27</v>
          </cell>
          <cell r="L558">
            <v>0.51</v>
          </cell>
          <cell r="M558" t="str">
            <v>$</v>
          </cell>
          <cell r="N558" t="str">
            <v>RFL</v>
          </cell>
          <cell r="O558" t="str">
            <v>Renta Fija Local</v>
          </cell>
          <cell r="P558" t="str">
            <v>N1 ; N1</v>
          </cell>
          <cell r="Q558" t="str">
            <v>Corto</v>
          </cell>
          <cell r="R558" t="str">
            <v>Depósitos $</v>
          </cell>
          <cell r="S558">
            <v>1.1571670000000001</v>
          </cell>
          <cell r="T558" t="str">
            <v>N-1</v>
          </cell>
          <cell r="U558" t="str">
            <v>25</v>
          </cell>
          <cell r="V558" t="str">
            <v>Depósitos</v>
          </cell>
          <cell r="W558" t="str">
            <v>Depósitos</v>
          </cell>
          <cell r="X558" t="str">
            <v>Depósitos $</v>
          </cell>
          <cell r="Y558" t="str">
            <v>Depósitos</v>
          </cell>
          <cell r="Z558" t="str">
            <v>Corto $</v>
          </cell>
          <cell r="AA558" t="str">
            <v>Depósitos</v>
          </cell>
          <cell r="AB558" t="str">
            <v>Depósitos $</v>
          </cell>
          <cell r="AC558" t="str">
            <v>Instrumentos de Deuda</v>
          </cell>
          <cell r="AD558" t="str">
            <v>Financieras</v>
          </cell>
          <cell r="AE558" t="str">
            <v>Deposito CLP Banco Internacio</v>
          </cell>
          <cell r="AF558" t="str">
            <v>Banco Internacional</v>
          </cell>
        </row>
        <row r="559">
          <cell r="C559" t="str">
            <v>PAGARE NR</v>
          </cell>
          <cell r="D559" t="str">
            <v>CONSORCIO</v>
          </cell>
          <cell r="E559">
            <v>197493154</v>
          </cell>
          <cell r="F559">
            <v>200000000</v>
          </cell>
          <cell r="G559">
            <v>2.0663999999999998E-2</v>
          </cell>
          <cell r="H559">
            <v>0.34</v>
          </cell>
          <cell r="I559" t="str">
            <v>2017-03-15</v>
          </cell>
          <cell r="J559">
            <v>111</v>
          </cell>
          <cell r="K559">
            <v>0.31</v>
          </cell>
          <cell r="L559">
            <v>0.51</v>
          </cell>
          <cell r="M559" t="str">
            <v>$</v>
          </cell>
          <cell r="N559" t="str">
            <v>RFL</v>
          </cell>
          <cell r="O559" t="str">
            <v>Renta Fija Local</v>
          </cell>
          <cell r="P559" t="str">
            <v>N1 ; N1</v>
          </cell>
          <cell r="Q559" t="str">
            <v>Corto</v>
          </cell>
          <cell r="R559" t="str">
            <v>Depósitos $</v>
          </cell>
          <cell r="S559">
            <v>1.1571670000000001</v>
          </cell>
          <cell r="T559" t="str">
            <v>N-1</v>
          </cell>
          <cell r="U559" t="str">
            <v>25</v>
          </cell>
          <cell r="V559" t="str">
            <v>Depósitos</v>
          </cell>
          <cell r="W559" t="str">
            <v>Depósitos</v>
          </cell>
          <cell r="X559" t="str">
            <v>Depósitos $</v>
          </cell>
          <cell r="Y559" t="str">
            <v>Depósitos</v>
          </cell>
          <cell r="Z559" t="str">
            <v>Corto $</v>
          </cell>
          <cell r="AA559" t="str">
            <v>Depósitos</v>
          </cell>
          <cell r="AB559" t="str">
            <v>Depósitos $</v>
          </cell>
          <cell r="AC559" t="str">
            <v>Instrumentos de Deuda</v>
          </cell>
          <cell r="AD559" t="str">
            <v>Financieras</v>
          </cell>
          <cell r="AE559" t="str">
            <v>Deposito CLP Banco Consorcio</v>
          </cell>
          <cell r="AF559" t="str">
            <v>Banco Consorcio</v>
          </cell>
        </row>
        <row r="560">
          <cell r="C560" t="str">
            <v>PAGARE NR</v>
          </cell>
          <cell r="D560" t="str">
            <v>ESTADO</v>
          </cell>
          <cell r="E560">
            <v>47030419</v>
          </cell>
          <cell r="F560">
            <v>47904714</v>
          </cell>
          <cell r="G560">
            <v>4.9199999999999999E-3</v>
          </cell>
          <cell r="H560">
            <v>0.33</v>
          </cell>
          <cell r="I560" t="str">
            <v>2017-05-11</v>
          </cell>
          <cell r="J560">
            <v>168</v>
          </cell>
          <cell r="K560">
            <v>0.46</v>
          </cell>
          <cell r="L560">
            <v>0.51</v>
          </cell>
          <cell r="M560" t="str">
            <v>$</v>
          </cell>
          <cell r="N560" t="str">
            <v>RFL</v>
          </cell>
          <cell r="O560" t="str">
            <v>Renta Fija Local</v>
          </cell>
          <cell r="P560" t="str">
            <v>N1 ; N1</v>
          </cell>
          <cell r="Q560" t="str">
            <v>Corto</v>
          </cell>
          <cell r="R560" t="str">
            <v>Depósitos $</v>
          </cell>
          <cell r="S560">
            <v>1.0326709999999999</v>
          </cell>
          <cell r="T560" t="str">
            <v>N-1</v>
          </cell>
          <cell r="U560" t="str">
            <v>25</v>
          </cell>
          <cell r="V560" t="str">
            <v>Depósitos</v>
          </cell>
          <cell r="W560" t="str">
            <v>Depósitos</v>
          </cell>
          <cell r="X560" t="str">
            <v>Depósitos $</v>
          </cell>
          <cell r="Y560" t="str">
            <v>Depósitos</v>
          </cell>
          <cell r="Z560" t="str">
            <v>Corto $</v>
          </cell>
          <cell r="AA560" t="str">
            <v>Depósitos</v>
          </cell>
          <cell r="AB560" t="str">
            <v>Depósitos $</v>
          </cell>
          <cell r="AC560" t="str">
            <v>Instrumentos de Deuda</v>
          </cell>
          <cell r="AD560" t="str">
            <v>Financieras</v>
          </cell>
          <cell r="AE560" t="str">
            <v>Deposito CLP Banco Estado</v>
          </cell>
          <cell r="AF560" t="str">
            <v>Banco Estado</v>
          </cell>
        </row>
        <row r="561">
          <cell r="C561" t="str">
            <v>PAGARE NR</v>
          </cell>
          <cell r="D561" t="str">
            <v>INTERNACIO</v>
          </cell>
          <cell r="E561">
            <v>39018300</v>
          </cell>
          <cell r="F561">
            <v>40000000</v>
          </cell>
          <cell r="G561">
            <v>4.0819999999999997E-3</v>
          </cell>
          <cell r="H561">
            <v>0.37</v>
          </cell>
          <cell r="I561" t="str">
            <v>2017-06-15</v>
          </cell>
          <cell r="J561">
            <v>203</v>
          </cell>
          <cell r="K561">
            <v>0.56000000000000005</v>
          </cell>
          <cell r="L561">
            <v>0.51</v>
          </cell>
          <cell r="M561" t="str">
            <v>$</v>
          </cell>
          <cell r="N561" t="str">
            <v>RFL</v>
          </cell>
          <cell r="O561" t="str">
            <v>Renta Fija Local</v>
          </cell>
          <cell r="P561" t="str">
            <v>N1 ; N1</v>
          </cell>
          <cell r="Q561" t="str">
            <v>Corto</v>
          </cell>
          <cell r="R561" t="str">
            <v>Depósitos $</v>
          </cell>
          <cell r="S561">
            <v>1.5314779999999999</v>
          </cell>
          <cell r="T561" t="str">
            <v>N-1</v>
          </cell>
          <cell r="U561" t="str">
            <v>25</v>
          </cell>
          <cell r="V561" t="str">
            <v>Depósitos</v>
          </cell>
          <cell r="W561" t="str">
            <v>Depósitos</v>
          </cell>
          <cell r="X561" t="str">
            <v>Depósitos $</v>
          </cell>
          <cell r="Y561" t="str">
            <v>Depósitos</v>
          </cell>
          <cell r="Z561" t="str">
            <v>Corto $</v>
          </cell>
          <cell r="AA561" t="str">
            <v>Depósitos</v>
          </cell>
          <cell r="AB561" t="str">
            <v>Depósitos $</v>
          </cell>
          <cell r="AC561" t="str">
            <v>Instrumentos de Deuda</v>
          </cell>
          <cell r="AD561" t="str">
            <v>Financieras</v>
          </cell>
          <cell r="AE561" t="str">
            <v>Deposito CLP Banco Internacio</v>
          </cell>
          <cell r="AF561" t="str">
            <v>Banco Internacional</v>
          </cell>
        </row>
        <row r="562">
          <cell r="C562" t="str">
            <v>BRAZIL0617</v>
          </cell>
          <cell r="D562" t="str">
            <v>FED REP BR</v>
          </cell>
          <cell r="E562">
            <v>1206445756</v>
          </cell>
          <cell r="F562">
            <v>1525000</v>
          </cell>
          <cell r="G562">
            <v>0.12623400000000001</v>
          </cell>
          <cell r="H562">
            <v>0</v>
          </cell>
          <cell r="I562" t="str">
            <v>2017-06-26</v>
          </cell>
          <cell r="J562">
            <v>214</v>
          </cell>
          <cell r="K562">
            <v>0.59</v>
          </cell>
          <cell r="L562">
            <v>105.9098</v>
          </cell>
          <cell r="M562" t="str">
            <v>$</v>
          </cell>
          <cell r="N562" t="str">
            <v>RFL</v>
          </cell>
          <cell r="O562" t="str">
            <v>Renta Fija Local</v>
          </cell>
          <cell r="P562" t="str">
            <v>BB</v>
          </cell>
          <cell r="Q562" t="str">
            <v>Corto</v>
          </cell>
          <cell r="R562" t="str">
            <v>Corporativo Alto Riesgo Corto</v>
          </cell>
          <cell r="S562">
            <v>0</v>
          </cell>
          <cell r="T562" t="str">
            <v>BB</v>
          </cell>
          <cell r="U562" t="str">
            <v>12</v>
          </cell>
          <cell r="V562" t="str">
            <v>Alto Riesgo</v>
          </cell>
          <cell r="W562" t="str">
            <v>Corporativo</v>
          </cell>
          <cell r="X562" t="str">
            <v>Alto Riesgo Corto $</v>
          </cell>
          <cell r="Y562" t="str">
            <v>Corporativo Alto Riesgo Corto</v>
          </cell>
          <cell r="Z562" t="str">
            <v>Corto $</v>
          </cell>
          <cell r="AA562" t="str">
            <v>Corporativo Corto</v>
          </cell>
          <cell r="AB562" t="str">
            <v>Corporativo $</v>
          </cell>
          <cell r="AC562"/>
          <cell r="AD562"/>
          <cell r="AE562"/>
          <cell r="AF562"/>
        </row>
        <row r="563">
          <cell r="C563" t="str">
            <v>MEX0717</v>
          </cell>
          <cell r="D563" t="str">
            <v>UNITED MEX</v>
          </cell>
          <cell r="E563">
            <v>632829740</v>
          </cell>
          <cell r="F563">
            <v>850000</v>
          </cell>
          <cell r="G563">
            <v>6.6214999999999996E-2</v>
          </cell>
          <cell r="H563">
            <v>0</v>
          </cell>
          <cell r="I563" t="str">
            <v>2017-07-14</v>
          </cell>
          <cell r="J563">
            <v>232</v>
          </cell>
          <cell r="K563">
            <v>0.64</v>
          </cell>
          <cell r="L563">
            <v>102.3896</v>
          </cell>
          <cell r="M563" t="str">
            <v>$</v>
          </cell>
          <cell r="N563"/>
          <cell r="O563"/>
          <cell r="P563"/>
          <cell r="Q563" t="str">
            <v>Corto</v>
          </cell>
          <cell r="R563"/>
          <cell r="S563">
            <v>0</v>
          </cell>
          <cell r="T563"/>
          <cell r="U563"/>
          <cell r="V563"/>
          <cell r="W563" t="str">
            <v>Corporativo</v>
          </cell>
          <cell r="X563"/>
          <cell r="Y563"/>
          <cell r="Z563" t="str">
            <v>Corto $</v>
          </cell>
          <cell r="AA563" t="str">
            <v>Corporativo Corto</v>
          </cell>
          <cell r="AB563" t="str">
            <v>Corporativo $</v>
          </cell>
          <cell r="AC563"/>
          <cell r="AD563"/>
          <cell r="AE563"/>
          <cell r="AF563"/>
        </row>
        <row r="564">
          <cell r="C564" t="str">
            <v>PAGARE NR</v>
          </cell>
          <cell r="D564" t="str">
            <v>ESTADO</v>
          </cell>
          <cell r="E564">
            <v>48472784</v>
          </cell>
          <cell r="F564">
            <v>50000000</v>
          </cell>
          <cell r="G564">
            <v>5.071E-3</v>
          </cell>
          <cell r="H564">
            <v>0.34</v>
          </cell>
          <cell r="I564" t="str">
            <v>2017-08-28</v>
          </cell>
          <cell r="J564">
            <v>277</v>
          </cell>
          <cell r="K564">
            <v>0.76</v>
          </cell>
          <cell r="L564">
            <v>0.51</v>
          </cell>
          <cell r="M564" t="str">
            <v>$</v>
          </cell>
          <cell r="N564" t="str">
            <v>RFL</v>
          </cell>
          <cell r="O564" t="str">
            <v>Renta Fija Local</v>
          </cell>
          <cell r="P564" t="str">
            <v>N1 ; N1</v>
          </cell>
          <cell r="Q564" t="str">
            <v>Corto</v>
          </cell>
          <cell r="R564" t="str">
            <v>Depósitos $</v>
          </cell>
          <cell r="S564">
            <v>1.1571670000000001</v>
          </cell>
          <cell r="T564" t="str">
            <v>N-1</v>
          </cell>
          <cell r="U564" t="str">
            <v>25</v>
          </cell>
          <cell r="V564" t="str">
            <v>Depósitos</v>
          </cell>
          <cell r="W564" t="str">
            <v>Depósitos</v>
          </cell>
          <cell r="X564" t="str">
            <v>Depósitos $</v>
          </cell>
          <cell r="Y564" t="str">
            <v>Depósitos</v>
          </cell>
          <cell r="Z564" t="str">
            <v>Corto $</v>
          </cell>
          <cell r="AA564" t="str">
            <v>Depósitos</v>
          </cell>
          <cell r="AB564" t="str">
            <v>Depósitos $</v>
          </cell>
          <cell r="AC564" t="str">
            <v>Instrumentos de Deuda</v>
          </cell>
          <cell r="AD564" t="str">
            <v>Financieras</v>
          </cell>
          <cell r="AE564" t="str">
            <v>Deposito CLP Banco Estado</v>
          </cell>
          <cell r="AF564" t="str">
            <v>Banco Estado</v>
          </cell>
        </row>
        <row r="565">
          <cell r="C565" t="str">
            <v>PAGARE NR</v>
          </cell>
          <cell r="D565" t="str">
            <v>INTERNACIO</v>
          </cell>
          <cell r="E565">
            <v>90772418</v>
          </cell>
          <cell r="F565">
            <v>94060800</v>
          </cell>
          <cell r="G565">
            <v>9.4970000000000002E-3</v>
          </cell>
          <cell r="H565">
            <v>0.38</v>
          </cell>
          <cell r="I565" t="str">
            <v>2017-09-05</v>
          </cell>
          <cell r="J565">
            <v>285</v>
          </cell>
          <cell r="K565">
            <v>0.78</v>
          </cell>
          <cell r="L565">
            <v>0.51</v>
          </cell>
          <cell r="M565" t="str">
            <v>$</v>
          </cell>
          <cell r="N565" t="str">
            <v>RFL</v>
          </cell>
          <cell r="O565" t="str">
            <v>Renta Fija Local</v>
          </cell>
          <cell r="P565" t="str">
            <v>N1 ; N1</v>
          </cell>
          <cell r="Q565" t="str">
            <v>Corto</v>
          </cell>
          <cell r="R565" t="str">
            <v>Depósitos $</v>
          </cell>
          <cell r="S565">
            <v>1.656522</v>
          </cell>
          <cell r="T565" t="str">
            <v>N-1</v>
          </cell>
          <cell r="U565" t="str">
            <v>25</v>
          </cell>
          <cell r="V565" t="str">
            <v>Depósitos</v>
          </cell>
          <cell r="W565" t="str">
            <v>Depósitos</v>
          </cell>
          <cell r="X565" t="str">
            <v>Depósitos $</v>
          </cell>
          <cell r="Y565" t="str">
            <v>Depósitos</v>
          </cell>
          <cell r="Z565" t="str">
            <v>Corto $</v>
          </cell>
          <cell r="AA565" t="str">
            <v>Depósitos</v>
          </cell>
          <cell r="AB565" t="str">
            <v>Depósitos $</v>
          </cell>
          <cell r="AC565" t="str">
            <v>Instrumentos de Deuda</v>
          </cell>
          <cell r="AD565" t="str">
            <v>Financieras</v>
          </cell>
          <cell r="AE565" t="str">
            <v>Deposito CLP Banco Internacio</v>
          </cell>
          <cell r="AF565" t="str">
            <v>Banco Internacional</v>
          </cell>
        </row>
        <row r="566">
          <cell r="C566" t="str">
            <v>BCU0300818</v>
          </cell>
          <cell r="D566" t="str">
            <v>BCU</v>
          </cell>
          <cell r="E566">
            <v>909863004</v>
          </cell>
          <cell r="F566">
            <v>33500</v>
          </cell>
          <cell r="G566">
            <v>9.5201999999999995E-2</v>
          </cell>
          <cell r="H566">
            <v>1.6</v>
          </cell>
          <cell r="I566" t="str">
            <v>2018-08-01</v>
          </cell>
          <cell r="J566">
            <v>615</v>
          </cell>
          <cell r="K566">
            <v>1.64</v>
          </cell>
          <cell r="L566">
            <v>102.31</v>
          </cell>
          <cell r="M566" t="str">
            <v>UF</v>
          </cell>
          <cell r="N566" t="str">
            <v>RFL</v>
          </cell>
          <cell r="O566" t="str">
            <v>Renta Fija Local</v>
          </cell>
          <cell r="P566"/>
          <cell r="Q566" t="str">
            <v>Corto</v>
          </cell>
          <cell r="R566" t="str">
            <v>Gobierno UF Corto</v>
          </cell>
          <cell r="S566">
            <v>1.6</v>
          </cell>
          <cell r="T566" t="str">
            <v>Gob</v>
          </cell>
          <cell r="U566" t="str">
            <v>0</v>
          </cell>
          <cell r="V566" t="str">
            <v>Gobierno</v>
          </cell>
          <cell r="W566" t="str">
            <v>Gobierno</v>
          </cell>
          <cell r="X566" t="str">
            <v>Gobierno Corto UF</v>
          </cell>
          <cell r="Y566" t="str">
            <v>Gobierno Corto</v>
          </cell>
          <cell r="Z566" t="str">
            <v>Corto UF</v>
          </cell>
          <cell r="AA566" t="str">
            <v>Gobierno</v>
          </cell>
          <cell r="AB566" t="str">
            <v>Gobierno UF</v>
          </cell>
          <cell r="AC566" t="str">
            <v>Instrumentos de Deuda</v>
          </cell>
          <cell r="AD566" t="str">
            <v>Gobierno</v>
          </cell>
          <cell r="AE566" t="str">
            <v>Bono Bullet Bco Central En Uf</v>
          </cell>
          <cell r="AF566" t="str">
            <v>Banco Central de Chile</v>
          </cell>
        </row>
        <row r="567">
          <cell r="C567" t="str">
            <v>BBOTS-P1A</v>
          </cell>
          <cell r="D567" t="str">
            <v>BOSTONSEC</v>
          </cell>
          <cell r="E567">
            <v>121752168</v>
          </cell>
          <cell r="F567">
            <v>20000</v>
          </cell>
          <cell r="G567">
            <v>1.2739E-2</v>
          </cell>
          <cell r="H567">
            <v>5.62</v>
          </cell>
          <cell r="I567" t="str">
            <v>2022-11-25</v>
          </cell>
          <cell r="J567">
            <v>2192</v>
          </cell>
          <cell r="K567">
            <v>2.54</v>
          </cell>
          <cell r="L567">
            <v>101.62</v>
          </cell>
          <cell r="M567" t="str">
            <v>UF</v>
          </cell>
          <cell r="N567" t="str">
            <v>RFL</v>
          </cell>
          <cell r="O567" t="str">
            <v>Renta Fija Local</v>
          </cell>
          <cell r="P567" t="str">
            <v>A ; AA-</v>
          </cell>
          <cell r="Q567" t="str">
            <v>Corto</v>
          </cell>
          <cell r="R567" t="str">
            <v>Corporativo Alto Riesgo Corto</v>
          </cell>
          <cell r="S567">
            <v>5.62</v>
          </cell>
          <cell r="T567" t="str">
            <v>A</v>
          </cell>
          <cell r="U567" t="str">
            <v>6</v>
          </cell>
          <cell r="V567" t="str">
            <v>Alto Riesgo</v>
          </cell>
          <cell r="W567" t="str">
            <v>Corporativo</v>
          </cell>
          <cell r="X567" t="str">
            <v>Alto Riesgo Corto UF</v>
          </cell>
          <cell r="Y567" t="str">
            <v>Corporativo Alto Riesgo Corto</v>
          </cell>
          <cell r="Z567" t="str">
            <v>Corto UF</v>
          </cell>
          <cell r="AA567" t="str">
            <v>Corporativo Corto</v>
          </cell>
          <cell r="AB567" t="str">
            <v>Corporativo UF</v>
          </cell>
          <cell r="AC567" t="str">
            <v>Instrumentos de Deuda</v>
          </cell>
          <cell r="AD567" t="str">
            <v>Financieras</v>
          </cell>
          <cell r="AE567" t="str">
            <v>Bono Boston Securitizadora P1A</v>
          </cell>
          <cell r="AF567" t="str">
            <v>EF Securitizadora S.A.</v>
          </cell>
        </row>
        <row r="568">
          <cell r="C568" t="str">
            <v>CERO010320</v>
          </cell>
          <cell r="D568" t="str">
            <v>CERO</v>
          </cell>
          <cell r="E568">
            <v>11780</v>
          </cell>
          <cell r="F568">
            <v>0.48</v>
          </cell>
          <cell r="G568">
            <v>9.9999999999999995E-7</v>
          </cell>
          <cell r="H568">
            <v>2.14</v>
          </cell>
          <cell r="I568" t="str">
            <v>2020-03-01</v>
          </cell>
          <cell r="J568">
            <v>1193</v>
          </cell>
          <cell r="K568">
            <v>3.27</v>
          </cell>
          <cell r="L568">
            <v>1.95</v>
          </cell>
          <cell r="M568" t="str">
            <v>UF</v>
          </cell>
          <cell r="N568"/>
          <cell r="O568"/>
          <cell r="P568"/>
          <cell r="Q568" t="str">
            <v>Corto</v>
          </cell>
          <cell r="R568"/>
          <cell r="S568">
            <v>2.14</v>
          </cell>
          <cell r="T568" t="str">
            <v>Gob</v>
          </cell>
          <cell r="U568" t="str">
            <v>0</v>
          </cell>
          <cell r="V568" t="str">
            <v>Gobierno</v>
          </cell>
          <cell r="W568" t="str">
            <v>Gobierno</v>
          </cell>
          <cell r="X568" t="str">
            <v>Gobierno Corto UF</v>
          </cell>
          <cell r="Y568" t="str">
            <v>Gobierno Corto</v>
          </cell>
          <cell r="Z568" t="str">
            <v>Corto UF</v>
          </cell>
          <cell r="AA568" t="str">
            <v>Gobierno</v>
          </cell>
          <cell r="AB568" t="str">
            <v>Gobierno UF</v>
          </cell>
          <cell r="AC568"/>
          <cell r="AD568"/>
          <cell r="AE568"/>
          <cell r="AF568" t="str">
            <v>Banco Central de Chile</v>
          </cell>
        </row>
        <row r="569">
          <cell r="C569" t="str">
            <v>SANT0920</v>
          </cell>
          <cell r="D569" t="str">
            <v>SANT-CHILE</v>
          </cell>
          <cell r="E569">
            <v>434692971</v>
          </cell>
          <cell r="F569">
            <v>430000000</v>
          </cell>
          <cell r="G569">
            <v>4.5483000000000003E-2</v>
          </cell>
          <cell r="H569">
            <v>0</v>
          </cell>
          <cell r="I569" t="str">
            <v>2020-09-22</v>
          </cell>
          <cell r="J569">
            <v>1398</v>
          </cell>
          <cell r="K569">
            <v>3.41</v>
          </cell>
          <cell r="L569">
            <v>99.99</v>
          </cell>
          <cell r="M569" t="str">
            <v>$</v>
          </cell>
          <cell r="N569" t="str">
            <v>RFL</v>
          </cell>
          <cell r="O569" t="str">
            <v>Renta Fija Local</v>
          </cell>
          <cell r="P569" t="str">
            <v>A+</v>
          </cell>
          <cell r="Q569" t="str">
            <v>Corto</v>
          </cell>
          <cell r="R569" t="str">
            <v>Corporativo Bajo Riesgo Corto</v>
          </cell>
          <cell r="S569">
            <v>0</v>
          </cell>
          <cell r="T569" t="str">
            <v>A+</v>
          </cell>
          <cell r="U569" t="str">
            <v>5</v>
          </cell>
          <cell r="V569" t="str">
            <v>Bajo Riesgo</v>
          </cell>
          <cell r="W569" t="str">
            <v>Corporativo</v>
          </cell>
          <cell r="X569" t="str">
            <v>Bajo Riesgo Corto $</v>
          </cell>
          <cell r="Y569" t="str">
            <v>Corporativo Bajo Riesgo Corto</v>
          </cell>
          <cell r="Z569" t="str">
            <v>Corto $</v>
          </cell>
          <cell r="AA569" t="str">
            <v>Corporativo Corto</v>
          </cell>
          <cell r="AB569" t="str">
            <v>Corporativo $</v>
          </cell>
          <cell r="AC569" t="str">
            <v>Instrumentos de Deuda</v>
          </cell>
          <cell r="AD569" t="str">
            <v>Financieras</v>
          </cell>
          <cell r="AE569" t="str">
            <v>Bono Banco Santander</v>
          </cell>
          <cell r="AF569" t="str">
            <v>Banco Santander</v>
          </cell>
        </row>
        <row r="570">
          <cell r="C570" t="str">
            <v>BCU0300221</v>
          </cell>
          <cell r="D570" t="str">
            <v>BCU</v>
          </cell>
          <cell r="E570">
            <v>1055037196</v>
          </cell>
          <cell r="F570">
            <v>37500</v>
          </cell>
          <cell r="G570">
            <v>0.110392</v>
          </cell>
          <cell r="H570">
            <v>1.51</v>
          </cell>
          <cell r="I570" t="str">
            <v>2021-02-01</v>
          </cell>
          <cell r="J570">
            <v>1530</v>
          </cell>
          <cell r="K570">
            <v>3.94</v>
          </cell>
          <cell r="L570">
            <v>105.98</v>
          </cell>
          <cell r="M570" t="str">
            <v>UF</v>
          </cell>
          <cell r="N570" t="str">
            <v>RFL</v>
          </cell>
          <cell r="O570" t="str">
            <v>Renta Fija Local</v>
          </cell>
          <cell r="P570"/>
          <cell r="Q570" t="str">
            <v>Corto</v>
          </cell>
          <cell r="R570" t="str">
            <v>Gobierno UF Corto</v>
          </cell>
          <cell r="S570">
            <v>1.51</v>
          </cell>
          <cell r="T570" t="str">
            <v>Gob</v>
          </cell>
          <cell r="U570" t="str">
            <v>0</v>
          </cell>
          <cell r="V570" t="str">
            <v>Gobierno</v>
          </cell>
          <cell r="W570" t="str">
            <v>Gobierno</v>
          </cell>
          <cell r="X570" t="str">
            <v>Gobierno Corto UF</v>
          </cell>
          <cell r="Y570" t="str">
            <v>Gobierno Corto</v>
          </cell>
          <cell r="Z570" t="str">
            <v>Corto UF</v>
          </cell>
          <cell r="AA570" t="str">
            <v>Gobierno</v>
          </cell>
          <cell r="AB570" t="str">
            <v>Gobierno UF</v>
          </cell>
          <cell r="AC570" t="str">
            <v>Instrumentos de Deuda</v>
          </cell>
          <cell r="AD570" t="str">
            <v>Gobierno</v>
          </cell>
          <cell r="AE570" t="str">
            <v>Bono Bullet Bco Central En Uf</v>
          </cell>
          <cell r="AF570" t="str">
            <v>Banco Central de Chile</v>
          </cell>
        </row>
        <row r="571">
          <cell r="C571" t="str">
            <v>BVL2CX0625</v>
          </cell>
          <cell r="D571" t="str">
            <v>BVL</v>
          </cell>
          <cell r="E571">
            <v>76317569</v>
          </cell>
          <cell r="F571">
            <v>6000</v>
          </cell>
          <cell r="G571">
            <v>7.9850000000000008E-3</v>
          </cell>
          <cell r="H571">
            <v>3.4</v>
          </cell>
          <cell r="I571" t="str">
            <v>2025-06-05</v>
          </cell>
          <cell r="J571">
            <v>3115</v>
          </cell>
          <cell r="K571">
            <v>4.07</v>
          </cell>
          <cell r="L571">
            <v>96.48</v>
          </cell>
          <cell r="M571" t="str">
            <v>UF</v>
          </cell>
          <cell r="N571" t="str">
            <v>RFL</v>
          </cell>
          <cell r="O571" t="str">
            <v>Renta Fija Local</v>
          </cell>
          <cell r="P571" t="str">
            <v>NA</v>
          </cell>
          <cell r="Q571" t="str">
            <v>Corto</v>
          </cell>
          <cell r="R571" t="str">
            <v>Gobierno UF Corto</v>
          </cell>
          <cell r="S571">
            <v>3.4</v>
          </cell>
          <cell r="T571" t="str">
            <v>Gob</v>
          </cell>
          <cell r="U571" t="str">
            <v>0</v>
          </cell>
          <cell r="V571" t="str">
            <v>Gobierno</v>
          </cell>
          <cell r="W571" t="str">
            <v>Gobierno</v>
          </cell>
          <cell r="X571" t="str">
            <v>Gobierno Corto UF</v>
          </cell>
          <cell r="Y571" t="str">
            <v>Gobierno Corto</v>
          </cell>
          <cell r="Z571" t="str">
            <v>Corto UF</v>
          </cell>
          <cell r="AA571" t="str">
            <v>Gobierno</v>
          </cell>
          <cell r="AB571" t="str">
            <v>Gobierno UF</v>
          </cell>
          <cell r="AC571" t="str">
            <v>Instrumentos de Deuda</v>
          </cell>
          <cell r="AD571" t="str">
            <v>Gobierno</v>
          </cell>
          <cell r="AE571" t="str">
            <v>Bono Ministerio De Vivienda Leasing</v>
          </cell>
          <cell r="AF571" t="str">
            <v>Ministerio VYU</v>
          </cell>
        </row>
        <row r="572">
          <cell r="C572" t="str">
            <v>BTU0150321</v>
          </cell>
          <cell r="D572" t="str">
            <v>BTU</v>
          </cell>
          <cell r="E572">
            <v>3350949281</v>
          </cell>
          <cell r="F572">
            <v>127000</v>
          </cell>
          <cell r="G572">
            <v>0.35062199999999999</v>
          </cell>
          <cell r="H572">
            <v>1.51</v>
          </cell>
          <cell r="I572" t="str">
            <v>2021-03-01</v>
          </cell>
          <cell r="J572">
            <v>1558</v>
          </cell>
          <cell r="K572">
            <v>4.1399999999999997</v>
          </cell>
          <cell r="L572">
            <v>99.98</v>
          </cell>
          <cell r="M572" t="str">
            <v>UF</v>
          </cell>
          <cell r="N572" t="str">
            <v>RFL</v>
          </cell>
          <cell r="O572" t="str">
            <v>Renta Fija Local</v>
          </cell>
          <cell r="P572"/>
          <cell r="Q572" t="str">
            <v>Corto</v>
          </cell>
          <cell r="R572" t="str">
            <v>Gobierno UF Corto</v>
          </cell>
          <cell r="S572">
            <v>1.51</v>
          </cell>
          <cell r="T572" t="str">
            <v>Gob</v>
          </cell>
          <cell r="U572" t="str">
            <v>0</v>
          </cell>
          <cell r="V572" t="str">
            <v>Gobierno</v>
          </cell>
          <cell r="W572" t="str">
            <v>Gobierno</v>
          </cell>
          <cell r="X572" t="str">
            <v>Gobierno Corto UF</v>
          </cell>
          <cell r="Y572" t="str">
            <v>Gobierno Corto</v>
          </cell>
          <cell r="Z572" t="str">
            <v>Corto UF</v>
          </cell>
          <cell r="AA572" t="str">
            <v>Gobierno</v>
          </cell>
          <cell r="AB572" t="str">
            <v>Gobierno UF</v>
          </cell>
          <cell r="AC572" t="str">
            <v>Instrumentos de Deuda</v>
          </cell>
          <cell r="AD572" t="str">
            <v>Financieras</v>
          </cell>
          <cell r="AE572" t="str">
            <v>Bono Tesoreria En Uf</v>
          </cell>
          <cell r="AF572" t="str">
            <v>Tesorería General de la República</v>
          </cell>
        </row>
        <row r="573">
          <cell r="C573" t="str">
            <v>BVL2BV0925</v>
          </cell>
          <cell r="D573" t="str">
            <v>BVL</v>
          </cell>
          <cell r="E573">
            <v>2479511</v>
          </cell>
          <cell r="F573">
            <v>127</v>
          </cell>
          <cell r="G573">
            <v>2.5900000000000001E-4</v>
          </cell>
          <cell r="H573">
            <v>3.4</v>
          </cell>
          <cell r="I573" t="str">
            <v>2025-09-05</v>
          </cell>
          <cell r="J573">
            <v>3207</v>
          </cell>
          <cell r="K573">
            <v>4.18</v>
          </cell>
          <cell r="L573">
            <v>95.39</v>
          </cell>
          <cell r="M573" t="str">
            <v>UF</v>
          </cell>
          <cell r="N573" t="str">
            <v>RFL</v>
          </cell>
          <cell r="O573" t="str">
            <v>Renta Fija Local</v>
          </cell>
          <cell r="P573" t="str">
            <v>NA</v>
          </cell>
          <cell r="Q573" t="str">
            <v>Corto</v>
          </cell>
          <cell r="R573" t="str">
            <v>Gobierno UF Corto</v>
          </cell>
          <cell r="S573">
            <v>3.4</v>
          </cell>
          <cell r="T573" t="str">
            <v>Gob</v>
          </cell>
          <cell r="U573" t="str">
            <v>0</v>
          </cell>
          <cell r="V573" t="str">
            <v>Gobierno</v>
          </cell>
          <cell r="W573" t="str">
            <v>Gobierno</v>
          </cell>
          <cell r="X573" t="str">
            <v>Gobierno Corto UF</v>
          </cell>
          <cell r="Y573" t="str">
            <v>Gobierno Corto</v>
          </cell>
          <cell r="Z573" t="str">
            <v>Corto UF</v>
          </cell>
          <cell r="AA573" t="str">
            <v>Gobierno</v>
          </cell>
          <cell r="AB573" t="str">
            <v>Gobierno UF</v>
          </cell>
          <cell r="AC573" t="str">
            <v>Instrumentos de Deuda</v>
          </cell>
          <cell r="AD573" t="str">
            <v>Gobierno</v>
          </cell>
          <cell r="AE573" t="str">
            <v>Bono Ministerio De Vivienda Leasing</v>
          </cell>
          <cell r="AF573" t="str">
            <v>Ministerio VYU</v>
          </cell>
        </row>
        <row r="574">
          <cell r="C574" t="str">
            <v>BVL2CW0928</v>
          </cell>
          <cell r="D574" t="str">
            <v>BVL</v>
          </cell>
          <cell r="E574">
            <v>6240174</v>
          </cell>
          <cell r="F574">
            <v>300</v>
          </cell>
          <cell r="G574">
            <v>6.5200000000000002E-4</v>
          </cell>
          <cell r="H574">
            <v>3.46</v>
          </cell>
          <cell r="I574" t="str">
            <v>2028-09-05</v>
          </cell>
          <cell r="J574">
            <v>4303</v>
          </cell>
          <cell r="K574">
            <v>5.5</v>
          </cell>
          <cell r="L574">
            <v>94.95</v>
          </cell>
          <cell r="M574" t="str">
            <v>UF</v>
          </cell>
          <cell r="N574" t="str">
            <v>RFL</v>
          </cell>
          <cell r="O574" t="str">
            <v>Renta Fija Local</v>
          </cell>
          <cell r="P574" t="str">
            <v>NA</v>
          </cell>
          <cell r="Q574" t="str">
            <v>Largo</v>
          </cell>
          <cell r="R574" t="str">
            <v>Gobierno UF Largo</v>
          </cell>
          <cell r="S574">
            <v>3.46</v>
          </cell>
          <cell r="T574" t="str">
            <v>Gob</v>
          </cell>
          <cell r="U574" t="str">
            <v>0</v>
          </cell>
          <cell r="V574" t="str">
            <v>Gobierno</v>
          </cell>
          <cell r="W574" t="str">
            <v>Gobierno</v>
          </cell>
          <cell r="X574" t="str">
            <v>Gobierno Largo UF</v>
          </cell>
          <cell r="Y574" t="str">
            <v>Gobierno Largo</v>
          </cell>
          <cell r="Z574" t="str">
            <v>Largo UF</v>
          </cell>
          <cell r="AA574" t="str">
            <v>Gobierno</v>
          </cell>
          <cell r="AB574" t="str">
            <v>Gobierno UF</v>
          </cell>
          <cell r="AC574" t="str">
            <v>Instrumentos de Deuda</v>
          </cell>
          <cell r="AD574" t="str">
            <v>Gobierno</v>
          </cell>
          <cell r="AE574" t="str">
            <v>Bono Ministerio De Vivienda Leasing</v>
          </cell>
          <cell r="AF574" t="str">
            <v>Ministerio VYU</v>
          </cell>
        </row>
        <row r="575">
          <cell r="C575" t="str">
            <v>BVL2CW0629</v>
          </cell>
          <cell r="D575" t="str">
            <v>BVL</v>
          </cell>
          <cell r="E575">
            <v>21826427</v>
          </cell>
          <cell r="F575">
            <v>1000</v>
          </cell>
          <cell r="G575">
            <v>2.2829999999999999E-3</v>
          </cell>
          <cell r="H575">
            <v>3.47</v>
          </cell>
          <cell r="I575" t="str">
            <v>2029-06-05</v>
          </cell>
          <cell r="J575">
            <v>4576</v>
          </cell>
          <cell r="K575">
            <v>5.82</v>
          </cell>
          <cell r="L575">
            <v>94.6</v>
          </cell>
          <cell r="M575" t="str">
            <v>UF</v>
          </cell>
          <cell r="N575" t="str">
            <v>RFL</v>
          </cell>
          <cell r="O575" t="str">
            <v>Renta Fija Local</v>
          </cell>
          <cell r="P575" t="str">
            <v>NA</v>
          </cell>
          <cell r="Q575" t="str">
            <v>Largo</v>
          </cell>
          <cell r="R575" t="str">
            <v>Gobierno UF Largo</v>
          </cell>
          <cell r="S575">
            <v>3.47</v>
          </cell>
          <cell r="T575" t="str">
            <v>Gob</v>
          </cell>
          <cell r="U575" t="str">
            <v>0</v>
          </cell>
          <cell r="V575" t="str">
            <v>Gobierno</v>
          </cell>
          <cell r="W575" t="str">
            <v>Gobierno</v>
          </cell>
          <cell r="X575" t="str">
            <v>Gobierno Largo UF</v>
          </cell>
          <cell r="Y575" t="str">
            <v>Gobierno Largo</v>
          </cell>
          <cell r="Z575" t="str">
            <v>Largo UF</v>
          </cell>
          <cell r="AA575" t="str">
            <v>Gobierno</v>
          </cell>
          <cell r="AB575" t="str">
            <v>Gobierno UF</v>
          </cell>
          <cell r="AC575" t="str">
            <v>Instrumentos de Deuda</v>
          </cell>
          <cell r="AD575" t="str">
            <v>Gobierno</v>
          </cell>
          <cell r="AE575" t="str">
            <v>Bono Ministerio De Vivienda Leasing</v>
          </cell>
          <cell r="AF575" t="str">
            <v>Ministerio VYU</v>
          </cell>
        </row>
        <row r="576">
          <cell r="C576" t="str">
            <v>BTU0150326</v>
          </cell>
          <cell r="D576" t="str">
            <v>BTU</v>
          </cell>
          <cell r="E576">
            <v>674905650</v>
          </cell>
          <cell r="F576">
            <v>26000</v>
          </cell>
          <cell r="G576">
            <v>7.0616999999999999E-2</v>
          </cell>
          <cell r="H576">
            <v>1.7</v>
          </cell>
          <cell r="I576" t="str">
            <v>2026-03-01</v>
          </cell>
          <cell r="J576">
            <v>3384</v>
          </cell>
          <cell r="K576">
            <v>8.65</v>
          </cell>
          <cell r="L576">
            <v>98.36</v>
          </cell>
          <cell r="M576" t="str">
            <v>UF</v>
          </cell>
          <cell r="N576" t="str">
            <v>RFL</v>
          </cell>
          <cell r="O576" t="str">
            <v>Renta Fija Local</v>
          </cell>
          <cell r="P576" t="str">
            <v>NA</v>
          </cell>
          <cell r="Q576" t="str">
            <v>Largo</v>
          </cell>
          <cell r="R576" t="str">
            <v>Gobierno UF Largo</v>
          </cell>
          <cell r="S576">
            <v>1.7</v>
          </cell>
          <cell r="T576" t="str">
            <v>Gob</v>
          </cell>
          <cell r="U576" t="str">
            <v>0</v>
          </cell>
          <cell r="V576" t="str">
            <v>Gobierno</v>
          </cell>
          <cell r="W576" t="str">
            <v>Gobierno</v>
          </cell>
          <cell r="X576" t="str">
            <v>Gobierno Largo UF</v>
          </cell>
          <cell r="Y576" t="str">
            <v>Gobierno Largo</v>
          </cell>
          <cell r="Z576" t="str">
            <v>Largo UF</v>
          </cell>
          <cell r="AA576" t="str">
            <v>Gobierno</v>
          </cell>
          <cell r="AB576" t="str">
            <v>Gobierno UF</v>
          </cell>
          <cell r="AC576" t="str">
            <v>Instrumentos de Deuda</v>
          </cell>
          <cell r="AD576" t="str">
            <v>Financieras</v>
          </cell>
          <cell r="AE576" t="str">
            <v>Bono Tesoreria En Uf</v>
          </cell>
          <cell r="AF576" t="str">
            <v>Tesorería General de la República</v>
          </cell>
        </row>
        <row r="577">
          <cell r="C577" t="str">
            <v>BFAL-B0510</v>
          </cell>
          <cell r="D577" t="str">
            <v>BBFALABELL</v>
          </cell>
          <cell r="E577">
            <v>28665475</v>
          </cell>
          <cell r="F577">
            <v>1000</v>
          </cell>
          <cell r="G577">
            <v>2.9989999999999999E-3</v>
          </cell>
          <cell r="H577">
            <v>2.88</v>
          </cell>
          <cell r="I577" t="str">
            <v>2035-05-15</v>
          </cell>
          <cell r="J577">
            <v>6746</v>
          </cell>
          <cell r="K577">
            <v>9.6999999999999993</v>
          </cell>
          <cell r="L577">
            <v>108.9</v>
          </cell>
          <cell r="M577" t="str">
            <v>UF</v>
          </cell>
          <cell r="N577" t="str">
            <v>RFL</v>
          </cell>
          <cell r="O577" t="str">
            <v>Renta Fija Local</v>
          </cell>
          <cell r="P577" t="str">
            <v>AA ; AA</v>
          </cell>
          <cell r="Q577" t="str">
            <v>Largo</v>
          </cell>
          <cell r="R577" t="str">
            <v>Corporativo Bajo Riesgo Largo</v>
          </cell>
          <cell r="S577">
            <v>2.88</v>
          </cell>
          <cell r="T577" t="str">
            <v>AA</v>
          </cell>
          <cell r="U577" t="str">
            <v>3</v>
          </cell>
          <cell r="V577" t="str">
            <v>Bajo Riesgo</v>
          </cell>
          <cell r="W577" t="str">
            <v>Corporativo</v>
          </cell>
          <cell r="X577" t="str">
            <v>Bajo Riesgo Largo UF</v>
          </cell>
          <cell r="Y577" t="str">
            <v>Corporativo Bajo Riesgo Largo</v>
          </cell>
          <cell r="Z577" t="str">
            <v>Largo UF</v>
          </cell>
          <cell r="AA577" t="str">
            <v>Corporativo Largo</v>
          </cell>
          <cell r="AB577" t="str">
            <v>Corporativo UF</v>
          </cell>
          <cell r="AC577" t="str">
            <v>Instrumentos de Deuda</v>
          </cell>
          <cell r="AD577" t="str">
            <v>Financieras</v>
          </cell>
          <cell r="AE577" t="str">
            <v>Bono Banco Falabella Serie B</v>
          </cell>
          <cell r="AF577" t="str">
            <v>Banco Falabella</v>
          </cell>
        </row>
        <row r="578">
          <cell r="C578" t="str">
            <v>FAL47D1204</v>
          </cell>
          <cell r="D578" t="str">
            <v>FALABELLA</v>
          </cell>
          <cell r="E578">
            <v>557926</v>
          </cell>
          <cell r="F578">
            <v>870</v>
          </cell>
          <cell r="G578">
            <v>1.2E-5</v>
          </cell>
          <cell r="H578">
            <v>3.2</v>
          </cell>
          <cell r="I578" t="str">
            <v>2016-12-01</v>
          </cell>
          <cell r="J578">
            <v>7</v>
          </cell>
          <cell r="K578">
            <v>0.02</v>
          </cell>
          <cell r="L578">
            <v>100.12</v>
          </cell>
          <cell r="M578" t="str">
            <v>UF</v>
          </cell>
          <cell r="N578" t="str">
            <v>RFL</v>
          </cell>
          <cell r="O578" t="str">
            <v>Renta Fija Local</v>
          </cell>
          <cell r="P578" t="str">
            <v>AA-;AA</v>
          </cell>
          <cell r="Q578" t="str">
            <v>Corto</v>
          </cell>
          <cell r="R578" t="str">
            <v>Corporativo Bajo Riesgo Corto</v>
          </cell>
          <cell r="S578">
            <v>3.2</v>
          </cell>
          <cell r="T578" t="str">
            <v>AA-</v>
          </cell>
          <cell r="U578" t="str">
            <v>4</v>
          </cell>
          <cell r="V578" t="str">
            <v>Bajo Riesgo</v>
          </cell>
          <cell r="W578" t="str">
            <v>Corporativo</v>
          </cell>
          <cell r="X578" t="str">
            <v>Bajo Riesgo Corto UF</v>
          </cell>
          <cell r="Y578" t="str">
            <v>Corporativo Bajo Riesgo Corto</v>
          </cell>
          <cell r="Z578" t="str">
            <v>Corto UF</v>
          </cell>
          <cell r="AA578" t="str">
            <v>Corporativo Corto</v>
          </cell>
          <cell r="AB578" t="str">
            <v>Corporativo UF</v>
          </cell>
          <cell r="AC578" t="str">
            <v>Instrumentos de Deuda</v>
          </cell>
          <cell r="AD578" t="str">
            <v>Financieras</v>
          </cell>
          <cell r="AE578" t="str">
            <v>Lh Falabella-47D</v>
          </cell>
          <cell r="AF578" t="str">
            <v>Banco Falabella</v>
          </cell>
        </row>
        <row r="579">
          <cell r="C579" t="str">
            <v>PAGARE NR</v>
          </cell>
          <cell r="D579" t="str">
            <v>FALABELLA</v>
          </cell>
          <cell r="E579">
            <v>29976818</v>
          </cell>
          <cell r="F579">
            <v>30000000</v>
          </cell>
          <cell r="G579">
            <v>6.6600000000000003E-4</v>
          </cell>
          <cell r="H579">
            <v>0.28999999999999998</v>
          </cell>
          <cell r="I579" t="str">
            <v>2016-12-01</v>
          </cell>
          <cell r="J579">
            <v>7</v>
          </cell>
          <cell r="K579">
            <v>0.02</v>
          </cell>
          <cell r="L579">
            <v>0</v>
          </cell>
          <cell r="M579" t="str">
            <v>$</v>
          </cell>
          <cell r="N579" t="str">
            <v>RFL</v>
          </cell>
          <cell r="O579" t="str">
            <v>Renta Fija Local</v>
          </cell>
          <cell r="P579" t="str">
            <v>N-1</v>
          </cell>
          <cell r="Q579" t="str">
            <v>Corto</v>
          </cell>
          <cell r="R579" t="str">
            <v>Depósitos $</v>
          </cell>
          <cell r="S579">
            <v>0.53604600000000002</v>
          </cell>
          <cell r="T579" t="str">
            <v>N-1</v>
          </cell>
          <cell r="U579" t="str">
            <v>25</v>
          </cell>
          <cell r="V579" t="str">
            <v>Depósitos</v>
          </cell>
          <cell r="W579" t="str">
            <v>Depósitos</v>
          </cell>
          <cell r="X579" t="str">
            <v>Depósitos $</v>
          </cell>
          <cell r="Y579" t="str">
            <v>Depósitos</v>
          </cell>
          <cell r="Z579" t="str">
            <v>Corto $</v>
          </cell>
          <cell r="AA579" t="str">
            <v>Depósitos</v>
          </cell>
          <cell r="AB579" t="str">
            <v>Depósitos $</v>
          </cell>
          <cell r="AC579" t="str">
            <v>Instrumentos de Deuda</v>
          </cell>
          <cell r="AD579" t="str">
            <v>Financieras</v>
          </cell>
          <cell r="AE579" t="str">
            <v>Deposito CLP Banco Falabella</v>
          </cell>
          <cell r="AF579" t="str">
            <v>Banco Falabella</v>
          </cell>
        </row>
        <row r="580">
          <cell r="C580" t="str">
            <v>BCIK300105</v>
          </cell>
          <cell r="D580" t="str">
            <v>CREDITO</v>
          </cell>
          <cell r="E580">
            <v>462931</v>
          </cell>
          <cell r="F580">
            <v>660</v>
          </cell>
          <cell r="G580">
            <v>1.0000000000000001E-5</v>
          </cell>
          <cell r="H580">
            <v>4.79</v>
          </cell>
          <cell r="I580" t="str">
            <v>2017-01-01</v>
          </cell>
          <cell r="J580">
            <v>38</v>
          </cell>
          <cell r="K580">
            <v>0.1</v>
          </cell>
          <cell r="L580">
            <v>99.83</v>
          </cell>
          <cell r="M580" t="str">
            <v>UF</v>
          </cell>
          <cell r="N580" t="str">
            <v>RFL</v>
          </cell>
          <cell r="O580" t="str">
            <v>Renta Fija Local</v>
          </cell>
          <cell r="P580" t="str">
            <v>AA+ ; AA+</v>
          </cell>
          <cell r="Q580" t="str">
            <v>Corto</v>
          </cell>
          <cell r="R580" t="str">
            <v>Letras</v>
          </cell>
          <cell r="S580">
            <v>4.79</v>
          </cell>
          <cell r="T580" t="str">
            <v>AA+</v>
          </cell>
          <cell r="U580" t="str">
            <v>2</v>
          </cell>
          <cell r="V580" t="str">
            <v>Bajo Riesgo</v>
          </cell>
          <cell r="W580" t="str">
            <v>Corporativo</v>
          </cell>
          <cell r="X580" t="str">
            <v>Bajo Riesgo Corto UF</v>
          </cell>
          <cell r="Y580" t="str">
            <v>Corporativo Bajo Riesgo Corto</v>
          </cell>
          <cell r="Z580" t="str">
            <v>Corto UF</v>
          </cell>
          <cell r="AA580" t="str">
            <v>Corporativo Corto</v>
          </cell>
          <cell r="AB580" t="str">
            <v>Corporativo UF</v>
          </cell>
          <cell r="AC580" t="str">
            <v>Instrumentos de Deuda</v>
          </cell>
          <cell r="AD580" t="str">
            <v>Financieras</v>
          </cell>
          <cell r="AE580" t="str">
            <v>Letras Bci</v>
          </cell>
          <cell r="AF580" t="str">
            <v>BCI</v>
          </cell>
        </row>
        <row r="581">
          <cell r="C581" t="str">
            <v>PAGARE R</v>
          </cell>
          <cell r="D581" t="str">
            <v>ESTADO</v>
          </cell>
          <cell r="E581">
            <v>261792485</v>
          </cell>
          <cell r="F581">
            <v>10000</v>
          </cell>
          <cell r="G581">
            <v>5.8209999999999998E-3</v>
          </cell>
          <cell r="H581">
            <v>3.57</v>
          </cell>
          <cell r="I581" t="str">
            <v>2017-01-09</v>
          </cell>
          <cell r="J581">
            <v>46</v>
          </cell>
          <cell r="K581">
            <v>0.13</v>
          </cell>
          <cell r="L581">
            <v>0</v>
          </cell>
          <cell r="M581" t="str">
            <v>UF</v>
          </cell>
          <cell r="N581" t="str">
            <v>RFL</v>
          </cell>
          <cell r="O581" t="str">
            <v>Renta Fija Local</v>
          </cell>
          <cell r="P581" t="str">
            <v>N-1</v>
          </cell>
          <cell r="Q581" t="str">
            <v>Corto</v>
          </cell>
          <cell r="R581" t="str">
            <v>Depósitos UF</v>
          </cell>
          <cell r="S581">
            <v>3.57</v>
          </cell>
          <cell r="T581" t="str">
            <v>N-1</v>
          </cell>
          <cell r="U581" t="str">
            <v>25</v>
          </cell>
          <cell r="V581" t="str">
            <v>Depósitos</v>
          </cell>
          <cell r="W581" t="str">
            <v>Depósitos</v>
          </cell>
          <cell r="X581" t="str">
            <v>Depósitos UF</v>
          </cell>
          <cell r="Y581" t="str">
            <v>Depósitos</v>
          </cell>
          <cell r="Z581" t="str">
            <v>Corto UF</v>
          </cell>
          <cell r="AA581" t="str">
            <v>Depósitos</v>
          </cell>
          <cell r="AB581" t="str">
            <v>Depósitos UF</v>
          </cell>
          <cell r="AC581" t="str">
            <v>Instrumentos de Deuda</v>
          </cell>
          <cell r="AD581" t="str">
            <v>Financieras</v>
          </cell>
          <cell r="AE581" t="str">
            <v>Deposito UF Banco Estado</v>
          </cell>
          <cell r="AF581" t="str">
            <v>Banco Estado</v>
          </cell>
        </row>
        <row r="582">
          <cell r="C582" t="str">
            <v>BVL2CV0317</v>
          </cell>
          <cell r="D582" t="str">
            <v>BVL</v>
          </cell>
          <cell r="E582">
            <v>2660249</v>
          </cell>
          <cell r="F582">
            <v>2110</v>
          </cell>
          <cell r="G582">
            <v>5.8999999999999998E-5</v>
          </cell>
          <cell r="H582">
            <v>4.8899999999999997</v>
          </cell>
          <cell r="I582" t="str">
            <v>2017-03-05</v>
          </cell>
          <cell r="J582">
            <v>101</v>
          </cell>
          <cell r="K582">
            <v>0.15</v>
          </cell>
          <cell r="L582">
            <v>99.65</v>
          </cell>
          <cell r="M582" t="str">
            <v>UF</v>
          </cell>
          <cell r="N582" t="str">
            <v>RFL</v>
          </cell>
          <cell r="O582" t="str">
            <v>Renta Fija Local</v>
          </cell>
          <cell r="P582" t="str">
            <v>NA</v>
          </cell>
          <cell r="Q582" t="str">
            <v>Corto</v>
          </cell>
          <cell r="R582" t="str">
            <v>Gobierno UF Corto</v>
          </cell>
          <cell r="S582">
            <v>4.8899999999999997</v>
          </cell>
          <cell r="T582" t="str">
            <v>Gob</v>
          </cell>
          <cell r="U582" t="str">
            <v>0</v>
          </cell>
          <cell r="V582" t="str">
            <v>Gobierno</v>
          </cell>
          <cell r="W582" t="str">
            <v>Gobierno</v>
          </cell>
          <cell r="X582" t="str">
            <v>Gobierno Corto UF</v>
          </cell>
          <cell r="Y582" t="str">
            <v>Gobierno Corto</v>
          </cell>
          <cell r="Z582" t="str">
            <v>Corto UF</v>
          </cell>
          <cell r="AA582" t="str">
            <v>Gobierno</v>
          </cell>
          <cell r="AB582" t="str">
            <v>Gobierno UF</v>
          </cell>
          <cell r="AC582" t="str">
            <v>Instrumentos de Deuda</v>
          </cell>
          <cell r="AD582" t="str">
            <v>Gobierno</v>
          </cell>
          <cell r="AE582" t="str">
            <v>Bono Ministerio De Vivienda Leasing</v>
          </cell>
          <cell r="AF582" t="str">
            <v>Ministerio VYU</v>
          </cell>
        </row>
        <row r="583">
          <cell r="C583" t="str">
            <v>PAGARE NR</v>
          </cell>
          <cell r="D583" t="str">
            <v>RIPLEY</v>
          </cell>
          <cell r="E583">
            <v>49634360</v>
          </cell>
          <cell r="F583">
            <v>50000000</v>
          </cell>
          <cell r="G583">
            <v>1.103E-3</v>
          </cell>
          <cell r="H583">
            <v>0.34</v>
          </cell>
          <cell r="I583" t="str">
            <v>2017-01-27</v>
          </cell>
          <cell r="J583">
            <v>64</v>
          </cell>
          <cell r="K583">
            <v>0.18</v>
          </cell>
          <cell r="L583">
            <v>0</v>
          </cell>
          <cell r="M583" t="str">
            <v>$</v>
          </cell>
          <cell r="N583" t="str">
            <v>RFL</v>
          </cell>
          <cell r="O583" t="str">
            <v>Renta Fija Local</v>
          </cell>
          <cell r="P583" t="str">
            <v>N-1</v>
          </cell>
          <cell r="Q583" t="str">
            <v>Corto</v>
          </cell>
          <cell r="R583" t="str">
            <v>Depósitos $</v>
          </cell>
          <cell r="S583">
            <v>1.1571670000000001</v>
          </cell>
          <cell r="T583" t="str">
            <v>N-1</v>
          </cell>
          <cell r="U583" t="str">
            <v>25</v>
          </cell>
          <cell r="V583" t="str">
            <v>Depósitos</v>
          </cell>
          <cell r="W583" t="str">
            <v>Depósitos</v>
          </cell>
          <cell r="X583" t="str">
            <v>Depósitos $</v>
          </cell>
          <cell r="Y583" t="str">
            <v>Depósitos</v>
          </cell>
          <cell r="Z583" t="str">
            <v>Corto $</v>
          </cell>
          <cell r="AA583" t="str">
            <v>Depósitos</v>
          </cell>
          <cell r="AB583" t="str">
            <v>Depósitos $</v>
          </cell>
          <cell r="AC583" t="str">
            <v>Instrumentos de Deuda</v>
          </cell>
          <cell r="AD583" t="str">
            <v>Financieras</v>
          </cell>
          <cell r="AE583" t="str">
            <v>Deposito CLP Banco Ripley</v>
          </cell>
          <cell r="AF583" t="str">
            <v>Banco Ripley</v>
          </cell>
        </row>
        <row r="584">
          <cell r="C584" t="str">
            <v>PAGARE R</v>
          </cell>
          <cell r="D584" t="str">
            <v>BCI</v>
          </cell>
          <cell r="E584">
            <v>1566319463</v>
          </cell>
          <cell r="F584">
            <v>60000</v>
          </cell>
          <cell r="G584">
            <v>3.4831000000000001E-2</v>
          </cell>
          <cell r="H584">
            <v>3.86</v>
          </cell>
          <cell r="I584" t="str">
            <v>2017-02-01</v>
          </cell>
          <cell r="J584">
            <v>69</v>
          </cell>
          <cell r="K584">
            <v>0.19</v>
          </cell>
          <cell r="L584">
            <v>0</v>
          </cell>
          <cell r="M584" t="str">
            <v>UF</v>
          </cell>
          <cell r="N584" t="str">
            <v>RFL</v>
          </cell>
          <cell r="O584" t="str">
            <v>Renta Fija Local</v>
          </cell>
          <cell r="P584" t="str">
            <v>N-1</v>
          </cell>
          <cell r="Q584" t="str">
            <v>Corto</v>
          </cell>
          <cell r="R584" t="str">
            <v>Depósitos UF</v>
          </cell>
          <cell r="S584">
            <v>3.86</v>
          </cell>
          <cell r="T584" t="str">
            <v>N-1</v>
          </cell>
          <cell r="U584" t="str">
            <v>25</v>
          </cell>
          <cell r="V584" t="str">
            <v>Depósitos</v>
          </cell>
          <cell r="W584" t="str">
            <v>Depósitos</v>
          </cell>
          <cell r="X584" t="str">
            <v>Depósitos UF</v>
          </cell>
          <cell r="Y584" t="str">
            <v>Depósitos</v>
          </cell>
          <cell r="Z584" t="str">
            <v>Corto UF</v>
          </cell>
          <cell r="AA584" t="str">
            <v>Depósitos</v>
          </cell>
          <cell r="AB584" t="str">
            <v>Depósitos UF</v>
          </cell>
          <cell r="AC584" t="str">
            <v>Instrumentos de Deuda</v>
          </cell>
          <cell r="AD584" t="str">
            <v>Financieras</v>
          </cell>
          <cell r="AE584" t="str">
            <v>Deposito UF Banco Bci</v>
          </cell>
          <cell r="AF584" t="str">
            <v>BCI</v>
          </cell>
        </row>
        <row r="585">
          <cell r="C585" t="str">
            <v>PAGARE R</v>
          </cell>
          <cell r="D585" t="str">
            <v>BICE</v>
          </cell>
          <cell r="E585">
            <v>1174246843</v>
          </cell>
          <cell r="F585">
            <v>45000</v>
          </cell>
          <cell r="G585">
            <v>2.6112E-2</v>
          </cell>
          <cell r="H585">
            <v>4.0199999999999996</v>
          </cell>
          <cell r="I585" t="str">
            <v>2017-02-02</v>
          </cell>
          <cell r="J585">
            <v>70</v>
          </cell>
          <cell r="K585">
            <v>0.19</v>
          </cell>
          <cell r="L585">
            <v>0</v>
          </cell>
          <cell r="M585" t="str">
            <v>UF</v>
          </cell>
          <cell r="N585" t="str">
            <v>RFL</v>
          </cell>
          <cell r="O585" t="str">
            <v>Renta Fija Local</v>
          </cell>
          <cell r="P585" t="str">
            <v>N-1</v>
          </cell>
          <cell r="Q585" t="str">
            <v>Corto</v>
          </cell>
          <cell r="R585" t="str">
            <v>Depósitos UF</v>
          </cell>
          <cell r="S585">
            <v>4.0199999999999996</v>
          </cell>
          <cell r="T585" t="str">
            <v>N-1</v>
          </cell>
          <cell r="U585" t="str">
            <v>25</v>
          </cell>
          <cell r="V585" t="str">
            <v>Depósitos</v>
          </cell>
          <cell r="W585" t="str">
            <v>Depósitos</v>
          </cell>
          <cell r="X585" t="str">
            <v>Depósitos UF</v>
          </cell>
          <cell r="Y585" t="str">
            <v>Depósitos</v>
          </cell>
          <cell r="Z585" t="str">
            <v>Corto UF</v>
          </cell>
          <cell r="AA585" t="str">
            <v>Depósitos</v>
          </cell>
          <cell r="AB585" t="str">
            <v>Depósitos UF</v>
          </cell>
          <cell r="AC585" t="str">
            <v>Instrumentos de Deuda</v>
          </cell>
          <cell r="AD585" t="str">
            <v>Financieras</v>
          </cell>
          <cell r="AE585" t="str">
            <v>Deposito UF Banco Bice</v>
          </cell>
          <cell r="AF585" t="str">
            <v>BICE</v>
          </cell>
        </row>
        <row r="586">
          <cell r="C586" t="str">
            <v>PAGARE NR</v>
          </cell>
          <cell r="D586" t="str">
            <v>INTERNACIO</v>
          </cell>
          <cell r="E586">
            <v>148368931</v>
          </cell>
          <cell r="F586">
            <v>150000000</v>
          </cell>
          <cell r="G586">
            <v>3.2989999999999998E-3</v>
          </cell>
          <cell r="H586">
            <v>0.34</v>
          </cell>
          <cell r="I586" t="str">
            <v>2017-02-28</v>
          </cell>
          <cell r="J586">
            <v>96</v>
          </cell>
          <cell r="K586">
            <v>0.27</v>
          </cell>
          <cell r="L586">
            <v>0</v>
          </cell>
          <cell r="M586" t="str">
            <v>$</v>
          </cell>
          <cell r="N586" t="str">
            <v>RFL</v>
          </cell>
          <cell r="O586" t="str">
            <v>Renta Fija Local</v>
          </cell>
          <cell r="P586" t="str">
            <v>N-1</v>
          </cell>
          <cell r="Q586" t="str">
            <v>Corto</v>
          </cell>
          <cell r="R586" t="str">
            <v>Depósitos $</v>
          </cell>
          <cell r="S586">
            <v>1.1571670000000001</v>
          </cell>
          <cell r="T586" t="str">
            <v>N-1</v>
          </cell>
          <cell r="U586" t="str">
            <v>25</v>
          </cell>
          <cell r="V586" t="str">
            <v>Depósitos</v>
          </cell>
          <cell r="W586" t="str">
            <v>Depósitos</v>
          </cell>
          <cell r="X586" t="str">
            <v>Depósitos $</v>
          </cell>
          <cell r="Y586" t="str">
            <v>Depósitos</v>
          </cell>
          <cell r="Z586" t="str">
            <v>Corto $</v>
          </cell>
          <cell r="AA586" t="str">
            <v>Depósitos</v>
          </cell>
          <cell r="AB586" t="str">
            <v>Depósitos $</v>
          </cell>
          <cell r="AC586" t="str">
            <v>Instrumentos de Deuda</v>
          </cell>
          <cell r="AD586" t="str">
            <v>Financieras</v>
          </cell>
          <cell r="AE586" t="str">
            <v>Deposito CLP Banco Internacio</v>
          </cell>
          <cell r="AF586" t="str">
            <v>Banco Internacional</v>
          </cell>
        </row>
        <row r="587">
          <cell r="C587" t="str">
            <v>BVL2BV0617</v>
          </cell>
          <cell r="D587" t="str">
            <v>BVL</v>
          </cell>
          <cell r="E587">
            <v>2950758</v>
          </cell>
          <cell r="F587">
            <v>1590</v>
          </cell>
          <cell r="G587">
            <v>6.4999999999999994E-5</v>
          </cell>
          <cell r="H587">
            <v>4.38</v>
          </cell>
          <cell r="I587" t="str">
            <v>2017-06-05</v>
          </cell>
          <cell r="J587">
            <v>193</v>
          </cell>
          <cell r="K587">
            <v>0.28000000000000003</v>
          </cell>
          <cell r="L587">
            <v>99.44</v>
          </cell>
          <cell r="M587" t="str">
            <v>UF</v>
          </cell>
          <cell r="N587" t="str">
            <v>RFL</v>
          </cell>
          <cell r="O587" t="str">
            <v>Renta Fija Local</v>
          </cell>
          <cell r="P587" t="str">
            <v>NA</v>
          </cell>
          <cell r="Q587" t="str">
            <v>Corto</v>
          </cell>
          <cell r="R587" t="str">
            <v>Gobierno UF Corto</v>
          </cell>
          <cell r="S587">
            <v>4.38</v>
          </cell>
          <cell r="T587" t="str">
            <v>Gob</v>
          </cell>
          <cell r="U587" t="str">
            <v>0</v>
          </cell>
          <cell r="V587" t="str">
            <v>Gobierno</v>
          </cell>
          <cell r="W587" t="str">
            <v>Gobierno</v>
          </cell>
          <cell r="X587" t="str">
            <v>Gobierno Corto UF</v>
          </cell>
          <cell r="Y587" t="str">
            <v>Gobierno Corto</v>
          </cell>
          <cell r="Z587" t="str">
            <v>Corto UF</v>
          </cell>
          <cell r="AA587" t="str">
            <v>Gobierno</v>
          </cell>
          <cell r="AB587" t="str">
            <v>Gobierno UF</v>
          </cell>
          <cell r="AC587" t="str">
            <v>Instrumentos de Deuda</v>
          </cell>
          <cell r="AD587" t="str">
            <v>Gobierno</v>
          </cell>
          <cell r="AE587" t="str">
            <v>Bono Ministerio De Vivienda Leasing</v>
          </cell>
          <cell r="AF587" t="str">
            <v>Ministerio VYU</v>
          </cell>
        </row>
        <row r="588">
          <cell r="C588" t="str">
            <v>PAGARE R</v>
          </cell>
          <cell r="D588" t="str">
            <v>SCOTIABANK</v>
          </cell>
          <cell r="E588">
            <v>130000816</v>
          </cell>
          <cell r="F588">
            <v>5000</v>
          </cell>
          <cell r="G588">
            <v>2.8900000000000002E-3</v>
          </cell>
          <cell r="H588">
            <v>3.79</v>
          </cell>
          <cell r="I588" t="str">
            <v>2017-03-13</v>
          </cell>
          <cell r="J588">
            <v>109</v>
          </cell>
          <cell r="K588">
            <v>0.3</v>
          </cell>
          <cell r="L588">
            <v>0</v>
          </cell>
          <cell r="M588" t="str">
            <v>UF</v>
          </cell>
          <cell r="N588" t="str">
            <v>RFL</v>
          </cell>
          <cell r="O588" t="str">
            <v>Renta Fija Local</v>
          </cell>
          <cell r="P588" t="str">
            <v>N-1</v>
          </cell>
          <cell r="Q588" t="str">
            <v>Corto</v>
          </cell>
          <cell r="R588" t="str">
            <v>Depósitos UF</v>
          </cell>
          <cell r="S588">
            <v>3.79</v>
          </cell>
          <cell r="T588" t="str">
            <v>N-1</v>
          </cell>
          <cell r="U588" t="str">
            <v>25</v>
          </cell>
          <cell r="V588" t="str">
            <v>Depósitos</v>
          </cell>
          <cell r="W588" t="str">
            <v>Depósitos</v>
          </cell>
          <cell r="X588" t="str">
            <v>Depósitos UF</v>
          </cell>
          <cell r="Y588" t="str">
            <v>Depósitos</v>
          </cell>
          <cell r="Z588" t="str">
            <v>Corto UF</v>
          </cell>
          <cell r="AA588" t="str">
            <v>Depósitos</v>
          </cell>
          <cell r="AB588" t="str">
            <v>Depósitos UF</v>
          </cell>
          <cell r="AC588" t="str">
            <v>Instrumentos de Deuda</v>
          </cell>
          <cell r="AD588" t="str">
            <v>Financieras</v>
          </cell>
          <cell r="AE588" t="str">
            <v>Deposito UF Banco Scotiabank</v>
          </cell>
          <cell r="AF588" t="str">
            <v>Scotiabank</v>
          </cell>
        </row>
        <row r="589">
          <cell r="C589" t="str">
            <v>PAGARE R</v>
          </cell>
          <cell r="D589" t="str">
            <v>SANTANDER</v>
          </cell>
          <cell r="E589">
            <v>207691582</v>
          </cell>
          <cell r="F589">
            <v>8000</v>
          </cell>
          <cell r="G589">
            <v>4.6179999999999997E-3</v>
          </cell>
          <cell r="H589">
            <v>3.8</v>
          </cell>
          <cell r="I589" t="str">
            <v>2017-03-27</v>
          </cell>
          <cell r="J589">
            <v>123</v>
          </cell>
          <cell r="K589">
            <v>0.34</v>
          </cell>
          <cell r="L589">
            <v>0</v>
          </cell>
          <cell r="M589" t="str">
            <v>UF</v>
          </cell>
          <cell r="N589" t="str">
            <v>RFL</v>
          </cell>
          <cell r="O589" t="str">
            <v>Renta Fija Local</v>
          </cell>
          <cell r="P589" t="str">
            <v>N-1</v>
          </cell>
          <cell r="Q589" t="str">
            <v>Corto</v>
          </cell>
          <cell r="R589" t="str">
            <v>Depósitos UF</v>
          </cell>
          <cell r="S589">
            <v>3.8</v>
          </cell>
          <cell r="T589" t="str">
            <v>N-1</v>
          </cell>
          <cell r="U589" t="str">
            <v>25</v>
          </cell>
          <cell r="V589" t="str">
            <v>Depósitos</v>
          </cell>
          <cell r="W589" t="str">
            <v>Depósitos</v>
          </cell>
          <cell r="X589" t="str">
            <v>Depósitos UF</v>
          </cell>
          <cell r="Y589" t="str">
            <v>Depósitos</v>
          </cell>
          <cell r="Z589" t="str">
            <v>Corto UF</v>
          </cell>
          <cell r="AA589" t="str">
            <v>Depósitos</v>
          </cell>
          <cell r="AB589" t="str">
            <v>Depósitos UF</v>
          </cell>
          <cell r="AC589" t="str">
            <v>Instrumentos de Deuda</v>
          </cell>
          <cell r="AD589" t="str">
            <v>Financieras</v>
          </cell>
          <cell r="AE589" t="str">
            <v>Deposito UF Banco Santander</v>
          </cell>
          <cell r="AF589" t="str">
            <v>Banco Santander</v>
          </cell>
        </row>
        <row r="590">
          <cell r="C590" t="str">
            <v>DES4010705</v>
          </cell>
          <cell r="D590" t="str">
            <v>DESARROLLO</v>
          </cell>
          <cell r="E590">
            <v>211119</v>
          </cell>
          <cell r="F590">
            <v>100</v>
          </cell>
          <cell r="G590">
            <v>3.9999999999999998E-6</v>
          </cell>
          <cell r="H590">
            <v>4.2699999999999996</v>
          </cell>
          <cell r="I590" t="str">
            <v>2017-07-01</v>
          </cell>
          <cell r="J590">
            <v>219</v>
          </cell>
          <cell r="K590">
            <v>0.36</v>
          </cell>
          <cell r="L590">
            <v>100.02</v>
          </cell>
          <cell r="M590" t="str">
            <v>UF</v>
          </cell>
          <cell r="N590" t="str">
            <v>RFL</v>
          </cell>
          <cell r="O590" t="str">
            <v>Renta Fija Local</v>
          </cell>
          <cell r="P590" t="str">
            <v>AAA;AAA</v>
          </cell>
          <cell r="Q590" t="str">
            <v>Corto</v>
          </cell>
          <cell r="R590" t="str">
            <v>Corporativo Bajo Riesgo Corto</v>
          </cell>
          <cell r="S590">
            <v>4.2699999999999996</v>
          </cell>
          <cell r="T590" t="str">
            <v>AAA</v>
          </cell>
          <cell r="U590" t="str">
            <v>1</v>
          </cell>
          <cell r="V590" t="str">
            <v>Bajo Riesgo</v>
          </cell>
          <cell r="W590" t="str">
            <v>Corporativo</v>
          </cell>
          <cell r="X590" t="str">
            <v>Bajo Riesgo Corto UF</v>
          </cell>
          <cell r="Y590" t="str">
            <v>Corporativo Bajo Riesgo Corto</v>
          </cell>
          <cell r="Z590" t="str">
            <v>Corto UF</v>
          </cell>
          <cell r="AA590" t="str">
            <v>Corporativo Corto</v>
          </cell>
          <cell r="AB590" t="str">
            <v>Corporativo UF</v>
          </cell>
          <cell r="AC590" t="str">
            <v>Instrumentos de Deuda</v>
          </cell>
          <cell r="AD590" t="str">
            <v>Financieras</v>
          </cell>
          <cell r="AE590" t="str">
            <v>Lh Desarrollo-401</v>
          </cell>
          <cell r="AF590" t="str">
            <v>Scotiabank</v>
          </cell>
        </row>
        <row r="591">
          <cell r="C591" t="str">
            <v>BTRA1-6B1</v>
          </cell>
          <cell r="D591" t="str">
            <v>TRANSA</v>
          </cell>
          <cell r="E591">
            <v>55847065</v>
          </cell>
          <cell r="F591">
            <v>15159</v>
          </cell>
          <cell r="G591">
            <v>1.2409999999999999E-3</v>
          </cell>
          <cell r="H591">
            <v>9.68</v>
          </cell>
          <cell r="I591" t="str">
            <v>2017-09-01</v>
          </cell>
          <cell r="J591">
            <v>281</v>
          </cell>
          <cell r="K591">
            <v>0.36</v>
          </cell>
          <cell r="L591">
            <v>98.29</v>
          </cell>
          <cell r="M591" t="str">
            <v>UF</v>
          </cell>
          <cell r="N591" t="str">
            <v>RFL</v>
          </cell>
          <cell r="O591" t="str">
            <v>Renta Fija Local</v>
          </cell>
          <cell r="P591" t="str">
            <v>AAA</v>
          </cell>
          <cell r="Q591" t="str">
            <v>Corto</v>
          </cell>
          <cell r="R591" t="str">
            <v>Corporativo Bajo Riesgo Corto</v>
          </cell>
          <cell r="S591">
            <v>9.68</v>
          </cell>
          <cell r="T591" t="str">
            <v>AAA</v>
          </cell>
          <cell r="U591" t="str">
            <v>1</v>
          </cell>
          <cell r="V591" t="str">
            <v>Bajo Riesgo</v>
          </cell>
          <cell r="W591" t="str">
            <v>Corporativo</v>
          </cell>
          <cell r="X591" t="str">
            <v>Bajo Riesgo Corto UF</v>
          </cell>
          <cell r="Y591" t="str">
            <v>Corporativo Bajo Riesgo Corto</v>
          </cell>
          <cell r="Z591" t="str">
            <v>Corto UF</v>
          </cell>
          <cell r="AA591" t="str">
            <v>Corporativo Corto</v>
          </cell>
          <cell r="AB591" t="str">
            <v>Corporativo UF</v>
          </cell>
          <cell r="AC591" t="str">
            <v>Instrumentos de Deuda</v>
          </cell>
          <cell r="AD591" t="str">
            <v>Financieras</v>
          </cell>
          <cell r="AE591" t="str">
            <v>Bonos Transa Securitizadora</v>
          </cell>
          <cell r="AF591" t="str">
            <v>Transa Securitizadora S.A.</v>
          </cell>
        </row>
        <row r="592">
          <cell r="C592" t="str">
            <v>PAGARE NR</v>
          </cell>
          <cell r="D592" t="str">
            <v>SECURITY</v>
          </cell>
          <cell r="E592">
            <v>49268365</v>
          </cell>
          <cell r="F592">
            <v>50000000</v>
          </cell>
          <cell r="G592">
            <v>1.0950000000000001E-3</v>
          </cell>
          <cell r="H592">
            <v>0.33</v>
          </cell>
          <cell r="I592" t="str">
            <v>2017-04-07</v>
          </cell>
          <cell r="J592">
            <v>134</v>
          </cell>
          <cell r="K592">
            <v>0.37</v>
          </cell>
          <cell r="L592">
            <v>0</v>
          </cell>
          <cell r="M592" t="str">
            <v>$</v>
          </cell>
          <cell r="N592" t="str">
            <v>RFL</v>
          </cell>
          <cell r="O592" t="str">
            <v>Renta Fija Local</v>
          </cell>
          <cell r="P592" t="str">
            <v>N-1</v>
          </cell>
          <cell r="Q592" t="str">
            <v>Corto</v>
          </cell>
          <cell r="R592" t="str">
            <v>Depósitos $</v>
          </cell>
          <cell r="S592">
            <v>1.0326709999999999</v>
          </cell>
          <cell r="T592" t="str">
            <v>N-1</v>
          </cell>
          <cell r="U592" t="str">
            <v>25</v>
          </cell>
          <cell r="V592" t="str">
            <v>Depósitos</v>
          </cell>
          <cell r="W592" t="str">
            <v>Depósitos</v>
          </cell>
          <cell r="X592" t="str">
            <v>Depósitos $</v>
          </cell>
          <cell r="Y592" t="str">
            <v>Depósitos</v>
          </cell>
          <cell r="Z592" t="str">
            <v>Corto $</v>
          </cell>
          <cell r="AA592" t="str">
            <v>Depósitos</v>
          </cell>
          <cell r="AB592" t="str">
            <v>Depósitos $</v>
          </cell>
          <cell r="AC592" t="str">
            <v>Instrumentos de Deuda</v>
          </cell>
          <cell r="AD592" t="str">
            <v>Financieras</v>
          </cell>
          <cell r="AE592" t="str">
            <v>Deposito CLP Banco Security</v>
          </cell>
          <cell r="AF592" t="str">
            <v>Banco Security</v>
          </cell>
        </row>
        <row r="593">
          <cell r="C593" t="str">
            <v>PAGARE NR</v>
          </cell>
          <cell r="D593" t="str">
            <v>ESTADO</v>
          </cell>
          <cell r="E593">
            <v>19689820</v>
          </cell>
          <cell r="F593">
            <v>20000000</v>
          </cell>
          <cell r="G593">
            <v>4.37E-4</v>
          </cell>
          <cell r="H593">
            <v>0.34</v>
          </cell>
          <cell r="I593" t="str">
            <v>2017-04-11</v>
          </cell>
          <cell r="J593">
            <v>138</v>
          </cell>
          <cell r="K593">
            <v>0.38</v>
          </cell>
          <cell r="L593">
            <v>0</v>
          </cell>
          <cell r="M593" t="str">
            <v>$</v>
          </cell>
          <cell r="N593" t="str">
            <v>RFL</v>
          </cell>
          <cell r="O593" t="str">
            <v>Renta Fija Local</v>
          </cell>
          <cell r="P593" t="str">
            <v>N-1</v>
          </cell>
          <cell r="Q593" t="str">
            <v>Corto</v>
          </cell>
          <cell r="R593" t="str">
            <v>Depósitos $</v>
          </cell>
          <cell r="S593">
            <v>1.1571670000000001</v>
          </cell>
          <cell r="T593" t="str">
            <v>N-1</v>
          </cell>
          <cell r="U593" t="str">
            <v>25</v>
          </cell>
          <cell r="V593" t="str">
            <v>Depósitos</v>
          </cell>
          <cell r="W593" t="str">
            <v>Depósitos</v>
          </cell>
          <cell r="X593" t="str">
            <v>Depósitos $</v>
          </cell>
          <cell r="Y593" t="str">
            <v>Depósitos</v>
          </cell>
          <cell r="Z593" t="str">
            <v>Corto $</v>
          </cell>
          <cell r="AA593" t="str">
            <v>Depósitos</v>
          </cell>
          <cell r="AB593" t="str">
            <v>Depósitos $</v>
          </cell>
          <cell r="AC593" t="str">
            <v>Instrumentos de Deuda</v>
          </cell>
          <cell r="AD593" t="str">
            <v>Financieras</v>
          </cell>
          <cell r="AE593" t="str">
            <v>Deposito CLP Banco Estado</v>
          </cell>
          <cell r="AF593" t="str">
            <v>Banco Estado</v>
          </cell>
        </row>
        <row r="594">
          <cell r="C594" t="str">
            <v>BVL2AV0917</v>
          </cell>
          <cell r="D594" t="str">
            <v>BVL</v>
          </cell>
          <cell r="E594">
            <v>6361387</v>
          </cell>
          <cell r="F594">
            <v>2623</v>
          </cell>
          <cell r="G594">
            <v>1.4100000000000001E-4</v>
          </cell>
          <cell r="H594">
            <v>4.46</v>
          </cell>
          <cell r="I594" t="str">
            <v>2017-09-05</v>
          </cell>
          <cell r="J594">
            <v>285</v>
          </cell>
          <cell r="K594">
            <v>0.4</v>
          </cell>
          <cell r="L594">
            <v>99.05</v>
          </cell>
          <cell r="M594" t="str">
            <v>UF</v>
          </cell>
          <cell r="N594" t="str">
            <v>RFL</v>
          </cell>
          <cell r="O594" t="str">
            <v>Renta Fija Local</v>
          </cell>
          <cell r="P594" t="str">
            <v>NA</v>
          </cell>
          <cell r="Q594" t="str">
            <v>Corto</v>
          </cell>
          <cell r="R594" t="str">
            <v>Gobierno UF Corto</v>
          </cell>
          <cell r="S594">
            <v>4.46</v>
          </cell>
          <cell r="T594" t="str">
            <v>Gob</v>
          </cell>
          <cell r="U594" t="str">
            <v>0</v>
          </cell>
          <cell r="V594" t="str">
            <v>Gobierno</v>
          </cell>
          <cell r="W594" t="str">
            <v>Gobierno</v>
          </cell>
          <cell r="X594" t="str">
            <v>Gobierno Corto UF</v>
          </cell>
          <cell r="Y594" t="str">
            <v>Gobierno Corto</v>
          </cell>
          <cell r="Z594" t="str">
            <v>Corto UF</v>
          </cell>
          <cell r="AA594" t="str">
            <v>Gobierno</v>
          </cell>
          <cell r="AB594" t="str">
            <v>Gobierno UF</v>
          </cell>
          <cell r="AC594" t="str">
            <v>Instrumentos de Deuda</v>
          </cell>
          <cell r="AD594" t="str">
            <v>Gobierno</v>
          </cell>
          <cell r="AE594" t="str">
            <v>Bono Ministerio De Vivienda Leasing</v>
          </cell>
          <cell r="AF594" t="str">
            <v>Ministerio VYU</v>
          </cell>
        </row>
        <row r="595">
          <cell r="C595" t="str">
            <v>BVL3CV1217</v>
          </cell>
          <cell r="D595" t="str">
            <v>BVL</v>
          </cell>
          <cell r="E595">
            <v>6757260</v>
          </cell>
          <cell r="F595">
            <v>2051</v>
          </cell>
          <cell r="G595">
            <v>1.4999999999999999E-4</v>
          </cell>
          <cell r="H595">
            <v>3.68</v>
          </cell>
          <cell r="I595" t="str">
            <v>2017-12-05</v>
          </cell>
          <cell r="J595">
            <v>376</v>
          </cell>
          <cell r="K595">
            <v>0.52</v>
          </cell>
          <cell r="L595">
            <v>99.91</v>
          </cell>
          <cell r="M595" t="str">
            <v>UF</v>
          </cell>
          <cell r="N595" t="str">
            <v>RFL</v>
          </cell>
          <cell r="O595" t="str">
            <v>Renta Fija Local</v>
          </cell>
          <cell r="P595" t="str">
            <v>NA</v>
          </cell>
          <cell r="Q595" t="str">
            <v>Corto</v>
          </cell>
          <cell r="R595" t="str">
            <v>Gobierno UF Corto</v>
          </cell>
          <cell r="S595">
            <v>3.68</v>
          </cell>
          <cell r="T595" t="str">
            <v>Gob</v>
          </cell>
          <cell r="U595" t="str">
            <v>0</v>
          </cell>
          <cell r="V595" t="str">
            <v>Gobierno</v>
          </cell>
          <cell r="W595" t="str">
            <v>Gobierno</v>
          </cell>
          <cell r="X595" t="str">
            <v>Gobierno Corto UF</v>
          </cell>
          <cell r="Y595" t="str">
            <v>Gobierno Corto</v>
          </cell>
          <cell r="Z595" t="str">
            <v>Corto UF</v>
          </cell>
          <cell r="AA595" t="str">
            <v>Gobierno</v>
          </cell>
          <cell r="AB595" t="str">
            <v>Gobierno UF</v>
          </cell>
          <cell r="AC595" t="str">
            <v>Instrumentos de Deuda</v>
          </cell>
          <cell r="AD595" t="str">
            <v>Gobierno</v>
          </cell>
          <cell r="AE595" t="str">
            <v>Bono Ministerio De Vivienda Leasing</v>
          </cell>
          <cell r="AF595" t="str">
            <v>Ministerio VYU</v>
          </cell>
        </row>
        <row r="596">
          <cell r="C596" t="str">
            <v>BCOR-L0707</v>
          </cell>
          <cell r="D596" t="str">
            <v>BBCORPBANC</v>
          </cell>
          <cell r="E596">
            <v>426569762</v>
          </cell>
          <cell r="F596">
            <v>16000</v>
          </cell>
          <cell r="G596">
            <v>9.4850000000000004E-3</v>
          </cell>
          <cell r="H596">
            <v>3.35</v>
          </cell>
          <cell r="I596" t="str">
            <v>2017-07-01</v>
          </cell>
          <cell r="J596">
            <v>219</v>
          </cell>
          <cell r="K596">
            <v>0.59</v>
          </cell>
          <cell r="L596">
            <v>100.03</v>
          </cell>
          <cell r="M596" t="str">
            <v>UF</v>
          </cell>
          <cell r="N596" t="str">
            <v>RFL</v>
          </cell>
          <cell r="O596" t="str">
            <v>Renta Fija Local</v>
          </cell>
          <cell r="P596" t="str">
            <v>AA ; AA-</v>
          </cell>
          <cell r="Q596" t="str">
            <v>Corto</v>
          </cell>
          <cell r="R596" t="str">
            <v>Corporativo Bajo Riesgo Corto</v>
          </cell>
          <cell r="S596">
            <v>3.35</v>
          </cell>
          <cell r="T596" t="str">
            <v>AA-</v>
          </cell>
          <cell r="U596" t="str">
            <v>4</v>
          </cell>
          <cell r="V596" t="str">
            <v>Bajo Riesgo</v>
          </cell>
          <cell r="W596" t="str">
            <v>Corporativo</v>
          </cell>
          <cell r="X596" t="str">
            <v>Bajo Riesgo Corto UF</v>
          </cell>
          <cell r="Y596" t="str">
            <v>Corporativo Bajo Riesgo Corto</v>
          </cell>
          <cell r="Z596" t="str">
            <v>Corto UF</v>
          </cell>
          <cell r="AA596" t="str">
            <v>Corporativo Corto</v>
          </cell>
          <cell r="AB596" t="str">
            <v>Corporativo UF</v>
          </cell>
          <cell r="AC596" t="str">
            <v>Instrumentos de Deuda</v>
          </cell>
          <cell r="AD596" t="str">
            <v>Financieras</v>
          </cell>
          <cell r="AE596" t="str">
            <v>Bono Corpbanca Serie L</v>
          </cell>
          <cell r="AF596" t="str">
            <v>Itau/Corpbanca</v>
          </cell>
        </row>
        <row r="597">
          <cell r="C597" t="str">
            <v>STD47O0103</v>
          </cell>
          <cell r="D597" t="str">
            <v>SANTANDER</v>
          </cell>
          <cell r="E597">
            <v>776000</v>
          </cell>
          <cell r="F597">
            <v>260</v>
          </cell>
          <cell r="G597">
            <v>1.7E-5</v>
          </cell>
          <cell r="H597">
            <v>3.13</v>
          </cell>
          <cell r="I597" t="str">
            <v>2018-01-01</v>
          </cell>
          <cell r="J597">
            <v>403</v>
          </cell>
          <cell r="K597">
            <v>0.6</v>
          </cell>
          <cell r="L597">
            <v>100.91</v>
          </cell>
          <cell r="M597" t="str">
            <v>UF</v>
          </cell>
          <cell r="N597" t="str">
            <v>RFL</v>
          </cell>
          <cell r="O597" t="str">
            <v>Renta Fija Local</v>
          </cell>
          <cell r="P597" t="str">
            <v>AAA ; AAA</v>
          </cell>
          <cell r="Q597" t="str">
            <v>Corto</v>
          </cell>
          <cell r="R597" t="str">
            <v>Corporativo Bajo Riesgo Corto</v>
          </cell>
          <cell r="S597">
            <v>3.13</v>
          </cell>
          <cell r="T597" t="str">
            <v>AAA</v>
          </cell>
          <cell r="U597" t="str">
            <v>1</v>
          </cell>
          <cell r="V597" t="str">
            <v>Bajo Riesgo</v>
          </cell>
          <cell r="W597" t="str">
            <v>Corporativo</v>
          </cell>
          <cell r="X597" t="str">
            <v>Bajo Riesgo Corto UF</v>
          </cell>
          <cell r="Y597" t="str">
            <v>Corporativo Bajo Riesgo Corto</v>
          </cell>
          <cell r="Z597" t="str">
            <v>Corto UF</v>
          </cell>
          <cell r="AA597" t="str">
            <v>Corporativo Corto</v>
          </cell>
          <cell r="AB597" t="str">
            <v>Corporativo UF</v>
          </cell>
          <cell r="AC597" t="str">
            <v>Instrumentos de Deuda</v>
          </cell>
          <cell r="AD597" t="str">
            <v>Financieras</v>
          </cell>
          <cell r="AE597" t="str">
            <v>Lh Sant-Chile-47O (01/03)</v>
          </cell>
          <cell r="AF597" t="str">
            <v>Banco Santander</v>
          </cell>
        </row>
        <row r="598">
          <cell r="C598" t="str">
            <v>PAGARE R</v>
          </cell>
          <cell r="D598" t="str">
            <v>SANTANDER</v>
          </cell>
          <cell r="E598">
            <v>129102628</v>
          </cell>
          <cell r="F598">
            <v>5000</v>
          </cell>
          <cell r="G598">
            <v>2.8700000000000002E-3</v>
          </cell>
          <cell r="H598">
            <v>2.84</v>
          </cell>
          <cell r="I598" t="str">
            <v>2017-07-17</v>
          </cell>
          <cell r="J598">
            <v>235</v>
          </cell>
          <cell r="K598">
            <v>0.65</v>
          </cell>
          <cell r="L598">
            <v>0</v>
          </cell>
          <cell r="M598" t="str">
            <v>UF</v>
          </cell>
          <cell r="N598" t="str">
            <v>RFL</v>
          </cell>
          <cell r="O598" t="str">
            <v>Renta Fija Local</v>
          </cell>
          <cell r="P598" t="str">
            <v>N-1</v>
          </cell>
          <cell r="Q598" t="str">
            <v>Corto</v>
          </cell>
          <cell r="R598" t="str">
            <v>Depósitos UF</v>
          </cell>
          <cell r="S598">
            <v>2.84</v>
          </cell>
          <cell r="T598" t="str">
            <v>N-1</v>
          </cell>
          <cell r="U598" t="str">
            <v>25</v>
          </cell>
          <cell r="V598" t="str">
            <v>Depósitos</v>
          </cell>
          <cell r="W598" t="str">
            <v>Depósitos</v>
          </cell>
          <cell r="X598" t="str">
            <v>Depósitos UF</v>
          </cell>
          <cell r="Y598" t="str">
            <v>Depósitos</v>
          </cell>
          <cell r="Z598" t="str">
            <v>Corto UF</v>
          </cell>
          <cell r="AA598" t="str">
            <v>Depósitos</v>
          </cell>
          <cell r="AB598" t="str">
            <v>Depósitos UF</v>
          </cell>
          <cell r="AC598" t="str">
            <v>Instrumentos de Deuda</v>
          </cell>
          <cell r="AD598" t="str">
            <v>Financieras</v>
          </cell>
          <cell r="AE598" t="str">
            <v>Deposito UF Banco Santander</v>
          </cell>
          <cell r="AF598" t="str">
            <v>Banco Santander</v>
          </cell>
        </row>
        <row r="599">
          <cell r="C599" t="str">
            <v>BBNS-O0812</v>
          </cell>
          <cell r="D599" t="str">
            <v>BBSCOTIABA</v>
          </cell>
          <cell r="E599">
            <v>213871179</v>
          </cell>
          <cell r="F599">
            <v>8000</v>
          </cell>
          <cell r="G599">
            <v>4.7549999999999997E-3</v>
          </cell>
          <cell r="H599">
            <v>2.7</v>
          </cell>
          <cell r="I599" t="str">
            <v>2017-08-01</v>
          </cell>
          <cell r="J599">
            <v>250</v>
          </cell>
          <cell r="K599">
            <v>0.68</v>
          </cell>
          <cell r="L599">
            <v>100.55</v>
          </cell>
          <cell r="M599" t="str">
            <v>UF</v>
          </cell>
          <cell r="N599" t="str">
            <v>RFL</v>
          </cell>
          <cell r="O599" t="str">
            <v>Renta Fija Local</v>
          </cell>
          <cell r="P599" t="str">
            <v>AAA ; AAA</v>
          </cell>
          <cell r="Q599" t="str">
            <v>Corto</v>
          </cell>
          <cell r="R599" t="str">
            <v>Corporativo Bajo Riesgo Corto</v>
          </cell>
          <cell r="S599">
            <v>2.7</v>
          </cell>
          <cell r="T599" t="str">
            <v>AAA</v>
          </cell>
          <cell r="U599" t="str">
            <v>1</v>
          </cell>
          <cell r="V599" t="str">
            <v>Bajo Riesgo</v>
          </cell>
          <cell r="W599" t="str">
            <v>Corporativo</v>
          </cell>
          <cell r="X599" t="str">
            <v>Bajo Riesgo Corto UF</v>
          </cell>
          <cell r="Y599" t="str">
            <v>Corporativo Bajo Riesgo Corto</v>
          </cell>
          <cell r="Z599" t="str">
            <v>Corto UF</v>
          </cell>
          <cell r="AA599" t="str">
            <v>Corporativo Corto</v>
          </cell>
          <cell r="AB599" t="str">
            <v>Corporativo UF</v>
          </cell>
          <cell r="AC599" t="str">
            <v>Instrumentos de Deuda</v>
          </cell>
          <cell r="AD599" t="str">
            <v>Financieras</v>
          </cell>
          <cell r="AE599" t="str">
            <v>Bono Scotiabank Serie O</v>
          </cell>
          <cell r="AF599" t="str">
            <v>Scotiabank</v>
          </cell>
        </row>
        <row r="600">
          <cell r="C600" t="str">
            <v>PAGARE NR</v>
          </cell>
          <cell r="D600" t="str">
            <v>SECURITY</v>
          </cell>
          <cell r="E600">
            <v>48584884</v>
          </cell>
          <cell r="F600">
            <v>50000000</v>
          </cell>
          <cell r="G600">
            <v>1.08E-3</v>
          </cell>
          <cell r="H600">
            <v>0.34</v>
          </cell>
          <cell r="I600" t="str">
            <v>2017-08-07</v>
          </cell>
          <cell r="J600">
            <v>256</v>
          </cell>
          <cell r="K600">
            <v>0.7</v>
          </cell>
          <cell r="L600">
            <v>0</v>
          </cell>
          <cell r="M600" t="str">
            <v>$</v>
          </cell>
          <cell r="N600" t="str">
            <v>RFL</v>
          </cell>
          <cell r="O600" t="str">
            <v>Renta Fija Local</v>
          </cell>
          <cell r="P600" t="str">
            <v>N-1</v>
          </cell>
          <cell r="Q600" t="str">
            <v>Corto</v>
          </cell>
          <cell r="R600" t="str">
            <v>Depósitos $</v>
          </cell>
          <cell r="S600">
            <v>1.1571670000000001</v>
          </cell>
          <cell r="T600" t="str">
            <v>N-1</v>
          </cell>
          <cell r="U600" t="str">
            <v>25</v>
          </cell>
          <cell r="V600" t="str">
            <v>Depósitos</v>
          </cell>
          <cell r="W600" t="str">
            <v>Depósitos</v>
          </cell>
          <cell r="X600" t="str">
            <v>Depósitos $</v>
          </cell>
          <cell r="Y600" t="str">
            <v>Depósitos</v>
          </cell>
          <cell r="Z600" t="str">
            <v>Corto $</v>
          </cell>
          <cell r="AA600" t="str">
            <v>Depósitos</v>
          </cell>
          <cell r="AB600" t="str">
            <v>Depósitos $</v>
          </cell>
          <cell r="AC600" t="str">
            <v>Instrumentos de Deuda</v>
          </cell>
          <cell r="AD600" t="str">
            <v>Financieras</v>
          </cell>
          <cell r="AE600" t="str">
            <v>Deposito CLP Banco Security</v>
          </cell>
          <cell r="AF600" t="str">
            <v>Banco Security</v>
          </cell>
        </row>
        <row r="601">
          <cell r="C601" t="str">
            <v>BVL3AV0618</v>
          </cell>
          <cell r="D601" t="str">
            <v>BVL</v>
          </cell>
          <cell r="E601">
            <v>23878286</v>
          </cell>
          <cell r="F601">
            <v>5365</v>
          </cell>
          <cell r="G601">
            <v>5.2999999999999998E-4</v>
          </cell>
          <cell r="H601">
            <v>3.55</v>
          </cell>
          <cell r="I601" t="str">
            <v>2018-06-05</v>
          </cell>
          <cell r="J601">
            <v>558</v>
          </cell>
          <cell r="K601">
            <v>0.77</v>
          </cell>
          <cell r="L601">
            <v>99.6</v>
          </cell>
          <cell r="M601" t="str">
            <v>UF</v>
          </cell>
          <cell r="N601" t="str">
            <v>RFL</v>
          </cell>
          <cell r="O601" t="str">
            <v>Renta Fija Local</v>
          </cell>
          <cell r="P601" t="str">
            <v>NA</v>
          </cell>
          <cell r="Q601" t="str">
            <v>Corto</v>
          </cell>
          <cell r="R601" t="str">
            <v>Gobierno UF Corto</v>
          </cell>
          <cell r="S601">
            <v>3.55</v>
          </cell>
          <cell r="T601" t="str">
            <v>Gob</v>
          </cell>
          <cell r="U601" t="str">
            <v>0</v>
          </cell>
          <cell r="V601" t="str">
            <v>Gobierno</v>
          </cell>
          <cell r="W601" t="str">
            <v>Gobierno</v>
          </cell>
          <cell r="X601" t="str">
            <v>Gobierno Corto UF</v>
          </cell>
          <cell r="Y601" t="str">
            <v>Gobierno Corto</v>
          </cell>
          <cell r="Z601" t="str">
            <v>Corto UF</v>
          </cell>
          <cell r="AA601" t="str">
            <v>Gobierno</v>
          </cell>
          <cell r="AB601" t="str">
            <v>Gobierno UF</v>
          </cell>
          <cell r="AC601" t="str">
            <v>Instrumentos de Deuda</v>
          </cell>
          <cell r="AD601" t="str">
            <v>Gobierno</v>
          </cell>
          <cell r="AE601" t="str">
            <v>Bono Ministerio De Vivienda Leasing</v>
          </cell>
          <cell r="AF601" t="str">
            <v>Ministerio VYU</v>
          </cell>
        </row>
        <row r="602">
          <cell r="C602" t="str">
            <v>PAGARE NR</v>
          </cell>
          <cell r="D602" t="str">
            <v>INTERNACIO</v>
          </cell>
          <cell r="E602">
            <v>121029891</v>
          </cell>
          <cell r="F602">
            <v>125414400</v>
          </cell>
          <cell r="G602">
            <v>2.6909999999999998E-3</v>
          </cell>
          <cell r="H602">
            <v>0.38</v>
          </cell>
          <cell r="I602" t="str">
            <v>2017-09-05</v>
          </cell>
          <cell r="J602">
            <v>285</v>
          </cell>
          <cell r="K602">
            <v>0.78</v>
          </cell>
          <cell r="L602">
            <v>0</v>
          </cell>
          <cell r="M602" t="str">
            <v>$</v>
          </cell>
          <cell r="N602" t="str">
            <v>RFL</v>
          </cell>
          <cell r="O602" t="str">
            <v>Renta Fija Local</v>
          </cell>
          <cell r="P602" t="str">
            <v>N-1</v>
          </cell>
          <cell r="Q602" t="str">
            <v>Corto</v>
          </cell>
          <cell r="R602" t="str">
            <v>Depósitos $</v>
          </cell>
          <cell r="S602">
            <v>1.656522</v>
          </cell>
          <cell r="T602" t="str">
            <v>N-1</v>
          </cell>
          <cell r="U602" t="str">
            <v>25</v>
          </cell>
          <cell r="V602" t="str">
            <v>Depósitos</v>
          </cell>
          <cell r="W602" t="str">
            <v>Depósitos</v>
          </cell>
          <cell r="X602" t="str">
            <v>Depósitos $</v>
          </cell>
          <cell r="Y602" t="str">
            <v>Depósitos</v>
          </cell>
          <cell r="Z602" t="str">
            <v>Corto $</v>
          </cell>
          <cell r="AA602" t="str">
            <v>Depósitos</v>
          </cell>
          <cell r="AB602" t="str">
            <v>Depósitos $</v>
          </cell>
          <cell r="AC602" t="str">
            <v>Instrumentos de Deuda</v>
          </cell>
          <cell r="AD602" t="str">
            <v>Financieras</v>
          </cell>
          <cell r="AE602" t="str">
            <v>Deposito CLP Banco Internacio</v>
          </cell>
          <cell r="AF602" t="str">
            <v>Banco Internacional</v>
          </cell>
        </row>
        <row r="603">
          <cell r="C603" t="str">
            <v>BVL3AV0918</v>
          </cell>
          <cell r="D603" t="str">
            <v>BVL</v>
          </cell>
          <cell r="E603">
            <v>18161480</v>
          </cell>
          <cell r="F603">
            <v>3585</v>
          </cell>
          <cell r="G603">
            <v>4.0299999999999998E-4</v>
          </cell>
          <cell r="H603">
            <v>3.51</v>
          </cell>
          <cell r="I603" t="str">
            <v>2018-09-05</v>
          </cell>
          <cell r="J603">
            <v>650</v>
          </cell>
          <cell r="K603">
            <v>0.89</v>
          </cell>
          <cell r="L603">
            <v>99.57</v>
          </cell>
          <cell r="M603" t="str">
            <v>UF</v>
          </cell>
          <cell r="N603" t="str">
            <v>RFL</v>
          </cell>
          <cell r="O603" t="str">
            <v>Renta Fija Local</v>
          </cell>
          <cell r="P603" t="str">
            <v>NA</v>
          </cell>
          <cell r="Q603" t="str">
            <v>Corto</v>
          </cell>
          <cell r="R603" t="str">
            <v>Gobierno UF Corto</v>
          </cell>
          <cell r="S603">
            <v>3.51</v>
          </cell>
          <cell r="T603" t="str">
            <v>Gob</v>
          </cell>
          <cell r="U603" t="str">
            <v>0</v>
          </cell>
          <cell r="V603" t="str">
            <v>Gobierno</v>
          </cell>
          <cell r="W603" t="str">
            <v>Gobierno</v>
          </cell>
          <cell r="X603" t="str">
            <v>Gobierno Corto UF</v>
          </cell>
          <cell r="Y603" t="str">
            <v>Gobierno Corto</v>
          </cell>
          <cell r="Z603" t="str">
            <v>Corto UF</v>
          </cell>
          <cell r="AA603" t="str">
            <v>Gobierno</v>
          </cell>
          <cell r="AB603" t="str">
            <v>Gobierno UF</v>
          </cell>
          <cell r="AC603" t="str">
            <v>Instrumentos de Deuda</v>
          </cell>
          <cell r="AD603" t="str">
            <v>Gobierno</v>
          </cell>
          <cell r="AE603" t="str">
            <v>Bono Ministerio De Vivienda Leasing</v>
          </cell>
          <cell r="AF603" t="str">
            <v>Ministerio VYU</v>
          </cell>
        </row>
        <row r="604">
          <cell r="C604" t="str">
            <v>PAGARE NR</v>
          </cell>
          <cell r="D604" t="str">
            <v>SCOTIABANK</v>
          </cell>
          <cell r="E604">
            <v>96249479</v>
          </cell>
          <cell r="F604">
            <v>100000000</v>
          </cell>
          <cell r="G604">
            <v>2.14E-3</v>
          </cell>
          <cell r="H604">
            <v>0.35</v>
          </cell>
          <cell r="I604" t="str">
            <v>2017-10-23</v>
          </cell>
          <cell r="J604">
            <v>333</v>
          </cell>
          <cell r="K604">
            <v>0.92</v>
          </cell>
          <cell r="L604">
            <v>0</v>
          </cell>
          <cell r="M604" t="str">
            <v>$</v>
          </cell>
          <cell r="N604" t="str">
            <v>RFL</v>
          </cell>
          <cell r="O604" t="str">
            <v>Renta Fija Local</v>
          </cell>
          <cell r="P604" t="str">
            <v>N-1</v>
          </cell>
          <cell r="Q604" t="str">
            <v>Corto</v>
          </cell>
          <cell r="R604" t="str">
            <v>Depósitos $</v>
          </cell>
          <cell r="S604">
            <v>1.281801</v>
          </cell>
          <cell r="T604" t="str">
            <v>N-1</v>
          </cell>
          <cell r="U604" t="str">
            <v>25</v>
          </cell>
          <cell r="V604" t="str">
            <v>Depósitos</v>
          </cell>
          <cell r="W604" t="str">
            <v>Depósitos</v>
          </cell>
          <cell r="X604" t="str">
            <v>Depósitos $</v>
          </cell>
          <cell r="Y604" t="str">
            <v>Depósitos</v>
          </cell>
          <cell r="Z604" t="str">
            <v>Corto $</v>
          </cell>
          <cell r="AA604" t="str">
            <v>Depósitos</v>
          </cell>
          <cell r="AB604" t="str">
            <v>Depósitos $</v>
          </cell>
          <cell r="AC604" t="str">
            <v>Instrumentos de Deuda</v>
          </cell>
          <cell r="AD604" t="str">
            <v>Financieras</v>
          </cell>
          <cell r="AE604" t="str">
            <v>Deposito CLP Banco Scotiabank</v>
          </cell>
          <cell r="AF604" t="str">
            <v>Scotiabank</v>
          </cell>
        </row>
        <row r="605">
          <cell r="C605" t="str">
            <v>BSECB21112</v>
          </cell>
          <cell r="D605" t="str">
            <v>BBSECURITY</v>
          </cell>
          <cell r="E605">
            <v>304688997</v>
          </cell>
          <cell r="F605">
            <v>11500</v>
          </cell>
          <cell r="G605">
            <v>6.7749999999999998E-3</v>
          </cell>
          <cell r="H605">
            <v>2.68</v>
          </cell>
          <cell r="I605" t="str">
            <v>2017-11-01</v>
          </cell>
          <cell r="J605">
            <v>342</v>
          </cell>
          <cell r="K605">
            <v>0.93</v>
          </cell>
          <cell r="L605">
            <v>100.54</v>
          </cell>
          <cell r="M605" t="str">
            <v>UF</v>
          </cell>
          <cell r="N605" t="str">
            <v>RFL</v>
          </cell>
          <cell r="O605" t="str">
            <v>Renta Fija Local</v>
          </cell>
          <cell r="P605" t="str">
            <v>AA- ; AA-</v>
          </cell>
          <cell r="Q605" t="str">
            <v>Corto</v>
          </cell>
          <cell r="R605" t="str">
            <v>Corporativo Bajo Riesgo Corto</v>
          </cell>
          <cell r="S605">
            <v>2.68</v>
          </cell>
          <cell r="T605" t="str">
            <v>AA-</v>
          </cell>
          <cell r="U605" t="str">
            <v>4</v>
          </cell>
          <cell r="V605" t="str">
            <v>Bajo Riesgo</v>
          </cell>
          <cell r="W605" t="str">
            <v>Corporativo</v>
          </cell>
          <cell r="X605" t="str">
            <v>Bajo Riesgo Corto UF</v>
          </cell>
          <cell r="Y605" t="str">
            <v>Corporativo Bajo Riesgo Corto</v>
          </cell>
          <cell r="Z605" t="str">
            <v>Corto UF</v>
          </cell>
          <cell r="AA605" t="str">
            <v>Corporativo Corto</v>
          </cell>
          <cell r="AB605" t="str">
            <v>Corporativo UF</v>
          </cell>
          <cell r="AC605" t="str">
            <v>Instrumentos de Deuda</v>
          </cell>
          <cell r="AD605" t="str">
            <v>Financieras</v>
          </cell>
          <cell r="AE605" t="str">
            <v>Bono Bancario Security Serie B2</v>
          </cell>
          <cell r="AF605" t="str">
            <v>Banco Security</v>
          </cell>
        </row>
        <row r="606">
          <cell r="C606" t="str">
            <v>FAL50Q0104</v>
          </cell>
          <cell r="D606" t="str">
            <v>FALABELLA</v>
          </cell>
          <cell r="E606">
            <v>31513841</v>
          </cell>
          <cell r="F606">
            <v>5710</v>
          </cell>
          <cell r="G606">
            <v>6.9999999999999999E-4</v>
          </cell>
          <cell r="H606">
            <v>3</v>
          </cell>
          <cell r="I606" t="str">
            <v>2019-01-01</v>
          </cell>
          <cell r="J606">
            <v>768</v>
          </cell>
          <cell r="K606">
            <v>1.1100000000000001</v>
          </cell>
          <cell r="L606">
            <v>102.08</v>
          </cell>
          <cell r="M606" t="str">
            <v>UF</v>
          </cell>
          <cell r="N606" t="str">
            <v>RFL</v>
          </cell>
          <cell r="O606" t="str">
            <v>Renta Fija Local</v>
          </cell>
          <cell r="P606" t="str">
            <v>AA-;AA</v>
          </cell>
          <cell r="Q606" t="str">
            <v>Corto</v>
          </cell>
          <cell r="R606" t="str">
            <v>Corporativo Bajo Riesgo Corto</v>
          </cell>
          <cell r="S606">
            <v>3</v>
          </cell>
          <cell r="T606" t="str">
            <v>AA-</v>
          </cell>
          <cell r="U606" t="str">
            <v>4</v>
          </cell>
          <cell r="V606" t="str">
            <v>Bajo Riesgo</v>
          </cell>
          <cell r="W606" t="str">
            <v>Corporativo</v>
          </cell>
          <cell r="X606" t="str">
            <v>Bajo Riesgo Corto UF</v>
          </cell>
          <cell r="Y606" t="str">
            <v>Corporativo Bajo Riesgo Corto</v>
          </cell>
          <cell r="Z606" t="str">
            <v>Corto UF</v>
          </cell>
          <cell r="AA606" t="str">
            <v>Corporativo Corto</v>
          </cell>
          <cell r="AB606" t="str">
            <v>Corporativo UF</v>
          </cell>
          <cell r="AC606" t="str">
            <v>Instrumentos de Deuda</v>
          </cell>
          <cell r="AD606" t="str">
            <v>Financieras</v>
          </cell>
          <cell r="AE606" t="str">
            <v>Lh Falabella-50Q</v>
          </cell>
          <cell r="AF606" t="str">
            <v>Banco Falabella</v>
          </cell>
        </row>
        <row r="607">
          <cell r="C607" t="str">
            <v>BBBVJ40413</v>
          </cell>
          <cell r="D607" t="str">
            <v>BBBVA</v>
          </cell>
          <cell r="E607">
            <v>26556964</v>
          </cell>
          <cell r="F607">
            <v>1000</v>
          </cell>
          <cell r="G607">
            <v>5.9000000000000003E-4</v>
          </cell>
          <cell r="H607">
            <v>2.59</v>
          </cell>
          <cell r="I607" t="str">
            <v>2018-04-01</v>
          </cell>
          <cell r="J607">
            <v>493</v>
          </cell>
          <cell r="K607">
            <v>1.33</v>
          </cell>
          <cell r="L607">
            <v>100.54</v>
          </cell>
          <cell r="M607" t="str">
            <v>UF</v>
          </cell>
          <cell r="N607" t="str">
            <v>RFL</v>
          </cell>
          <cell r="O607" t="str">
            <v>Renta Fija Local</v>
          </cell>
          <cell r="P607" t="str">
            <v>AA- ; AA+</v>
          </cell>
          <cell r="Q607" t="str">
            <v>Corto</v>
          </cell>
          <cell r="R607" t="str">
            <v>Corporativo Bajo Riesgo Corto</v>
          </cell>
          <cell r="S607">
            <v>2.59</v>
          </cell>
          <cell r="T607" t="str">
            <v>AA-</v>
          </cell>
          <cell r="U607" t="str">
            <v>4</v>
          </cell>
          <cell r="V607" t="str">
            <v>Bajo Riesgo</v>
          </cell>
          <cell r="W607" t="str">
            <v>Corporativo</v>
          </cell>
          <cell r="X607" t="str">
            <v>Bajo Riesgo Corto UF</v>
          </cell>
          <cell r="Y607" t="str">
            <v>Corporativo Bajo Riesgo Corto</v>
          </cell>
          <cell r="Z607" t="str">
            <v>Corto UF</v>
          </cell>
          <cell r="AA607" t="str">
            <v>Corporativo Corto</v>
          </cell>
          <cell r="AB607" t="str">
            <v>Corporativo UF</v>
          </cell>
          <cell r="AC607" t="str">
            <v>Instrumentos de Deuda</v>
          </cell>
          <cell r="AD607" t="str">
            <v>Financieras</v>
          </cell>
          <cell r="AE607" t="str">
            <v>Bono Bbva Serie J4</v>
          </cell>
          <cell r="AF607" t="str">
            <v>BBVA</v>
          </cell>
        </row>
        <row r="608">
          <cell r="C608" t="str">
            <v>CERO010418</v>
          </cell>
          <cell r="D608" t="str">
            <v>CERO</v>
          </cell>
          <cell r="E608">
            <v>227053237</v>
          </cell>
          <cell r="F608">
            <v>8904.9599999999991</v>
          </cell>
          <cell r="G608">
            <v>5.0489999999999997E-3</v>
          </cell>
          <cell r="H608">
            <v>2.3199999999999998</v>
          </cell>
          <cell r="I608" t="str">
            <v>2018-04-01</v>
          </cell>
          <cell r="J608">
            <v>493</v>
          </cell>
          <cell r="K608">
            <v>1.35</v>
          </cell>
          <cell r="L608">
            <v>1.1000000000000001</v>
          </cell>
          <cell r="M608" t="str">
            <v>UF</v>
          </cell>
          <cell r="N608" t="str">
            <v>RFL</v>
          </cell>
          <cell r="O608" t="str">
            <v>Renta Fija Local</v>
          </cell>
          <cell r="P608" t="str">
            <v>NA</v>
          </cell>
          <cell r="Q608" t="str">
            <v>Corto</v>
          </cell>
          <cell r="R608" t="str">
            <v>Gobierno UF Corto</v>
          </cell>
          <cell r="S608">
            <v>2.3199999999999998</v>
          </cell>
          <cell r="T608" t="str">
            <v>Gob</v>
          </cell>
          <cell r="U608" t="str">
            <v>0</v>
          </cell>
          <cell r="V608" t="str">
            <v>Gobierno</v>
          </cell>
          <cell r="W608" t="str">
            <v>Gobierno</v>
          </cell>
          <cell r="X608" t="str">
            <v>Gobierno Corto UF</v>
          </cell>
          <cell r="Y608" t="str">
            <v>Gobierno Corto</v>
          </cell>
          <cell r="Z608" t="str">
            <v>Corto UF</v>
          </cell>
          <cell r="AA608" t="str">
            <v>Gobierno</v>
          </cell>
          <cell r="AB608" t="str">
            <v>Gobierno UF</v>
          </cell>
          <cell r="AC608" t="str">
            <v>Instrumentos de Deuda</v>
          </cell>
          <cell r="AD608" t="str">
            <v>Gobierno</v>
          </cell>
          <cell r="AE608" t="str">
            <v>Bono Cero</v>
          </cell>
          <cell r="AF608" t="str">
            <v>Banco Central de Chile</v>
          </cell>
        </row>
        <row r="609">
          <cell r="C609" t="str">
            <v>BSAES-G</v>
          </cell>
          <cell r="D609" t="str">
            <v>SAESA</v>
          </cell>
          <cell r="E609">
            <v>86688140</v>
          </cell>
          <cell r="F609">
            <v>10000</v>
          </cell>
          <cell r="G609">
            <v>1.9269999999999999E-3</v>
          </cell>
          <cell r="H609">
            <v>2.57</v>
          </cell>
          <cell r="I609" t="str">
            <v>2026-12-01</v>
          </cell>
          <cell r="J609">
            <v>3659</v>
          </cell>
          <cell r="K609">
            <v>1.39</v>
          </cell>
          <cell r="L609">
            <v>98.73</v>
          </cell>
          <cell r="M609" t="str">
            <v>UF</v>
          </cell>
          <cell r="N609" t="str">
            <v>RFL</v>
          </cell>
          <cell r="O609" t="str">
            <v>Renta Fija Local</v>
          </cell>
          <cell r="P609" t="str">
            <v>AA  ; AA</v>
          </cell>
          <cell r="Q609" t="str">
            <v>Corto</v>
          </cell>
          <cell r="R609" t="str">
            <v>Corporativo Bajo Riesgo Corto</v>
          </cell>
          <cell r="S609">
            <v>2.57</v>
          </cell>
          <cell r="T609" t="str">
            <v>AA</v>
          </cell>
          <cell r="U609" t="str">
            <v>3</v>
          </cell>
          <cell r="V609" t="str">
            <v>Bajo Riesgo</v>
          </cell>
          <cell r="W609" t="str">
            <v>Corporativo</v>
          </cell>
          <cell r="X609" t="str">
            <v>Bajo Riesgo Corto UF</v>
          </cell>
          <cell r="Y609" t="str">
            <v>Corporativo Bajo Riesgo Corto</v>
          </cell>
          <cell r="Z609" t="str">
            <v>Corto UF</v>
          </cell>
          <cell r="AA609" t="str">
            <v>Corporativo Corto</v>
          </cell>
          <cell r="AB609" t="str">
            <v>Corporativo UF</v>
          </cell>
          <cell r="AC609" t="str">
            <v>Instrumentos de Deuda</v>
          </cell>
          <cell r="AD609" t="str">
            <v>Servicios Básicos</v>
          </cell>
          <cell r="AE609" t="str">
            <v>Bono Saesa-G Flotante Tab Uf 360</v>
          </cell>
          <cell r="AF609" t="str">
            <v>SAESA S.A.</v>
          </cell>
        </row>
        <row r="610">
          <cell r="C610" t="str">
            <v>BBCIAG0513</v>
          </cell>
          <cell r="D610" t="str">
            <v>BBCREDITO</v>
          </cell>
          <cell r="E610">
            <v>505105189</v>
          </cell>
          <cell r="F610">
            <v>502700000</v>
          </cell>
          <cell r="G610">
            <v>1.1232000000000001E-2</v>
          </cell>
          <cell r="H610">
            <v>4.9400000000000004</v>
          </cell>
          <cell r="I610" t="str">
            <v>2018-05-01</v>
          </cell>
          <cell r="J610">
            <v>523</v>
          </cell>
          <cell r="K610">
            <v>1.4</v>
          </cell>
          <cell r="L610">
            <v>100.18</v>
          </cell>
          <cell r="M610" t="str">
            <v>$</v>
          </cell>
          <cell r="N610" t="str">
            <v>RFL</v>
          </cell>
          <cell r="O610" t="str">
            <v>Renta Fija Local</v>
          </cell>
          <cell r="P610" t="str">
            <v>AA+ ; AA+</v>
          </cell>
          <cell r="Q610" t="str">
            <v>Corto</v>
          </cell>
          <cell r="R610" t="str">
            <v>Corporativo Bajo Riesgo Corto</v>
          </cell>
          <cell r="S610">
            <v>1.94</v>
          </cell>
          <cell r="T610" t="str">
            <v>AA+</v>
          </cell>
          <cell r="U610" t="str">
            <v>2</v>
          </cell>
          <cell r="V610" t="str">
            <v>Bajo Riesgo</v>
          </cell>
          <cell r="W610" t="str">
            <v>Corporativo</v>
          </cell>
          <cell r="X610" t="str">
            <v>Bajo Riesgo Corto $</v>
          </cell>
          <cell r="Y610" t="str">
            <v>Corporativo Bajo Riesgo Corto</v>
          </cell>
          <cell r="Z610" t="str">
            <v>Corto $</v>
          </cell>
          <cell r="AA610" t="str">
            <v>Corporativo Corto</v>
          </cell>
          <cell r="AB610" t="str">
            <v>Corporativo $</v>
          </cell>
          <cell r="AC610" t="str">
            <v>Instrumentos de Deuda</v>
          </cell>
          <cell r="AD610" t="str">
            <v>Financieras</v>
          </cell>
          <cell r="AE610" t="str">
            <v>Bono Bci Serie Ag</v>
          </cell>
          <cell r="AF610" t="str">
            <v>BCI</v>
          </cell>
        </row>
        <row r="611">
          <cell r="C611" t="str">
            <v>BBNS-R0613</v>
          </cell>
          <cell r="D611" t="str">
            <v>BBSCOTIABA</v>
          </cell>
          <cell r="E611">
            <v>271005538</v>
          </cell>
          <cell r="F611">
            <v>10000</v>
          </cell>
          <cell r="G611">
            <v>6.0260000000000001E-3</v>
          </cell>
          <cell r="H611">
            <v>2.6</v>
          </cell>
          <cell r="I611" t="str">
            <v>2018-06-01</v>
          </cell>
          <cell r="J611">
            <v>554</v>
          </cell>
          <cell r="K611">
            <v>1.47</v>
          </cell>
          <cell r="L611">
            <v>101.33</v>
          </cell>
          <cell r="M611" t="str">
            <v>UF</v>
          </cell>
          <cell r="N611" t="str">
            <v>RFL</v>
          </cell>
          <cell r="O611" t="str">
            <v>Renta Fija Local</v>
          </cell>
          <cell r="P611" t="str">
            <v>AAA ; AAA</v>
          </cell>
          <cell r="Q611" t="str">
            <v>Corto</v>
          </cell>
          <cell r="R611" t="str">
            <v>Corporativo Bajo Riesgo Corto</v>
          </cell>
          <cell r="S611">
            <v>2.6</v>
          </cell>
          <cell r="T611" t="str">
            <v>AAA</v>
          </cell>
          <cell r="U611" t="str">
            <v>1</v>
          </cell>
          <cell r="V611" t="str">
            <v>Bajo Riesgo</v>
          </cell>
          <cell r="W611" t="str">
            <v>Corporativo</v>
          </cell>
          <cell r="X611" t="str">
            <v>Bajo Riesgo Corto UF</v>
          </cell>
          <cell r="Y611" t="str">
            <v>Corporativo Bajo Riesgo Corto</v>
          </cell>
          <cell r="Z611" t="str">
            <v>Corto UF</v>
          </cell>
          <cell r="AA611" t="str">
            <v>Corporativo Corto</v>
          </cell>
          <cell r="AB611" t="str">
            <v>Corporativo UF</v>
          </cell>
          <cell r="AC611" t="str">
            <v>Instrumentos de Deuda</v>
          </cell>
          <cell r="AD611" t="str">
            <v>Financieras</v>
          </cell>
          <cell r="AE611" t="str">
            <v>Bono Scotiabank Serie R</v>
          </cell>
          <cell r="AF611" t="str">
            <v>Scotiabank</v>
          </cell>
        </row>
        <row r="612">
          <cell r="C612" t="str">
            <v>BCNO-C0613</v>
          </cell>
          <cell r="D612" t="str">
            <v>BBCONSORC</v>
          </cell>
          <cell r="E612">
            <v>13562067</v>
          </cell>
          <cell r="F612">
            <v>500</v>
          </cell>
          <cell r="G612">
            <v>3.01E-4</v>
          </cell>
          <cell r="H612">
            <v>2.69</v>
          </cell>
          <cell r="I612" t="str">
            <v>2018-06-15</v>
          </cell>
          <cell r="J612">
            <v>568</v>
          </cell>
          <cell r="K612">
            <v>1.5</v>
          </cell>
          <cell r="L612">
            <v>101.48</v>
          </cell>
          <cell r="M612" t="str">
            <v>UF</v>
          </cell>
          <cell r="N612" t="str">
            <v>RFL</v>
          </cell>
          <cell r="O612" t="str">
            <v>Renta Fija Local</v>
          </cell>
          <cell r="P612" t="str">
            <v>AA</v>
          </cell>
          <cell r="Q612" t="str">
            <v>Corto</v>
          </cell>
          <cell r="R612" t="str">
            <v>Corporativo Bajo Riesgo Corto</v>
          </cell>
          <cell r="S612">
            <v>2.69</v>
          </cell>
          <cell r="T612" t="str">
            <v>AA</v>
          </cell>
          <cell r="U612" t="str">
            <v>3</v>
          </cell>
          <cell r="V612" t="str">
            <v>Bajo Riesgo</v>
          </cell>
          <cell r="W612" t="str">
            <v>Corporativo</v>
          </cell>
          <cell r="X612" t="str">
            <v>Bajo Riesgo Corto UF</v>
          </cell>
          <cell r="Y612" t="str">
            <v>Corporativo Bajo Riesgo Corto</v>
          </cell>
          <cell r="Z612" t="str">
            <v>Corto UF</v>
          </cell>
          <cell r="AA612" t="str">
            <v>Corporativo Corto</v>
          </cell>
          <cell r="AB612" t="str">
            <v>Corporativo UF</v>
          </cell>
          <cell r="AC612" t="str">
            <v>Instrumentos de Deuda</v>
          </cell>
          <cell r="AD612" t="str">
            <v>Financieras</v>
          </cell>
          <cell r="AE612" t="str">
            <v>Bono Banco Consorcio Serie C</v>
          </cell>
          <cell r="AF612" t="str">
            <v>Banco Consorcio</v>
          </cell>
        </row>
        <row r="613">
          <cell r="C613" t="str">
            <v>CFM9310IM</v>
          </cell>
          <cell r="D613" t="str">
            <v>MACRO 1.5</v>
          </cell>
          <cell r="E613">
            <v>1025244700</v>
          </cell>
          <cell r="F613">
            <v>1000000</v>
          </cell>
          <cell r="G613">
            <v>2.2799E-2</v>
          </cell>
          <cell r="H613">
            <v>0</v>
          </cell>
          <cell r="I613" t="str">
            <v xml:space="preserve">          </v>
          </cell>
          <cell r="J613">
            <v>-42696</v>
          </cell>
          <cell r="K613">
            <v>1.6363430000000001</v>
          </cell>
          <cell r="L613">
            <v>1025.2447</v>
          </cell>
          <cell r="M613" t="str">
            <v>$</v>
          </cell>
          <cell r="N613" t="str">
            <v>RFL</v>
          </cell>
          <cell r="O613" t="str">
            <v>Renta Fija Local</v>
          </cell>
          <cell r="P613"/>
          <cell r="Q613" t="str">
            <v>Corto</v>
          </cell>
          <cell r="R613" t="str">
            <v>Cuotas de Fondos</v>
          </cell>
          <cell r="S613">
            <v>1.303512</v>
          </cell>
          <cell r="T613"/>
          <cell r="U613"/>
          <cell r="V613" t="str">
            <v>BR</v>
          </cell>
          <cell r="W613" t="str">
            <v>Corporativo</v>
          </cell>
          <cell r="X613" t="str">
            <v>BR Corto $</v>
          </cell>
          <cell r="Y613" t="str">
            <v>Corporativo BR Corto</v>
          </cell>
          <cell r="Z613" t="str">
            <v>Corto $</v>
          </cell>
          <cell r="AA613" t="str">
            <v>Corporativo Corto</v>
          </cell>
          <cell r="AB613" t="str">
            <v>Corporativo $</v>
          </cell>
          <cell r="AC613" t="str">
            <v>Fondos</v>
          </cell>
          <cell r="AD613" t="str">
            <v>Fondos</v>
          </cell>
          <cell r="AE613"/>
          <cell r="AF613"/>
        </row>
        <row r="614">
          <cell r="C614" t="str">
            <v>BCU0300818</v>
          </cell>
          <cell r="D614" t="str">
            <v>BCU</v>
          </cell>
          <cell r="E614">
            <v>1222204035</v>
          </cell>
          <cell r="F614">
            <v>45000</v>
          </cell>
          <cell r="G614">
            <v>2.7178000000000001E-2</v>
          </cell>
          <cell r="H614">
            <v>1.6</v>
          </cell>
          <cell r="I614" t="str">
            <v>2018-08-01</v>
          </cell>
          <cell r="J614">
            <v>615</v>
          </cell>
          <cell r="K614">
            <v>1.64</v>
          </cell>
          <cell r="L614">
            <v>102.31</v>
          </cell>
          <cell r="M614" t="str">
            <v>UF</v>
          </cell>
          <cell r="N614" t="str">
            <v>RFL</v>
          </cell>
          <cell r="O614" t="str">
            <v>Renta Fija Local</v>
          </cell>
          <cell r="P614"/>
          <cell r="Q614" t="str">
            <v>Corto</v>
          </cell>
          <cell r="R614" t="str">
            <v>Gobierno UF Corto</v>
          </cell>
          <cell r="S614">
            <v>1.6</v>
          </cell>
          <cell r="T614" t="str">
            <v>Gob</v>
          </cell>
          <cell r="U614" t="str">
            <v>0</v>
          </cell>
          <cell r="V614" t="str">
            <v>Gobierno</v>
          </cell>
          <cell r="W614" t="str">
            <v>Gobierno</v>
          </cell>
          <cell r="X614" t="str">
            <v>Gobierno Corto UF</v>
          </cell>
          <cell r="Y614" t="str">
            <v>Gobierno Corto</v>
          </cell>
          <cell r="Z614" t="str">
            <v>Corto UF</v>
          </cell>
          <cell r="AA614" t="str">
            <v>Gobierno</v>
          </cell>
          <cell r="AB614" t="str">
            <v>Gobierno UF</v>
          </cell>
          <cell r="AC614" t="str">
            <v>Instrumentos de Deuda</v>
          </cell>
          <cell r="AD614" t="str">
            <v>Gobierno</v>
          </cell>
          <cell r="AE614" t="str">
            <v>Bono Bullet Bco Central En Uf</v>
          </cell>
          <cell r="AF614" t="str">
            <v>Banco Central de Chile</v>
          </cell>
        </row>
        <row r="615">
          <cell r="C615" t="str">
            <v>BBCIS-P26A</v>
          </cell>
          <cell r="D615" t="str">
            <v>BCI SECURI</v>
          </cell>
          <cell r="E615">
            <v>655300804</v>
          </cell>
          <cell r="F615">
            <v>650000000</v>
          </cell>
          <cell r="G615">
            <v>1.4572E-2</v>
          </cell>
          <cell r="H615">
            <v>7.11</v>
          </cell>
          <cell r="I615" t="str">
            <v>2020-07-01</v>
          </cell>
          <cell r="J615">
            <v>1315</v>
          </cell>
          <cell r="K615">
            <v>1.68</v>
          </cell>
          <cell r="L615">
            <v>99.83</v>
          </cell>
          <cell r="M615" t="str">
            <v>$</v>
          </cell>
          <cell r="N615" t="str">
            <v>RFL</v>
          </cell>
          <cell r="O615" t="str">
            <v>Renta Fija Local</v>
          </cell>
          <cell r="P615" t="str">
            <v>AA ; AA</v>
          </cell>
          <cell r="Q615" t="str">
            <v>Corto</v>
          </cell>
          <cell r="R615" t="str">
            <v>Corporativo Bajo Riesgo Corto</v>
          </cell>
          <cell r="S615">
            <v>4.1100000000000003</v>
          </cell>
          <cell r="T615" t="str">
            <v>AA</v>
          </cell>
          <cell r="U615" t="str">
            <v>3</v>
          </cell>
          <cell r="V615" t="str">
            <v>Bajo Riesgo</v>
          </cell>
          <cell r="W615" t="str">
            <v>Corporativo</v>
          </cell>
          <cell r="X615" t="str">
            <v>Bajo Riesgo Corto $</v>
          </cell>
          <cell r="Y615" t="str">
            <v>Corporativo Bajo Riesgo Corto</v>
          </cell>
          <cell r="Z615" t="str">
            <v>Corto $</v>
          </cell>
          <cell r="AA615" t="str">
            <v>Corporativo Corto</v>
          </cell>
          <cell r="AB615" t="str">
            <v>Corporativo $</v>
          </cell>
          <cell r="AC615" t="str">
            <v>Instrumentos de Deuda</v>
          </cell>
          <cell r="AD615" t="str">
            <v>Financieras</v>
          </cell>
          <cell r="AE615" t="str">
            <v>Bono Bci Securitizadora P26A</v>
          </cell>
          <cell r="AF615" t="str">
            <v>BCI Securitizadora</v>
          </cell>
        </row>
        <row r="616">
          <cell r="C616" t="str">
            <v>BBANM-I</v>
          </cell>
          <cell r="D616" t="str">
            <v>BANMEDICA</v>
          </cell>
          <cell r="E616">
            <v>534517500</v>
          </cell>
          <cell r="F616">
            <v>500000000</v>
          </cell>
          <cell r="G616">
            <v>1.1886000000000001E-2</v>
          </cell>
          <cell r="H616">
            <v>4.82</v>
          </cell>
          <cell r="I616" t="str">
            <v>2020-04-10</v>
          </cell>
          <cell r="J616">
            <v>1233</v>
          </cell>
          <cell r="K616">
            <v>1.75</v>
          </cell>
          <cell r="L616">
            <v>102.8</v>
          </cell>
          <cell r="M616" t="str">
            <v>$</v>
          </cell>
          <cell r="N616" t="str">
            <v>RFL</v>
          </cell>
          <cell r="O616" t="str">
            <v>Renta Fija Local</v>
          </cell>
          <cell r="P616" t="str">
            <v>AA- ; AA-</v>
          </cell>
          <cell r="Q616" t="str">
            <v>Corto</v>
          </cell>
          <cell r="R616" t="str">
            <v>Corporativo Bajo Riesgo Corto</v>
          </cell>
          <cell r="S616">
            <v>1.82</v>
          </cell>
          <cell r="T616" t="str">
            <v>AA-</v>
          </cell>
          <cell r="U616" t="str">
            <v>4</v>
          </cell>
          <cell r="V616" t="str">
            <v>Bajo Riesgo</v>
          </cell>
          <cell r="W616" t="str">
            <v>Corporativo</v>
          </cell>
          <cell r="X616" t="str">
            <v>Bajo Riesgo Corto $</v>
          </cell>
          <cell r="Y616" t="str">
            <v>Corporativo Bajo Riesgo Corto</v>
          </cell>
          <cell r="Z616" t="str">
            <v>Corto $</v>
          </cell>
          <cell r="AA616" t="str">
            <v>Corporativo Corto</v>
          </cell>
          <cell r="AB616" t="str">
            <v>Corporativo $</v>
          </cell>
          <cell r="AC616" t="str">
            <v>Instrumentos de Deuda</v>
          </cell>
          <cell r="AD616" t="str">
            <v>Salud</v>
          </cell>
          <cell r="AE616" t="str">
            <v>Bono Banmedica Serie I</v>
          </cell>
          <cell r="AF616" t="str">
            <v>Banmedica</v>
          </cell>
        </row>
        <row r="617">
          <cell r="C617" t="str">
            <v>FAL48Q0605</v>
          </cell>
          <cell r="D617" t="str">
            <v>FALABELLA</v>
          </cell>
          <cell r="E617">
            <v>9012109</v>
          </cell>
          <cell r="F617">
            <v>1030</v>
          </cell>
          <cell r="G617">
            <v>2.0000000000000001E-4</v>
          </cell>
          <cell r="H617">
            <v>3.55</v>
          </cell>
          <cell r="I617" t="str">
            <v>2020-06-01</v>
          </cell>
          <cell r="J617">
            <v>1285</v>
          </cell>
          <cell r="K617">
            <v>1.75</v>
          </cell>
          <cell r="L617">
            <v>102.12</v>
          </cell>
          <cell r="M617" t="str">
            <v>UF</v>
          </cell>
          <cell r="N617" t="str">
            <v>RFL</v>
          </cell>
          <cell r="O617" t="str">
            <v>Renta Fija Local</v>
          </cell>
          <cell r="P617" t="str">
            <v>AA-;AA</v>
          </cell>
          <cell r="Q617" t="str">
            <v>Corto</v>
          </cell>
          <cell r="R617" t="str">
            <v>Corporativo Bajo Riesgo Corto</v>
          </cell>
          <cell r="S617">
            <v>3.55</v>
          </cell>
          <cell r="T617" t="str">
            <v>AA-</v>
          </cell>
          <cell r="U617" t="str">
            <v>4</v>
          </cell>
          <cell r="V617" t="str">
            <v>Bajo Riesgo</v>
          </cell>
          <cell r="W617" t="str">
            <v>Corporativo</v>
          </cell>
          <cell r="X617" t="str">
            <v>Bajo Riesgo Corto UF</v>
          </cell>
          <cell r="Y617" t="str">
            <v>Corporativo Bajo Riesgo Corto</v>
          </cell>
          <cell r="Z617" t="str">
            <v>Corto UF</v>
          </cell>
          <cell r="AA617" t="str">
            <v>Corporativo Corto</v>
          </cell>
          <cell r="AB617" t="str">
            <v>Corporativo UF</v>
          </cell>
          <cell r="AC617" t="str">
            <v>Instrumentos de Deuda</v>
          </cell>
          <cell r="AD617" t="str">
            <v>Financieras</v>
          </cell>
          <cell r="AE617" t="str">
            <v>Lh Falabella-48Q</v>
          </cell>
          <cell r="AF617" t="str">
            <v>Banco Falabella</v>
          </cell>
        </row>
        <row r="618">
          <cell r="C618" t="str">
            <v>BITAM21211</v>
          </cell>
          <cell r="D618" t="str">
            <v>BBITAU</v>
          </cell>
          <cell r="E618">
            <v>271420678</v>
          </cell>
          <cell r="F618">
            <v>10000</v>
          </cell>
          <cell r="G618">
            <v>6.0350000000000004E-3</v>
          </cell>
          <cell r="H618">
            <v>2.7</v>
          </cell>
          <cell r="I618" t="str">
            <v>2018-12-01</v>
          </cell>
          <cell r="J618">
            <v>737</v>
          </cell>
          <cell r="K618">
            <v>1.94</v>
          </cell>
          <cell r="L618">
            <v>101.51</v>
          </cell>
          <cell r="M618" t="str">
            <v>UF</v>
          </cell>
          <cell r="N618" t="str">
            <v>RFL</v>
          </cell>
          <cell r="O618" t="str">
            <v>Renta Fija Local</v>
          </cell>
          <cell r="P618" t="str">
            <v>AA- ; AA</v>
          </cell>
          <cell r="Q618" t="str">
            <v>Corto</v>
          </cell>
          <cell r="R618" t="str">
            <v>Corporativo Bajo Riesgo Corto</v>
          </cell>
          <cell r="S618">
            <v>2.7</v>
          </cell>
          <cell r="T618" t="str">
            <v>AA-</v>
          </cell>
          <cell r="U618" t="str">
            <v>4</v>
          </cell>
          <cell r="V618" t="str">
            <v>Bajo Riesgo</v>
          </cell>
          <cell r="W618" t="str">
            <v>Corporativo</v>
          </cell>
          <cell r="X618" t="str">
            <v>Bajo Riesgo Corto UF</v>
          </cell>
          <cell r="Y618" t="str">
            <v>Corporativo Bajo Riesgo Corto</v>
          </cell>
          <cell r="Z618" t="str">
            <v>Corto UF</v>
          </cell>
          <cell r="AA618" t="str">
            <v>Corporativo Corto</v>
          </cell>
          <cell r="AB618" t="str">
            <v>Corporativo UF</v>
          </cell>
          <cell r="AC618" t="str">
            <v>Instrumentos de Deuda</v>
          </cell>
          <cell r="AD618" t="str">
            <v>Financieras</v>
          </cell>
          <cell r="AE618" t="str">
            <v>Bono Banco Itau Serie M</v>
          </cell>
          <cell r="AF618" t="str">
            <v>Itau/Corpbanca</v>
          </cell>
        </row>
        <row r="619">
          <cell r="C619" t="str">
            <v>BTP0600119</v>
          </cell>
          <cell r="D619" t="str">
            <v>BTP</v>
          </cell>
          <cell r="E619">
            <v>80083053</v>
          </cell>
          <cell r="F619">
            <v>75000000</v>
          </cell>
          <cell r="G619">
            <v>1.7799999999999999E-3</v>
          </cell>
          <cell r="H619">
            <v>3.83</v>
          </cell>
          <cell r="I619" t="str">
            <v>2019-01-01</v>
          </cell>
          <cell r="J619">
            <v>768</v>
          </cell>
          <cell r="K619">
            <v>1.97</v>
          </cell>
          <cell r="L619">
            <v>104.3</v>
          </cell>
          <cell r="M619" t="str">
            <v>$</v>
          </cell>
          <cell r="N619" t="str">
            <v>RFL</v>
          </cell>
          <cell r="O619" t="str">
            <v>Renta Fija Local</v>
          </cell>
          <cell r="P619"/>
          <cell r="Q619" t="str">
            <v>Corto</v>
          </cell>
          <cell r="R619" t="str">
            <v>Gobierno $ Corto</v>
          </cell>
          <cell r="S619">
            <v>0.83</v>
          </cell>
          <cell r="T619" t="str">
            <v>Gob</v>
          </cell>
          <cell r="U619" t="str">
            <v>0</v>
          </cell>
          <cell r="V619" t="str">
            <v>Gobierno</v>
          </cell>
          <cell r="W619" t="str">
            <v>Gobierno</v>
          </cell>
          <cell r="X619" t="str">
            <v>Gobierno Corto $</v>
          </cell>
          <cell r="Y619" t="str">
            <v>Gobierno Corto</v>
          </cell>
          <cell r="Z619" t="str">
            <v>Corto $</v>
          </cell>
          <cell r="AA619" t="str">
            <v>Gobierno</v>
          </cell>
          <cell r="AB619" t="str">
            <v>Gobierno $</v>
          </cell>
          <cell r="AC619" t="str">
            <v>Instrumentos de Deuda</v>
          </cell>
          <cell r="AD619" t="str">
            <v>Gobierno</v>
          </cell>
          <cell r="AE619" t="str">
            <v>Bono Tesoreria En Pesos</v>
          </cell>
          <cell r="AF619" t="str">
            <v>Tesorería General de la República</v>
          </cell>
        </row>
        <row r="620">
          <cell r="C620" t="str">
            <v>BFORU-AR</v>
          </cell>
          <cell r="D620" t="str">
            <v>LEAS FORUM</v>
          </cell>
          <cell r="E620">
            <v>356421430</v>
          </cell>
          <cell r="F620">
            <v>340000000</v>
          </cell>
          <cell r="G620">
            <v>7.9249999999999998E-3</v>
          </cell>
          <cell r="H620">
            <v>5.0599999999999996</v>
          </cell>
          <cell r="I620" t="str">
            <v>2019-01-16</v>
          </cell>
          <cell r="J620">
            <v>783</v>
          </cell>
          <cell r="K620">
            <v>2</v>
          </cell>
          <cell r="L620">
            <v>102.54</v>
          </cell>
          <cell r="M620" t="str">
            <v>$</v>
          </cell>
          <cell r="N620" t="str">
            <v>RFL</v>
          </cell>
          <cell r="O620" t="str">
            <v>Renta Fija Local</v>
          </cell>
          <cell r="P620" t="str">
            <v>AA- ; AA-</v>
          </cell>
          <cell r="Q620" t="str">
            <v>Corto</v>
          </cell>
          <cell r="R620" t="str">
            <v>Corporativo Bajo Riesgo Corto</v>
          </cell>
          <cell r="S620">
            <v>2.06</v>
          </cell>
          <cell r="T620" t="str">
            <v>AA-</v>
          </cell>
          <cell r="U620" t="str">
            <v>4</v>
          </cell>
          <cell r="V620" t="str">
            <v>Bajo Riesgo</v>
          </cell>
          <cell r="W620" t="str">
            <v>Corporativo</v>
          </cell>
          <cell r="X620" t="str">
            <v>Bajo Riesgo Corto $</v>
          </cell>
          <cell r="Y620" t="str">
            <v>Corporativo Bajo Riesgo Corto</v>
          </cell>
          <cell r="Z620" t="str">
            <v>Corto $</v>
          </cell>
          <cell r="AA620" t="str">
            <v>Corporativo Corto</v>
          </cell>
          <cell r="AB620" t="str">
            <v>Corporativo $</v>
          </cell>
          <cell r="AC620" t="str">
            <v>Instrumentos de Deuda</v>
          </cell>
          <cell r="AD620" t="str">
            <v>Financieras</v>
          </cell>
          <cell r="AE620" t="str">
            <v>Bono Forum Servicios Financieros Serie Ar</v>
          </cell>
          <cell r="AF620" t="str">
            <v>Forum Servicios Financieros S.A.</v>
          </cell>
        </row>
        <row r="621">
          <cell r="C621" t="str">
            <v>BTU0300119</v>
          </cell>
          <cell r="D621" t="str">
            <v>BTU</v>
          </cell>
          <cell r="E621">
            <v>273804803</v>
          </cell>
          <cell r="F621">
            <v>10000</v>
          </cell>
          <cell r="G621">
            <v>6.0879999999999997E-3</v>
          </cell>
          <cell r="H621">
            <v>1.59</v>
          </cell>
          <cell r="I621" t="str">
            <v>2019-01-01</v>
          </cell>
          <cell r="J621">
            <v>768</v>
          </cell>
          <cell r="K621">
            <v>2.0299999999999998</v>
          </cell>
          <cell r="L621">
            <v>102.87</v>
          </cell>
          <cell r="M621" t="str">
            <v>UF</v>
          </cell>
          <cell r="N621" t="str">
            <v>RFL</v>
          </cell>
          <cell r="O621" t="str">
            <v>Renta Fija Local</v>
          </cell>
          <cell r="P621"/>
          <cell r="Q621" t="str">
            <v>Corto</v>
          </cell>
          <cell r="R621" t="str">
            <v>Gobierno UF Corto</v>
          </cell>
          <cell r="S621">
            <v>1.59</v>
          </cell>
          <cell r="T621" t="str">
            <v>Gob</v>
          </cell>
          <cell r="U621" t="str">
            <v>0</v>
          </cell>
          <cell r="V621" t="str">
            <v>Gobierno</v>
          </cell>
          <cell r="W621" t="str">
            <v>Gobierno</v>
          </cell>
          <cell r="X621" t="str">
            <v>Gobierno Corto UF</v>
          </cell>
          <cell r="Y621" t="str">
            <v>Gobierno Corto</v>
          </cell>
          <cell r="Z621" t="str">
            <v>Corto UF</v>
          </cell>
          <cell r="AA621" t="str">
            <v>Gobierno</v>
          </cell>
          <cell r="AB621" t="str">
            <v>Gobierno UF</v>
          </cell>
          <cell r="AC621" t="str">
            <v>Instrumentos de Deuda</v>
          </cell>
          <cell r="AD621" t="str">
            <v>Gobierno</v>
          </cell>
          <cell r="AE621" t="str">
            <v>Bono Tesoreria En Uf</v>
          </cell>
          <cell r="AF621" t="str">
            <v>Tesorería General de la República</v>
          </cell>
        </row>
        <row r="622">
          <cell r="C622" t="str">
            <v>ABNE200101</v>
          </cell>
          <cell r="D622" t="str">
            <v>SCOTIABANK</v>
          </cell>
          <cell r="E622">
            <v>4301195</v>
          </cell>
          <cell r="F622">
            <v>490</v>
          </cell>
          <cell r="G622">
            <v>9.5000000000000005E-5</v>
          </cell>
          <cell r="H622">
            <v>4.0599999999999996</v>
          </cell>
          <cell r="I622" t="str">
            <v>2021-01-01</v>
          </cell>
          <cell r="J622">
            <v>1499</v>
          </cell>
          <cell r="K622">
            <v>2.04</v>
          </cell>
          <cell r="L622">
            <v>103.82</v>
          </cell>
          <cell r="M622" t="str">
            <v>UF</v>
          </cell>
          <cell r="N622" t="str">
            <v>RFL</v>
          </cell>
          <cell r="O622" t="str">
            <v>Renta Fija Local</v>
          </cell>
          <cell r="P622" t="str">
            <v>AAA</v>
          </cell>
          <cell r="Q622" t="str">
            <v>Corto</v>
          </cell>
          <cell r="R622" t="str">
            <v>Letras</v>
          </cell>
          <cell r="S622">
            <v>4.0599999999999996</v>
          </cell>
          <cell r="T622" t="str">
            <v>AAA</v>
          </cell>
          <cell r="U622" t="str">
            <v>1</v>
          </cell>
          <cell r="V622" t="str">
            <v>Bajo Riesgo</v>
          </cell>
          <cell r="W622" t="str">
            <v>Corporativo</v>
          </cell>
          <cell r="X622" t="str">
            <v>Bajo Riesgo Corto UF</v>
          </cell>
          <cell r="Y622" t="str">
            <v>Corporativo Bajo Riesgo Corto</v>
          </cell>
          <cell r="Z622" t="str">
            <v>Corto UF</v>
          </cell>
          <cell r="AA622" t="str">
            <v>Corporativo Corto</v>
          </cell>
          <cell r="AB622" t="str">
            <v>Corporativo UF</v>
          </cell>
          <cell r="AC622" t="str">
            <v>Instrumentos de Deuda</v>
          </cell>
          <cell r="AD622" t="str">
            <v>Financieras</v>
          </cell>
          <cell r="AE622" t="str">
            <v>Letras Scotiabank</v>
          </cell>
          <cell r="AF622" t="str">
            <v>Scotiabank</v>
          </cell>
        </row>
        <row r="623">
          <cell r="C623" t="str">
            <v>BCAJ-O0816</v>
          </cell>
          <cell r="D623" t="str">
            <v>LOS ANDES</v>
          </cell>
          <cell r="E623">
            <v>513049226</v>
          </cell>
          <cell r="F623">
            <v>500000000</v>
          </cell>
          <cell r="G623">
            <v>1.1408E-2</v>
          </cell>
          <cell r="H623">
            <v>5.03</v>
          </cell>
          <cell r="I623" t="str">
            <v>2020-02-01</v>
          </cell>
          <cell r="J623">
            <v>1164</v>
          </cell>
          <cell r="K623">
            <v>2.0499999999999998</v>
          </cell>
          <cell r="L623">
            <v>100.91</v>
          </cell>
          <cell r="M623" t="str">
            <v>$</v>
          </cell>
          <cell r="N623" t="str">
            <v>RFL</v>
          </cell>
          <cell r="O623" t="str">
            <v>Renta Fija Local</v>
          </cell>
          <cell r="P623" t="str">
            <v>A</v>
          </cell>
          <cell r="Q623" t="str">
            <v>Corto</v>
          </cell>
          <cell r="R623" t="str">
            <v>Corporativo Alto Riesgo Corto</v>
          </cell>
          <cell r="S623">
            <v>2.0299999999999998</v>
          </cell>
          <cell r="T623" t="str">
            <v>A</v>
          </cell>
          <cell r="U623" t="str">
            <v>6</v>
          </cell>
          <cell r="V623" t="str">
            <v>Alto Riesgo</v>
          </cell>
          <cell r="W623" t="str">
            <v>Corporativo</v>
          </cell>
          <cell r="X623" t="str">
            <v>Alto Riesgo Corto $</v>
          </cell>
          <cell r="Y623" t="str">
            <v>Corporativo Alto Riesgo Corto</v>
          </cell>
          <cell r="Z623" t="str">
            <v>Corto $</v>
          </cell>
          <cell r="AA623" t="str">
            <v>Corporativo Corto</v>
          </cell>
          <cell r="AB623" t="str">
            <v>Corporativo $</v>
          </cell>
          <cell r="AC623"/>
          <cell r="AD623"/>
          <cell r="AE623"/>
          <cell r="AF623" t="str">
            <v>Caja Los Andes</v>
          </cell>
        </row>
        <row r="624">
          <cell r="C624" t="str">
            <v>ABNA200101</v>
          </cell>
          <cell r="D624" t="str">
            <v>SCOTIABANK</v>
          </cell>
          <cell r="E624">
            <v>757965</v>
          </cell>
          <cell r="F624">
            <v>80</v>
          </cell>
          <cell r="G624">
            <v>1.5999999999999999E-5</v>
          </cell>
          <cell r="H624">
            <v>4.0999999999999996</v>
          </cell>
          <cell r="I624" t="str">
            <v>2021-01-01</v>
          </cell>
          <cell r="J624">
            <v>1499</v>
          </cell>
          <cell r="K624">
            <v>2.0499999999999998</v>
          </cell>
          <cell r="L624">
            <v>105.75</v>
          </cell>
          <cell r="M624" t="str">
            <v>UF</v>
          </cell>
          <cell r="N624" t="str">
            <v>RFL</v>
          </cell>
          <cell r="O624" t="str">
            <v>Renta Fija Local</v>
          </cell>
          <cell r="P624" t="str">
            <v>AAA</v>
          </cell>
          <cell r="Q624" t="str">
            <v>Corto</v>
          </cell>
          <cell r="R624" t="str">
            <v>Letras</v>
          </cell>
          <cell r="S624">
            <v>4.0999999999999996</v>
          </cell>
          <cell r="T624" t="str">
            <v>AAA</v>
          </cell>
          <cell r="U624" t="str">
            <v>1</v>
          </cell>
          <cell r="V624" t="str">
            <v>Bajo Riesgo</v>
          </cell>
          <cell r="W624" t="str">
            <v>Corporativo</v>
          </cell>
          <cell r="X624" t="str">
            <v>Bajo Riesgo Corto UF</v>
          </cell>
          <cell r="Y624" t="str">
            <v>Corporativo Bajo Riesgo Corto</v>
          </cell>
          <cell r="Z624" t="str">
            <v>Corto UF</v>
          </cell>
          <cell r="AA624" t="str">
            <v>Corporativo Corto</v>
          </cell>
          <cell r="AB624" t="str">
            <v>Corporativo UF</v>
          </cell>
          <cell r="AC624" t="str">
            <v>Instrumentos de Deuda</v>
          </cell>
          <cell r="AD624" t="str">
            <v>Financieras</v>
          </cell>
          <cell r="AE624" t="str">
            <v>Letras Scotiabank</v>
          </cell>
          <cell r="AF624" t="str">
            <v>Scotiabank</v>
          </cell>
        </row>
        <row r="625">
          <cell r="C625" t="str">
            <v>FAL48Q0106</v>
          </cell>
          <cell r="D625" t="str">
            <v>FALABELLA</v>
          </cell>
          <cell r="E625">
            <v>15357301</v>
          </cell>
          <cell r="F625">
            <v>1570</v>
          </cell>
          <cell r="G625">
            <v>3.4099999999999999E-4</v>
          </cell>
          <cell r="H625">
            <v>3.59</v>
          </cell>
          <cell r="I625" t="str">
            <v>2021-01-01</v>
          </cell>
          <cell r="J625">
            <v>1499</v>
          </cell>
          <cell r="K625">
            <v>2.0699999999999998</v>
          </cell>
          <cell r="L625">
            <v>102.43</v>
          </cell>
          <cell r="M625" t="str">
            <v>UF</v>
          </cell>
          <cell r="N625" t="str">
            <v>RFL</v>
          </cell>
          <cell r="O625" t="str">
            <v>Renta Fija Local</v>
          </cell>
          <cell r="P625" t="str">
            <v>AA-;AA</v>
          </cell>
          <cell r="Q625" t="str">
            <v>Corto</v>
          </cell>
          <cell r="R625" t="str">
            <v>Corporativo Bajo Riesgo Corto</v>
          </cell>
          <cell r="S625">
            <v>3.59</v>
          </cell>
          <cell r="T625" t="str">
            <v>AA-</v>
          </cell>
          <cell r="U625" t="str">
            <v>4</v>
          </cell>
          <cell r="V625" t="str">
            <v>Bajo Riesgo</v>
          </cell>
          <cell r="W625" t="str">
            <v>Corporativo</v>
          </cell>
          <cell r="X625" t="str">
            <v>Bajo Riesgo Corto UF</v>
          </cell>
          <cell r="Y625" t="str">
            <v>Corporativo Bajo Riesgo Corto</v>
          </cell>
          <cell r="Z625" t="str">
            <v>Corto UF</v>
          </cell>
          <cell r="AA625" t="str">
            <v>Corporativo Corto</v>
          </cell>
          <cell r="AB625" t="str">
            <v>Corporativo UF</v>
          </cell>
          <cell r="AC625" t="str">
            <v>Instrumentos de Deuda</v>
          </cell>
          <cell r="AD625" t="str">
            <v>Financieras</v>
          </cell>
          <cell r="AE625" t="str">
            <v>Lh Falabella-48Q</v>
          </cell>
          <cell r="AF625" t="str">
            <v>Banco Falabella</v>
          </cell>
        </row>
        <row r="626">
          <cell r="C626" t="str">
            <v>BCTCH-Q</v>
          </cell>
          <cell r="D626" t="str">
            <v>TELEFONOS</v>
          </cell>
          <cell r="E626">
            <v>102674238</v>
          </cell>
          <cell r="F626">
            <v>100000000</v>
          </cell>
          <cell r="G626">
            <v>2.2829999999999999E-3</v>
          </cell>
          <cell r="H626">
            <v>5</v>
          </cell>
          <cell r="I626" t="str">
            <v>2019-03-14</v>
          </cell>
          <cell r="J626">
            <v>840</v>
          </cell>
          <cell r="K626">
            <v>2.17</v>
          </cell>
          <cell r="L626">
            <v>101.58</v>
          </cell>
          <cell r="M626" t="str">
            <v>$</v>
          </cell>
          <cell r="N626" t="str">
            <v>RFL</v>
          </cell>
          <cell r="O626" t="str">
            <v>Renta Fija Local</v>
          </cell>
          <cell r="P626" t="str">
            <v>AA ; AA</v>
          </cell>
          <cell r="Q626" t="str">
            <v>Corto</v>
          </cell>
          <cell r="R626" t="str">
            <v>Corporativo Bajo Riesgo Corto</v>
          </cell>
          <cell r="S626">
            <v>2</v>
          </cell>
          <cell r="T626" t="str">
            <v>AA</v>
          </cell>
          <cell r="U626" t="str">
            <v>3</v>
          </cell>
          <cell r="V626" t="str">
            <v>Bajo Riesgo</v>
          </cell>
          <cell r="W626" t="str">
            <v>Corporativo</v>
          </cell>
          <cell r="X626" t="str">
            <v>Bajo Riesgo Corto $</v>
          </cell>
          <cell r="Y626" t="str">
            <v>Corporativo Bajo Riesgo Corto</v>
          </cell>
          <cell r="Z626" t="str">
            <v>Corto $</v>
          </cell>
          <cell r="AA626" t="str">
            <v>Corporativo Corto</v>
          </cell>
          <cell r="AB626" t="str">
            <v>Corporativo $</v>
          </cell>
          <cell r="AC626" t="str">
            <v>Instrumentos de Deuda</v>
          </cell>
          <cell r="AD626" t="str">
            <v>Comunicaciones</v>
          </cell>
          <cell r="AE626" t="str">
            <v>Bono Ctc Serie Q</v>
          </cell>
          <cell r="AF626" t="str">
            <v>CTC S.A.</v>
          </cell>
        </row>
        <row r="627">
          <cell r="C627" t="str">
            <v>BBCIS-P30A</v>
          </cell>
          <cell r="D627" t="str">
            <v>BCI SECURI</v>
          </cell>
          <cell r="E627">
            <v>899231224</v>
          </cell>
          <cell r="F627">
            <v>900000000</v>
          </cell>
          <cell r="G627">
            <v>1.9996E-2</v>
          </cell>
          <cell r="H627">
            <v>6.23</v>
          </cell>
          <cell r="I627" t="str">
            <v>2020-04-01</v>
          </cell>
          <cell r="J627">
            <v>1224</v>
          </cell>
          <cell r="K627">
            <v>2.2400000000000002</v>
          </cell>
          <cell r="L627">
            <v>99.1</v>
          </cell>
          <cell r="M627" t="str">
            <v>$</v>
          </cell>
          <cell r="N627" t="str">
            <v>RFL</v>
          </cell>
          <cell r="O627" t="str">
            <v>Renta Fija Local</v>
          </cell>
          <cell r="P627" t="str">
            <v>AA ; AA</v>
          </cell>
          <cell r="Q627" t="str">
            <v>Corto</v>
          </cell>
          <cell r="R627" t="str">
            <v>Corporativo Bajo Riesgo Corto</v>
          </cell>
          <cell r="S627">
            <v>3.23</v>
          </cell>
          <cell r="T627" t="str">
            <v>AA</v>
          </cell>
          <cell r="U627" t="str">
            <v>3</v>
          </cell>
          <cell r="V627" t="str">
            <v>Bajo Riesgo</v>
          </cell>
          <cell r="W627" t="str">
            <v>Corporativo</v>
          </cell>
          <cell r="X627" t="str">
            <v>Bajo Riesgo Corto $</v>
          </cell>
          <cell r="Y627" t="str">
            <v>Corporativo Bajo Riesgo Corto</v>
          </cell>
          <cell r="Z627" t="str">
            <v>Corto $</v>
          </cell>
          <cell r="AA627" t="str">
            <v>Corporativo Corto</v>
          </cell>
          <cell r="AB627" t="str">
            <v>Corporativo $</v>
          </cell>
          <cell r="AC627" t="str">
            <v>Instrumentos de Deuda</v>
          </cell>
          <cell r="AD627" t="str">
            <v>Financieras</v>
          </cell>
          <cell r="AE627" t="str">
            <v>Bono Bci Securitizadora P30A</v>
          </cell>
          <cell r="AF627" t="str">
            <v>BCI Securitizadora</v>
          </cell>
        </row>
        <row r="628">
          <cell r="C628" t="str">
            <v>BFORU-AT</v>
          </cell>
          <cell r="D628" t="str">
            <v>LEAS FORUM</v>
          </cell>
          <cell r="E628">
            <v>416430157</v>
          </cell>
          <cell r="F628">
            <v>410000000</v>
          </cell>
          <cell r="G628">
            <v>9.2599999999999991E-3</v>
          </cell>
          <cell r="H628">
            <v>5.2</v>
          </cell>
          <cell r="I628" t="str">
            <v>2019-06-25</v>
          </cell>
          <cell r="J628">
            <v>943</v>
          </cell>
          <cell r="K628">
            <v>2.41</v>
          </cell>
          <cell r="L628">
            <v>99.54</v>
          </cell>
          <cell r="M628" t="str">
            <v>$</v>
          </cell>
          <cell r="N628" t="str">
            <v>RFL</v>
          </cell>
          <cell r="O628" t="str">
            <v>Renta Fija Local</v>
          </cell>
          <cell r="P628" t="str">
            <v>AA ; AA-</v>
          </cell>
          <cell r="Q628" t="str">
            <v>Corto</v>
          </cell>
          <cell r="R628" t="str">
            <v>Corporativo Bajo Riesgo Corto</v>
          </cell>
          <cell r="S628">
            <v>2.2000000000000002</v>
          </cell>
          <cell r="T628" t="str">
            <v>AA-</v>
          </cell>
          <cell r="U628" t="str">
            <v>4</v>
          </cell>
          <cell r="V628" t="str">
            <v>Bajo Riesgo</v>
          </cell>
          <cell r="W628" t="str">
            <v>Corporativo</v>
          </cell>
          <cell r="X628" t="str">
            <v>Bajo Riesgo Corto $</v>
          </cell>
          <cell r="Y628" t="str">
            <v>Corporativo Bajo Riesgo Corto</v>
          </cell>
          <cell r="Z628" t="str">
            <v>Corto $</v>
          </cell>
          <cell r="AA628" t="str">
            <v>Corporativo Corto</v>
          </cell>
          <cell r="AB628" t="str">
            <v>Corporativo $</v>
          </cell>
          <cell r="AC628" t="str">
            <v>Instrumentos de Deuda</v>
          </cell>
          <cell r="AD628" t="str">
            <v>Financieras</v>
          </cell>
          <cell r="AE628" t="str">
            <v>Bono Forum Servicios Financieros Serie At</v>
          </cell>
          <cell r="AF628" t="str">
            <v>Forum Servicios Financieros S.A.</v>
          </cell>
        </row>
        <row r="629">
          <cell r="C629" t="str">
            <v>FAL62V0102</v>
          </cell>
          <cell r="D629" t="str">
            <v>FALABELLA</v>
          </cell>
          <cell r="E629">
            <v>20784791</v>
          </cell>
          <cell r="F629">
            <v>1940</v>
          </cell>
          <cell r="G629">
            <v>4.6200000000000001E-4</v>
          </cell>
          <cell r="H629">
            <v>3.92</v>
          </cell>
          <cell r="I629" t="str">
            <v>2022-01-01</v>
          </cell>
          <cell r="J629">
            <v>1864</v>
          </cell>
          <cell r="K629">
            <v>2.48</v>
          </cell>
          <cell r="L629">
            <v>105.52</v>
          </cell>
          <cell r="M629" t="str">
            <v>UF</v>
          </cell>
          <cell r="N629" t="str">
            <v>RFL</v>
          </cell>
          <cell r="O629" t="str">
            <v>Renta Fija Local</v>
          </cell>
          <cell r="P629" t="str">
            <v>AA-;AA</v>
          </cell>
          <cell r="Q629" t="str">
            <v>Corto</v>
          </cell>
          <cell r="R629" t="str">
            <v>Corporativo Bajo Riesgo Corto</v>
          </cell>
          <cell r="S629">
            <v>3.92</v>
          </cell>
          <cell r="T629" t="str">
            <v>AA-</v>
          </cell>
          <cell r="U629" t="str">
            <v>4</v>
          </cell>
          <cell r="V629" t="str">
            <v>Bajo Riesgo</v>
          </cell>
          <cell r="W629" t="str">
            <v>Corporativo</v>
          </cell>
          <cell r="X629" t="str">
            <v>Bajo Riesgo Corto UF</v>
          </cell>
          <cell r="Y629" t="str">
            <v>Corporativo Bajo Riesgo Corto</v>
          </cell>
          <cell r="Z629" t="str">
            <v>Corto UF</v>
          </cell>
          <cell r="AA629" t="str">
            <v>Corporativo Corto</v>
          </cell>
          <cell r="AB629" t="str">
            <v>Corporativo UF</v>
          </cell>
          <cell r="AC629" t="str">
            <v>Instrumentos de Deuda</v>
          </cell>
          <cell r="AD629" t="str">
            <v>Financieras</v>
          </cell>
          <cell r="AE629" t="str">
            <v>Banco Falabella</v>
          </cell>
          <cell r="AF629" t="str">
            <v>Banco Falabella</v>
          </cell>
        </row>
        <row r="630">
          <cell r="C630" t="str">
            <v>BSECN10109</v>
          </cell>
          <cell r="D630" t="str">
            <v>BBSECURITY</v>
          </cell>
          <cell r="E630">
            <v>672207958</v>
          </cell>
          <cell r="F630">
            <v>25000</v>
          </cell>
          <cell r="G630">
            <v>1.4947999999999999E-2</v>
          </cell>
          <cell r="H630">
            <v>2.6</v>
          </cell>
          <cell r="I630" t="str">
            <v>2019-07-01</v>
          </cell>
          <cell r="J630">
            <v>949</v>
          </cell>
          <cell r="K630">
            <v>2.4900000000000002</v>
          </cell>
          <cell r="L630">
            <v>101.03</v>
          </cell>
          <cell r="M630" t="str">
            <v>UF</v>
          </cell>
          <cell r="N630" t="str">
            <v>RFL</v>
          </cell>
          <cell r="O630" t="str">
            <v>Renta Fija Local</v>
          </cell>
          <cell r="P630" t="str">
            <v>AA- ; AA-</v>
          </cell>
          <cell r="Q630" t="str">
            <v>Corto</v>
          </cell>
          <cell r="R630" t="str">
            <v>Corporativo Bajo Riesgo Corto</v>
          </cell>
          <cell r="S630">
            <v>2.6</v>
          </cell>
          <cell r="T630" t="str">
            <v>AA-</v>
          </cell>
          <cell r="U630" t="str">
            <v>4</v>
          </cell>
          <cell r="V630" t="str">
            <v>Bajo Riesgo</v>
          </cell>
          <cell r="W630" t="str">
            <v>Corporativo</v>
          </cell>
          <cell r="X630" t="str">
            <v>Bajo Riesgo Corto UF</v>
          </cell>
          <cell r="Y630" t="str">
            <v>Corporativo Bajo Riesgo Corto</v>
          </cell>
          <cell r="Z630" t="str">
            <v>Corto UF</v>
          </cell>
          <cell r="AA630" t="str">
            <v>Corporativo Corto</v>
          </cell>
          <cell r="AB630" t="str">
            <v>Corporativo UF</v>
          </cell>
          <cell r="AC630" t="str">
            <v>Instrumentos de Deuda</v>
          </cell>
          <cell r="AD630" t="str">
            <v>Financieras</v>
          </cell>
          <cell r="AE630" t="str">
            <v>Bono Bancario Security-N1</v>
          </cell>
          <cell r="AF630" t="str">
            <v>Banco Security</v>
          </cell>
        </row>
        <row r="631">
          <cell r="C631" t="str">
            <v>BCOSJ-A</v>
          </cell>
          <cell r="D631" t="str">
            <v>TECNOCONTR</v>
          </cell>
          <cell r="E631">
            <v>393431195</v>
          </cell>
          <cell r="F631">
            <v>20000</v>
          </cell>
          <cell r="G631">
            <v>8.7480000000000006E-3</v>
          </cell>
          <cell r="H631">
            <v>2.7</v>
          </cell>
          <cell r="I631" t="str">
            <v>2021-06-30</v>
          </cell>
          <cell r="J631">
            <v>1679</v>
          </cell>
          <cell r="K631">
            <v>2.5499999999999998</v>
          </cell>
          <cell r="L631">
            <v>100.62</v>
          </cell>
          <cell r="M631" t="str">
            <v>UF</v>
          </cell>
          <cell r="N631" t="str">
            <v>RFL</v>
          </cell>
          <cell r="O631" t="str">
            <v>Renta Fija Local</v>
          </cell>
          <cell r="P631" t="str">
            <v>AAA ; AAA</v>
          </cell>
          <cell r="Q631" t="str">
            <v>Corto</v>
          </cell>
          <cell r="R631" t="str">
            <v>Corporativo Bajo Riesgo Corto</v>
          </cell>
          <cell r="S631">
            <v>2.7</v>
          </cell>
          <cell r="T631" t="str">
            <v>AAA</v>
          </cell>
          <cell r="U631" t="str">
            <v>1</v>
          </cell>
          <cell r="V631" t="str">
            <v>Bajo Riesgo</v>
          </cell>
          <cell r="W631" t="str">
            <v>Corporativo</v>
          </cell>
          <cell r="X631" t="str">
            <v>Bajo Riesgo Corto UF</v>
          </cell>
          <cell r="Y631" t="str">
            <v>Corporativo Bajo Riesgo Corto</v>
          </cell>
          <cell r="Z631" t="str">
            <v>Corto UF</v>
          </cell>
          <cell r="AA631" t="str">
            <v>Corporativo Corto</v>
          </cell>
          <cell r="AB631" t="str">
            <v>Corporativo UF</v>
          </cell>
          <cell r="AC631" t="str">
            <v>Instrumentos de Deuda</v>
          </cell>
          <cell r="AD631" t="str">
            <v>Construcción</v>
          </cell>
          <cell r="AE631" t="str">
            <v>Bono Constructora San Jose Serie A</v>
          </cell>
          <cell r="AF631" t="str">
            <v>San José Tecnocontrol</v>
          </cell>
        </row>
        <row r="632">
          <cell r="C632" t="str">
            <v>BTANN-S</v>
          </cell>
          <cell r="D632" t="str">
            <v>TANNER SF</v>
          </cell>
          <cell r="E632">
            <v>168469446</v>
          </cell>
          <cell r="F632">
            <v>6500</v>
          </cell>
          <cell r="G632">
            <v>3.7460000000000002E-3</v>
          </cell>
          <cell r="H632">
            <v>3.95</v>
          </cell>
          <cell r="I632" t="str">
            <v>2019-12-15</v>
          </cell>
          <cell r="J632">
            <v>1116</v>
          </cell>
          <cell r="K632">
            <v>2.68</v>
          </cell>
          <cell r="L632">
            <v>97.31</v>
          </cell>
          <cell r="M632" t="str">
            <v>UF</v>
          </cell>
          <cell r="N632" t="str">
            <v>RFL</v>
          </cell>
          <cell r="O632" t="str">
            <v>Renta Fija Local</v>
          </cell>
          <cell r="P632" t="str">
            <v>A+ ; A+</v>
          </cell>
          <cell r="Q632" t="str">
            <v>Corto</v>
          </cell>
          <cell r="R632" t="str">
            <v>Corporativo Alto Riesgo Corto</v>
          </cell>
          <cell r="S632">
            <v>3.95</v>
          </cell>
          <cell r="T632" t="str">
            <v>A+</v>
          </cell>
          <cell r="U632" t="str">
            <v>5</v>
          </cell>
          <cell r="V632" t="str">
            <v>Alto Riesgo</v>
          </cell>
          <cell r="W632" t="str">
            <v>Corporativo</v>
          </cell>
          <cell r="X632" t="str">
            <v>Alto Riesgo Corto UF</v>
          </cell>
          <cell r="Y632" t="str">
            <v>Corporativo Alto Riesgo Corto</v>
          </cell>
          <cell r="Z632" t="str">
            <v>Corto UF</v>
          </cell>
          <cell r="AA632" t="str">
            <v>Corporativo Corto</v>
          </cell>
          <cell r="AB632" t="str">
            <v>Corporativo UF</v>
          </cell>
          <cell r="AC632" t="str">
            <v>Instrumentos de Deuda</v>
          </cell>
          <cell r="AD632" t="str">
            <v>Financieras</v>
          </cell>
          <cell r="AE632" t="str">
            <v>Bono Sf Tanner Serie S</v>
          </cell>
          <cell r="AF632" t="str">
            <v>Tanner</v>
          </cell>
        </row>
        <row r="633">
          <cell r="C633" t="str">
            <v>CHI0210103</v>
          </cell>
          <cell r="D633" t="str">
            <v>CHILE</v>
          </cell>
          <cell r="E633">
            <v>1866157</v>
          </cell>
          <cell r="F633">
            <v>160</v>
          </cell>
          <cell r="G633">
            <v>4.1E-5</v>
          </cell>
          <cell r="H633">
            <v>3.46</v>
          </cell>
          <cell r="I633" t="str">
            <v>2023-01-01</v>
          </cell>
          <cell r="J633">
            <v>2229</v>
          </cell>
          <cell r="K633">
            <v>2.99</v>
          </cell>
          <cell r="L633">
            <v>104.52</v>
          </cell>
          <cell r="M633" t="str">
            <v>UF</v>
          </cell>
          <cell r="N633" t="str">
            <v>RFL</v>
          </cell>
          <cell r="O633" t="str">
            <v>Renta Fija Local</v>
          </cell>
          <cell r="P633" t="str">
            <v>AAA ; AAA</v>
          </cell>
          <cell r="Q633" t="str">
            <v>Corto</v>
          </cell>
          <cell r="R633" t="str">
            <v>Corporativo Bajo Riesgo Corto</v>
          </cell>
          <cell r="S633">
            <v>3.46</v>
          </cell>
          <cell r="T633" t="str">
            <v>AAA</v>
          </cell>
          <cell r="U633" t="str">
            <v>1</v>
          </cell>
          <cell r="V633" t="str">
            <v>Bajo Riesgo</v>
          </cell>
          <cell r="W633" t="str">
            <v>Corporativo</v>
          </cell>
          <cell r="X633" t="str">
            <v>Bajo Riesgo Corto UF</v>
          </cell>
          <cell r="Y633" t="str">
            <v>Corporativo Bajo Riesgo Corto</v>
          </cell>
          <cell r="Z633" t="str">
            <v>Corto UF</v>
          </cell>
          <cell r="AA633" t="str">
            <v>Corporativo Corto</v>
          </cell>
          <cell r="AB633" t="str">
            <v>Corporativo UF</v>
          </cell>
          <cell r="AC633" t="str">
            <v>Instrumentos de Deuda</v>
          </cell>
          <cell r="AD633" t="str">
            <v>Financieras</v>
          </cell>
          <cell r="AE633" t="str">
            <v>Lh Chile-021</v>
          </cell>
          <cell r="AF633" t="str">
            <v>Banco de Chile</v>
          </cell>
        </row>
        <row r="634">
          <cell r="C634" t="str">
            <v>BFORU-AX</v>
          </cell>
          <cell r="D634" t="str">
            <v>LEAS FORUM</v>
          </cell>
          <cell r="E634">
            <v>404055256</v>
          </cell>
          <cell r="F634">
            <v>400000000</v>
          </cell>
          <cell r="G634">
            <v>8.9849999999999999E-3</v>
          </cell>
          <cell r="H634">
            <v>5.21</v>
          </cell>
          <cell r="I634" t="str">
            <v>2020-04-01</v>
          </cell>
          <cell r="J634">
            <v>1224</v>
          </cell>
          <cell r="K634">
            <v>3.1</v>
          </cell>
          <cell r="L634">
            <v>100.26</v>
          </cell>
          <cell r="M634" t="str">
            <v>$</v>
          </cell>
          <cell r="N634" t="str">
            <v>RFL</v>
          </cell>
          <cell r="O634" t="str">
            <v>Renta Fija Local</v>
          </cell>
          <cell r="P634" t="str">
            <v>AA- ; AA</v>
          </cell>
          <cell r="Q634" t="str">
            <v>Corto</v>
          </cell>
          <cell r="R634" t="str">
            <v>Corporativo Bajo Riesgo Corto</v>
          </cell>
          <cell r="S634">
            <v>2.21</v>
          </cell>
          <cell r="T634" t="str">
            <v>AA-</v>
          </cell>
          <cell r="U634" t="str">
            <v>4</v>
          </cell>
          <cell r="V634" t="str">
            <v>Bajo Riesgo</v>
          </cell>
          <cell r="W634" t="str">
            <v>Corporativo</v>
          </cell>
          <cell r="X634" t="str">
            <v>Bajo Riesgo Corto $</v>
          </cell>
          <cell r="Y634" t="str">
            <v>Corporativo Bajo Riesgo Corto</v>
          </cell>
          <cell r="Z634" t="str">
            <v>Corto $</v>
          </cell>
          <cell r="AA634" t="str">
            <v>Corporativo Corto</v>
          </cell>
          <cell r="AB634" t="str">
            <v>Corporativo $</v>
          </cell>
          <cell r="AC634" t="str">
            <v>Instrumentos de Deuda</v>
          </cell>
          <cell r="AD634" t="str">
            <v>Financieras</v>
          </cell>
          <cell r="AE634" t="str">
            <v>Bono Forum Servicios Financieros Serie Ax</v>
          </cell>
          <cell r="AF634" t="str">
            <v>Forum Servicios Financieros S.A.</v>
          </cell>
        </row>
        <row r="635">
          <cell r="C635" t="str">
            <v>BITAAI0415</v>
          </cell>
          <cell r="D635" t="str">
            <v>BBITAU</v>
          </cell>
          <cell r="E635">
            <v>135798606</v>
          </cell>
          <cell r="F635">
            <v>5000</v>
          </cell>
          <cell r="G635">
            <v>3.019E-3</v>
          </cell>
          <cell r="H635">
            <v>2.62</v>
          </cell>
          <cell r="I635" t="str">
            <v>2020-04-01</v>
          </cell>
          <cell r="J635">
            <v>1224</v>
          </cell>
          <cell r="K635">
            <v>3.18</v>
          </cell>
          <cell r="L635">
            <v>102.75</v>
          </cell>
          <cell r="M635" t="str">
            <v>UF</v>
          </cell>
          <cell r="N635" t="str">
            <v>RFL</v>
          </cell>
          <cell r="O635" t="str">
            <v>Renta Fija Local</v>
          </cell>
          <cell r="P635" t="str">
            <v>AA ; AA</v>
          </cell>
          <cell r="Q635" t="str">
            <v>Corto</v>
          </cell>
          <cell r="R635" t="str">
            <v>Corporativo Bajo Riesgo Corto</v>
          </cell>
          <cell r="S635">
            <v>2.62</v>
          </cell>
          <cell r="T635" t="str">
            <v>AA</v>
          </cell>
          <cell r="U635" t="str">
            <v>3</v>
          </cell>
          <cell r="V635" t="str">
            <v>Bajo Riesgo</v>
          </cell>
          <cell r="W635" t="str">
            <v>Corporativo</v>
          </cell>
          <cell r="X635" t="str">
            <v>Bajo Riesgo Corto UF</v>
          </cell>
          <cell r="Y635" t="str">
            <v>Corporativo Bajo Riesgo Corto</v>
          </cell>
          <cell r="Z635" t="str">
            <v>Corto UF</v>
          </cell>
          <cell r="AA635" t="str">
            <v>Corporativo Corto</v>
          </cell>
          <cell r="AB635" t="str">
            <v>Corporativo UF</v>
          </cell>
          <cell r="AC635" t="str">
            <v>Instrumentos de Deuda</v>
          </cell>
          <cell r="AD635" t="str">
            <v>Financieras</v>
          </cell>
          <cell r="AE635" t="str">
            <v>Bono Banco Itau Serie Ai</v>
          </cell>
          <cell r="AF635" t="str">
            <v>Itau/Corpbanca</v>
          </cell>
        </row>
        <row r="636">
          <cell r="C636" t="str">
            <v>BBOTS-P2D</v>
          </cell>
          <cell r="D636" t="str">
            <v>BOSTONSEC</v>
          </cell>
          <cell r="E636">
            <v>101319061</v>
          </cell>
          <cell r="F636">
            <v>14000</v>
          </cell>
          <cell r="G636">
            <v>2.2529999999999998E-3</v>
          </cell>
          <cell r="H636">
            <v>4.96</v>
          </cell>
          <cell r="I636" t="str">
            <v>2024-01-25</v>
          </cell>
          <cell r="J636">
            <v>2618</v>
          </cell>
          <cell r="K636">
            <v>3.3</v>
          </cell>
          <cell r="L636">
            <v>100.12</v>
          </cell>
          <cell r="M636" t="str">
            <v>UF</v>
          </cell>
          <cell r="N636" t="str">
            <v>RFL</v>
          </cell>
          <cell r="O636" t="str">
            <v>Renta Fija Local</v>
          </cell>
          <cell r="P636" t="str">
            <v>A</v>
          </cell>
          <cell r="Q636" t="str">
            <v>Corto</v>
          </cell>
          <cell r="R636" t="str">
            <v>Corporativo Alto Riesgo Corto</v>
          </cell>
          <cell r="S636">
            <v>4.96</v>
          </cell>
          <cell r="T636" t="str">
            <v>A</v>
          </cell>
          <cell r="U636" t="str">
            <v>6</v>
          </cell>
          <cell r="V636" t="str">
            <v>Alto Riesgo</v>
          </cell>
          <cell r="W636" t="str">
            <v>Corporativo</v>
          </cell>
          <cell r="X636" t="str">
            <v>Alto Riesgo Corto UF</v>
          </cell>
          <cell r="Y636" t="str">
            <v>Corporativo Alto Riesgo Corto</v>
          </cell>
          <cell r="Z636" t="str">
            <v>Corto UF</v>
          </cell>
          <cell r="AA636" t="str">
            <v>Corporativo Corto</v>
          </cell>
          <cell r="AB636" t="str">
            <v>Corporativo UF</v>
          </cell>
          <cell r="AC636" t="str">
            <v>Instrumentos de Deuda</v>
          </cell>
          <cell r="AD636" t="str">
            <v>Financieras</v>
          </cell>
          <cell r="AE636" t="str">
            <v>Bono Boston Securitizadora P2D</v>
          </cell>
          <cell r="AF636" t="str">
            <v>EF Securitizadora S.A.</v>
          </cell>
        </row>
        <row r="637">
          <cell r="C637" t="str">
            <v>BCORAI0710</v>
          </cell>
          <cell r="D637" t="str">
            <v>BBCORPBANC</v>
          </cell>
          <cell r="E637">
            <v>161919309</v>
          </cell>
          <cell r="F637">
            <v>6000</v>
          </cell>
          <cell r="G637">
            <v>3.5999999999999999E-3</v>
          </cell>
          <cell r="H637">
            <v>2.6</v>
          </cell>
          <cell r="I637" t="str">
            <v>2020-07-01</v>
          </cell>
          <cell r="J637">
            <v>1315</v>
          </cell>
          <cell r="K637">
            <v>3.4</v>
          </cell>
          <cell r="L637">
            <v>101.4</v>
          </cell>
          <cell r="M637" t="str">
            <v>UF</v>
          </cell>
          <cell r="N637" t="str">
            <v>RFL</v>
          </cell>
          <cell r="O637" t="str">
            <v>Renta Fija Local</v>
          </cell>
          <cell r="P637" t="str">
            <v>AA ; AA-</v>
          </cell>
          <cell r="Q637" t="str">
            <v>Corto</v>
          </cell>
          <cell r="R637" t="str">
            <v>Corporativo Bajo Riesgo Corto</v>
          </cell>
          <cell r="S637">
            <v>2.6</v>
          </cell>
          <cell r="T637" t="str">
            <v>AA-</v>
          </cell>
          <cell r="U637" t="str">
            <v>4</v>
          </cell>
          <cell r="V637" t="str">
            <v>Bajo Riesgo</v>
          </cell>
          <cell r="W637" t="str">
            <v>Corporativo</v>
          </cell>
          <cell r="X637" t="str">
            <v>Bajo Riesgo Corto UF</v>
          </cell>
          <cell r="Y637" t="str">
            <v>Corporativo Bajo Riesgo Corto</v>
          </cell>
          <cell r="Z637" t="str">
            <v>Corto UF</v>
          </cell>
          <cell r="AA637" t="str">
            <v>Corporativo Corto</v>
          </cell>
          <cell r="AB637" t="str">
            <v>Corporativo UF</v>
          </cell>
          <cell r="AC637" t="str">
            <v>Instrumentos de Deuda</v>
          </cell>
          <cell r="AD637" t="str">
            <v>Financieras</v>
          </cell>
          <cell r="AE637" t="str">
            <v>Bono Corpbanca Serie Ai</v>
          </cell>
          <cell r="AF637" t="str">
            <v>Itau/Corpbanca</v>
          </cell>
        </row>
        <row r="638">
          <cell r="C638" t="str">
            <v>BBOTS-P3F</v>
          </cell>
          <cell r="D638" t="str">
            <v>BOSTONSEC</v>
          </cell>
          <cell r="E638">
            <v>92190431</v>
          </cell>
          <cell r="F638">
            <v>11000</v>
          </cell>
          <cell r="G638">
            <v>2.0500000000000002E-3</v>
          </cell>
          <cell r="H638">
            <v>5.42</v>
          </cell>
          <cell r="I638" t="str">
            <v>2024-11-25</v>
          </cell>
          <cell r="J638">
            <v>2923</v>
          </cell>
          <cell r="K638">
            <v>3.64</v>
          </cell>
          <cell r="L638">
            <v>96.82</v>
          </cell>
          <cell r="M638" t="str">
            <v>UF</v>
          </cell>
          <cell r="N638" t="str">
            <v>RFL</v>
          </cell>
          <cell r="O638" t="str">
            <v>Renta Fija Local</v>
          </cell>
          <cell r="P638" t="str">
            <v>A</v>
          </cell>
          <cell r="Q638" t="str">
            <v>Corto</v>
          </cell>
          <cell r="R638" t="str">
            <v>Corporativo Alto Riesgo Corto</v>
          </cell>
          <cell r="S638">
            <v>5.42</v>
          </cell>
          <cell r="T638" t="str">
            <v>A</v>
          </cell>
          <cell r="U638" t="str">
            <v>6</v>
          </cell>
          <cell r="V638" t="str">
            <v>Alto Riesgo</v>
          </cell>
          <cell r="W638" t="str">
            <v>Corporativo</v>
          </cell>
          <cell r="X638" t="str">
            <v>Alto Riesgo Corto UF</v>
          </cell>
          <cell r="Y638" t="str">
            <v>Corporativo Alto Riesgo Corto</v>
          </cell>
          <cell r="Z638" t="str">
            <v>Corto UF</v>
          </cell>
          <cell r="AA638" t="str">
            <v>Corporativo Corto</v>
          </cell>
          <cell r="AB638" t="str">
            <v>Corporativo UF</v>
          </cell>
          <cell r="AC638" t="str">
            <v>Instrumentos de Deuda</v>
          </cell>
          <cell r="AD638" t="str">
            <v>Financieras</v>
          </cell>
          <cell r="AE638" t="str">
            <v>Bonos Boston Securitizadora P3F</v>
          </cell>
          <cell r="AF638" t="str">
            <v>EF Securitizadora S.A.</v>
          </cell>
        </row>
        <row r="639">
          <cell r="C639" t="str">
            <v>EST4170105</v>
          </cell>
          <cell r="D639" t="str">
            <v>ESTADO</v>
          </cell>
          <cell r="E639">
            <v>41393978</v>
          </cell>
          <cell r="F639">
            <v>2900</v>
          </cell>
          <cell r="G639">
            <v>9.2000000000000003E-4</v>
          </cell>
          <cell r="H639">
            <v>3.07</v>
          </cell>
          <cell r="I639" t="str">
            <v>2025-01-01</v>
          </cell>
          <cell r="J639">
            <v>2960</v>
          </cell>
          <cell r="K639">
            <v>3.92</v>
          </cell>
          <cell r="L639">
            <v>104.71</v>
          </cell>
          <cell r="M639" t="str">
            <v>UF</v>
          </cell>
          <cell r="N639" t="str">
            <v>RFL</v>
          </cell>
          <cell r="O639" t="str">
            <v>Renta Fija Local</v>
          </cell>
          <cell r="P639" t="str">
            <v>AAA ; AAA</v>
          </cell>
          <cell r="Q639" t="str">
            <v>Corto</v>
          </cell>
          <cell r="R639" t="str">
            <v>Corporativo Bajo Riesgo Corto</v>
          </cell>
          <cell r="S639">
            <v>3.07</v>
          </cell>
          <cell r="T639" t="str">
            <v>AAA</v>
          </cell>
          <cell r="U639" t="str">
            <v>1</v>
          </cell>
          <cell r="V639" t="str">
            <v>Bajo Riesgo</v>
          </cell>
          <cell r="W639" t="str">
            <v>Corporativo</v>
          </cell>
          <cell r="X639" t="str">
            <v>Bajo Riesgo Corto UF</v>
          </cell>
          <cell r="Y639" t="str">
            <v>Corporativo Bajo Riesgo Corto</v>
          </cell>
          <cell r="Z639" t="str">
            <v>Corto UF</v>
          </cell>
          <cell r="AA639" t="str">
            <v>Corporativo Corto</v>
          </cell>
          <cell r="AB639" t="str">
            <v>Corporativo UF</v>
          </cell>
          <cell r="AC639" t="str">
            <v>Instrumentos de Deuda</v>
          </cell>
          <cell r="AD639" t="str">
            <v>Financieras</v>
          </cell>
          <cell r="AE639" t="str">
            <v>Lh Estado-417</v>
          </cell>
          <cell r="AF639" t="str">
            <v>Banco Estado</v>
          </cell>
        </row>
        <row r="640">
          <cell r="C640" t="str">
            <v>RPLG0E0105</v>
          </cell>
          <cell r="D640" t="str">
            <v>RIPLEY</v>
          </cell>
          <cell r="E640">
            <v>3744184</v>
          </cell>
          <cell r="F640">
            <v>270</v>
          </cell>
          <cell r="G640">
            <v>8.2999999999999998E-5</v>
          </cell>
          <cell r="H640">
            <v>3.19</v>
          </cell>
          <cell r="I640" t="str">
            <v>2025-01-01</v>
          </cell>
          <cell r="J640">
            <v>2960</v>
          </cell>
          <cell r="K640">
            <v>3.92</v>
          </cell>
          <cell r="L640">
            <v>103.1</v>
          </cell>
          <cell r="M640" t="str">
            <v>UF</v>
          </cell>
          <cell r="N640" t="str">
            <v>RFL</v>
          </cell>
          <cell r="O640" t="str">
            <v>Renta Fija Local</v>
          </cell>
          <cell r="P640" t="str">
            <v>A ; A</v>
          </cell>
          <cell r="Q640" t="str">
            <v>Corto</v>
          </cell>
          <cell r="R640" t="str">
            <v>Corporativo Alto Riesgo Corto</v>
          </cell>
          <cell r="S640">
            <v>3.19</v>
          </cell>
          <cell r="T640" t="str">
            <v>A</v>
          </cell>
          <cell r="U640" t="str">
            <v>6</v>
          </cell>
          <cell r="V640" t="str">
            <v>Alto Riesgo</v>
          </cell>
          <cell r="W640" t="str">
            <v>Corporativo</v>
          </cell>
          <cell r="X640" t="str">
            <v>Alto Riesgo Corto UF</v>
          </cell>
          <cell r="Y640" t="str">
            <v>Corporativo Alto Riesgo Corto</v>
          </cell>
          <cell r="Z640" t="str">
            <v>Corto UF</v>
          </cell>
          <cell r="AA640" t="str">
            <v>Corporativo Corto</v>
          </cell>
          <cell r="AB640" t="str">
            <v>Corporativo UF</v>
          </cell>
          <cell r="AC640" t="str">
            <v>Instrumentos de Deuda</v>
          </cell>
          <cell r="AD640" t="str">
            <v>Financieras</v>
          </cell>
          <cell r="AE640" t="str">
            <v>Lh Ripley-G0E (01/05)</v>
          </cell>
          <cell r="AF640" t="str">
            <v>Banco Ripley</v>
          </cell>
        </row>
        <row r="641">
          <cell r="C641" t="str">
            <v>BCU0300221</v>
          </cell>
          <cell r="D641" t="str">
            <v>BCU</v>
          </cell>
          <cell r="E641">
            <v>829962594</v>
          </cell>
          <cell r="F641">
            <v>29500</v>
          </cell>
          <cell r="G641">
            <v>1.8456E-2</v>
          </cell>
          <cell r="H641">
            <v>1.51</v>
          </cell>
          <cell r="I641" t="str">
            <v>2021-02-01</v>
          </cell>
          <cell r="J641">
            <v>1530</v>
          </cell>
          <cell r="K641">
            <v>3.94</v>
          </cell>
          <cell r="L641">
            <v>105.98</v>
          </cell>
          <cell r="M641" t="str">
            <v>UF</v>
          </cell>
          <cell r="N641" t="str">
            <v>RFL</v>
          </cell>
          <cell r="O641" t="str">
            <v>Renta Fija Local</v>
          </cell>
          <cell r="P641"/>
          <cell r="Q641" t="str">
            <v>Corto</v>
          </cell>
          <cell r="R641" t="str">
            <v>Gobierno UF Corto</v>
          </cell>
          <cell r="S641">
            <v>1.51</v>
          </cell>
          <cell r="T641" t="str">
            <v>Gob</v>
          </cell>
          <cell r="U641" t="str">
            <v>0</v>
          </cell>
          <cell r="V641" t="str">
            <v>Gobierno</v>
          </cell>
          <cell r="W641" t="str">
            <v>Gobierno</v>
          </cell>
          <cell r="X641" t="str">
            <v>Gobierno Corto UF</v>
          </cell>
          <cell r="Y641" t="str">
            <v>Gobierno Corto</v>
          </cell>
          <cell r="Z641" t="str">
            <v>Corto UF</v>
          </cell>
          <cell r="AA641" t="str">
            <v>Gobierno</v>
          </cell>
          <cell r="AB641" t="str">
            <v>Gobierno UF</v>
          </cell>
          <cell r="AC641" t="str">
            <v>Instrumentos de Deuda</v>
          </cell>
          <cell r="AD641" t="str">
            <v>Gobierno</v>
          </cell>
          <cell r="AE641" t="str">
            <v>Bono Bullet Bco Central En Uf</v>
          </cell>
          <cell r="AF641" t="str">
            <v>Banco Central de Chile</v>
          </cell>
        </row>
        <row r="642">
          <cell r="C642" t="str">
            <v>BSTDR10915</v>
          </cell>
          <cell r="D642" t="str">
            <v>BBSANT-CHI</v>
          </cell>
          <cell r="E642">
            <v>396713894</v>
          </cell>
          <cell r="F642">
            <v>15000</v>
          </cell>
          <cell r="G642">
            <v>8.8210000000000007E-3</v>
          </cell>
          <cell r="H642">
            <v>2.52</v>
          </cell>
          <cell r="I642" t="str">
            <v>2021-03-01</v>
          </cell>
          <cell r="J642">
            <v>1558</v>
          </cell>
          <cell r="K642">
            <v>4.05</v>
          </cell>
          <cell r="L642">
            <v>99.99</v>
          </cell>
          <cell r="M642" t="str">
            <v>UF</v>
          </cell>
          <cell r="N642" t="str">
            <v>RFL</v>
          </cell>
          <cell r="O642" t="str">
            <v>Renta Fija Local</v>
          </cell>
          <cell r="P642" t="str">
            <v>AAA ; AAA</v>
          </cell>
          <cell r="Q642" t="str">
            <v>Corto</v>
          </cell>
          <cell r="R642" t="str">
            <v>Corporativo Bajo Riesgo Corto</v>
          </cell>
          <cell r="S642">
            <v>2.52</v>
          </cell>
          <cell r="T642" t="str">
            <v>AAA</v>
          </cell>
          <cell r="U642" t="str">
            <v>1</v>
          </cell>
          <cell r="V642" t="str">
            <v>Bajo Riesgo</v>
          </cell>
          <cell r="W642" t="str">
            <v>Corporativo</v>
          </cell>
          <cell r="X642" t="str">
            <v>Bajo Riesgo Corto UF</v>
          </cell>
          <cell r="Y642" t="str">
            <v>Corporativo Bajo Riesgo Corto</v>
          </cell>
          <cell r="Z642" t="str">
            <v>Corto UF</v>
          </cell>
          <cell r="AA642" t="str">
            <v>Corporativo Corto</v>
          </cell>
          <cell r="AB642" t="str">
            <v>Corporativo UF</v>
          </cell>
          <cell r="AC642" t="str">
            <v>Instrumentos de Deuda</v>
          </cell>
          <cell r="AD642" t="str">
            <v>Financieras</v>
          </cell>
          <cell r="AE642" t="str">
            <v>Bono Banco Santander Serie R1</v>
          </cell>
          <cell r="AF642" t="str">
            <v>Banco Santander</v>
          </cell>
        </row>
        <row r="643">
          <cell r="C643" t="str">
            <v>BTU0150321</v>
          </cell>
          <cell r="D643" t="str">
            <v>BTU</v>
          </cell>
          <cell r="E643">
            <v>989453528</v>
          </cell>
          <cell r="F643">
            <v>37500</v>
          </cell>
          <cell r="G643">
            <v>2.2003000000000002E-2</v>
          </cell>
          <cell r="H643">
            <v>1.51</v>
          </cell>
          <cell r="I643" t="str">
            <v>2021-03-01</v>
          </cell>
          <cell r="J643">
            <v>1558</v>
          </cell>
          <cell r="K643">
            <v>4.1399999999999997</v>
          </cell>
          <cell r="L643">
            <v>99.98</v>
          </cell>
          <cell r="M643" t="str">
            <v>UF</v>
          </cell>
          <cell r="N643" t="str">
            <v>RFL</v>
          </cell>
          <cell r="O643" t="str">
            <v>Renta Fija Local</v>
          </cell>
          <cell r="P643"/>
          <cell r="Q643" t="str">
            <v>Corto</v>
          </cell>
          <cell r="R643" t="str">
            <v>Gobierno UF Corto</v>
          </cell>
          <cell r="S643">
            <v>1.51</v>
          </cell>
          <cell r="T643" t="str">
            <v>Gob</v>
          </cell>
          <cell r="U643" t="str">
            <v>0</v>
          </cell>
          <cell r="V643" t="str">
            <v>Gobierno</v>
          </cell>
          <cell r="W643" t="str">
            <v>Gobierno</v>
          </cell>
          <cell r="X643" t="str">
            <v>Gobierno Corto UF</v>
          </cell>
          <cell r="Y643" t="str">
            <v>Gobierno Corto</v>
          </cell>
          <cell r="Z643" t="str">
            <v>Corto UF</v>
          </cell>
          <cell r="AA643" t="str">
            <v>Gobierno</v>
          </cell>
          <cell r="AB643" t="str">
            <v>Gobierno UF</v>
          </cell>
          <cell r="AC643" t="str">
            <v>Instrumentos de Deuda</v>
          </cell>
          <cell r="AD643" t="str">
            <v>Financieras</v>
          </cell>
          <cell r="AE643" t="str">
            <v>Bono Tesoreria En Uf</v>
          </cell>
          <cell r="AF643" t="str">
            <v>Tesorería General de la República</v>
          </cell>
        </row>
        <row r="644">
          <cell r="C644" t="str">
            <v>BANOR-B2</v>
          </cell>
          <cell r="D644" t="str">
            <v>AUTONORTE</v>
          </cell>
          <cell r="E644">
            <v>624666373</v>
          </cell>
          <cell r="F644">
            <v>20000</v>
          </cell>
          <cell r="G644">
            <v>1.3891000000000001E-2</v>
          </cell>
          <cell r="H644">
            <v>2.5499999999999998</v>
          </cell>
          <cell r="I644" t="str">
            <v>2024-12-30</v>
          </cell>
          <cell r="J644">
            <v>2958</v>
          </cell>
          <cell r="K644">
            <v>4.18</v>
          </cell>
          <cell r="L644">
            <v>113.24</v>
          </cell>
          <cell r="M644" t="str">
            <v>UF</v>
          </cell>
          <cell r="N644" t="str">
            <v>RFL</v>
          </cell>
          <cell r="O644" t="str">
            <v>Renta Fija Local</v>
          </cell>
          <cell r="P644" t="str">
            <v>AA</v>
          </cell>
          <cell r="Q644" t="str">
            <v>Corto</v>
          </cell>
          <cell r="R644" t="str">
            <v>Corporativo Bajo Riesgo Corto</v>
          </cell>
          <cell r="S644">
            <v>2.5499999999999998</v>
          </cell>
          <cell r="T644" t="str">
            <v>AA</v>
          </cell>
          <cell r="U644" t="str">
            <v>3</v>
          </cell>
          <cell r="V644" t="str">
            <v>Bajo Riesgo</v>
          </cell>
          <cell r="W644" t="str">
            <v>Corporativo</v>
          </cell>
          <cell r="X644" t="str">
            <v>Bajo Riesgo Corto UF</v>
          </cell>
          <cell r="Y644" t="str">
            <v>Corporativo Bajo Riesgo Corto</v>
          </cell>
          <cell r="Z644" t="str">
            <v>Corto UF</v>
          </cell>
          <cell r="AA644" t="str">
            <v>Corporativo Corto</v>
          </cell>
          <cell r="AB644" t="str">
            <v>Corporativo UF</v>
          </cell>
          <cell r="AC644" t="str">
            <v>Instrumentos de Deuda</v>
          </cell>
          <cell r="AD644" t="str">
            <v>Otros</v>
          </cell>
          <cell r="AE644" t="str">
            <v>Autopista Norte Serie B2</v>
          </cell>
          <cell r="AF644" t="str">
            <v>Soc. Conc. Vespucio Norte Express S.A.</v>
          </cell>
        </row>
        <row r="645">
          <cell r="C645" t="str">
            <v>BBBVM50714</v>
          </cell>
          <cell r="D645" t="str">
            <v>BBBVA</v>
          </cell>
          <cell r="E645">
            <v>270134931</v>
          </cell>
          <cell r="F645">
            <v>10000</v>
          </cell>
          <cell r="G645">
            <v>6.0070000000000002E-3</v>
          </cell>
          <cell r="H645">
            <v>2.64</v>
          </cell>
          <cell r="I645" t="str">
            <v>2021-07-01</v>
          </cell>
          <cell r="J645">
            <v>1680</v>
          </cell>
          <cell r="K645">
            <v>4.29</v>
          </cell>
          <cell r="L645">
            <v>101.5</v>
          </cell>
          <cell r="M645" t="str">
            <v>UF</v>
          </cell>
          <cell r="N645" t="str">
            <v>RFL</v>
          </cell>
          <cell r="O645" t="str">
            <v>Renta Fija Local</v>
          </cell>
          <cell r="P645" t="str">
            <v>AA ; AA+</v>
          </cell>
          <cell r="Q645" t="str">
            <v>Corto</v>
          </cell>
          <cell r="R645" t="str">
            <v>Corporativo Bajo Riesgo Corto</v>
          </cell>
          <cell r="S645">
            <v>2.64</v>
          </cell>
          <cell r="T645" t="str">
            <v>AA</v>
          </cell>
          <cell r="U645" t="str">
            <v>3</v>
          </cell>
          <cell r="V645" t="str">
            <v>Bajo Riesgo</v>
          </cell>
          <cell r="W645" t="str">
            <v>Corporativo</v>
          </cell>
          <cell r="X645" t="str">
            <v>Bajo Riesgo Corto UF</v>
          </cell>
          <cell r="Y645" t="str">
            <v>Corporativo Bajo Riesgo Corto</v>
          </cell>
          <cell r="Z645" t="str">
            <v>Corto UF</v>
          </cell>
          <cell r="AA645" t="str">
            <v>Corporativo Corto</v>
          </cell>
          <cell r="AB645" t="str">
            <v>Corporativo UF</v>
          </cell>
          <cell r="AC645" t="str">
            <v>Instrumentos de Deuda</v>
          </cell>
          <cell r="AD645" t="str">
            <v>Financieras</v>
          </cell>
          <cell r="AE645" t="str">
            <v>Bono Bancario Bbva Serie M5</v>
          </cell>
          <cell r="AF645" t="str">
            <v>BBVA</v>
          </cell>
        </row>
        <row r="646">
          <cell r="C646" t="str">
            <v>DES4820106</v>
          </cell>
          <cell r="D646" t="str">
            <v>DESARROLLO</v>
          </cell>
          <cell r="E646">
            <v>17800085</v>
          </cell>
          <cell r="F646">
            <v>1100</v>
          </cell>
          <cell r="G646">
            <v>3.9500000000000001E-4</v>
          </cell>
          <cell r="H646">
            <v>3.41</v>
          </cell>
          <cell r="I646" t="str">
            <v>2026-01-01</v>
          </cell>
          <cell r="J646">
            <v>3325</v>
          </cell>
          <cell r="K646">
            <v>4.3499999999999996</v>
          </cell>
          <cell r="L646">
            <v>106.02</v>
          </cell>
          <cell r="M646" t="str">
            <v>UF</v>
          </cell>
          <cell r="N646" t="str">
            <v>RFL</v>
          </cell>
          <cell r="O646" t="str">
            <v>Renta Fija Local</v>
          </cell>
          <cell r="P646" t="str">
            <v>AAA;AAA</v>
          </cell>
          <cell r="Q646" t="str">
            <v>Corto</v>
          </cell>
          <cell r="R646" t="str">
            <v>Corporativo Bajo Riesgo Corto</v>
          </cell>
          <cell r="S646">
            <v>3.41</v>
          </cell>
          <cell r="T646" t="str">
            <v>AAA</v>
          </cell>
          <cell r="U646" t="str">
            <v>1</v>
          </cell>
          <cell r="V646" t="str">
            <v>Bajo Riesgo</v>
          </cell>
          <cell r="W646" t="str">
            <v>Corporativo</v>
          </cell>
          <cell r="X646" t="str">
            <v>Bajo Riesgo Corto UF</v>
          </cell>
          <cell r="Y646" t="str">
            <v>Corporativo Bajo Riesgo Corto</v>
          </cell>
          <cell r="Z646" t="str">
            <v>Corto UF</v>
          </cell>
          <cell r="AA646" t="str">
            <v>Corporativo Corto</v>
          </cell>
          <cell r="AB646" t="str">
            <v>Corporativo UF</v>
          </cell>
          <cell r="AC646" t="str">
            <v>Instrumentos de Deuda</v>
          </cell>
          <cell r="AD646" t="str">
            <v>Financieras</v>
          </cell>
          <cell r="AE646" t="str">
            <v>Lh Desarrollo-S48</v>
          </cell>
          <cell r="AF646" t="str">
            <v>Scotiabank</v>
          </cell>
        </row>
        <row r="647">
          <cell r="C647" t="str">
            <v>BOT45B0106</v>
          </cell>
          <cell r="D647" t="str">
            <v>BOSTON</v>
          </cell>
          <cell r="E647">
            <v>16811477</v>
          </cell>
          <cell r="F647">
            <v>1070</v>
          </cell>
          <cell r="G647">
            <v>3.7300000000000001E-4</v>
          </cell>
          <cell r="H647">
            <v>3.6</v>
          </cell>
          <cell r="I647" t="str">
            <v>2026-01-01</v>
          </cell>
          <cell r="J647">
            <v>3325</v>
          </cell>
          <cell r="K647">
            <v>4.3600000000000003</v>
          </cell>
          <cell r="L647">
            <v>103.8</v>
          </cell>
          <cell r="M647" t="str">
            <v>UF</v>
          </cell>
          <cell r="N647" t="str">
            <v>RFL</v>
          </cell>
          <cell r="O647" t="str">
            <v>Renta Fija Local</v>
          </cell>
          <cell r="P647" t="str">
            <v>AA- ; AA-</v>
          </cell>
          <cell r="Q647" t="str">
            <v>Corto</v>
          </cell>
          <cell r="R647" t="str">
            <v>Corporativo Bajo Riesgo Corto</v>
          </cell>
          <cell r="S647">
            <v>3.6</v>
          </cell>
          <cell r="T647" t="str">
            <v>AA-</v>
          </cell>
          <cell r="U647" t="str">
            <v>4</v>
          </cell>
          <cell r="V647" t="str">
            <v>Bajo Riesgo</v>
          </cell>
          <cell r="W647" t="str">
            <v>Corporativo</v>
          </cell>
          <cell r="X647" t="str">
            <v>Bajo Riesgo Corto UF</v>
          </cell>
          <cell r="Y647" t="str">
            <v>Corporativo Bajo Riesgo Corto</v>
          </cell>
          <cell r="Z647" t="str">
            <v>Corto UF</v>
          </cell>
          <cell r="AA647" t="str">
            <v>Corporativo Corto</v>
          </cell>
          <cell r="AB647" t="str">
            <v>Corporativo UF</v>
          </cell>
          <cell r="AC647" t="str">
            <v>Instrumentos de Deuda</v>
          </cell>
          <cell r="AD647" t="str">
            <v>Financieras</v>
          </cell>
          <cell r="AE647" t="str">
            <v>Lh Boston-45B</v>
          </cell>
          <cell r="AF647" t="str">
            <v>Itau/Corpbanca</v>
          </cell>
        </row>
        <row r="648">
          <cell r="C648" t="str">
            <v>BBCIE20811</v>
          </cell>
          <cell r="D648" t="str">
            <v>BBCREDITO</v>
          </cell>
          <cell r="E648">
            <v>795265026</v>
          </cell>
          <cell r="F648">
            <v>30000</v>
          </cell>
          <cell r="G648">
            <v>1.7683999999999998E-2</v>
          </cell>
          <cell r="H648">
            <v>2.62</v>
          </cell>
          <cell r="I648" t="str">
            <v>2021-08-01</v>
          </cell>
          <cell r="J648">
            <v>1711</v>
          </cell>
          <cell r="K648">
            <v>4.41</v>
          </cell>
          <cell r="L648">
            <v>99.98</v>
          </cell>
          <cell r="M648" t="str">
            <v>UF</v>
          </cell>
          <cell r="N648" t="str">
            <v>RFL</v>
          </cell>
          <cell r="O648" t="str">
            <v>Renta Fija Local</v>
          </cell>
          <cell r="P648" t="str">
            <v>AA+ ; AA+</v>
          </cell>
          <cell r="Q648" t="str">
            <v>Corto</v>
          </cell>
          <cell r="R648" t="str">
            <v>Corporativo Bajo Riesgo Corto</v>
          </cell>
          <cell r="S648">
            <v>2.62</v>
          </cell>
          <cell r="T648" t="str">
            <v>AA+</v>
          </cell>
          <cell r="U648" t="str">
            <v>2</v>
          </cell>
          <cell r="V648" t="str">
            <v>Bajo Riesgo</v>
          </cell>
          <cell r="W648" t="str">
            <v>Corporativo</v>
          </cell>
          <cell r="X648" t="str">
            <v>Bajo Riesgo Corto UF</v>
          </cell>
          <cell r="Y648" t="str">
            <v>Corporativo Bajo Riesgo Corto</v>
          </cell>
          <cell r="Z648" t="str">
            <v>Corto UF</v>
          </cell>
          <cell r="AA648" t="str">
            <v>Corporativo Corto</v>
          </cell>
          <cell r="AB648" t="str">
            <v>Corporativo UF</v>
          </cell>
          <cell r="AC648" t="str">
            <v>Instrumentos de Deuda</v>
          </cell>
          <cell r="AD648" t="str">
            <v>Financieras</v>
          </cell>
          <cell r="AE648" t="str">
            <v>Bono Bci Serie Ag</v>
          </cell>
          <cell r="AF648" t="str">
            <v>BCI</v>
          </cell>
        </row>
        <row r="649">
          <cell r="C649" t="str">
            <v>BSECS-12A3</v>
          </cell>
          <cell r="D649" t="str">
            <v>SECURITSEC</v>
          </cell>
          <cell r="E649">
            <v>299442286</v>
          </cell>
          <cell r="F649">
            <v>16500</v>
          </cell>
          <cell r="G649">
            <v>6.6579999999999999E-3</v>
          </cell>
          <cell r="H649">
            <v>4.0599999999999996</v>
          </cell>
          <cell r="I649" t="str">
            <v>2026-04-01</v>
          </cell>
          <cell r="J649">
            <v>3415</v>
          </cell>
          <cell r="K649">
            <v>4.41</v>
          </cell>
          <cell r="L649">
            <v>102.72</v>
          </cell>
          <cell r="M649" t="str">
            <v>UF</v>
          </cell>
          <cell r="N649" t="str">
            <v>RFL</v>
          </cell>
          <cell r="O649" t="str">
            <v>Renta Fija Local</v>
          </cell>
          <cell r="P649" t="str">
            <v>AAA</v>
          </cell>
          <cell r="Q649" t="str">
            <v>Corto</v>
          </cell>
          <cell r="R649" t="str">
            <v>Corporativo Bajo Riesgo Corto</v>
          </cell>
          <cell r="S649">
            <v>4.0599999999999996</v>
          </cell>
          <cell r="T649" t="str">
            <v>AAA</v>
          </cell>
          <cell r="U649" t="str">
            <v>1</v>
          </cell>
          <cell r="V649" t="str">
            <v>Bajo Riesgo</v>
          </cell>
          <cell r="W649" t="str">
            <v>Corporativo</v>
          </cell>
          <cell r="X649" t="str">
            <v>Bajo Riesgo Corto UF</v>
          </cell>
          <cell r="Y649" t="str">
            <v>Corporativo Bajo Riesgo Corto</v>
          </cell>
          <cell r="Z649" t="str">
            <v>Corto UF</v>
          </cell>
          <cell r="AA649" t="str">
            <v>Corporativo Corto</v>
          </cell>
          <cell r="AB649" t="str">
            <v>Corporativo UF</v>
          </cell>
          <cell r="AC649" t="str">
            <v>Instrumentos de Deuda</v>
          </cell>
          <cell r="AD649" t="str">
            <v>Financieras</v>
          </cell>
          <cell r="AE649" t="str">
            <v>Bono Bancario Security Serie S</v>
          </cell>
          <cell r="AF649" t="str">
            <v>Inversiones Security Securitizadora</v>
          </cell>
        </row>
        <row r="650">
          <cell r="C650" t="str">
            <v>CFI9251IM</v>
          </cell>
          <cell r="D650" t="str">
            <v>DEUDA CORP</v>
          </cell>
          <cell r="E650">
            <v>6185525674</v>
          </cell>
          <cell r="F650">
            <v>5858489</v>
          </cell>
          <cell r="G650">
            <v>0.13755100000000001</v>
          </cell>
          <cell r="H650">
            <v>0</v>
          </cell>
          <cell r="I650" t="str">
            <v xml:space="preserve">          </v>
          </cell>
          <cell r="J650">
            <v>-42696</v>
          </cell>
          <cell r="K650">
            <v>4.448893</v>
          </cell>
          <cell r="L650">
            <v>1055.8226999999999</v>
          </cell>
          <cell r="M650" t="str">
            <v>UF</v>
          </cell>
          <cell r="N650" t="str">
            <v>RFL</v>
          </cell>
          <cell r="O650" t="str">
            <v>Renta Fija Local</v>
          </cell>
          <cell r="P650"/>
          <cell r="Q650" t="str">
            <v>Corto</v>
          </cell>
          <cell r="R650" t="str">
            <v>Cuotas de Fondos</v>
          </cell>
          <cell r="S650">
            <v>2.5012949999999998</v>
          </cell>
          <cell r="T650"/>
          <cell r="U650"/>
          <cell r="V650" t="str">
            <v>BR</v>
          </cell>
          <cell r="W650" t="str">
            <v>Corporativo</v>
          </cell>
          <cell r="X650" t="str">
            <v>BR Corto UF</v>
          </cell>
          <cell r="Y650" t="str">
            <v>Corporativo BR Corto</v>
          </cell>
          <cell r="Z650" t="str">
            <v>Corto UF</v>
          </cell>
          <cell r="AA650" t="str">
            <v>Corporativo Corto</v>
          </cell>
          <cell r="AB650" t="str">
            <v>Corporativo UF</v>
          </cell>
          <cell r="AC650" t="str">
            <v>Fondos</v>
          </cell>
          <cell r="AD650" t="str">
            <v>Fondos</v>
          </cell>
          <cell r="AE650"/>
          <cell r="AF650"/>
        </row>
        <row r="651">
          <cell r="C651" t="str">
            <v>BSECK21111</v>
          </cell>
          <cell r="D651" t="str">
            <v>BBSECURITY</v>
          </cell>
          <cell r="E651">
            <v>108687744</v>
          </cell>
          <cell r="F651">
            <v>4000</v>
          </cell>
          <cell r="G651">
            <v>2.4160000000000002E-3</v>
          </cell>
          <cell r="H651">
            <v>2.59</v>
          </cell>
          <cell r="I651" t="str">
            <v>2021-11-01</v>
          </cell>
          <cell r="J651">
            <v>1803</v>
          </cell>
          <cell r="K651">
            <v>4.5999999999999996</v>
          </cell>
          <cell r="L651">
            <v>103.11</v>
          </cell>
          <cell r="M651" t="str">
            <v>UF</v>
          </cell>
          <cell r="N651" t="str">
            <v>RFL</v>
          </cell>
          <cell r="O651" t="str">
            <v>Renta Fija Local</v>
          </cell>
          <cell r="P651" t="str">
            <v>AA- ; AA-</v>
          </cell>
          <cell r="Q651" t="str">
            <v>Largo</v>
          </cell>
          <cell r="R651" t="str">
            <v>Corporativo Bajo Riesgo Largo</v>
          </cell>
          <cell r="S651">
            <v>2.59</v>
          </cell>
          <cell r="T651" t="str">
            <v>AA-</v>
          </cell>
          <cell r="U651" t="str">
            <v>4</v>
          </cell>
          <cell r="V651" t="str">
            <v>Bajo Riesgo</v>
          </cell>
          <cell r="W651" t="str">
            <v>Corporativo</v>
          </cell>
          <cell r="X651" t="str">
            <v>Bajo Riesgo Largo UF</v>
          </cell>
          <cell r="Y651" t="str">
            <v>Corporativo Bajo Riesgo Largo</v>
          </cell>
          <cell r="Z651" t="str">
            <v>Largo UF</v>
          </cell>
          <cell r="AA651" t="str">
            <v>Corporativo Largo</v>
          </cell>
          <cell r="AB651" t="str">
            <v>Corporativo UF</v>
          </cell>
          <cell r="AC651" t="str">
            <v>Instrumentos de Deuda</v>
          </cell>
          <cell r="AD651" t="str">
            <v>Financieras</v>
          </cell>
          <cell r="AE651" t="str">
            <v>Bono Bancario Security Serie K2</v>
          </cell>
          <cell r="AF651" t="str">
            <v>Banco Security</v>
          </cell>
        </row>
        <row r="652">
          <cell r="C652" t="str">
            <v>UCHID10402</v>
          </cell>
          <cell r="D652" t="str">
            <v>BBCHILE</v>
          </cell>
          <cell r="E652">
            <v>406135390</v>
          </cell>
          <cell r="F652">
            <v>20000</v>
          </cell>
          <cell r="G652">
            <v>9.0310000000000008E-3</v>
          </cell>
          <cell r="H652">
            <v>2.66</v>
          </cell>
          <cell r="I652" t="str">
            <v>2026-04-01</v>
          </cell>
          <cell r="J652">
            <v>3415</v>
          </cell>
          <cell r="K652">
            <v>4.66</v>
          </cell>
          <cell r="L652">
            <v>108.49</v>
          </cell>
          <cell r="M652" t="str">
            <v>UF</v>
          </cell>
          <cell r="N652" t="str">
            <v>RFL</v>
          </cell>
          <cell r="O652" t="str">
            <v>Renta Fija Local</v>
          </cell>
          <cell r="P652" t="str">
            <v>AA+ ; AA</v>
          </cell>
          <cell r="Q652" t="str">
            <v>Largo</v>
          </cell>
          <cell r="R652" t="str">
            <v>Corporativo Bajo Riesgo Largo</v>
          </cell>
          <cell r="S652">
            <v>2.66</v>
          </cell>
          <cell r="T652" t="str">
            <v>AA</v>
          </cell>
          <cell r="U652" t="str">
            <v>3</v>
          </cell>
          <cell r="V652" t="str">
            <v>Bajo Riesgo</v>
          </cell>
          <cell r="W652" t="str">
            <v>Corporativo</v>
          </cell>
          <cell r="X652" t="str">
            <v>Bajo Riesgo Largo UF</v>
          </cell>
          <cell r="Y652" t="str">
            <v>Corporativo Bajo Riesgo Largo</v>
          </cell>
          <cell r="Z652" t="str">
            <v>Largo UF</v>
          </cell>
          <cell r="AA652" t="str">
            <v>Corporativo Largo</v>
          </cell>
          <cell r="AB652" t="str">
            <v>Corporativo UF</v>
          </cell>
          <cell r="AC652" t="str">
            <v>Instrumentos de Deuda</v>
          </cell>
          <cell r="AD652" t="str">
            <v>Financieras</v>
          </cell>
          <cell r="AE652" t="str">
            <v>Bono Subordinado Banco Chile Serie D1</v>
          </cell>
          <cell r="AF652" t="str">
            <v>Banco de Chile</v>
          </cell>
        </row>
        <row r="653">
          <cell r="C653" t="str">
            <v>DES4820107</v>
          </cell>
          <cell r="D653" t="str">
            <v>DESARROLLO</v>
          </cell>
          <cell r="E653">
            <v>354463</v>
          </cell>
          <cell r="F653">
            <v>20</v>
          </cell>
          <cell r="G653">
            <v>6.9999999999999999E-6</v>
          </cell>
          <cell r="H653">
            <v>3.33</v>
          </cell>
          <cell r="I653" t="str">
            <v>2027-01-01</v>
          </cell>
          <cell r="J653">
            <v>3690</v>
          </cell>
          <cell r="K653">
            <v>4.8</v>
          </cell>
          <cell r="L653">
            <v>107.01</v>
          </cell>
          <cell r="M653" t="str">
            <v>UF</v>
          </cell>
          <cell r="N653" t="str">
            <v>RFL</v>
          </cell>
          <cell r="O653" t="str">
            <v>Renta Fija Local</v>
          </cell>
          <cell r="P653" t="str">
            <v>AAA;AAA</v>
          </cell>
          <cell r="Q653" t="str">
            <v>Largo</v>
          </cell>
          <cell r="R653" t="str">
            <v>Corporativo Bajo Riesgo Largo</v>
          </cell>
          <cell r="S653">
            <v>3.33</v>
          </cell>
          <cell r="T653" t="str">
            <v>AAA</v>
          </cell>
          <cell r="U653" t="str">
            <v>1</v>
          </cell>
          <cell r="V653" t="str">
            <v>Bajo Riesgo</v>
          </cell>
          <cell r="W653" t="str">
            <v>Corporativo</v>
          </cell>
          <cell r="X653" t="str">
            <v>Bajo Riesgo Largo UF</v>
          </cell>
          <cell r="Y653" t="str">
            <v>Corporativo Bajo Riesgo Largo</v>
          </cell>
          <cell r="Z653" t="str">
            <v>Largo UF</v>
          </cell>
          <cell r="AA653" t="str">
            <v>Corporativo Largo</v>
          </cell>
          <cell r="AB653" t="str">
            <v>Corporativo UF</v>
          </cell>
          <cell r="AC653" t="str">
            <v>Instrumentos de Deuda</v>
          </cell>
          <cell r="AD653" t="str">
            <v>Financieras</v>
          </cell>
          <cell r="AE653" t="str">
            <v>Lh Desarrollo-482</v>
          </cell>
          <cell r="AF653" t="str">
            <v>Scotiabank</v>
          </cell>
        </row>
        <row r="654">
          <cell r="C654" t="str">
            <v>BCU0300322</v>
          </cell>
          <cell r="D654" t="str">
            <v>BCU</v>
          </cell>
          <cell r="E654">
            <v>313007736</v>
          </cell>
          <cell r="F654">
            <v>11000</v>
          </cell>
          <cell r="G654">
            <v>6.96E-3</v>
          </cell>
          <cell r="H654">
            <v>1.52</v>
          </cell>
          <cell r="I654" t="str">
            <v>2022-03-01</v>
          </cell>
          <cell r="J654">
            <v>1923</v>
          </cell>
          <cell r="K654">
            <v>4.9000000000000004</v>
          </cell>
          <cell r="L654">
            <v>107.45</v>
          </cell>
          <cell r="M654" t="str">
            <v>UF</v>
          </cell>
          <cell r="N654" t="str">
            <v>RFL</v>
          </cell>
          <cell r="O654" t="str">
            <v>Renta Fija Local</v>
          </cell>
          <cell r="P654"/>
          <cell r="Q654" t="str">
            <v>Largo</v>
          </cell>
          <cell r="R654" t="str">
            <v>Gobierno UF Largo</v>
          </cell>
          <cell r="S654">
            <v>1.52</v>
          </cell>
          <cell r="T654" t="str">
            <v>Gob</v>
          </cell>
          <cell r="U654" t="str">
            <v>0</v>
          </cell>
          <cell r="V654" t="str">
            <v>Gobierno</v>
          </cell>
          <cell r="W654" t="str">
            <v>Gobierno</v>
          </cell>
          <cell r="X654" t="str">
            <v>Gobierno Largo UF</v>
          </cell>
          <cell r="Y654" t="str">
            <v>Gobierno Largo</v>
          </cell>
          <cell r="Z654" t="str">
            <v>Largo UF</v>
          </cell>
          <cell r="AA654" t="str">
            <v>Gobierno</v>
          </cell>
          <cell r="AB654" t="str">
            <v>Gobierno UF</v>
          </cell>
          <cell r="AC654" t="str">
            <v>Instrumentos de Deuda</v>
          </cell>
          <cell r="AD654" t="str">
            <v>Gobierno</v>
          </cell>
          <cell r="AE654" t="str">
            <v>Bono Bullet Bco Central En Uf</v>
          </cell>
          <cell r="AF654" t="str">
            <v>Banco Central de Chile</v>
          </cell>
        </row>
        <row r="655">
          <cell r="C655" t="str">
            <v>BJUMB-B2</v>
          </cell>
          <cell r="D655" t="str">
            <v>JUMBO</v>
          </cell>
          <cell r="E655">
            <v>725906059</v>
          </cell>
          <cell r="F655">
            <v>30000</v>
          </cell>
          <cell r="G655">
            <v>1.6142E-2</v>
          </cell>
          <cell r="H655">
            <v>2.86</v>
          </cell>
          <cell r="I655" t="str">
            <v>2026-09-01</v>
          </cell>
          <cell r="J655">
            <v>3568</v>
          </cell>
          <cell r="K655">
            <v>4.9800000000000004</v>
          </cell>
          <cell r="L655">
            <v>118.31</v>
          </cell>
          <cell r="M655" t="str">
            <v>UF</v>
          </cell>
          <cell r="N655" t="str">
            <v>RFL</v>
          </cell>
          <cell r="O655" t="str">
            <v>Renta Fija Local</v>
          </cell>
          <cell r="P655" t="str">
            <v>AA ; AA</v>
          </cell>
          <cell r="Q655" t="str">
            <v>Largo</v>
          </cell>
          <cell r="R655" t="str">
            <v>Corporativo Bajo Riesgo Largo</v>
          </cell>
          <cell r="S655">
            <v>2.86</v>
          </cell>
          <cell r="T655" t="str">
            <v>AA</v>
          </cell>
          <cell r="U655" t="str">
            <v>3</v>
          </cell>
          <cell r="V655" t="str">
            <v>Bajo Riesgo</v>
          </cell>
          <cell r="W655" t="str">
            <v>Corporativo</v>
          </cell>
          <cell r="X655" t="str">
            <v>Bajo Riesgo Largo UF</v>
          </cell>
          <cell r="Y655" t="str">
            <v>Corporativo Bajo Riesgo Largo</v>
          </cell>
          <cell r="Z655" t="str">
            <v>Largo UF</v>
          </cell>
          <cell r="AA655" t="str">
            <v>Corporativo Largo</v>
          </cell>
          <cell r="AB655" t="str">
            <v>Corporativo UF</v>
          </cell>
          <cell r="AC655"/>
          <cell r="AD655"/>
          <cell r="AE655"/>
          <cell r="AF655"/>
        </row>
        <row r="656">
          <cell r="C656" t="str">
            <v>DES4020707</v>
          </cell>
          <cell r="D656" t="str">
            <v>DESARROLLO</v>
          </cell>
          <cell r="E656">
            <v>39141057</v>
          </cell>
          <cell r="F656">
            <v>2260</v>
          </cell>
          <cell r="G656">
            <v>8.7000000000000001E-4</v>
          </cell>
          <cell r="H656">
            <v>3.35</v>
          </cell>
          <cell r="I656" t="str">
            <v>2027-07-01</v>
          </cell>
          <cell r="J656">
            <v>3871</v>
          </cell>
          <cell r="K656">
            <v>5.0599999999999996</v>
          </cell>
          <cell r="L656">
            <v>103.21</v>
          </cell>
          <cell r="M656" t="str">
            <v>UF</v>
          </cell>
          <cell r="N656" t="str">
            <v>RFL</v>
          </cell>
          <cell r="O656" t="str">
            <v>Renta Fija Local</v>
          </cell>
          <cell r="P656" t="str">
            <v>AAA;AAA</v>
          </cell>
          <cell r="Q656" t="str">
            <v>Largo</v>
          </cell>
          <cell r="R656" t="str">
            <v>Corporativo Bajo Riesgo Largo</v>
          </cell>
          <cell r="S656">
            <v>3.35</v>
          </cell>
          <cell r="T656" t="str">
            <v>AAA</v>
          </cell>
          <cell r="U656" t="str">
            <v>1</v>
          </cell>
          <cell r="V656" t="str">
            <v>Bajo Riesgo</v>
          </cell>
          <cell r="W656" t="str">
            <v>Corporativo</v>
          </cell>
          <cell r="X656" t="str">
            <v>Bajo Riesgo Largo UF</v>
          </cell>
          <cell r="Y656" t="str">
            <v>Corporativo Bajo Riesgo Largo</v>
          </cell>
          <cell r="Z656" t="str">
            <v>Largo UF</v>
          </cell>
          <cell r="AA656" t="str">
            <v>Corporativo Largo</v>
          </cell>
          <cell r="AB656" t="str">
            <v>Corporativo UF</v>
          </cell>
          <cell r="AC656" t="str">
            <v>Instrumentos de Deuda</v>
          </cell>
          <cell r="AD656" t="str">
            <v>Financieras</v>
          </cell>
          <cell r="AE656" t="str">
            <v>Banco Del Desarrollo</v>
          </cell>
          <cell r="AF656" t="str">
            <v>Scotiabank</v>
          </cell>
        </row>
        <row r="657">
          <cell r="C657" t="str">
            <v>BBCIF20812</v>
          </cell>
          <cell r="D657" t="str">
            <v>BBCREDITO</v>
          </cell>
          <cell r="E657">
            <v>264664680</v>
          </cell>
          <cell r="F657">
            <v>10000</v>
          </cell>
          <cell r="G657">
            <v>5.8849999999999996E-3</v>
          </cell>
          <cell r="H657">
            <v>2.65</v>
          </cell>
          <cell r="I657" t="str">
            <v>2022-08-01</v>
          </cell>
          <cell r="J657">
            <v>2076</v>
          </cell>
          <cell r="K657">
            <v>5.28</v>
          </cell>
          <cell r="L657">
            <v>99.82</v>
          </cell>
          <cell r="M657" t="str">
            <v>UF</v>
          </cell>
          <cell r="N657" t="str">
            <v>RFL</v>
          </cell>
          <cell r="O657" t="str">
            <v>Renta Fija Local</v>
          </cell>
          <cell r="P657" t="str">
            <v>AA+ ; AA+</v>
          </cell>
          <cell r="Q657" t="str">
            <v>Largo</v>
          </cell>
          <cell r="R657" t="str">
            <v>Corporativo Bajo Riesgo Largo</v>
          </cell>
          <cell r="S657">
            <v>2.65</v>
          </cell>
          <cell r="T657" t="str">
            <v>AA+</v>
          </cell>
          <cell r="U657" t="str">
            <v>2</v>
          </cell>
          <cell r="V657" t="str">
            <v>Bajo Riesgo</v>
          </cell>
          <cell r="W657" t="str">
            <v>Corporativo</v>
          </cell>
          <cell r="X657" t="str">
            <v>Bajo Riesgo Largo UF</v>
          </cell>
          <cell r="Y657" t="str">
            <v>Corporativo Bajo Riesgo Largo</v>
          </cell>
          <cell r="Z657" t="str">
            <v>Largo UF</v>
          </cell>
          <cell r="AA657" t="str">
            <v>Corporativo Largo</v>
          </cell>
          <cell r="AB657" t="str">
            <v>Corporativo UF</v>
          </cell>
          <cell r="AC657" t="str">
            <v>Instrumentos de Deuda</v>
          </cell>
          <cell r="AD657" t="str">
            <v>Financieras</v>
          </cell>
          <cell r="AE657" t="str">
            <v>Bono Banc Bci Subserie Af2, Serie Af</v>
          </cell>
          <cell r="AF657" t="str">
            <v>BCI</v>
          </cell>
        </row>
        <row r="658">
          <cell r="C658" t="str">
            <v>BANSM-A</v>
          </cell>
          <cell r="D658" t="str">
            <v>AGUAS NSUR</v>
          </cell>
          <cell r="E658">
            <v>284497967</v>
          </cell>
          <cell r="F658">
            <v>10000</v>
          </cell>
          <cell r="G658">
            <v>6.326E-3</v>
          </cell>
          <cell r="H658">
            <v>2.61</v>
          </cell>
          <cell r="I658" t="str">
            <v>2028-03-21</v>
          </cell>
          <cell r="J658">
            <v>4135</v>
          </cell>
          <cell r="K658">
            <v>5.4</v>
          </cell>
          <cell r="L658">
            <v>107.44</v>
          </cell>
          <cell r="M658" t="str">
            <v>UF</v>
          </cell>
          <cell r="N658" t="str">
            <v>RFL</v>
          </cell>
          <cell r="O658" t="str">
            <v>Renta Fija Local</v>
          </cell>
          <cell r="P658" t="str">
            <v>AA- ; AA</v>
          </cell>
          <cell r="Q658" t="str">
            <v>Largo</v>
          </cell>
          <cell r="R658" t="str">
            <v>Corporativo Bajo Riesgo Largo</v>
          </cell>
          <cell r="S658">
            <v>2.61</v>
          </cell>
          <cell r="T658" t="str">
            <v>AA-</v>
          </cell>
          <cell r="U658" t="str">
            <v>4</v>
          </cell>
          <cell r="V658" t="str">
            <v>Bajo Riesgo</v>
          </cell>
          <cell r="W658" t="str">
            <v>Corporativo</v>
          </cell>
          <cell r="X658" t="str">
            <v>Bajo Riesgo Largo UF</v>
          </cell>
          <cell r="Y658" t="str">
            <v>Corporativo Bajo Riesgo Largo</v>
          </cell>
          <cell r="Z658" t="str">
            <v>Largo UF</v>
          </cell>
          <cell r="AA658" t="str">
            <v>Corporativo Largo</v>
          </cell>
          <cell r="AB658" t="str">
            <v>Corporativo UF</v>
          </cell>
          <cell r="AC658" t="str">
            <v>Instrumentos de Deuda</v>
          </cell>
          <cell r="AD658" t="str">
            <v>Servicios Básicos</v>
          </cell>
          <cell r="AE658" t="str">
            <v>Bono Aguas Nuevo Sur Serie A</v>
          </cell>
          <cell r="AF658" t="str">
            <v>Aguas Nuevo Sur</v>
          </cell>
        </row>
        <row r="659">
          <cell r="C659" t="str">
            <v>BCHIUS0212</v>
          </cell>
          <cell r="D659" t="str">
            <v>BBCHILE</v>
          </cell>
          <cell r="E659">
            <v>82936689</v>
          </cell>
          <cell r="F659">
            <v>3000</v>
          </cell>
          <cell r="G659">
            <v>1.8439999999999999E-3</v>
          </cell>
          <cell r="H659">
            <v>2.67</v>
          </cell>
          <cell r="I659" t="str">
            <v>2023-02-01</v>
          </cell>
          <cell r="J659">
            <v>2260</v>
          </cell>
          <cell r="K659">
            <v>5.6</v>
          </cell>
          <cell r="L659">
            <v>104.02</v>
          </cell>
          <cell r="M659" t="str">
            <v>UF</v>
          </cell>
          <cell r="N659" t="str">
            <v>RFL</v>
          </cell>
          <cell r="O659" t="str">
            <v>Renta Fija Local</v>
          </cell>
          <cell r="P659" t="str">
            <v>AAA ; AAA</v>
          </cell>
          <cell r="Q659" t="str">
            <v>Largo</v>
          </cell>
          <cell r="R659" t="str">
            <v>Corporativo Bajo Riesgo Largo</v>
          </cell>
          <cell r="S659">
            <v>2.67</v>
          </cell>
          <cell r="T659" t="str">
            <v>AAA</v>
          </cell>
          <cell r="U659" t="str">
            <v>1</v>
          </cell>
          <cell r="V659" t="str">
            <v>Bajo Riesgo</v>
          </cell>
          <cell r="W659" t="str">
            <v>Corporativo</v>
          </cell>
          <cell r="X659" t="str">
            <v>Bajo Riesgo Largo UF</v>
          </cell>
          <cell r="Y659" t="str">
            <v>Corporativo Bajo Riesgo Largo</v>
          </cell>
          <cell r="Z659" t="str">
            <v>Largo UF</v>
          </cell>
          <cell r="AA659" t="str">
            <v>Corporativo Largo</v>
          </cell>
          <cell r="AB659" t="str">
            <v>Corporativo UF</v>
          </cell>
          <cell r="AC659" t="str">
            <v>Instrumentos de Deuda</v>
          </cell>
          <cell r="AD659" t="str">
            <v>Financieras</v>
          </cell>
          <cell r="AE659" t="str">
            <v>Bono Banco Chile Serie Us</v>
          </cell>
          <cell r="AF659" t="str">
            <v>Banco de Chile</v>
          </cell>
        </row>
        <row r="660">
          <cell r="C660" t="str">
            <v>BBBVK30212</v>
          </cell>
          <cell r="D660" t="str">
            <v>BBBVA</v>
          </cell>
          <cell r="E660">
            <v>27025487</v>
          </cell>
          <cell r="F660">
            <v>1000</v>
          </cell>
          <cell r="G660">
            <v>5.9999999999999995E-4</v>
          </cell>
          <cell r="H660">
            <v>2.67</v>
          </cell>
          <cell r="I660" t="str">
            <v>2023-02-01</v>
          </cell>
          <cell r="J660">
            <v>2260</v>
          </cell>
          <cell r="K660">
            <v>5.66</v>
          </cell>
          <cell r="L660">
            <v>101.81</v>
          </cell>
          <cell r="M660" t="str">
            <v>UF</v>
          </cell>
          <cell r="N660" t="str">
            <v>RFL</v>
          </cell>
          <cell r="O660" t="str">
            <v>Renta Fija Local</v>
          </cell>
          <cell r="P660" t="str">
            <v>AA ; AA+</v>
          </cell>
          <cell r="Q660" t="str">
            <v>Largo</v>
          </cell>
          <cell r="R660" t="str">
            <v>Corporativo Bajo Riesgo Largo</v>
          </cell>
          <cell r="S660">
            <v>2.67</v>
          </cell>
          <cell r="T660" t="str">
            <v>AA</v>
          </cell>
          <cell r="U660" t="str">
            <v>3</v>
          </cell>
          <cell r="V660" t="str">
            <v>Bajo Riesgo</v>
          </cell>
          <cell r="W660" t="str">
            <v>Corporativo</v>
          </cell>
          <cell r="X660" t="str">
            <v>Bajo Riesgo Largo UF</v>
          </cell>
          <cell r="Y660" t="str">
            <v>Corporativo Bajo Riesgo Largo</v>
          </cell>
          <cell r="Z660" t="str">
            <v>Largo UF</v>
          </cell>
          <cell r="AA660" t="str">
            <v>Corporativo Largo</v>
          </cell>
          <cell r="AB660" t="str">
            <v>Corporativo UF</v>
          </cell>
          <cell r="AC660" t="str">
            <v>Instrumentos de Deuda</v>
          </cell>
          <cell r="AD660" t="str">
            <v>Financieras</v>
          </cell>
          <cell r="AE660" t="str">
            <v>Bono Bbva Serie K3</v>
          </cell>
          <cell r="AF660" t="str">
            <v>BBVA</v>
          </cell>
        </row>
        <row r="661">
          <cell r="C661" t="str">
            <v>BBNS-Q0513</v>
          </cell>
          <cell r="D661" t="str">
            <v>BBSCOTIABA</v>
          </cell>
          <cell r="E661">
            <v>196656989</v>
          </cell>
          <cell r="F661">
            <v>7000</v>
          </cell>
          <cell r="G661">
            <v>4.3730000000000002E-3</v>
          </cell>
          <cell r="H661">
            <v>2.6</v>
          </cell>
          <cell r="I661" t="str">
            <v>2023-05-01</v>
          </cell>
          <cell r="J661">
            <v>2349</v>
          </cell>
          <cell r="K661">
            <v>5.8</v>
          </cell>
          <cell r="L661">
            <v>106.57</v>
          </cell>
          <cell r="M661" t="str">
            <v>UF</v>
          </cell>
          <cell r="N661" t="str">
            <v>RFL</v>
          </cell>
          <cell r="O661" t="str">
            <v>Renta Fija Local</v>
          </cell>
          <cell r="P661" t="str">
            <v>AAA ; AAA</v>
          </cell>
          <cell r="Q661" t="str">
            <v>Largo</v>
          </cell>
          <cell r="R661" t="str">
            <v>Corporativo Bajo Riesgo Largo</v>
          </cell>
          <cell r="S661">
            <v>2.6</v>
          </cell>
          <cell r="T661" t="str">
            <v>AAA</v>
          </cell>
          <cell r="U661" t="str">
            <v>1</v>
          </cell>
          <cell r="V661" t="str">
            <v>Bajo Riesgo</v>
          </cell>
          <cell r="W661" t="str">
            <v>Corporativo</v>
          </cell>
          <cell r="X661" t="str">
            <v>Bajo Riesgo Largo UF</v>
          </cell>
          <cell r="Y661" t="str">
            <v>Corporativo Bajo Riesgo Largo</v>
          </cell>
          <cell r="Z661" t="str">
            <v>Largo UF</v>
          </cell>
          <cell r="AA661" t="str">
            <v>Corporativo Largo</v>
          </cell>
          <cell r="AB661" t="str">
            <v>Corporativo UF</v>
          </cell>
          <cell r="AC661" t="str">
            <v>Instrumentos de Deuda</v>
          </cell>
          <cell r="AD661" t="str">
            <v>Financieras</v>
          </cell>
          <cell r="AE661" t="str">
            <v>Bono Scotiabank Serie Q</v>
          </cell>
          <cell r="AF661" t="str">
            <v>Scotiabank</v>
          </cell>
        </row>
        <row r="662">
          <cell r="C662" t="str">
            <v>DES45F0105</v>
          </cell>
          <cell r="D662" t="str">
            <v>DESARROLLO</v>
          </cell>
          <cell r="E662">
            <v>23645262</v>
          </cell>
          <cell r="F662">
            <v>1279.9949999999999</v>
          </cell>
          <cell r="G662">
            <v>5.2499999999999997E-4</v>
          </cell>
          <cell r="H662">
            <v>3.57</v>
          </cell>
          <cell r="I662" t="str">
            <v>2030-01-01</v>
          </cell>
          <cell r="J662">
            <v>4786</v>
          </cell>
          <cell r="K662">
            <v>6.07</v>
          </cell>
          <cell r="L662">
            <v>105.52</v>
          </cell>
          <cell r="M662" t="str">
            <v>UF</v>
          </cell>
          <cell r="N662" t="str">
            <v>RFL</v>
          </cell>
          <cell r="O662" t="str">
            <v>Renta Fija Local</v>
          </cell>
          <cell r="P662" t="str">
            <v>AAA;AAA</v>
          </cell>
          <cell r="Q662" t="str">
            <v>Largo</v>
          </cell>
          <cell r="R662" t="str">
            <v>Corporativo Bajo Riesgo Largo</v>
          </cell>
          <cell r="S662">
            <v>3.57</v>
          </cell>
          <cell r="T662" t="str">
            <v>AAA</v>
          </cell>
          <cell r="U662" t="str">
            <v>1</v>
          </cell>
          <cell r="V662" t="str">
            <v>Bajo Riesgo</v>
          </cell>
          <cell r="W662" t="str">
            <v>Corporativo</v>
          </cell>
          <cell r="X662" t="str">
            <v>Bajo Riesgo Largo UF</v>
          </cell>
          <cell r="Y662" t="str">
            <v>Corporativo Bajo Riesgo Largo</v>
          </cell>
          <cell r="Z662" t="str">
            <v>Largo UF</v>
          </cell>
          <cell r="AA662" t="str">
            <v>Corporativo Largo</v>
          </cell>
          <cell r="AB662" t="str">
            <v>Corporativo UF</v>
          </cell>
          <cell r="AC662" t="str">
            <v>Instrumentos de Deuda</v>
          </cell>
          <cell r="AD662" t="str">
            <v>Financieras</v>
          </cell>
          <cell r="AE662" t="str">
            <v>Lh Desarrollo-45F</v>
          </cell>
          <cell r="AF662" t="str">
            <v>Scotiabank</v>
          </cell>
        </row>
        <row r="663">
          <cell r="C663" t="str">
            <v>BAVNO-A1</v>
          </cell>
          <cell r="D663" t="str">
            <v>AUTOVESNOR</v>
          </cell>
          <cell r="E663">
            <v>551596304</v>
          </cell>
          <cell r="F663">
            <v>20000</v>
          </cell>
          <cell r="G663">
            <v>1.2266000000000001E-2</v>
          </cell>
          <cell r="H663">
            <v>3.03</v>
          </cell>
          <cell r="I663" t="str">
            <v>2028-12-15</v>
          </cell>
          <cell r="J663">
            <v>4404</v>
          </cell>
          <cell r="K663">
            <v>6.1</v>
          </cell>
          <cell r="L663">
            <v>113.88</v>
          </cell>
          <cell r="M663" t="str">
            <v>UF</v>
          </cell>
          <cell r="N663" t="str">
            <v>RFL</v>
          </cell>
          <cell r="O663" t="str">
            <v>Renta Fija Local</v>
          </cell>
          <cell r="P663" t="str">
            <v>A</v>
          </cell>
          <cell r="Q663" t="str">
            <v>Largo</v>
          </cell>
          <cell r="R663" t="str">
            <v>Corporativo Alto Riesgo Largo</v>
          </cell>
          <cell r="S663">
            <v>3.03</v>
          </cell>
          <cell r="T663" t="str">
            <v>A</v>
          </cell>
          <cell r="U663" t="str">
            <v>6</v>
          </cell>
          <cell r="V663" t="str">
            <v>Alto Riesgo</v>
          </cell>
          <cell r="W663" t="str">
            <v>Corporativo</v>
          </cell>
          <cell r="X663" t="str">
            <v>Alto Riesgo Largo UF</v>
          </cell>
          <cell r="Y663" t="str">
            <v>Corporativo Alto Riesgo Largo</v>
          </cell>
          <cell r="Z663" t="str">
            <v>Largo UF</v>
          </cell>
          <cell r="AA663" t="str">
            <v>Corporativo Largo</v>
          </cell>
          <cell r="AB663" t="str">
            <v>Corporativo UF</v>
          </cell>
          <cell r="AC663" t="str">
            <v>Instrumentos de Deuda</v>
          </cell>
          <cell r="AD663" t="str">
            <v>Otros</v>
          </cell>
          <cell r="AE663" t="str">
            <v>Bono Vespucio Norte Express Serie A1</v>
          </cell>
          <cell r="AF663" t="str">
            <v>Soc. Conc. Vespucio Norte Express S.A.</v>
          </cell>
        </row>
        <row r="664">
          <cell r="C664" t="str">
            <v>BSECK41013</v>
          </cell>
          <cell r="D664" t="str">
            <v>BBSECURITY</v>
          </cell>
          <cell r="E664">
            <v>279394712</v>
          </cell>
          <cell r="F664">
            <v>10000</v>
          </cell>
          <cell r="G664">
            <v>6.2129999999999998E-3</v>
          </cell>
          <cell r="H664">
            <v>2.7</v>
          </cell>
          <cell r="I664" t="str">
            <v>2023-10-01</v>
          </cell>
          <cell r="J664">
            <v>2502</v>
          </cell>
          <cell r="K664">
            <v>6.13</v>
          </cell>
          <cell r="L664">
            <v>105.68</v>
          </cell>
          <cell r="M664" t="str">
            <v>UF</v>
          </cell>
          <cell r="N664" t="str">
            <v>RFL</v>
          </cell>
          <cell r="O664" t="str">
            <v>Renta Fija Local</v>
          </cell>
          <cell r="P664" t="str">
            <v>AA- ; AA-</v>
          </cell>
          <cell r="Q664" t="str">
            <v>Largo</v>
          </cell>
          <cell r="R664" t="str">
            <v>Corporativo Bajo Riesgo Largo</v>
          </cell>
          <cell r="S664">
            <v>2.7</v>
          </cell>
          <cell r="T664" t="str">
            <v>AA-</v>
          </cell>
          <cell r="U664" t="str">
            <v>4</v>
          </cell>
          <cell r="V664" t="str">
            <v>Bajo Riesgo</v>
          </cell>
          <cell r="W664" t="str">
            <v>Corporativo</v>
          </cell>
          <cell r="X664" t="str">
            <v>Bajo Riesgo Largo UF</v>
          </cell>
          <cell r="Y664" t="str">
            <v>Corporativo Bajo Riesgo Largo</v>
          </cell>
          <cell r="Z664" t="str">
            <v>Largo UF</v>
          </cell>
          <cell r="AA664" t="str">
            <v>Corporativo Largo</v>
          </cell>
          <cell r="AB664" t="str">
            <v>Corporativo UF</v>
          </cell>
          <cell r="AC664" t="str">
            <v>Instrumentos de Deuda</v>
          </cell>
          <cell r="AD664" t="str">
            <v>Financieras</v>
          </cell>
          <cell r="AE664" t="str">
            <v>Bono Bancario Security Serie K4</v>
          </cell>
          <cell r="AF664" t="str">
            <v>Banco Security</v>
          </cell>
        </row>
        <row r="665">
          <cell r="C665" t="str">
            <v>CFI7275IM</v>
          </cell>
          <cell r="D665" t="str">
            <v>SPREADCORP</v>
          </cell>
          <cell r="E665">
            <v>3207243155</v>
          </cell>
          <cell r="F665">
            <v>3016427</v>
          </cell>
          <cell r="G665">
            <v>7.1320999999999996E-2</v>
          </cell>
          <cell r="H665">
            <v>0</v>
          </cell>
          <cell r="I665" t="str">
            <v xml:space="preserve">          </v>
          </cell>
          <cell r="J665">
            <v>-42696</v>
          </cell>
          <cell r="K665">
            <v>6.2228000000000003</v>
          </cell>
          <cell r="L665">
            <v>1063.259</v>
          </cell>
          <cell r="M665" t="str">
            <v>UF</v>
          </cell>
          <cell r="N665" t="str">
            <v>RFL</v>
          </cell>
          <cell r="O665" t="str">
            <v>Renta Fija Local</v>
          </cell>
          <cell r="P665"/>
          <cell r="Q665" t="str">
            <v>Largo</v>
          </cell>
          <cell r="R665" t="str">
            <v>Cuotas de Fondos</v>
          </cell>
          <cell r="S665">
            <v>3.9857740000000002</v>
          </cell>
          <cell r="T665"/>
          <cell r="U665"/>
          <cell r="V665" t="str">
            <v>AR</v>
          </cell>
          <cell r="W665" t="str">
            <v>Corporativo</v>
          </cell>
          <cell r="X665" t="str">
            <v>AR Largo UF</v>
          </cell>
          <cell r="Y665" t="str">
            <v>Corporativo AR Largo</v>
          </cell>
          <cell r="Z665" t="str">
            <v>Largo UF</v>
          </cell>
          <cell r="AA665" t="str">
            <v>Corporativo Largo</v>
          </cell>
          <cell r="AB665" t="str">
            <v>Corporativo UF</v>
          </cell>
          <cell r="AC665" t="str">
            <v>Fondos</v>
          </cell>
          <cell r="AD665" t="str">
            <v>Fondos</v>
          </cell>
          <cell r="AE665"/>
          <cell r="AF665"/>
        </row>
        <row r="666">
          <cell r="C666" t="str">
            <v>BTU0300124</v>
          </cell>
          <cell r="D666" t="str">
            <v>BTU</v>
          </cell>
          <cell r="E666">
            <v>14543264</v>
          </cell>
          <cell r="F666">
            <v>500</v>
          </cell>
          <cell r="G666">
            <v>3.2299999999999999E-4</v>
          </cell>
          <cell r="H666">
            <v>1.6</v>
          </cell>
          <cell r="I666" t="str">
            <v>2024-01-01</v>
          </cell>
          <cell r="J666">
            <v>2594</v>
          </cell>
          <cell r="K666">
            <v>6.42</v>
          </cell>
          <cell r="L666">
            <v>109.28</v>
          </cell>
          <cell r="M666" t="str">
            <v>UF</v>
          </cell>
          <cell r="N666" t="str">
            <v>RFL</v>
          </cell>
          <cell r="O666" t="str">
            <v>Renta Fija Local</v>
          </cell>
          <cell r="P666"/>
          <cell r="Q666" t="str">
            <v>Largo</v>
          </cell>
          <cell r="R666" t="str">
            <v>Gobierno UF Largo</v>
          </cell>
          <cell r="S666">
            <v>1.6</v>
          </cell>
          <cell r="T666" t="str">
            <v>Gob</v>
          </cell>
          <cell r="U666" t="str">
            <v>0</v>
          </cell>
          <cell r="V666" t="str">
            <v>Gobierno</v>
          </cell>
          <cell r="W666" t="str">
            <v>Gobierno</v>
          </cell>
          <cell r="X666" t="str">
            <v>Gobierno Largo UF</v>
          </cell>
          <cell r="Y666" t="str">
            <v>Gobierno Largo</v>
          </cell>
          <cell r="Z666" t="str">
            <v>Largo UF</v>
          </cell>
          <cell r="AA666" t="str">
            <v>Gobierno</v>
          </cell>
          <cell r="AB666" t="str">
            <v>Gobierno UF</v>
          </cell>
          <cell r="AC666" t="str">
            <v>Instrumentos de Deuda</v>
          </cell>
          <cell r="AD666" t="str">
            <v>Gobierno</v>
          </cell>
          <cell r="AE666" t="str">
            <v>Bono Tesoreria En Uf</v>
          </cell>
          <cell r="AF666" t="str">
            <v>Tesorería General de la República</v>
          </cell>
        </row>
        <row r="667">
          <cell r="C667" t="str">
            <v>BENDE-M</v>
          </cell>
          <cell r="D667" t="str">
            <v>ENDESA</v>
          </cell>
          <cell r="E667">
            <v>519340842</v>
          </cell>
          <cell r="F667">
            <v>17000</v>
          </cell>
          <cell r="G667">
            <v>1.1547999999999999E-2</v>
          </cell>
          <cell r="H667">
            <v>2.67</v>
          </cell>
          <cell r="I667" t="str">
            <v>2029-12-15</v>
          </cell>
          <cell r="J667">
            <v>4769</v>
          </cell>
          <cell r="K667">
            <v>6.58</v>
          </cell>
          <cell r="L667">
            <v>113.8</v>
          </cell>
          <cell r="M667" t="str">
            <v>UF</v>
          </cell>
          <cell r="N667" t="str">
            <v>RFL</v>
          </cell>
          <cell r="O667" t="str">
            <v>Renta Fija Local</v>
          </cell>
          <cell r="P667" t="str">
            <v>AA ; AA</v>
          </cell>
          <cell r="Q667" t="str">
            <v>Largo</v>
          </cell>
          <cell r="R667" t="str">
            <v>Corporativo Bajo Riesgo Largo</v>
          </cell>
          <cell r="S667">
            <v>2.67</v>
          </cell>
          <cell r="T667" t="str">
            <v>AA</v>
          </cell>
          <cell r="U667" t="str">
            <v>3</v>
          </cell>
          <cell r="V667" t="str">
            <v>Bajo Riesgo</v>
          </cell>
          <cell r="W667" t="str">
            <v>Corporativo</v>
          </cell>
          <cell r="X667" t="str">
            <v>Bajo Riesgo Largo UF</v>
          </cell>
          <cell r="Y667" t="str">
            <v>Corporativo Bajo Riesgo Largo</v>
          </cell>
          <cell r="Z667" t="str">
            <v>Largo UF</v>
          </cell>
          <cell r="AA667" t="str">
            <v>Corporativo Largo</v>
          </cell>
          <cell r="AB667" t="str">
            <v>Corporativo UF</v>
          </cell>
          <cell r="AC667" t="str">
            <v>Instrumentos de Deuda</v>
          </cell>
          <cell r="AD667" t="str">
            <v>Energía</v>
          </cell>
          <cell r="AE667" t="str">
            <v>Bono Endesa Serie M</v>
          </cell>
          <cell r="AF667" t="str">
            <v>ENDESA S.A.</v>
          </cell>
        </row>
        <row r="668">
          <cell r="C668" t="str">
            <v>BBNS-W0414</v>
          </cell>
          <cell r="D668" t="str">
            <v>BBSCOTIABA</v>
          </cell>
          <cell r="E668">
            <v>298179326</v>
          </cell>
          <cell r="F668">
            <v>11000</v>
          </cell>
          <cell r="G668">
            <v>6.6299999999999996E-3</v>
          </cell>
          <cell r="H668">
            <v>2.62</v>
          </cell>
          <cell r="I668" t="str">
            <v>2024-04-01</v>
          </cell>
          <cell r="J668">
            <v>2685</v>
          </cell>
          <cell r="K668">
            <v>6.64</v>
          </cell>
          <cell r="L668">
            <v>102.62</v>
          </cell>
          <cell r="M668" t="str">
            <v>UF</v>
          </cell>
          <cell r="N668" t="str">
            <v>RFL</v>
          </cell>
          <cell r="O668" t="str">
            <v>Renta Fija Local</v>
          </cell>
          <cell r="P668" t="str">
            <v>AAA ; AAA</v>
          </cell>
          <cell r="Q668" t="str">
            <v>Largo</v>
          </cell>
          <cell r="R668" t="str">
            <v>Corporativo Bajo Riesgo Largo</v>
          </cell>
          <cell r="S668">
            <v>2.62</v>
          </cell>
          <cell r="T668" t="str">
            <v>AAA</v>
          </cell>
          <cell r="U668" t="str">
            <v>1</v>
          </cell>
          <cell r="V668" t="str">
            <v>Bajo Riesgo</v>
          </cell>
          <cell r="W668" t="str">
            <v>Corporativo</v>
          </cell>
          <cell r="X668" t="str">
            <v>Bajo Riesgo Largo UF</v>
          </cell>
          <cell r="Y668" t="str">
            <v>Corporativo Bajo Riesgo Largo</v>
          </cell>
          <cell r="Z668" t="str">
            <v>Largo UF</v>
          </cell>
          <cell r="AA668" t="str">
            <v>Corporativo Largo</v>
          </cell>
          <cell r="AB668" t="str">
            <v>Corporativo UF</v>
          </cell>
          <cell r="AC668" t="str">
            <v>Instrumentos de Deuda</v>
          </cell>
          <cell r="AD668" t="str">
            <v>Financieras</v>
          </cell>
          <cell r="AE668" t="str">
            <v>Bono Scotiabank Serie W</v>
          </cell>
          <cell r="AF668" t="str">
            <v>Scotiabank</v>
          </cell>
        </row>
        <row r="669">
          <cell r="C669" t="str">
            <v>BESVA-M</v>
          </cell>
          <cell r="D669" t="str">
            <v>ESVAL</v>
          </cell>
          <cell r="E669">
            <v>214341143</v>
          </cell>
          <cell r="F669">
            <v>7000</v>
          </cell>
          <cell r="G669">
            <v>4.7660000000000003E-3</v>
          </cell>
          <cell r="H669">
            <v>2.73</v>
          </cell>
          <cell r="I669" t="str">
            <v>2030-01-27</v>
          </cell>
          <cell r="J669">
            <v>4812</v>
          </cell>
          <cell r="K669">
            <v>6.66</v>
          </cell>
          <cell r="L669">
            <v>114.61</v>
          </cell>
          <cell r="M669" t="str">
            <v>UF</v>
          </cell>
          <cell r="N669" t="str">
            <v>RFL</v>
          </cell>
          <cell r="O669" t="str">
            <v>Renta Fija Local</v>
          </cell>
          <cell r="P669" t="str">
            <v>AA ; AA</v>
          </cell>
          <cell r="Q669" t="str">
            <v>Largo</v>
          </cell>
          <cell r="R669" t="str">
            <v>Corporativo Bajo Riesgo Largo</v>
          </cell>
          <cell r="S669">
            <v>2.73</v>
          </cell>
          <cell r="T669" t="str">
            <v>AA</v>
          </cell>
          <cell r="U669" t="str">
            <v>3</v>
          </cell>
          <cell r="V669" t="str">
            <v>Bajo Riesgo</v>
          </cell>
          <cell r="W669" t="str">
            <v>Corporativo</v>
          </cell>
          <cell r="X669" t="str">
            <v>Bajo Riesgo Largo UF</v>
          </cell>
          <cell r="Y669" t="str">
            <v>Corporativo Bajo Riesgo Largo</v>
          </cell>
          <cell r="Z669" t="str">
            <v>Largo UF</v>
          </cell>
          <cell r="AA669" t="str">
            <v>Corporativo Largo</v>
          </cell>
          <cell r="AB669" t="str">
            <v>Corporativo UF</v>
          </cell>
          <cell r="AC669" t="str">
            <v>Instrumentos de Deuda</v>
          </cell>
          <cell r="AD669" t="str">
            <v>Servicios Básicos</v>
          </cell>
          <cell r="AE669" t="str">
            <v>Bono Esval Serie M</v>
          </cell>
          <cell r="AF669" t="str">
            <v>ESVAL</v>
          </cell>
        </row>
        <row r="670">
          <cell r="C670" t="str">
            <v>BSECK50614</v>
          </cell>
          <cell r="D670" t="str">
            <v>BBSECURITY</v>
          </cell>
          <cell r="E670">
            <v>706515968</v>
          </cell>
          <cell r="F670">
            <v>26500</v>
          </cell>
          <cell r="G670">
            <v>1.5710999999999999E-2</v>
          </cell>
          <cell r="H670">
            <v>2.76</v>
          </cell>
          <cell r="I670" t="str">
            <v>2024-06-01</v>
          </cell>
          <cell r="J670">
            <v>2746</v>
          </cell>
          <cell r="K670">
            <v>6.76</v>
          </cell>
          <cell r="L670">
            <v>100.05</v>
          </cell>
          <cell r="M670" t="str">
            <v>UF</v>
          </cell>
          <cell r="N670" t="str">
            <v>RFL</v>
          </cell>
          <cell r="O670" t="str">
            <v>Renta Fija Local</v>
          </cell>
          <cell r="P670" t="str">
            <v>AA- ; AA-</v>
          </cell>
          <cell r="Q670" t="str">
            <v>Largo</v>
          </cell>
          <cell r="R670" t="str">
            <v>Corporativo Bajo Riesgo Largo</v>
          </cell>
          <cell r="S670">
            <v>2.76</v>
          </cell>
          <cell r="T670" t="str">
            <v>AA-</v>
          </cell>
          <cell r="U670" t="str">
            <v>4</v>
          </cell>
          <cell r="V670" t="str">
            <v>Bajo Riesgo</v>
          </cell>
          <cell r="W670" t="str">
            <v>Corporativo</v>
          </cell>
          <cell r="X670" t="str">
            <v>Bajo Riesgo Largo UF</v>
          </cell>
          <cell r="Y670" t="str">
            <v>Corporativo Bajo Riesgo Largo</v>
          </cell>
          <cell r="Z670" t="str">
            <v>Largo UF</v>
          </cell>
          <cell r="AA670" t="str">
            <v>Corporativo Largo</v>
          </cell>
          <cell r="AB670" t="str">
            <v>Corporativo UF</v>
          </cell>
          <cell r="AC670" t="str">
            <v>Instrumentos de Deuda</v>
          </cell>
          <cell r="AD670" t="str">
            <v>Financieras</v>
          </cell>
          <cell r="AE670" t="str">
            <v>Bono Bancario Security Serie K5</v>
          </cell>
          <cell r="AF670" t="str">
            <v>Banco Security</v>
          </cell>
        </row>
        <row r="671">
          <cell r="C671" t="str">
            <v>BECOP-G</v>
          </cell>
          <cell r="D671" t="str">
            <v>COPEC</v>
          </cell>
          <cell r="E671">
            <v>184356292</v>
          </cell>
          <cell r="F671">
            <v>7000</v>
          </cell>
          <cell r="G671">
            <v>4.0990000000000002E-3</v>
          </cell>
          <cell r="H671">
            <v>2.72</v>
          </cell>
          <cell r="I671" t="str">
            <v>2024-10-15</v>
          </cell>
          <cell r="J671">
            <v>2882</v>
          </cell>
          <cell r="K671">
            <v>7.15</v>
          </cell>
          <cell r="L671">
            <v>99.85</v>
          </cell>
          <cell r="M671" t="str">
            <v>UF</v>
          </cell>
          <cell r="N671" t="str">
            <v>RFL</v>
          </cell>
          <cell r="O671" t="str">
            <v>Renta Fija Local</v>
          </cell>
          <cell r="P671" t="str">
            <v>AA- ; AA-</v>
          </cell>
          <cell r="Q671" t="str">
            <v>Largo</v>
          </cell>
          <cell r="R671" t="str">
            <v>Corporativo Bajo Riesgo Largo</v>
          </cell>
          <cell r="S671">
            <v>2.72</v>
          </cell>
          <cell r="T671" t="str">
            <v>AA-</v>
          </cell>
          <cell r="U671" t="str">
            <v>4</v>
          </cell>
          <cell r="V671" t="str">
            <v>Bajo Riesgo</v>
          </cell>
          <cell r="W671" t="str">
            <v>Corporativo</v>
          </cell>
          <cell r="X671" t="str">
            <v>Bajo Riesgo Largo UF</v>
          </cell>
          <cell r="Y671" t="str">
            <v>Corporativo Bajo Riesgo Largo</v>
          </cell>
          <cell r="Z671" t="str">
            <v>Largo UF</v>
          </cell>
          <cell r="AA671" t="str">
            <v>Corporativo Largo</v>
          </cell>
          <cell r="AB671" t="str">
            <v>Corporativo UF</v>
          </cell>
          <cell r="AC671" t="str">
            <v>Instrumentos de Deuda</v>
          </cell>
          <cell r="AD671" t="str">
            <v>Industriales</v>
          </cell>
          <cell r="AE671" t="str">
            <v>Bono Copec Serie G</v>
          </cell>
          <cell r="AF671" t="str">
            <v>Empresas Copec S.A.</v>
          </cell>
        </row>
        <row r="672">
          <cell r="C672" t="str">
            <v>BCODE-B</v>
          </cell>
          <cell r="D672" t="str">
            <v>CODELCO</v>
          </cell>
          <cell r="E672">
            <v>670048002</v>
          </cell>
          <cell r="F672">
            <v>23000</v>
          </cell>
          <cell r="G672">
            <v>1.49E-2</v>
          </cell>
          <cell r="H672">
            <v>2.65</v>
          </cell>
          <cell r="I672" t="str">
            <v>2025-04-01</v>
          </cell>
          <cell r="J672">
            <v>3050</v>
          </cell>
          <cell r="K672">
            <v>7.21</v>
          </cell>
          <cell r="L672">
            <v>110.12</v>
          </cell>
          <cell r="M672" t="str">
            <v>UF</v>
          </cell>
          <cell r="N672" t="str">
            <v>RFL</v>
          </cell>
          <cell r="O672" t="str">
            <v>Renta Fija Local</v>
          </cell>
          <cell r="P672" t="str">
            <v>AAA ; AAA</v>
          </cell>
          <cell r="Q672" t="str">
            <v>Largo</v>
          </cell>
          <cell r="R672" t="str">
            <v>Corporativo Bajo Riesgo Largo</v>
          </cell>
          <cell r="S672">
            <v>2.65</v>
          </cell>
          <cell r="T672" t="str">
            <v>AAA</v>
          </cell>
          <cell r="U672" t="str">
            <v>1</v>
          </cell>
          <cell r="V672" t="str">
            <v>Bajo Riesgo</v>
          </cell>
          <cell r="W672" t="str">
            <v>Corporativo</v>
          </cell>
          <cell r="X672" t="str">
            <v>Bajo Riesgo Largo UF</v>
          </cell>
          <cell r="Y672" t="str">
            <v>Corporativo Bajo Riesgo Largo</v>
          </cell>
          <cell r="Z672" t="str">
            <v>Largo UF</v>
          </cell>
          <cell r="AA672" t="str">
            <v>Corporativo Largo</v>
          </cell>
          <cell r="AB672" t="str">
            <v>Corporativo UF</v>
          </cell>
          <cell r="AC672" t="str">
            <v>Instrumentos de Deuda</v>
          </cell>
          <cell r="AD672" t="str">
            <v>Minería</v>
          </cell>
          <cell r="AE672" t="str">
            <v>Bono Codelco Serie B</v>
          </cell>
          <cell r="AF672" t="str">
            <v>Codelco</v>
          </cell>
        </row>
        <row r="673">
          <cell r="C673" t="str">
            <v>BSECK60315</v>
          </cell>
          <cell r="D673" t="str">
            <v>BBSECURITY</v>
          </cell>
          <cell r="E673">
            <v>397212795</v>
          </cell>
          <cell r="F673">
            <v>15000</v>
          </cell>
          <cell r="G673">
            <v>8.8330000000000006E-3</v>
          </cell>
          <cell r="H673">
            <v>2.76</v>
          </cell>
          <cell r="I673" t="str">
            <v>2025-03-01</v>
          </cell>
          <cell r="J673">
            <v>3019</v>
          </cell>
          <cell r="K673">
            <v>7.41</v>
          </cell>
          <cell r="L673">
            <v>100.06</v>
          </cell>
          <cell r="M673" t="str">
            <v>UF</v>
          </cell>
          <cell r="N673" t="str">
            <v>RFL</v>
          </cell>
          <cell r="O673" t="str">
            <v>Renta Fija Local</v>
          </cell>
          <cell r="P673" t="str">
            <v>AA- ; AA-</v>
          </cell>
          <cell r="Q673" t="str">
            <v>Largo</v>
          </cell>
          <cell r="R673" t="str">
            <v>Corporativo Bajo Riesgo Largo</v>
          </cell>
          <cell r="S673">
            <v>2.76</v>
          </cell>
          <cell r="T673" t="str">
            <v>AA-</v>
          </cell>
          <cell r="U673" t="str">
            <v>4</v>
          </cell>
          <cell r="V673" t="str">
            <v>Bajo Riesgo</v>
          </cell>
          <cell r="W673" t="str">
            <v>Corporativo</v>
          </cell>
          <cell r="X673" t="str">
            <v>Bajo Riesgo Largo UF</v>
          </cell>
          <cell r="Y673" t="str">
            <v>Corporativo Bajo Riesgo Largo</v>
          </cell>
          <cell r="Z673" t="str">
            <v>Largo UF</v>
          </cell>
          <cell r="AA673" t="str">
            <v>Corporativo Largo</v>
          </cell>
          <cell r="AB673" t="str">
            <v>Corporativo UF</v>
          </cell>
          <cell r="AC673" t="str">
            <v>Instrumentos de Deuda</v>
          </cell>
          <cell r="AD673" t="str">
            <v>Financieras</v>
          </cell>
          <cell r="AE673" t="str">
            <v>Bono Bancario Security Serie K6</v>
          </cell>
          <cell r="AF673" t="str">
            <v>Banco Security</v>
          </cell>
        </row>
        <row r="674">
          <cell r="C674" t="str">
            <v>BCOO-C0713</v>
          </cell>
          <cell r="D674" t="str">
            <v>COOPEUCH</v>
          </cell>
          <cell r="E674">
            <v>816353448</v>
          </cell>
          <cell r="F674">
            <v>33000</v>
          </cell>
          <cell r="G674">
            <v>1.8152999999999999E-2</v>
          </cell>
          <cell r="H674">
            <v>2.73</v>
          </cell>
          <cell r="I674" t="str">
            <v>2034-07-10</v>
          </cell>
          <cell r="J674">
            <v>6437</v>
          </cell>
          <cell r="K674">
            <v>7.42</v>
          </cell>
          <cell r="L674">
            <v>108.19</v>
          </cell>
          <cell r="M674" t="str">
            <v>UF</v>
          </cell>
          <cell r="N674" t="str">
            <v>RFL</v>
          </cell>
          <cell r="O674" t="str">
            <v>Renta Fija Local</v>
          </cell>
          <cell r="P674" t="str">
            <v>AA- ; AA-</v>
          </cell>
          <cell r="Q674" t="str">
            <v>Largo</v>
          </cell>
          <cell r="R674" t="str">
            <v>Corporativo Bajo Riesgo Largo</v>
          </cell>
          <cell r="S674">
            <v>2.73</v>
          </cell>
          <cell r="T674" t="str">
            <v>AA-</v>
          </cell>
          <cell r="U674" t="str">
            <v>4</v>
          </cell>
          <cell r="V674" t="str">
            <v>Bajo Riesgo</v>
          </cell>
          <cell r="W674" t="str">
            <v>Corporativo</v>
          </cell>
          <cell r="X674" t="str">
            <v>Bajo Riesgo Largo UF</v>
          </cell>
          <cell r="Y674" t="str">
            <v>Corporativo Bajo Riesgo Largo</v>
          </cell>
          <cell r="Z674" t="str">
            <v>Largo UF</v>
          </cell>
          <cell r="AA674" t="str">
            <v>Corporativo Largo</v>
          </cell>
          <cell r="AB674" t="str">
            <v>Corporativo UF</v>
          </cell>
          <cell r="AC674" t="str">
            <v>Instrumentos de Deuda</v>
          </cell>
          <cell r="AD674" t="str">
            <v>Financieras</v>
          </cell>
          <cell r="AE674" t="str">
            <v>Bono Coopeuch Serie C</v>
          </cell>
          <cell r="AF674" t="str">
            <v>COOPEUCH</v>
          </cell>
        </row>
        <row r="675">
          <cell r="C675" t="str">
            <v>BTP0450326</v>
          </cell>
          <cell r="D675" t="str">
            <v>BTP</v>
          </cell>
          <cell r="E675">
            <v>1106400118</v>
          </cell>
          <cell r="F675">
            <v>1100000000</v>
          </cell>
          <cell r="G675">
            <v>2.4603E-2</v>
          </cell>
          <cell r="H675">
            <v>4.6100000000000003</v>
          </cell>
          <cell r="I675" t="str">
            <v>2026-03-01</v>
          </cell>
          <cell r="J675">
            <v>3384</v>
          </cell>
          <cell r="K675">
            <v>7.6</v>
          </cell>
          <cell r="L675">
            <v>99.57</v>
          </cell>
          <cell r="M675" t="str">
            <v>$</v>
          </cell>
          <cell r="N675" t="str">
            <v>RFL</v>
          </cell>
          <cell r="O675" t="str">
            <v>Renta Fija Local</v>
          </cell>
          <cell r="P675"/>
          <cell r="Q675" t="str">
            <v>Largo</v>
          </cell>
          <cell r="R675" t="str">
            <v>Gobierno $ Largo</v>
          </cell>
          <cell r="S675">
            <v>1.61</v>
          </cell>
          <cell r="T675" t="str">
            <v>Gob</v>
          </cell>
          <cell r="U675" t="str">
            <v>0</v>
          </cell>
          <cell r="V675" t="str">
            <v>Gobierno</v>
          </cell>
          <cell r="W675" t="str">
            <v>Gobierno</v>
          </cell>
          <cell r="X675" t="str">
            <v>Gobierno Largo $</v>
          </cell>
          <cell r="Y675" t="str">
            <v>Gobierno Largo</v>
          </cell>
          <cell r="Z675" t="str">
            <v>Largo $</v>
          </cell>
          <cell r="AA675" t="str">
            <v>Gobierno</v>
          </cell>
          <cell r="AB675" t="str">
            <v>Gobierno $</v>
          </cell>
          <cell r="AC675" t="str">
            <v>Instrumentos de Deuda</v>
          </cell>
          <cell r="AD675" t="str">
            <v>Gobierno</v>
          </cell>
          <cell r="AE675" t="str">
            <v>Bono Tesoreria En Pesos</v>
          </cell>
          <cell r="AF675" t="str">
            <v>Tesorería General de la República</v>
          </cell>
        </row>
        <row r="676">
          <cell r="C676" t="str">
            <v>BENAE-A</v>
          </cell>
          <cell r="D676" t="str">
            <v>ENAEX</v>
          </cell>
          <cell r="E676">
            <v>602083439</v>
          </cell>
          <cell r="F676">
            <v>22000</v>
          </cell>
          <cell r="G676">
            <v>1.3388000000000001E-2</v>
          </cell>
          <cell r="H676">
            <v>2.46</v>
          </cell>
          <cell r="I676" t="str">
            <v>2025-09-01</v>
          </cell>
          <cell r="J676">
            <v>3203</v>
          </cell>
          <cell r="K676">
            <v>7.79</v>
          </cell>
          <cell r="L676">
            <v>103.38</v>
          </cell>
          <cell r="M676" t="str">
            <v>UF</v>
          </cell>
          <cell r="N676" t="str">
            <v>RFL</v>
          </cell>
          <cell r="O676" t="str">
            <v>Renta Fija Local</v>
          </cell>
          <cell r="P676" t="str">
            <v>AA- ; AA-</v>
          </cell>
          <cell r="Q676" t="str">
            <v>Largo</v>
          </cell>
          <cell r="R676" t="str">
            <v>Corporativo Bajo Riesgo Largo</v>
          </cell>
          <cell r="S676">
            <v>2.46</v>
          </cell>
          <cell r="T676" t="str">
            <v>AA-</v>
          </cell>
          <cell r="U676" t="str">
            <v>4</v>
          </cell>
          <cell r="V676" t="str">
            <v>Bajo Riesgo</v>
          </cell>
          <cell r="W676" t="str">
            <v>Corporativo</v>
          </cell>
          <cell r="X676" t="str">
            <v>Bajo Riesgo Largo UF</v>
          </cell>
          <cell r="Y676" t="str">
            <v>Corporativo Bajo Riesgo Largo</v>
          </cell>
          <cell r="Z676" t="str">
            <v>Largo UF</v>
          </cell>
          <cell r="AA676" t="str">
            <v>Corporativo Largo</v>
          </cell>
          <cell r="AB676" t="str">
            <v>Corporativo UF</v>
          </cell>
          <cell r="AC676" t="str">
            <v>Instrumentos de Deuda</v>
          </cell>
          <cell r="AD676" t="str">
            <v>Energía</v>
          </cell>
          <cell r="AE676" t="str">
            <v>Bonos Enaex Serie A</v>
          </cell>
          <cell r="AF676" t="str">
            <v>ENAEX</v>
          </cell>
        </row>
        <row r="677">
          <cell r="C677" t="str">
            <v>BAYS3-A</v>
          </cell>
          <cell r="D677" t="str">
            <v>AYSTRES</v>
          </cell>
          <cell r="E677">
            <v>188362591</v>
          </cell>
          <cell r="F677">
            <v>6000</v>
          </cell>
          <cell r="G677">
            <v>4.1879999999999999E-3</v>
          </cell>
          <cell r="H677">
            <v>2.66</v>
          </cell>
          <cell r="I677" t="str">
            <v>2032-12-15</v>
          </cell>
          <cell r="J677">
            <v>5865</v>
          </cell>
          <cell r="K677">
            <v>8.15</v>
          </cell>
          <cell r="L677">
            <v>116.97</v>
          </cell>
          <cell r="M677" t="str">
            <v>UF</v>
          </cell>
          <cell r="N677" t="str">
            <v>RFL</v>
          </cell>
          <cell r="O677" t="str">
            <v>Renta Fija Local</v>
          </cell>
          <cell r="P677" t="str">
            <v>AA</v>
          </cell>
          <cell r="Q677" t="str">
            <v>Largo</v>
          </cell>
          <cell r="R677" t="str">
            <v>Corporativo Bajo Riesgo Largo</v>
          </cell>
          <cell r="S677">
            <v>2.66</v>
          </cell>
          <cell r="T677" t="str">
            <v>AA</v>
          </cell>
          <cell r="U677" t="str">
            <v>3</v>
          </cell>
          <cell r="V677" t="str">
            <v>Bajo Riesgo</v>
          </cell>
          <cell r="W677" t="str">
            <v>Corporativo</v>
          </cell>
          <cell r="X677" t="str">
            <v>Bajo Riesgo Largo UF</v>
          </cell>
          <cell r="Y677" t="str">
            <v>Corporativo Bajo Riesgo Largo</v>
          </cell>
          <cell r="Z677" t="str">
            <v>Largo UF</v>
          </cell>
          <cell r="AA677" t="str">
            <v>Corporativo Largo</v>
          </cell>
          <cell r="AB677" t="str">
            <v>Corporativo UF</v>
          </cell>
          <cell r="AC677" t="str">
            <v>Instrumentos de Deuda</v>
          </cell>
          <cell r="AD677" t="str">
            <v>Diversificados</v>
          </cell>
          <cell r="AE677" t="str">
            <v>Bono Inversiones Ays Tres Serie A</v>
          </cell>
          <cell r="AF677" t="str">
            <v>INVERSIONES AYS TRES</v>
          </cell>
        </row>
        <row r="678">
          <cell r="C678" t="str">
            <v>BCENC-N</v>
          </cell>
          <cell r="D678" t="str">
            <v>CENCOSUD</v>
          </cell>
          <cell r="E678">
            <v>1067845396</v>
          </cell>
          <cell r="F678">
            <v>35000</v>
          </cell>
          <cell r="G678">
            <v>2.3746E-2</v>
          </cell>
          <cell r="H678">
            <v>3.15</v>
          </cell>
          <cell r="I678" t="str">
            <v>2030-05-28</v>
          </cell>
          <cell r="J678">
            <v>4933</v>
          </cell>
          <cell r="K678">
            <v>8.56</v>
          </cell>
          <cell r="L678">
            <v>113.42</v>
          </cell>
          <cell r="M678" t="str">
            <v>UF</v>
          </cell>
          <cell r="N678" t="str">
            <v>RFL</v>
          </cell>
          <cell r="O678" t="str">
            <v>Renta Fija Local</v>
          </cell>
          <cell r="P678" t="str">
            <v>AA ; AA-</v>
          </cell>
          <cell r="Q678" t="str">
            <v>Largo</v>
          </cell>
          <cell r="R678" t="str">
            <v>Corporativo Bajo Riesgo Largo</v>
          </cell>
          <cell r="S678">
            <v>3.15</v>
          </cell>
          <cell r="T678" t="str">
            <v>AA-</v>
          </cell>
          <cell r="U678" t="str">
            <v>4</v>
          </cell>
          <cell r="V678" t="str">
            <v>Bajo Riesgo</v>
          </cell>
          <cell r="W678" t="str">
            <v>Corporativo</v>
          </cell>
          <cell r="X678" t="str">
            <v>Bajo Riesgo Largo UF</v>
          </cell>
          <cell r="Y678" t="str">
            <v>Corporativo Bajo Riesgo Largo</v>
          </cell>
          <cell r="Z678" t="str">
            <v>Largo UF</v>
          </cell>
          <cell r="AA678" t="str">
            <v>Corporativo Largo</v>
          </cell>
          <cell r="AB678" t="str">
            <v>Corporativo UF</v>
          </cell>
          <cell r="AC678" t="str">
            <v>Instrumentos de Deuda</v>
          </cell>
          <cell r="AD678" t="str">
            <v>Consumo</v>
          </cell>
          <cell r="AE678" t="str">
            <v>Bono Cencosud Serie N</v>
          </cell>
          <cell r="AF678" t="str">
            <v>Cencosud S.A.</v>
          </cell>
        </row>
        <row r="679">
          <cell r="C679" t="str">
            <v>BTU0150326</v>
          </cell>
          <cell r="D679" t="str">
            <v>BTU</v>
          </cell>
          <cell r="E679">
            <v>2959201695</v>
          </cell>
          <cell r="F679">
            <v>114000</v>
          </cell>
          <cell r="G679">
            <v>6.5805000000000002E-2</v>
          </cell>
          <cell r="H679">
            <v>1.7</v>
          </cell>
          <cell r="I679" t="str">
            <v>2026-03-01</v>
          </cell>
          <cell r="J679">
            <v>3384</v>
          </cell>
          <cell r="K679">
            <v>8.65</v>
          </cell>
          <cell r="L679">
            <v>98.36</v>
          </cell>
          <cell r="M679" t="str">
            <v>UF</v>
          </cell>
          <cell r="N679" t="str">
            <v>RFL</v>
          </cell>
          <cell r="O679" t="str">
            <v>Renta Fija Local</v>
          </cell>
          <cell r="P679"/>
          <cell r="Q679" t="str">
            <v>Largo</v>
          </cell>
          <cell r="R679" t="str">
            <v>Gobierno UF Largo</v>
          </cell>
          <cell r="S679">
            <v>1.7</v>
          </cell>
          <cell r="T679" t="str">
            <v>Gob</v>
          </cell>
          <cell r="U679" t="str">
            <v>0</v>
          </cell>
          <cell r="V679" t="str">
            <v>Gobierno</v>
          </cell>
          <cell r="W679" t="str">
            <v>Gobierno</v>
          </cell>
          <cell r="X679" t="str">
            <v>Gobierno Largo UF</v>
          </cell>
          <cell r="Y679" t="str">
            <v>Gobierno Largo</v>
          </cell>
          <cell r="Z679" t="str">
            <v>Largo UF</v>
          </cell>
          <cell r="AA679" t="str">
            <v>Gobierno</v>
          </cell>
          <cell r="AB679" t="str">
            <v>Gobierno UF</v>
          </cell>
          <cell r="AC679" t="str">
            <v>Instrumentos de Deuda</v>
          </cell>
          <cell r="AD679" t="str">
            <v>Financieras</v>
          </cell>
          <cell r="AE679" t="str">
            <v>Bono Tesoreria En Uf</v>
          </cell>
          <cell r="AF679" t="str">
            <v>Tesorería General de la República</v>
          </cell>
        </row>
        <row r="680">
          <cell r="C680" t="str">
            <v>EST2070107</v>
          </cell>
          <cell r="D680" t="str">
            <v>ESTADO</v>
          </cell>
          <cell r="E680">
            <v>11197303</v>
          </cell>
          <cell r="F680">
            <v>490</v>
          </cell>
          <cell r="G680">
            <v>2.4899999999999998E-4</v>
          </cell>
          <cell r="H680">
            <v>3.66</v>
          </cell>
          <cell r="I680" t="str">
            <v>2037-01-01</v>
          </cell>
          <cell r="J680">
            <v>7343</v>
          </cell>
          <cell r="K680">
            <v>8.8800000000000008</v>
          </cell>
          <cell r="L680">
            <v>107.34</v>
          </cell>
          <cell r="M680" t="str">
            <v>UF</v>
          </cell>
          <cell r="N680" t="str">
            <v>RFL</v>
          </cell>
          <cell r="O680" t="str">
            <v>Renta Fija Local</v>
          </cell>
          <cell r="P680" t="str">
            <v>AAA ; AAA</v>
          </cell>
          <cell r="Q680" t="str">
            <v>Largo</v>
          </cell>
          <cell r="R680" t="str">
            <v>Corporativo Bajo Riesgo Largo</v>
          </cell>
          <cell r="S680">
            <v>3.66</v>
          </cell>
          <cell r="T680" t="str">
            <v>AAA</v>
          </cell>
          <cell r="U680" t="str">
            <v>1</v>
          </cell>
          <cell r="V680" t="str">
            <v>Bajo Riesgo</v>
          </cell>
          <cell r="W680" t="str">
            <v>Corporativo</v>
          </cell>
          <cell r="X680" t="str">
            <v>Bajo Riesgo Largo UF</v>
          </cell>
          <cell r="Y680" t="str">
            <v>Corporativo Bajo Riesgo Largo</v>
          </cell>
          <cell r="Z680" t="str">
            <v>Largo UF</v>
          </cell>
          <cell r="AA680" t="str">
            <v>Corporativo Largo</v>
          </cell>
          <cell r="AB680" t="str">
            <v>Corporativo UF</v>
          </cell>
          <cell r="AC680" t="str">
            <v>Instrumentos de Deuda</v>
          </cell>
          <cell r="AD680" t="str">
            <v>Financieras</v>
          </cell>
          <cell r="AE680" t="str">
            <v>Lh Estado-207</v>
          </cell>
          <cell r="AF680" t="str">
            <v>Banco Estado</v>
          </cell>
        </row>
        <row r="681">
          <cell r="C681" t="str">
            <v>BCOOD20514</v>
          </cell>
          <cell r="D681" t="str">
            <v>COOPEUCH</v>
          </cell>
          <cell r="E681">
            <v>429192850</v>
          </cell>
          <cell r="F681">
            <v>17000</v>
          </cell>
          <cell r="G681">
            <v>9.5440000000000004E-3</v>
          </cell>
          <cell r="H681">
            <v>3.08</v>
          </cell>
          <cell r="I681" t="str">
            <v>2039-05-05</v>
          </cell>
          <cell r="J681">
            <v>8197</v>
          </cell>
          <cell r="K681">
            <v>9.1300000000000008</v>
          </cell>
          <cell r="L681">
            <v>106.45</v>
          </cell>
          <cell r="M681" t="str">
            <v>UF</v>
          </cell>
          <cell r="N681" t="str">
            <v>RFL</v>
          </cell>
          <cell r="O681" t="str">
            <v>Renta Fija Local</v>
          </cell>
          <cell r="P681" t="str">
            <v>AA- ; AA-</v>
          </cell>
          <cell r="Q681" t="str">
            <v>Largo</v>
          </cell>
          <cell r="R681" t="str">
            <v>Corporativo Bajo Riesgo Largo</v>
          </cell>
          <cell r="S681">
            <v>3.08</v>
          </cell>
          <cell r="T681" t="str">
            <v>AA-</v>
          </cell>
          <cell r="U681" t="str">
            <v>4</v>
          </cell>
          <cell r="V681" t="str">
            <v>Bajo Riesgo</v>
          </cell>
          <cell r="W681" t="str">
            <v>Corporativo</v>
          </cell>
          <cell r="X681" t="str">
            <v>Bajo Riesgo Largo UF</v>
          </cell>
          <cell r="Y681" t="str">
            <v>Corporativo Bajo Riesgo Largo</v>
          </cell>
          <cell r="Z681" t="str">
            <v>Largo UF</v>
          </cell>
          <cell r="AA681" t="str">
            <v>Corporativo Largo</v>
          </cell>
          <cell r="AB681" t="str">
            <v>Corporativo UF</v>
          </cell>
          <cell r="AC681" t="str">
            <v>Instrumentos de Deuda</v>
          </cell>
          <cell r="AD681" t="str">
            <v>Financieras</v>
          </cell>
          <cell r="AE681" t="str">
            <v>Bono Coopeuch Serie D2</v>
          </cell>
          <cell r="AF681" t="str">
            <v>COOPEUCH</v>
          </cell>
        </row>
        <row r="682">
          <cell r="C682" t="str">
            <v>BCENC-O</v>
          </cell>
          <cell r="D682" t="str">
            <v>CENCOSUD</v>
          </cell>
          <cell r="E682">
            <v>1046786035</v>
          </cell>
          <cell r="F682">
            <v>1000000000</v>
          </cell>
          <cell r="G682">
            <v>2.3278E-2</v>
          </cell>
          <cell r="H682">
            <v>6.84</v>
          </cell>
          <cell r="I682" t="str">
            <v>2031-06-01</v>
          </cell>
          <cell r="J682">
            <v>5302</v>
          </cell>
          <cell r="K682">
            <v>9.15</v>
          </cell>
          <cell r="L682">
            <v>101.34</v>
          </cell>
          <cell r="M682" t="str">
            <v>$</v>
          </cell>
          <cell r="N682" t="str">
            <v>RFL</v>
          </cell>
          <cell r="O682" t="str">
            <v>Renta Fija Local</v>
          </cell>
          <cell r="P682" t="str">
            <v>AA ; AA-</v>
          </cell>
          <cell r="Q682" t="str">
            <v>Largo</v>
          </cell>
          <cell r="R682" t="str">
            <v>Corporativo Bajo Riesgo Largo</v>
          </cell>
          <cell r="S682">
            <v>3.84</v>
          </cell>
          <cell r="T682" t="str">
            <v>AA-</v>
          </cell>
          <cell r="U682" t="str">
            <v>4</v>
          </cell>
          <cell r="V682" t="str">
            <v>Bajo Riesgo</v>
          </cell>
          <cell r="W682" t="str">
            <v>Corporativo</v>
          </cell>
          <cell r="X682" t="str">
            <v>Bajo Riesgo Largo $</v>
          </cell>
          <cell r="Y682" t="str">
            <v>Corporativo Bajo Riesgo Largo</v>
          </cell>
          <cell r="Z682" t="str">
            <v>Largo $</v>
          </cell>
          <cell r="AA682" t="str">
            <v>Corporativo Largo</v>
          </cell>
          <cell r="AB682" t="str">
            <v>Corporativo $</v>
          </cell>
          <cell r="AC682" t="str">
            <v>Instrumentos de Deuda</v>
          </cell>
          <cell r="AD682" t="str">
            <v>Consumo</v>
          </cell>
          <cell r="AE682" t="str">
            <v>Bono Cencosud Serie O</v>
          </cell>
          <cell r="AF682" t="str">
            <v>Cencosud S.A.</v>
          </cell>
        </row>
        <row r="683">
          <cell r="C683" t="str">
            <v>EST2070108</v>
          </cell>
          <cell r="D683" t="str">
            <v>ESTADO</v>
          </cell>
          <cell r="E683">
            <v>26082956</v>
          </cell>
          <cell r="F683">
            <v>1100</v>
          </cell>
          <cell r="G683">
            <v>5.8E-4</v>
          </cell>
          <cell r="H683">
            <v>3.61</v>
          </cell>
          <cell r="I683" t="str">
            <v>2038-01-01</v>
          </cell>
          <cell r="J683">
            <v>7708</v>
          </cell>
          <cell r="K683">
            <v>9.27</v>
          </cell>
          <cell r="L683">
            <v>108.14</v>
          </cell>
          <cell r="M683" t="str">
            <v>UF</v>
          </cell>
          <cell r="N683" t="str">
            <v>RFL</v>
          </cell>
          <cell r="O683" t="str">
            <v>Renta Fija Local</v>
          </cell>
          <cell r="P683" t="str">
            <v>AAA ; AAA</v>
          </cell>
          <cell r="Q683" t="str">
            <v>Largo</v>
          </cell>
          <cell r="R683" t="str">
            <v>Corporativo Bajo Riesgo Largo</v>
          </cell>
          <cell r="S683">
            <v>3.61</v>
          </cell>
          <cell r="T683" t="str">
            <v>AAA</v>
          </cell>
          <cell r="U683" t="str">
            <v>1</v>
          </cell>
          <cell r="V683" t="str">
            <v>Bajo Riesgo</v>
          </cell>
          <cell r="W683" t="str">
            <v>Corporativo</v>
          </cell>
          <cell r="X683" t="str">
            <v>Bajo Riesgo Largo UF</v>
          </cell>
          <cell r="Y683" t="str">
            <v>Corporativo Bajo Riesgo Largo</v>
          </cell>
          <cell r="Z683" t="str">
            <v>Largo UF</v>
          </cell>
          <cell r="AA683" t="str">
            <v>Corporativo Largo</v>
          </cell>
          <cell r="AB683" t="str">
            <v>Corporativo UF</v>
          </cell>
          <cell r="AC683" t="str">
            <v>Instrumentos de Deuda</v>
          </cell>
          <cell r="AD683" t="str">
            <v>Financieras</v>
          </cell>
          <cell r="AE683" t="str">
            <v>Lh Estado-207</v>
          </cell>
          <cell r="AF683" t="str">
            <v>Banco Estado</v>
          </cell>
        </row>
        <row r="684">
          <cell r="C684" t="str">
            <v>BCMPC-F</v>
          </cell>
          <cell r="D684" t="str">
            <v>INVCMPC</v>
          </cell>
          <cell r="E684">
            <v>214788802</v>
          </cell>
          <cell r="F684">
            <v>7000</v>
          </cell>
          <cell r="G684">
            <v>4.7759999999999999E-3</v>
          </cell>
          <cell r="H684">
            <v>2.83</v>
          </cell>
          <cell r="I684" t="str">
            <v>2030-03-24</v>
          </cell>
          <cell r="J684">
            <v>4868</v>
          </cell>
          <cell r="K684">
            <v>10.5</v>
          </cell>
          <cell r="L684">
            <v>115.85</v>
          </cell>
          <cell r="M684" t="str">
            <v>UF</v>
          </cell>
          <cell r="N684" t="str">
            <v>RFL</v>
          </cell>
          <cell r="O684" t="str">
            <v>Renta Fija Local</v>
          </cell>
          <cell r="P684" t="str">
            <v>AA+ ; AA</v>
          </cell>
          <cell r="Q684" t="str">
            <v>Largo</v>
          </cell>
          <cell r="R684" t="str">
            <v>Corporativo Bajo Riesgo Largo</v>
          </cell>
          <cell r="S684">
            <v>2.83</v>
          </cell>
          <cell r="T684" t="str">
            <v>AA</v>
          </cell>
          <cell r="U684" t="str">
            <v>3</v>
          </cell>
          <cell r="V684" t="str">
            <v>Bajo Riesgo</v>
          </cell>
          <cell r="W684" t="str">
            <v>Corporativo</v>
          </cell>
          <cell r="X684" t="str">
            <v>Bajo Riesgo Largo UF</v>
          </cell>
          <cell r="Y684" t="str">
            <v>Corporativo Bajo Riesgo Largo</v>
          </cell>
          <cell r="Z684" t="str">
            <v>Largo UF</v>
          </cell>
          <cell r="AA684" t="str">
            <v>Corporativo Largo</v>
          </cell>
          <cell r="AB684" t="str">
            <v>Corporativo UF</v>
          </cell>
          <cell r="AC684" t="str">
            <v>Instrumentos de Deuda</v>
          </cell>
          <cell r="AD684" t="str">
            <v>Materiales Básicos</v>
          </cell>
          <cell r="AE684" t="str">
            <v>BONO INVERSIONES CMPC SERIE F</v>
          </cell>
          <cell r="AF684" t="str">
            <v>Empresas CMPC S.A.</v>
          </cell>
        </row>
        <row r="685">
          <cell r="C685" t="str">
            <v>BMETR-K</v>
          </cell>
          <cell r="D685" t="str">
            <v>METRO</v>
          </cell>
          <cell r="E685">
            <v>14526925</v>
          </cell>
          <cell r="F685">
            <v>500</v>
          </cell>
          <cell r="G685">
            <v>3.2299999999999999E-4</v>
          </cell>
          <cell r="H685">
            <v>2.86</v>
          </cell>
          <cell r="I685" t="str">
            <v>2032-09-15</v>
          </cell>
          <cell r="J685">
            <v>5774</v>
          </cell>
          <cell r="K685">
            <v>10.85</v>
          </cell>
          <cell r="L685">
            <v>109.7</v>
          </cell>
          <cell r="M685" t="str">
            <v>UF</v>
          </cell>
          <cell r="N685" t="str">
            <v>RFL</v>
          </cell>
          <cell r="O685" t="str">
            <v>Renta Fija Local</v>
          </cell>
          <cell r="P685" t="str">
            <v>AA ; AA+</v>
          </cell>
          <cell r="Q685" t="str">
            <v>Largo</v>
          </cell>
          <cell r="R685" t="str">
            <v>Corporativo Bajo Riesgo Largo</v>
          </cell>
          <cell r="S685">
            <v>2.86</v>
          </cell>
          <cell r="T685" t="str">
            <v>AA</v>
          </cell>
          <cell r="U685" t="str">
            <v>3</v>
          </cell>
          <cell r="V685" t="str">
            <v>Bajo Riesgo</v>
          </cell>
          <cell r="W685" t="str">
            <v>Corporativo</v>
          </cell>
          <cell r="X685" t="str">
            <v>Bajo Riesgo Largo UF</v>
          </cell>
          <cell r="Y685" t="str">
            <v>Corporativo Bajo Riesgo Largo</v>
          </cell>
          <cell r="Z685" t="str">
            <v>Largo UF</v>
          </cell>
          <cell r="AA685" t="str">
            <v>Corporativo Largo</v>
          </cell>
          <cell r="AB685" t="str">
            <v>Corporativo UF</v>
          </cell>
          <cell r="AC685" t="str">
            <v>Instrumentos de Deuda</v>
          </cell>
          <cell r="AD685" t="str">
            <v>Transporte</v>
          </cell>
          <cell r="AE685" t="str">
            <v>Bono Metro Serie K</v>
          </cell>
          <cell r="AF685" t="str">
            <v>Emp. de Transporte de Pasajeros Metro S.A.</v>
          </cell>
        </row>
        <row r="686">
          <cell r="C686" t="str">
            <v>UCNO-A1011</v>
          </cell>
          <cell r="D686" t="str">
            <v>BBCONSORC</v>
          </cell>
          <cell r="E686">
            <v>299006102</v>
          </cell>
          <cell r="F686">
            <v>10000</v>
          </cell>
          <cell r="G686">
            <v>6.6490000000000004E-3</v>
          </cell>
          <cell r="H686">
            <v>2.88</v>
          </cell>
          <cell r="I686" t="str">
            <v>2031-10-15</v>
          </cell>
          <cell r="J686">
            <v>5438</v>
          </cell>
          <cell r="K686">
            <v>11.6</v>
          </cell>
          <cell r="L686">
            <v>113.2</v>
          </cell>
          <cell r="M686" t="str">
            <v>UF</v>
          </cell>
          <cell r="N686" t="str">
            <v>RFL</v>
          </cell>
          <cell r="O686" t="str">
            <v>Renta Fija Local</v>
          </cell>
          <cell r="P686" t="str">
            <v>A ; A</v>
          </cell>
          <cell r="Q686" t="str">
            <v>Largo</v>
          </cell>
          <cell r="R686" t="str">
            <v>Corporativo Alto Riesgo Largo</v>
          </cell>
          <cell r="S686">
            <v>2.88</v>
          </cell>
          <cell r="T686" t="str">
            <v>A</v>
          </cell>
          <cell r="U686" t="str">
            <v>6</v>
          </cell>
          <cell r="V686" t="str">
            <v>Alto Riesgo</v>
          </cell>
          <cell r="W686" t="str">
            <v>Corporativo</v>
          </cell>
          <cell r="X686" t="str">
            <v>Alto Riesgo Largo UF</v>
          </cell>
          <cell r="Y686" t="str">
            <v>Corporativo Alto Riesgo Largo</v>
          </cell>
          <cell r="Z686" t="str">
            <v>Largo UF</v>
          </cell>
          <cell r="AA686" t="str">
            <v>Corporativo Largo</v>
          </cell>
          <cell r="AB686" t="str">
            <v>Corporativo UF</v>
          </cell>
          <cell r="AC686" t="str">
            <v>Instrumentos de Deuda</v>
          </cell>
          <cell r="AD686" t="str">
            <v>Financieras</v>
          </cell>
          <cell r="AE686" t="str">
            <v>Bono Subordinado Banco Consorcio Serie A</v>
          </cell>
          <cell r="AF686" t="str">
            <v>Banco Consorcio</v>
          </cell>
        </row>
        <row r="687">
          <cell r="C687" t="str">
            <v>BTP0500335</v>
          </cell>
          <cell r="D687" t="str">
            <v>BTP</v>
          </cell>
          <cell r="E687">
            <v>178416782</v>
          </cell>
          <cell r="F687">
            <v>170000000</v>
          </cell>
          <cell r="G687">
            <v>3.967E-3</v>
          </cell>
          <cell r="H687">
            <v>4.74</v>
          </cell>
          <cell r="I687" t="str">
            <v>2035-03-01</v>
          </cell>
          <cell r="J687">
            <v>6671</v>
          </cell>
          <cell r="K687">
            <v>12.18</v>
          </cell>
          <cell r="L687">
            <v>103.77</v>
          </cell>
          <cell r="M687" t="str">
            <v>$</v>
          </cell>
          <cell r="N687" t="str">
            <v>RFL</v>
          </cell>
          <cell r="O687" t="str">
            <v>Renta Fija Local</v>
          </cell>
          <cell r="P687"/>
          <cell r="Q687" t="str">
            <v>Largo</v>
          </cell>
          <cell r="R687" t="str">
            <v>Gobierno $ Largo</v>
          </cell>
          <cell r="S687">
            <v>1.74</v>
          </cell>
          <cell r="T687" t="str">
            <v>Gob</v>
          </cell>
          <cell r="U687" t="str">
            <v>0</v>
          </cell>
          <cell r="V687" t="str">
            <v>Gobierno</v>
          </cell>
          <cell r="W687" t="str">
            <v>Gobierno</v>
          </cell>
          <cell r="X687" t="str">
            <v>Gobierno Largo $</v>
          </cell>
          <cell r="Y687" t="str">
            <v>Gobierno Largo</v>
          </cell>
          <cell r="Z687" t="str">
            <v>Largo $</v>
          </cell>
          <cell r="AA687" t="str">
            <v>Gobierno</v>
          </cell>
          <cell r="AB687" t="str">
            <v>Gobierno $</v>
          </cell>
          <cell r="AC687" t="str">
            <v>Instrumentos de Deuda</v>
          </cell>
          <cell r="AD687" t="str">
            <v>Gobierno</v>
          </cell>
          <cell r="AE687" t="str">
            <v>Bono Tesoreria En Pesos</v>
          </cell>
          <cell r="AF687" t="str">
            <v>Tesorería General de la República</v>
          </cell>
        </row>
        <row r="688">
          <cell r="C688" t="str">
            <v>BCOOE20315</v>
          </cell>
          <cell r="D688" t="str">
            <v>COOPEUCH</v>
          </cell>
          <cell r="E688">
            <v>309691153</v>
          </cell>
          <cell r="F688">
            <v>11000</v>
          </cell>
          <cell r="G688">
            <v>6.8859999999999998E-3</v>
          </cell>
          <cell r="H688">
            <v>2.99</v>
          </cell>
          <cell r="I688" t="str">
            <v>2040-03-01</v>
          </cell>
          <cell r="J688">
            <v>8498</v>
          </cell>
          <cell r="K688">
            <v>12.33</v>
          </cell>
          <cell r="L688">
            <v>106.21</v>
          </cell>
          <cell r="M688" t="str">
            <v>UF</v>
          </cell>
          <cell r="N688" t="str">
            <v>RFL</v>
          </cell>
          <cell r="O688" t="str">
            <v>Renta Fija Local</v>
          </cell>
          <cell r="P688" t="str">
            <v>AA- ; AA-</v>
          </cell>
          <cell r="Q688" t="str">
            <v>Largo</v>
          </cell>
          <cell r="R688" t="str">
            <v>Corporativo Bajo Riesgo Largo</v>
          </cell>
          <cell r="S688">
            <v>2.99</v>
          </cell>
          <cell r="T688" t="str">
            <v>AA-</v>
          </cell>
          <cell r="U688" t="str">
            <v>4</v>
          </cell>
          <cell r="V688" t="str">
            <v>Bajo Riesgo</v>
          </cell>
          <cell r="W688" t="str">
            <v>Corporativo</v>
          </cell>
          <cell r="X688" t="str">
            <v>Bajo Riesgo Largo UF</v>
          </cell>
          <cell r="Y688" t="str">
            <v>Corporativo Bajo Riesgo Largo</v>
          </cell>
          <cell r="Z688" t="str">
            <v>Largo UF</v>
          </cell>
          <cell r="AA688" t="str">
            <v>Corporativo Largo</v>
          </cell>
          <cell r="AB688" t="str">
            <v>Corporativo UF</v>
          </cell>
          <cell r="AC688" t="str">
            <v>Instrumentos de Deuda</v>
          </cell>
          <cell r="AD688" t="str">
            <v>Financieras</v>
          </cell>
          <cell r="AE688" t="str">
            <v>Bono Coopeuch Serie E2</v>
          </cell>
          <cell r="AF688" t="str">
            <v>COOPEUCH</v>
          </cell>
        </row>
        <row r="689">
          <cell r="C689" t="str">
            <v>UCHI-F1108</v>
          </cell>
          <cell r="D689" t="str">
            <v>BBCHILE</v>
          </cell>
          <cell r="E689">
            <v>323441446</v>
          </cell>
          <cell r="F689">
            <v>10000</v>
          </cell>
          <cell r="G689">
            <v>7.1919999999999996E-3</v>
          </cell>
          <cell r="H689">
            <v>2.78</v>
          </cell>
          <cell r="I689" t="str">
            <v>2033-11-01</v>
          </cell>
          <cell r="J689">
            <v>6186</v>
          </cell>
          <cell r="K689">
            <v>12.59</v>
          </cell>
          <cell r="L689">
            <v>122.65</v>
          </cell>
          <cell r="M689" t="str">
            <v>UF</v>
          </cell>
          <cell r="N689" t="str">
            <v>RFL</v>
          </cell>
          <cell r="O689" t="str">
            <v>Renta Fija Local</v>
          </cell>
          <cell r="P689" t="str">
            <v>AA+ ; AA</v>
          </cell>
          <cell r="Q689" t="str">
            <v>Largo</v>
          </cell>
          <cell r="R689" t="str">
            <v>Corporativo Bajo Riesgo Largo</v>
          </cell>
          <cell r="S689">
            <v>2.78</v>
          </cell>
          <cell r="T689" t="str">
            <v>AA</v>
          </cell>
          <cell r="U689" t="str">
            <v>3</v>
          </cell>
          <cell r="V689" t="str">
            <v>Bajo Riesgo</v>
          </cell>
          <cell r="W689" t="str">
            <v>Corporativo</v>
          </cell>
          <cell r="X689" t="str">
            <v>Bajo Riesgo Largo UF</v>
          </cell>
          <cell r="Y689" t="str">
            <v>Corporativo Bajo Riesgo Largo</v>
          </cell>
          <cell r="Z689" t="str">
            <v>Largo UF</v>
          </cell>
          <cell r="AA689" t="str">
            <v>Corporativo Largo</v>
          </cell>
          <cell r="AB689" t="str">
            <v>Corporativo UF</v>
          </cell>
          <cell r="AC689" t="str">
            <v>Instrumentos de Deuda</v>
          </cell>
          <cell r="AD689" t="str">
            <v>Financieras</v>
          </cell>
          <cell r="AE689" t="str">
            <v>Bono Subordinado Banco Chile Serie F</v>
          </cell>
          <cell r="AF689" t="str">
            <v>Banco de Chile</v>
          </cell>
        </row>
        <row r="690">
          <cell r="C690" t="str">
            <v>BESVA-P</v>
          </cell>
          <cell r="D690" t="str">
            <v>ESVAL</v>
          </cell>
          <cell r="E690">
            <v>600068014</v>
          </cell>
          <cell r="F690">
            <v>20000</v>
          </cell>
          <cell r="G690">
            <v>1.3344E-2</v>
          </cell>
          <cell r="H690">
            <v>2.84</v>
          </cell>
          <cell r="I690" t="str">
            <v>2034-01-15</v>
          </cell>
          <cell r="J690">
            <v>6261</v>
          </cell>
          <cell r="K690">
            <v>12.93</v>
          </cell>
          <cell r="L690">
            <v>112.56</v>
          </cell>
          <cell r="M690" t="str">
            <v>UF</v>
          </cell>
          <cell r="N690" t="str">
            <v>RFL</v>
          </cell>
          <cell r="O690" t="str">
            <v>Renta Fija Local</v>
          </cell>
          <cell r="P690" t="str">
            <v>AA ; AA</v>
          </cell>
          <cell r="Q690" t="str">
            <v>Largo</v>
          </cell>
          <cell r="R690" t="str">
            <v>Corporativo Bajo Riesgo Largo</v>
          </cell>
          <cell r="S690">
            <v>2.84</v>
          </cell>
          <cell r="T690" t="str">
            <v>AA</v>
          </cell>
          <cell r="U690" t="str">
            <v>3</v>
          </cell>
          <cell r="V690" t="str">
            <v>Bajo Riesgo</v>
          </cell>
          <cell r="W690" t="str">
            <v>Corporativo</v>
          </cell>
          <cell r="X690" t="str">
            <v>Bajo Riesgo Largo UF</v>
          </cell>
          <cell r="Y690" t="str">
            <v>Corporativo Bajo Riesgo Largo</v>
          </cell>
          <cell r="Z690" t="str">
            <v>Largo UF</v>
          </cell>
          <cell r="AA690" t="str">
            <v>Corporativo Largo</v>
          </cell>
          <cell r="AB690" t="str">
            <v>Corporativo UF</v>
          </cell>
          <cell r="AC690" t="str">
            <v>Instrumentos de Deuda</v>
          </cell>
          <cell r="AD690" t="str">
            <v>Servicios Básicos</v>
          </cell>
          <cell r="AE690" t="str">
            <v>Bono Esval Serie P</v>
          </cell>
          <cell r="AF690" t="str">
            <v>ESVAL</v>
          </cell>
        </row>
        <row r="691">
          <cell r="C691" t="str">
            <v>CFI7275B</v>
          </cell>
          <cell r="D691" t="str">
            <v>SPREADCORP</v>
          </cell>
          <cell r="E691">
            <v>0</v>
          </cell>
          <cell r="F691">
            <v>85674</v>
          </cell>
          <cell r="G691">
            <v>0</v>
          </cell>
          <cell r="H691">
            <v>0</v>
          </cell>
          <cell r="I691" t="str">
            <v xml:space="preserve">          </v>
          </cell>
          <cell r="J691">
            <v>-42696</v>
          </cell>
          <cell r="K691">
            <v>0</v>
          </cell>
          <cell r="L691">
            <v>0</v>
          </cell>
          <cell r="M691" t="str">
            <v>$</v>
          </cell>
          <cell r="N691" t="str">
            <v>RFL</v>
          </cell>
          <cell r="O691" t="str">
            <v>Renta Fija Local</v>
          </cell>
          <cell r="P691"/>
          <cell r="Q691" t="str">
            <v>Corto</v>
          </cell>
          <cell r="R691" t="str">
            <v>Cuotas de Fondos</v>
          </cell>
          <cell r="S691">
            <v>0</v>
          </cell>
          <cell r="T691"/>
          <cell r="U691"/>
          <cell r="V691"/>
          <cell r="W691" t="str">
            <v>Corporativo</v>
          </cell>
          <cell r="X691"/>
          <cell r="Y691"/>
          <cell r="Z691" t="str">
            <v>Corto $</v>
          </cell>
          <cell r="AA691" t="str">
            <v>Corporativo Corto</v>
          </cell>
          <cell r="AB691" t="str">
            <v>Corporativo $</v>
          </cell>
          <cell r="AC691" t="str">
            <v>Fondos</v>
          </cell>
          <cell r="AD691" t="str">
            <v>Fondos</v>
          </cell>
          <cell r="AE691"/>
          <cell r="AF691"/>
        </row>
        <row r="692">
          <cell r="C692" t="str">
            <v>CFI7275D</v>
          </cell>
          <cell r="D692" t="str">
            <v>SPREADCORP</v>
          </cell>
          <cell r="E692">
            <v>0</v>
          </cell>
          <cell r="F692">
            <v>108275</v>
          </cell>
          <cell r="G692">
            <v>0</v>
          </cell>
          <cell r="H692">
            <v>0</v>
          </cell>
          <cell r="I692" t="str">
            <v xml:space="preserve">          </v>
          </cell>
          <cell r="J692">
            <v>-42696</v>
          </cell>
          <cell r="K692">
            <v>0</v>
          </cell>
          <cell r="L692">
            <v>0</v>
          </cell>
          <cell r="M692" t="str">
            <v>$</v>
          </cell>
          <cell r="N692" t="str">
            <v>RFL</v>
          </cell>
          <cell r="O692" t="str">
            <v>Renta Fija Local</v>
          </cell>
          <cell r="P692"/>
          <cell r="Q692" t="str">
            <v>Corto</v>
          </cell>
          <cell r="R692" t="str">
            <v>Cuotas de Fondos</v>
          </cell>
          <cell r="S692">
            <v>0</v>
          </cell>
          <cell r="T692"/>
          <cell r="U692"/>
          <cell r="V692"/>
          <cell r="W692" t="str">
            <v>Corporativo</v>
          </cell>
          <cell r="X692"/>
          <cell r="Y692"/>
          <cell r="Z692" t="str">
            <v>Corto $</v>
          </cell>
          <cell r="AA692" t="str">
            <v>Corporativo Corto</v>
          </cell>
          <cell r="AB692" t="str">
            <v>Corporativo $</v>
          </cell>
          <cell r="AC692" t="str">
            <v>Fondos</v>
          </cell>
          <cell r="AD692" t="str">
            <v>Fondos</v>
          </cell>
          <cell r="AE692"/>
          <cell r="AF692"/>
        </row>
        <row r="693">
          <cell r="C693" t="str">
            <v>CFI7275E</v>
          </cell>
          <cell r="D693" t="str">
            <v>SPREADCORP</v>
          </cell>
          <cell r="E693">
            <v>0</v>
          </cell>
          <cell r="F693">
            <v>109314</v>
          </cell>
          <cell r="G693">
            <v>0</v>
          </cell>
          <cell r="H693">
            <v>0</v>
          </cell>
          <cell r="I693" t="str">
            <v xml:space="preserve">          </v>
          </cell>
          <cell r="J693">
            <v>-42696</v>
          </cell>
          <cell r="K693">
            <v>0</v>
          </cell>
          <cell r="L693">
            <v>0</v>
          </cell>
          <cell r="M693" t="str">
            <v>$</v>
          </cell>
          <cell r="N693" t="str">
            <v>RFL</v>
          </cell>
          <cell r="O693" t="str">
            <v>Renta Fija Local</v>
          </cell>
          <cell r="P693"/>
          <cell r="Q693" t="str">
            <v>Corto</v>
          </cell>
          <cell r="R693" t="str">
            <v>Cuotas de Fondos</v>
          </cell>
          <cell r="S693">
            <v>0</v>
          </cell>
          <cell r="T693"/>
          <cell r="U693"/>
          <cell r="V693"/>
          <cell r="W693" t="str">
            <v>Corporativo</v>
          </cell>
          <cell r="X693"/>
          <cell r="Y693"/>
          <cell r="Z693" t="str">
            <v>Corto $</v>
          </cell>
          <cell r="AA693" t="str">
            <v>Corporativo Corto</v>
          </cell>
          <cell r="AB693" t="str">
            <v>Corporativo $</v>
          </cell>
          <cell r="AC693" t="str">
            <v>Fondos</v>
          </cell>
          <cell r="AD693" t="str">
            <v>Fondos</v>
          </cell>
          <cell r="AE693"/>
          <cell r="AF693"/>
        </row>
        <row r="694">
          <cell r="C694" t="str">
            <v>CFI7275I</v>
          </cell>
          <cell r="D694" t="str">
            <v>SPREADCORP</v>
          </cell>
          <cell r="E694">
            <v>0</v>
          </cell>
          <cell r="F694">
            <v>444704</v>
          </cell>
          <cell r="G694">
            <v>0</v>
          </cell>
          <cell r="H694">
            <v>0</v>
          </cell>
          <cell r="I694" t="str">
            <v xml:space="preserve">          </v>
          </cell>
          <cell r="J694">
            <v>-42696</v>
          </cell>
          <cell r="K694">
            <v>0</v>
          </cell>
          <cell r="L694">
            <v>0</v>
          </cell>
          <cell r="M694" t="str">
            <v>$</v>
          </cell>
          <cell r="N694" t="str">
            <v>RFL</v>
          </cell>
          <cell r="O694" t="str">
            <v>Renta Fija Local</v>
          </cell>
          <cell r="P694"/>
          <cell r="Q694" t="str">
            <v>Corto</v>
          </cell>
          <cell r="R694" t="str">
            <v>Cuotas de Fondos</v>
          </cell>
          <cell r="S694">
            <v>0</v>
          </cell>
          <cell r="T694"/>
          <cell r="U694"/>
          <cell r="V694"/>
          <cell r="W694" t="str">
            <v>Corporativo</v>
          </cell>
          <cell r="X694"/>
          <cell r="Y694"/>
          <cell r="Z694" t="str">
            <v>Corto $</v>
          </cell>
          <cell r="AA694" t="str">
            <v>Corporativo Corto</v>
          </cell>
          <cell r="AB694" t="str">
            <v>Corporativo $</v>
          </cell>
          <cell r="AC694" t="str">
            <v>Fondos</v>
          </cell>
          <cell r="AD694" t="str">
            <v>Fondos</v>
          </cell>
          <cell r="AE694"/>
          <cell r="AF694"/>
        </row>
        <row r="695">
          <cell r="C695" t="str">
            <v>CFIPGMISTR</v>
          </cell>
          <cell r="D695" t="str">
            <v>FIP GM</v>
          </cell>
          <cell r="E695">
            <v>750399750</v>
          </cell>
          <cell r="F695">
            <v>750000000</v>
          </cell>
          <cell r="G695">
            <v>7.9719999999999999E-3</v>
          </cell>
          <cell r="H695">
            <v>0</v>
          </cell>
          <cell r="I695" t="str">
            <v xml:space="preserve">          </v>
          </cell>
          <cell r="J695">
            <v>-42696</v>
          </cell>
          <cell r="K695">
            <v>0</v>
          </cell>
          <cell r="L695">
            <v>1.0005329999999999</v>
          </cell>
          <cell r="M695" t="str">
            <v>$</v>
          </cell>
          <cell r="N695"/>
          <cell r="O695" t="str">
            <v>-1000</v>
          </cell>
          <cell r="P695"/>
          <cell r="Q695" t="str">
            <v>Corto</v>
          </cell>
          <cell r="R695" t="str">
            <v>Cuotas de Fondos</v>
          </cell>
          <cell r="S695">
            <v>0</v>
          </cell>
          <cell r="T695"/>
          <cell r="U695"/>
          <cell r="V695"/>
          <cell r="W695"/>
          <cell r="X695"/>
          <cell r="Y695"/>
          <cell r="Z695"/>
          <cell r="AA695"/>
          <cell r="AB695"/>
          <cell r="AC695"/>
          <cell r="AD695"/>
          <cell r="AE695" t="str">
            <v>Cuotas de Fondo GIP Caja Gabriela Mistral</v>
          </cell>
          <cell r="AF695" t="str">
            <v>Caja de Compensación Gabriela Mistral</v>
          </cell>
        </row>
        <row r="696">
          <cell r="C696" t="str">
            <v>CFIPLAPOL1</v>
          </cell>
          <cell r="D696" t="str">
            <v>FIP LP 01</v>
          </cell>
          <cell r="E696">
            <v>1002600000</v>
          </cell>
          <cell r="F696">
            <v>1000000000</v>
          </cell>
          <cell r="G696">
            <v>1.0652E-2</v>
          </cell>
          <cell r="H696">
            <v>0</v>
          </cell>
          <cell r="I696" t="str">
            <v xml:space="preserve">          </v>
          </cell>
          <cell r="J696">
            <v>-42696</v>
          </cell>
          <cell r="K696">
            <v>0</v>
          </cell>
          <cell r="L696">
            <v>1.0025999999999999</v>
          </cell>
          <cell r="M696" t="str">
            <v>$</v>
          </cell>
          <cell r="N696"/>
          <cell r="O696" t="str">
            <v>-1000</v>
          </cell>
          <cell r="P696"/>
          <cell r="Q696" t="str">
            <v>Corto</v>
          </cell>
          <cell r="R696" t="str">
            <v>Cuotas de Fondos</v>
          </cell>
          <cell r="S696">
            <v>0</v>
          </cell>
          <cell r="T696"/>
          <cell r="U696"/>
          <cell r="V696"/>
          <cell r="W696"/>
          <cell r="X696"/>
          <cell r="Y696"/>
          <cell r="Z696"/>
          <cell r="AA696"/>
          <cell r="AB696"/>
          <cell r="AC696"/>
          <cell r="AD696"/>
          <cell r="AE696" t="str">
            <v>Cuotas de Fondo La Polar</v>
          </cell>
          <cell r="AF696" t="str">
            <v>La Polar S.A.</v>
          </cell>
        </row>
        <row r="697">
          <cell r="C697" t="str">
            <v>PAGARE NR</v>
          </cell>
          <cell r="D697" t="str">
            <v>ENAEX</v>
          </cell>
          <cell r="E697">
            <v>26198283</v>
          </cell>
          <cell r="F697">
            <v>26230070</v>
          </cell>
          <cell r="G697">
            <v>2.7799999999999998E-4</v>
          </cell>
          <cell r="H697">
            <v>0.52</v>
          </cell>
          <cell r="I697" t="str">
            <v>2016-11-30</v>
          </cell>
          <cell r="J697">
            <v>6</v>
          </cell>
          <cell r="K697">
            <v>0.02</v>
          </cell>
          <cell r="L697">
            <v>0.51</v>
          </cell>
          <cell r="M697" t="str">
            <v>$</v>
          </cell>
          <cell r="N697" t="str">
            <v>RFL</v>
          </cell>
          <cell r="O697" t="str">
            <v>Renta Fija Local</v>
          </cell>
          <cell r="P697"/>
          <cell r="Q697" t="str">
            <v>Corto</v>
          </cell>
          <cell r="R697" t="str">
            <v>Depósitos $</v>
          </cell>
          <cell r="S697">
            <v>3.4215939999999998</v>
          </cell>
          <cell r="T697"/>
          <cell r="U697"/>
          <cell r="V697" t="str">
            <v>Depósitos</v>
          </cell>
          <cell r="W697" t="str">
            <v>Depósitos</v>
          </cell>
          <cell r="X697" t="str">
            <v>Depósitos $</v>
          </cell>
          <cell r="Y697" t="str">
            <v>Depósitos</v>
          </cell>
          <cell r="Z697" t="str">
            <v>Corto $</v>
          </cell>
          <cell r="AA697" t="str">
            <v>Depósitos</v>
          </cell>
          <cell r="AB697" t="str">
            <v>Depósitos $</v>
          </cell>
          <cell r="AC697" t="str">
            <v>Instrumentos de Deuda</v>
          </cell>
          <cell r="AD697" t="str">
            <v>Financieras</v>
          </cell>
          <cell r="AE697"/>
          <cell r="AF697" t="str">
            <v>ENAEX</v>
          </cell>
        </row>
        <row r="698">
          <cell r="C698" t="str">
            <v>PAGARE NR</v>
          </cell>
          <cell r="D698" t="str">
            <v>EUROCAP</v>
          </cell>
          <cell r="E698">
            <v>199786894</v>
          </cell>
          <cell r="F698">
            <v>200000000</v>
          </cell>
          <cell r="G698">
            <v>2.1220000000000002E-3</v>
          </cell>
          <cell r="H698">
            <v>0.4</v>
          </cell>
          <cell r="I698" t="str">
            <v>2016-12-01</v>
          </cell>
          <cell r="J698">
            <v>7</v>
          </cell>
          <cell r="K698">
            <v>0.02</v>
          </cell>
          <cell r="L698">
            <v>0.51</v>
          </cell>
          <cell r="M698" t="str">
            <v>$</v>
          </cell>
          <cell r="N698" t="str">
            <v>RFL</v>
          </cell>
          <cell r="O698" t="str">
            <v>Renta Fija Local</v>
          </cell>
          <cell r="P698" t="str">
            <v>N1 ; N1</v>
          </cell>
          <cell r="Q698" t="str">
            <v>Corto</v>
          </cell>
          <cell r="R698" t="str">
            <v>Depósitos $</v>
          </cell>
          <cell r="S698">
            <v>1.9070210000000001</v>
          </cell>
          <cell r="T698" t="str">
            <v>N-1</v>
          </cell>
          <cell r="U698" t="str">
            <v>25</v>
          </cell>
          <cell r="V698" t="str">
            <v>Depósitos</v>
          </cell>
          <cell r="W698" t="str">
            <v>Depósitos</v>
          </cell>
          <cell r="X698" t="str">
            <v>Depósitos $</v>
          </cell>
          <cell r="Y698" t="str">
            <v>Depósitos</v>
          </cell>
          <cell r="Z698" t="str">
            <v>Corto $</v>
          </cell>
          <cell r="AA698" t="str">
            <v>Depósitos</v>
          </cell>
          <cell r="AB698" t="str">
            <v>Depósitos $</v>
          </cell>
          <cell r="AC698" t="str">
            <v>Instrumentos de Deuda</v>
          </cell>
          <cell r="AD698" t="str">
            <v>Financieras</v>
          </cell>
          <cell r="AE698" t="str">
            <v>Deposito CLP Banco Eurocap</v>
          </cell>
          <cell r="AF698" t="str">
            <v>EUROCAP</v>
          </cell>
        </row>
        <row r="699">
          <cell r="C699" t="str">
            <v>PAGARE NR</v>
          </cell>
          <cell r="D699" t="str">
            <v>FCMP</v>
          </cell>
          <cell r="E699">
            <v>740286858</v>
          </cell>
          <cell r="F699">
            <v>741791368</v>
          </cell>
          <cell r="G699">
            <v>7.8650000000000005E-3</v>
          </cell>
          <cell r="H699">
            <v>0.46899999999999997</v>
          </cell>
          <cell r="I699" t="str">
            <v>2016-12-06</v>
          </cell>
          <cell r="J699">
            <v>12</v>
          </cell>
          <cell r="K699">
            <v>0.04</v>
          </cell>
          <cell r="L699">
            <v>0.51</v>
          </cell>
          <cell r="M699" t="str">
            <v>$</v>
          </cell>
          <cell r="N699" t="str">
            <v>RFL</v>
          </cell>
          <cell r="O699" t="str">
            <v>Renta Fija Local</v>
          </cell>
          <cell r="P699"/>
          <cell r="Q699" t="str">
            <v>Corto</v>
          </cell>
          <cell r="R699" t="str">
            <v>Depósitos $</v>
          </cell>
          <cell r="S699">
            <v>2.775468</v>
          </cell>
          <cell r="T699"/>
          <cell r="U699"/>
          <cell r="V699" t="str">
            <v>Depósitos</v>
          </cell>
          <cell r="W699" t="str">
            <v>Depósitos</v>
          </cell>
          <cell r="X699" t="str">
            <v>Depósitos $</v>
          </cell>
          <cell r="Y699" t="str">
            <v>Depósitos</v>
          </cell>
          <cell r="Z699" t="str">
            <v>Corto $</v>
          </cell>
          <cell r="AA699" t="str">
            <v>Depósitos</v>
          </cell>
          <cell r="AB699" t="str">
            <v>Depósitos $</v>
          </cell>
          <cell r="AC699" t="str">
            <v>Instrumentos de Deuda</v>
          </cell>
          <cell r="AD699" t="str">
            <v>Financieras</v>
          </cell>
          <cell r="AE699" t="str">
            <v>Factura FCMP Pesos</v>
          </cell>
          <cell r="AF699" t="str">
            <v>Compañia Minera del Pacifico</v>
          </cell>
        </row>
        <row r="700">
          <cell r="C700" t="str">
            <v>PAGARE NR</v>
          </cell>
          <cell r="D700" t="str">
            <v>EUROCAP</v>
          </cell>
          <cell r="E700">
            <v>199627362</v>
          </cell>
          <cell r="F700">
            <v>200000000</v>
          </cell>
          <cell r="G700">
            <v>2.1199999999999999E-3</v>
          </cell>
          <cell r="H700">
            <v>0.4</v>
          </cell>
          <cell r="I700" t="str">
            <v>2016-12-07</v>
          </cell>
          <cell r="J700">
            <v>13</v>
          </cell>
          <cell r="K700">
            <v>0.04</v>
          </cell>
          <cell r="L700">
            <v>0.51</v>
          </cell>
          <cell r="M700" t="str">
            <v>$</v>
          </cell>
          <cell r="N700" t="str">
            <v>RFL</v>
          </cell>
          <cell r="O700" t="str">
            <v>Renta Fija Local</v>
          </cell>
          <cell r="P700" t="str">
            <v>N1 ; N1</v>
          </cell>
          <cell r="Q700" t="str">
            <v>Corto</v>
          </cell>
          <cell r="R700" t="str">
            <v>Depósitos $</v>
          </cell>
          <cell r="S700">
            <v>1.9070210000000001</v>
          </cell>
          <cell r="T700" t="str">
            <v>N-1</v>
          </cell>
          <cell r="U700" t="str">
            <v>25</v>
          </cell>
          <cell r="V700" t="str">
            <v>Depósitos</v>
          </cell>
          <cell r="W700" t="str">
            <v>Depósitos</v>
          </cell>
          <cell r="X700" t="str">
            <v>Depósitos $</v>
          </cell>
          <cell r="Y700" t="str">
            <v>Depósitos</v>
          </cell>
          <cell r="Z700" t="str">
            <v>Corto $</v>
          </cell>
          <cell r="AA700" t="str">
            <v>Depósitos</v>
          </cell>
          <cell r="AB700" t="str">
            <v>Depósitos $</v>
          </cell>
          <cell r="AC700" t="str">
            <v>Instrumentos de Deuda</v>
          </cell>
          <cell r="AD700" t="str">
            <v>Financieras</v>
          </cell>
          <cell r="AE700" t="str">
            <v>Deposito CLP Banco Eurocap</v>
          </cell>
          <cell r="AF700" t="str">
            <v>EUROCAP</v>
          </cell>
        </row>
        <row r="701">
          <cell r="C701" t="str">
            <v>PAGARE NR</v>
          </cell>
          <cell r="D701" t="str">
            <v>FMCOLOR</v>
          </cell>
          <cell r="E701">
            <v>574527448</v>
          </cell>
          <cell r="F701">
            <v>575832774</v>
          </cell>
          <cell r="G701">
            <v>6.1040000000000001E-3</v>
          </cell>
          <cell r="H701">
            <v>0.42599999999999999</v>
          </cell>
          <cell r="I701" t="str">
            <v>2016-12-09</v>
          </cell>
          <cell r="J701">
            <v>15</v>
          </cell>
          <cell r="K701">
            <v>0.04</v>
          </cell>
          <cell r="L701">
            <v>0.51</v>
          </cell>
          <cell r="M701" t="str">
            <v>$</v>
          </cell>
          <cell r="N701" t="str">
            <v>RFL</v>
          </cell>
          <cell r="O701" t="str">
            <v>Renta Fija Local</v>
          </cell>
          <cell r="P701"/>
          <cell r="Q701" t="str">
            <v>Corto</v>
          </cell>
          <cell r="R701" t="str">
            <v>Depósitos $</v>
          </cell>
          <cell r="S701">
            <v>2.2334909999999999</v>
          </cell>
          <cell r="T701"/>
          <cell r="U701"/>
          <cell r="V701" t="str">
            <v>Depósitos</v>
          </cell>
          <cell r="W701" t="str">
            <v>Depósitos</v>
          </cell>
          <cell r="X701" t="str">
            <v>Depósitos $</v>
          </cell>
          <cell r="Y701" t="str">
            <v>Depósitos</v>
          </cell>
          <cell r="Z701" t="str">
            <v>Corto $</v>
          </cell>
          <cell r="AA701" t="str">
            <v>Depósitos</v>
          </cell>
          <cell r="AB701" t="str">
            <v>Depósitos $</v>
          </cell>
          <cell r="AC701" t="str">
            <v>Instrumentos de Deuda</v>
          </cell>
          <cell r="AD701" t="str">
            <v>Financieras</v>
          </cell>
          <cell r="AE701"/>
          <cell r="AF701"/>
        </row>
        <row r="702">
          <cell r="C702" t="str">
            <v>PAGARE NR</v>
          </cell>
          <cell r="D702" t="str">
            <v>BBVA</v>
          </cell>
          <cell r="E702">
            <v>99564571</v>
          </cell>
          <cell r="F702">
            <v>100000000</v>
          </cell>
          <cell r="G702">
            <v>1.057E-3</v>
          </cell>
          <cell r="H702">
            <v>0.32</v>
          </cell>
          <cell r="I702" t="str">
            <v>2017-01-03</v>
          </cell>
          <cell r="J702">
            <v>40</v>
          </cell>
          <cell r="K702">
            <v>0.11</v>
          </cell>
          <cell r="L702">
            <v>0.51</v>
          </cell>
          <cell r="M702" t="str">
            <v>$</v>
          </cell>
          <cell r="N702" t="str">
            <v>RFL</v>
          </cell>
          <cell r="O702" t="str">
            <v>Renta Fija Local</v>
          </cell>
          <cell r="P702" t="str">
            <v>N1 ; N1</v>
          </cell>
          <cell r="Q702" t="str">
            <v>Corto</v>
          </cell>
          <cell r="R702" t="str">
            <v>Depósitos $</v>
          </cell>
          <cell r="S702">
            <v>0.90830999999999995</v>
          </cell>
          <cell r="T702" t="str">
            <v>N-1</v>
          </cell>
          <cell r="U702" t="str">
            <v>25</v>
          </cell>
          <cell r="V702" t="str">
            <v>Depósitos</v>
          </cell>
          <cell r="W702" t="str">
            <v>Depósitos</v>
          </cell>
          <cell r="X702" t="str">
            <v>Depósitos $</v>
          </cell>
          <cell r="Y702" t="str">
            <v>Depósitos</v>
          </cell>
          <cell r="Z702" t="str">
            <v>Corto $</v>
          </cell>
          <cell r="AA702" t="str">
            <v>Depósitos</v>
          </cell>
          <cell r="AB702" t="str">
            <v>Depósitos $</v>
          </cell>
          <cell r="AC702" t="str">
            <v>Instrumentos de Deuda</v>
          </cell>
          <cell r="AD702" t="str">
            <v>Financieras</v>
          </cell>
          <cell r="AE702" t="str">
            <v>Deposito CLP Banco Bbva</v>
          </cell>
          <cell r="AF702" t="str">
            <v>BBVA</v>
          </cell>
        </row>
        <row r="703">
          <cell r="C703" t="str">
            <v>PAGARE NR</v>
          </cell>
          <cell r="D703" t="str">
            <v>ITAU</v>
          </cell>
          <cell r="E703">
            <v>99480051</v>
          </cell>
          <cell r="F703">
            <v>100000000</v>
          </cell>
          <cell r="G703">
            <v>1.0560000000000001E-3</v>
          </cell>
          <cell r="H703">
            <v>0.32</v>
          </cell>
          <cell r="I703" t="str">
            <v>2017-01-11</v>
          </cell>
          <cell r="J703">
            <v>48</v>
          </cell>
          <cell r="K703">
            <v>0.13</v>
          </cell>
          <cell r="L703">
            <v>0.51</v>
          </cell>
          <cell r="M703" t="str">
            <v>$</v>
          </cell>
          <cell r="N703" t="str">
            <v>RFL</v>
          </cell>
          <cell r="O703" t="str">
            <v>Renta Fija Local</v>
          </cell>
          <cell r="P703" t="str">
            <v>N1 ; N1</v>
          </cell>
          <cell r="Q703" t="str">
            <v>Corto</v>
          </cell>
          <cell r="R703" t="str">
            <v>Depósitos $</v>
          </cell>
          <cell r="S703">
            <v>0.90830999999999995</v>
          </cell>
          <cell r="T703" t="str">
            <v>N-1</v>
          </cell>
          <cell r="U703" t="str">
            <v>25</v>
          </cell>
          <cell r="V703" t="str">
            <v>Depósitos</v>
          </cell>
          <cell r="W703" t="str">
            <v>Depósitos</v>
          </cell>
          <cell r="X703" t="str">
            <v>Depósitos $</v>
          </cell>
          <cell r="Y703" t="str">
            <v>Depósitos</v>
          </cell>
          <cell r="Z703" t="str">
            <v>Corto $</v>
          </cell>
          <cell r="AA703" t="str">
            <v>Depósitos</v>
          </cell>
          <cell r="AB703" t="str">
            <v>Depósitos $</v>
          </cell>
          <cell r="AC703" t="str">
            <v>Instrumentos de Deuda</v>
          </cell>
          <cell r="AD703" t="str">
            <v>Financieras</v>
          </cell>
          <cell r="AE703" t="str">
            <v>Deposito CLP Banco Itau</v>
          </cell>
          <cell r="AF703" t="str">
            <v>Itau/Corpbanca</v>
          </cell>
        </row>
        <row r="704">
          <cell r="C704" t="str">
            <v>PAGARE NR</v>
          </cell>
          <cell r="D704" t="str">
            <v>EUROCAP</v>
          </cell>
          <cell r="E704">
            <v>297335871</v>
          </cell>
          <cell r="F704">
            <v>300000000</v>
          </cell>
          <cell r="G704">
            <v>3.1589999999999999E-3</v>
          </cell>
          <cell r="H704">
            <v>0.42</v>
          </cell>
          <cell r="I704" t="str">
            <v>2017-01-26</v>
          </cell>
          <cell r="J704">
            <v>63</v>
          </cell>
          <cell r="K704">
            <v>0.18</v>
          </cell>
          <cell r="L704">
            <v>0.51</v>
          </cell>
          <cell r="M704" t="str">
            <v>$</v>
          </cell>
          <cell r="N704" t="str">
            <v>RFL</v>
          </cell>
          <cell r="O704" t="str">
            <v>Renta Fija Local</v>
          </cell>
          <cell r="P704" t="str">
            <v>N1 ; N1</v>
          </cell>
          <cell r="Q704" t="str">
            <v>Corto</v>
          </cell>
          <cell r="R704" t="str">
            <v>Depósitos $</v>
          </cell>
          <cell r="S704">
            <v>2.1580689999999998</v>
          </cell>
          <cell r="T704" t="str">
            <v>N-1</v>
          </cell>
          <cell r="U704" t="str">
            <v>25</v>
          </cell>
          <cell r="V704" t="str">
            <v>Depósitos</v>
          </cell>
          <cell r="W704" t="str">
            <v>Depósitos</v>
          </cell>
          <cell r="X704" t="str">
            <v>Depósitos $</v>
          </cell>
          <cell r="Y704" t="str">
            <v>Depósitos</v>
          </cell>
          <cell r="Z704" t="str">
            <v>Corto $</v>
          </cell>
          <cell r="AA704" t="str">
            <v>Depósitos</v>
          </cell>
          <cell r="AB704" t="str">
            <v>Depósitos $</v>
          </cell>
          <cell r="AC704" t="str">
            <v>Instrumentos de Deuda</v>
          </cell>
          <cell r="AD704" t="str">
            <v>Financieras</v>
          </cell>
          <cell r="AE704" t="str">
            <v>Deposito CLP Banco Eurocap</v>
          </cell>
          <cell r="AF704" t="str">
            <v>EUROCAP</v>
          </cell>
        </row>
        <row r="705">
          <cell r="C705" t="str">
            <v>PAGARE NR</v>
          </cell>
          <cell r="D705" t="str">
            <v>SANTANDER</v>
          </cell>
          <cell r="E705">
            <v>69084128</v>
          </cell>
          <cell r="F705">
            <v>69592587</v>
          </cell>
          <cell r="G705">
            <v>7.3300000000000004E-4</v>
          </cell>
          <cell r="H705">
            <v>0.32</v>
          </cell>
          <cell r="I705" t="str">
            <v>2017-01-31</v>
          </cell>
          <cell r="J705">
            <v>68</v>
          </cell>
          <cell r="K705">
            <v>0.19</v>
          </cell>
          <cell r="L705">
            <v>0.51</v>
          </cell>
          <cell r="M705" t="str">
            <v>$</v>
          </cell>
          <cell r="N705" t="str">
            <v>RFL</v>
          </cell>
          <cell r="O705" t="str">
            <v>Renta Fija Local</v>
          </cell>
          <cell r="P705" t="str">
            <v>N1 ; N1</v>
          </cell>
          <cell r="Q705" t="str">
            <v>Corto</v>
          </cell>
          <cell r="R705" t="str">
            <v>Depósitos $</v>
          </cell>
          <cell r="S705">
            <v>0.90830999999999995</v>
          </cell>
          <cell r="T705" t="str">
            <v>N-1</v>
          </cell>
          <cell r="U705" t="str">
            <v>25</v>
          </cell>
          <cell r="V705" t="str">
            <v>Depósitos</v>
          </cell>
          <cell r="W705" t="str">
            <v>Depósitos</v>
          </cell>
          <cell r="X705" t="str">
            <v>Depósitos $</v>
          </cell>
          <cell r="Y705" t="str">
            <v>Depósitos</v>
          </cell>
          <cell r="Z705" t="str">
            <v>Corto $</v>
          </cell>
          <cell r="AA705" t="str">
            <v>Depósitos</v>
          </cell>
          <cell r="AB705" t="str">
            <v>Depósitos $</v>
          </cell>
          <cell r="AC705" t="str">
            <v>Instrumentos de Deuda</v>
          </cell>
          <cell r="AD705" t="str">
            <v>Financieras</v>
          </cell>
          <cell r="AE705" t="str">
            <v>Deposito CLP Banco Santander</v>
          </cell>
          <cell r="AF705" t="str">
            <v>Banco Santander</v>
          </cell>
        </row>
        <row r="706">
          <cell r="C706" t="str">
            <v>BSOQU-M</v>
          </cell>
          <cell r="D706" t="str">
            <v>SOQUIMICH</v>
          </cell>
          <cell r="E706">
            <v>650225492</v>
          </cell>
          <cell r="F706">
            <v>24500</v>
          </cell>
          <cell r="G706">
            <v>6.9080000000000001E-3</v>
          </cell>
          <cell r="H706">
            <v>3.85</v>
          </cell>
          <cell r="I706" t="str">
            <v>2017-02-01</v>
          </cell>
          <cell r="J706">
            <v>69</v>
          </cell>
          <cell r="K706">
            <v>0.19</v>
          </cell>
          <cell r="L706">
            <v>99.89</v>
          </cell>
          <cell r="M706" t="str">
            <v>UF</v>
          </cell>
          <cell r="N706" t="str">
            <v>RFL</v>
          </cell>
          <cell r="O706" t="str">
            <v>Renta Fija Local</v>
          </cell>
          <cell r="P706" t="str">
            <v>AA- ; A+</v>
          </cell>
          <cell r="Q706" t="str">
            <v>Corto</v>
          </cell>
          <cell r="R706" t="str">
            <v>Corporativo Alto Riesgo Corto</v>
          </cell>
          <cell r="S706">
            <v>3.85</v>
          </cell>
          <cell r="T706" t="str">
            <v>A+</v>
          </cell>
          <cell r="U706" t="str">
            <v>5</v>
          </cell>
          <cell r="V706" t="str">
            <v>Alto Riesgo</v>
          </cell>
          <cell r="W706" t="str">
            <v>Corporativo</v>
          </cell>
          <cell r="X706" t="str">
            <v>Alto Riesgo Corto UF</v>
          </cell>
          <cell r="Y706" t="str">
            <v>Corporativo Alto Riesgo Corto</v>
          </cell>
          <cell r="Z706" t="str">
            <v>Corto UF</v>
          </cell>
          <cell r="AA706" t="str">
            <v>Corporativo Corto</v>
          </cell>
          <cell r="AB706" t="str">
            <v>Corporativo UF</v>
          </cell>
          <cell r="AC706" t="str">
            <v>Instrumentos de Deuda</v>
          </cell>
          <cell r="AD706" t="str">
            <v>Materiales Básicos</v>
          </cell>
          <cell r="AE706" t="str">
            <v>Bono Sqm Serie M</v>
          </cell>
          <cell r="AF706" t="str">
            <v>SQM S.A.</v>
          </cell>
        </row>
        <row r="707">
          <cell r="C707" t="str">
            <v>PAGARE NR</v>
          </cell>
          <cell r="D707" t="str">
            <v>TANNER SF</v>
          </cell>
          <cell r="E707">
            <v>494933530</v>
          </cell>
          <cell r="F707">
            <v>500000000</v>
          </cell>
          <cell r="G707">
            <v>5.2579999999999997E-3</v>
          </cell>
          <cell r="H707">
            <v>0.37</v>
          </cell>
          <cell r="I707" t="str">
            <v>2017-02-14</v>
          </cell>
          <cell r="J707">
            <v>82</v>
          </cell>
          <cell r="K707">
            <v>0.23</v>
          </cell>
          <cell r="L707">
            <v>0.51</v>
          </cell>
          <cell r="M707" t="str">
            <v>$</v>
          </cell>
          <cell r="N707" t="str">
            <v>RFL</v>
          </cell>
          <cell r="O707" t="str">
            <v>Renta Fija Local</v>
          </cell>
          <cell r="P707" t="str">
            <v>N1 ; N1</v>
          </cell>
          <cell r="Q707" t="str">
            <v>Corto</v>
          </cell>
          <cell r="R707" t="str">
            <v>Depósitos $</v>
          </cell>
          <cell r="S707">
            <v>1.5314779999999999</v>
          </cell>
          <cell r="T707" t="str">
            <v>N-1</v>
          </cell>
          <cell r="U707" t="str">
            <v>25</v>
          </cell>
          <cell r="V707" t="str">
            <v>Depósitos</v>
          </cell>
          <cell r="W707" t="str">
            <v>Depósitos</v>
          </cell>
          <cell r="X707" t="str">
            <v>Depósitos $</v>
          </cell>
          <cell r="Y707" t="str">
            <v>Depósitos</v>
          </cell>
          <cell r="Z707" t="str">
            <v>Corto $</v>
          </cell>
          <cell r="AA707" t="str">
            <v>Depósitos</v>
          </cell>
          <cell r="AB707" t="str">
            <v>Depósitos $</v>
          </cell>
          <cell r="AC707" t="str">
            <v>Instrumentos de Deuda</v>
          </cell>
          <cell r="AD707" t="str">
            <v>Financieras</v>
          </cell>
          <cell r="AE707" t="str">
            <v>Deposito CLP Banco Tanner Sf</v>
          </cell>
          <cell r="AF707" t="str">
            <v>Tanner</v>
          </cell>
        </row>
        <row r="708">
          <cell r="C708" t="str">
            <v>PAGARE NR</v>
          </cell>
          <cell r="D708" t="str">
            <v>ENJOY</v>
          </cell>
          <cell r="E708">
            <v>196560197</v>
          </cell>
          <cell r="F708">
            <v>200000000</v>
          </cell>
          <cell r="G708">
            <v>2.088E-3</v>
          </cell>
          <cell r="H708">
            <v>0.5</v>
          </cell>
          <cell r="I708" t="str">
            <v>2017-03-08</v>
          </cell>
          <cell r="J708">
            <v>104</v>
          </cell>
          <cell r="K708">
            <v>0.28999999999999998</v>
          </cell>
          <cell r="L708">
            <v>0.51</v>
          </cell>
          <cell r="M708" t="str">
            <v>$</v>
          </cell>
          <cell r="N708" t="str">
            <v>RFL</v>
          </cell>
          <cell r="O708" t="str">
            <v>Renta Fija Local</v>
          </cell>
          <cell r="P708" t="str">
            <v>N2; N2</v>
          </cell>
          <cell r="Q708" t="str">
            <v>Corto</v>
          </cell>
          <cell r="R708" t="str">
            <v>Depósitos $</v>
          </cell>
          <cell r="S708">
            <v>3.1677810000000002</v>
          </cell>
          <cell r="T708"/>
          <cell r="U708"/>
          <cell r="V708" t="str">
            <v>Depósitos</v>
          </cell>
          <cell r="W708" t="str">
            <v>Depósitos</v>
          </cell>
          <cell r="X708" t="str">
            <v>Depósitos $</v>
          </cell>
          <cell r="Y708" t="str">
            <v>Depósitos</v>
          </cell>
          <cell r="Z708" t="str">
            <v>Corto $</v>
          </cell>
          <cell r="AA708" t="str">
            <v>Depósitos</v>
          </cell>
          <cell r="AB708" t="str">
            <v>Depósitos $</v>
          </cell>
          <cell r="AC708" t="str">
            <v>Instrumentos de Deuda</v>
          </cell>
          <cell r="AD708" t="str">
            <v>Financieras</v>
          </cell>
          <cell r="AE708" t="str">
            <v>Deposito CLP Banco Enjoy</v>
          </cell>
          <cell r="AF708" t="str">
            <v>Enjoy</v>
          </cell>
        </row>
        <row r="709">
          <cell r="C709" t="str">
            <v>BCCA-D1113</v>
          </cell>
          <cell r="D709" t="str">
            <v>ARAUCANA</v>
          </cell>
          <cell r="E709">
            <v>1167441398</v>
          </cell>
          <cell r="F709">
            <v>1470000000</v>
          </cell>
          <cell r="G709">
            <v>1.2403000000000001E-2</v>
          </cell>
          <cell r="H709">
            <v>57.36</v>
          </cell>
          <cell r="I709" t="str">
            <v>2017-04-27</v>
          </cell>
          <cell r="J709">
            <v>154</v>
          </cell>
          <cell r="K709">
            <v>0.41</v>
          </cell>
          <cell r="L709">
            <v>85.45</v>
          </cell>
          <cell r="M709" t="str">
            <v>$</v>
          </cell>
          <cell r="N709" t="str">
            <v>RFL</v>
          </cell>
          <cell r="O709" t="str">
            <v>Renta Fija Local</v>
          </cell>
          <cell r="P709" t="str">
            <v>B+ ; B</v>
          </cell>
          <cell r="Q709" t="str">
            <v>Corto</v>
          </cell>
          <cell r="R709" t="str">
            <v>Corporativo Alto Riesgo Corto</v>
          </cell>
          <cell r="S709">
            <v>54.36</v>
          </cell>
          <cell r="T709" t="str">
            <v>B</v>
          </cell>
          <cell r="U709" t="str">
            <v>15</v>
          </cell>
          <cell r="V709" t="str">
            <v>Alto Riesgo</v>
          </cell>
          <cell r="W709" t="str">
            <v>Corporativo</v>
          </cell>
          <cell r="X709" t="str">
            <v>Alto Riesgo Corto $</v>
          </cell>
          <cell r="Y709" t="str">
            <v>Corporativo Alto Riesgo Corto</v>
          </cell>
          <cell r="Z709" t="str">
            <v>Corto $</v>
          </cell>
          <cell r="AA709" t="str">
            <v>Corporativo Corto</v>
          </cell>
          <cell r="AB709" t="str">
            <v>Corporativo $</v>
          </cell>
          <cell r="AC709" t="str">
            <v>Instrumentos de Deuda</v>
          </cell>
          <cell r="AD709" t="str">
            <v>Financieras</v>
          </cell>
          <cell r="AE709" t="str">
            <v>Bono La Araucana C.C.A.F. Serie D</v>
          </cell>
          <cell r="AF709" t="str">
            <v>Caja La Araucana</v>
          </cell>
        </row>
        <row r="710">
          <cell r="C710" t="str">
            <v>BCCA-E0115</v>
          </cell>
          <cell r="D710" t="str">
            <v>ARAUCANA</v>
          </cell>
          <cell r="E710">
            <v>428856023</v>
          </cell>
          <cell r="F710">
            <v>540000000</v>
          </cell>
          <cell r="G710">
            <v>4.5560000000000002E-3</v>
          </cell>
          <cell r="H710">
            <v>57.36</v>
          </cell>
          <cell r="I710" t="str">
            <v>2017-04-27</v>
          </cell>
          <cell r="J710">
            <v>154</v>
          </cell>
          <cell r="K710">
            <v>0.41</v>
          </cell>
          <cell r="L710">
            <v>85.45</v>
          </cell>
          <cell r="M710" t="str">
            <v>$</v>
          </cell>
          <cell r="N710" t="str">
            <v>RFL</v>
          </cell>
          <cell r="O710" t="str">
            <v>Renta Fija Local</v>
          </cell>
          <cell r="P710" t="str">
            <v>B+ ; B</v>
          </cell>
          <cell r="Q710" t="str">
            <v>Corto</v>
          </cell>
          <cell r="R710" t="str">
            <v>Corporativo Alto Riesgo Corto</v>
          </cell>
          <cell r="S710">
            <v>54.36</v>
          </cell>
          <cell r="T710" t="str">
            <v>B</v>
          </cell>
          <cell r="U710" t="str">
            <v>15</v>
          </cell>
          <cell r="V710" t="str">
            <v>Alto Riesgo</v>
          </cell>
          <cell r="W710" t="str">
            <v>Corporativo</v>
          </cell>
          <cell r="X710" t="str">
            <v>Alto Riesgo Corto $</v>
          </cell>
          <cell r="Y710" t="str">
            <v>Corporativo Alto Riesgo Corto</v>
          </cell>
          <cell r="Z710" t="str">
            <v>Corto $</v>
          </cell>
          <cell r="AA710" t="str">
            <v>Corporativo Corto</v>
          </cell>
          <cell r="AB710" t="str">
            <v>Corporativo $</v>
          </cell>
          <cell r="AC710" t="str">
            <v>Instrumentos de Deuda</v>
          </cell>
          <cell r="AD710" t="str">
            <v>Financieras</v>
          </cell>
          <cell r="AE710" t="str">
            <v>Bono La Araucana C.C.A.F. Serie E</v>
          </cell>
          <cell r="AF710" t="str">
            <v>Caja La Araucana</v>
          </cell>
        </row>
        <row r="711">
          <cell r="C711" t="str">
            <v>BCCAR-A</v>
          </cell>
          <cell r="D711" t="str">
            <v>ARAUCANA</v>
          </cell>
          <cell r="E711">
            <v>166777342</v>
          </cell>
          <cell r="F711">
            <v>210000000</v>
          </cell>
          <cell r="G711">
            <v>1.771E-3</v>
          </cell>
          <cell r="H711">
            <v>57.36</v>
          </cell>
          <cell r="I711" t="str">
            <v>2017-04-27</v>
          </cell>
          <cell r="J711">
            <v>154</v>
          </cell>
          <cell r="K711">
            <v>0.41</v>
          </cell>
          <cell r="L711">
            <v>85.45</v>
          </cell>
          <cell r="M711" t="str">
            <v>$</v>
          </cell>
          <cell r="N711" t="str">
            <v>RFL</v>
          </cell>
          <cell r="O711" t="str">
            <v>Renta Fija Local</v>
          </cell>
          <cell r="P711" t="str">
            <v>B+ ; B</v>
          </cell>
          <cell r="Q711" t="str">
            <v>Corto</v>
          </cell>
          <cell r="R711" t="str">
            <v>Corporativo Alto Riesgo Corto</v>
          </cell>
          <cell r="S711">
            <v>54.36</v>
          </cell>
          <cell r="T711" t="str">
            <v>B</v>
          </cell>
          <cell r="U711" t="str">
            <v>15</v>
          </cell>
          <cell r="V711" t="str">
            <v>Alto Riesgo</v>
          </cell>
          <cell r="W711" t="str">
            <v>Corporativo</v>
          </cell>
          <cell r="X711" t="str">
            <v>Alto Riesgo Corto $</v>
          </cell>
          <cell r="Y711" t="str">
            <v>Corporativo Alto Riesgo Corto</v>
          </cell>
          <cell r="Z711" t="str">
            <v>Corto $</v>
          </cell>
          <cell r="AA711" t="str">
            <v>Corporativo Corto</v>
          </cell>
          <cell r="AB711" t="str">
            <v>Corporativo $</v>
          </cell>
          <cell r="AC711" t="str">
            <v>Instrumentos de Deuda</v>
          </cell>
          <cell r="AD711" t="str">
            <v>Financieras</v>
          </cell>
          <cell r="AE711" t="str">
            <v>Bono Caja De Compensacion La Araucana</v>
          </cell>
          <cell r="AF711" t="str">
            <v>Caja La Araucana</v>
          </cell>
        </row>
        <row r="712">
          <cell r="C712" t="str">
            <v>BCCAR-B</v>
          </cell>
          <cell r="D712" t="str">
            <v>ARAUCANA</v>
          </cell>
          <cell r="E712">
            <v>39708889</v>
          </cell>
          <cell r="F712">
            <v>50000000</v>
          </cell>
          <cell r="G712">
            <v>4.2099999999999999E-4</v>
          </cell>
          <cell r="H712">
            <v>57.36</v>
          </cell>
          <cell r="I712" t="str">
            <v>2017-04-27</v>
          </cell>
          <cell r="J712">
            <v>154</v>
          </cell>
          <cell r="K712">
            <v>0.41</v>
          </cell>
          <cell r="L712">
            <v>85.45</v>
          </cell>
          <cell r="M712" t="str">
            <v>$</v>
          </cell>
          <cell r="N712" t="str">
            <v>RFL</v>
          </cell>
          <cell r="O712" t="str">
            <v>Renta Fija Local</v>
          </cell>
          <cell r="P712" t="str">
            <v>B+ ; B</v>
          </cell>
          <cell r="Q712" t="str">
            <v>Corto</v>
          </cell>
          <cell r="R712" t="str">
            <v>Corporativo Alto Riesgo Corto</v>
          </cell>
          <cell r="S712">
            <v>54.36</v>
          </cell>
          <cell r="T712" t="str">
            <v>B</v>
          </cell>
          <cell r="U712" t="str">
            <v>15</v>
          </cell>
          <cell r="V712" t="str">
            <v>Alto Riesgo</v>
          </cell>
          <cell r="W712" t="str">
            <v>Corporativo</v>
          </cell>
          <cell r="X712" t="str">
            <v>Alto Riesgo Corto $</v>
          </cell>
          <cell r="Y712" t="str">
            <v>Corporativo Alto Riesgo Corto</v>
          </cell>
          <cell r="Z712" t="str">
            <v>Corto $</v>
          </cell>
          <cell r="AA712" t="str">
            <v>Corporativo Corto</v>
          </cell>
          <cell r="AB712" t="str">
            <v>Corporativo $</v>
          </cell>
          <cell r="AC712" t="str">
            <v>Instrumentos de Deuda</v>
          </cell>
          <cell r="AD712" t="str">
            <v>Financieras</v>
          </cell>
          <cell r="AE712" t="str">
            <v>Bono Caja De Compensacion La Araucana</v>
          </cell>
          <cell r="AF712" t="str">
            <v>Caja La Araucana</v>
          </cell>
        </row>
        <row r="713">
          <cell r="C713" t="str">
            <v>BCCA-C0912</v>
          </cell>
          <cell r="D713" t="str">
            <v>ARAUCANA</v>
          </cell>
          <cell r="E713">
            <v>238253336</v>
          </cell>
          <cell r="F713">
            <v>300000000</v>
          </cell>
          <cell r="G713">
            <v>2.5309999999999998E-3</v>
          </cell>
          <cell r="H713">
            <v>57.36</v>
          </cell>
          <cell r="I713" t="str">
            <v>2017-09-15</v>
          </cell>
          <cell r="J713">
            <v>295</v>
          </cell>
          <cell r="K713">
            <v>0.41</v>
          </cell>
          <cell r="L713">
            <v>85.45</v>
          </cell>
          <cell r="M713" t="str">
            <v>$</v>
          </cell>
          <cell r="N713" t="str">
            <v>RFL</v>
          </cell>
          <cell r="O713" t="str">
            <v>Renta Fija Local</v>
          </cell>
          <cell r="P713" t="str">
            <v>B+ ; B</v>
          </cell>
          <cell r="Q713" t="str">
            <v>Corto</v>
          </cell>
          <cell r="R713" t="str">
            <v>Corporativo Alto Riesgo Corto</v>
          </cell>
          <cell r="S713">
            <v>54.36</v>
          </cell>
          <cell r="T713" t="str">
            <v>B</v>
          </cell>
          <cell r="U713" t="str">
            <v>15</v>
          </cell>
          <cell r="V713" t="str">
            <v>Alto Riesgo</v>
          </cell>
          <cell r="W713" t="str">
            <v>Corporativo</v>
          </cell>
          <cell r="X713" t="str">
            <v>Alto Riesgo Corto $</v>
          </cell>
          <cell r="Y713" t="str">
            <v>Corporativo Alto Riesgo Corto</v>
          </cell>
          <cell r="Z713" t="str">
            <v>Corto $</v>
          </cell>
          <cell r="AA713" t="str">
            <v>Corporativo Corto</v>
          </cell>
          <cell r="AB713" t="str">
            <v>Corporativo $</v>
          </cell>
          <cell r="AC713" t="str">
            <v>Instrumentos de Deuda</v>
          </cell>
          <cell r="AD713" t="str">
            <v>Financieras</v>
          </cell>
          <cell r="AE713" t="str">
            <v>Bono La Araucana C.C.A.F. Serie C</v>
          </cell>
          <cell r="AF713" t="str">
            <v>Caja La Araucana</v>
          </cell>
        </row>
        <row r="714">
          <cell r="C714" t="str">
            <v>BCSMU-C</v>
          </cell>
          <cell r="D714" t="str">
            <v>SMU</v>
          </cell>
          <cell r="E714">
            <v>13191655</v>
          </cell>
          <cell r="F714">
            <v>500</v>
          </cell>
          <cell r="G714">
            <v>1.3999999999999999E-4</v>
          </cell>
          <cell r="H714">
            <v>5.2</v>
          </cell>
          <cell r="I714" t="str">
            <v>2017-05-02</v>
          </cell>
          <cell r="J714">
            <v>159</v>
          </cell>
          <cell r="K714">
            <v>0.44</v>
          </cell>
          <cell r="L714">
            <v>100.02</v>
          </cell>
          <cell r="M714" t="str">
            <v>UF</v>
          </cell>
          <cell r="N714"/>
          <cell r="O714"/>
          <cell r="P714" t="str">
            <v>BB- ; BB-</v>
          </cell>
          <cell r="Q714" t="str">
            <v>Corto</v>
          </cell>
          <cell r="R714"/>
          <cell r="S714">
            <v>5.2</v>
          </cell>
          <cell r="T714"/>
          <cell r="U714"/>
          <cell r="V714"/>
          <cell r="W714" t="str">
            <v>Corporativo</v>
          </cell>
          <cell r="X714"/>
          <cell r="Y714"/>
          <cell r="Z714" t="str">
            <v>Corto UF</v>
          </cell>
          <cell r="AA714" t="str">
            <v>Corporativo Corto</v>
          </cell>
          <cell r="AB714" t="str">
            <v>Corporativo UF</v>
          </cell>
          <cell r="AC714"/>
          <cell r="AD714"/>
          <cell r="AE714"/>
          <cell r="AF714"/>
        </row>
        <row r="715">
          <cell r="C715" t="str">
            <v>BTANN-N</v>
          </cell>
          <cell r="D715" t="str">
            <v>TANNER SF</v>
          </cell>
          <cell r="E715">
            <v>637653212</v>
          </cell>
          <cell r="F715">
            <v>24000</v>
          </cell>
          <cell r="G715">
            <v>6.7739999999999996E-3</v>
          </cell>
          <cell r="H715">
            <v>3.94</v>
          </cell>
          <cell r="I715" t="str">
            <v>2017-10-10</v>
          </cell>
          <cell r="J715">
            <v>320</v>
          </cell>
          <cell r="K715">
            <v>0.62</v>
          </cell>
          <cell r="L715">
            <v>100.46</v>
          </cell>
          <cell r="M715" t="str">
            <v>UF</v>
          </cell>
          <cell r="N715" t="str">
            <v>RFL</v>
          </cell>
          <cell r="O715" t="str">
            <v>Renta Fija Local</v>
          </cell>
          <cell r="P715" t="str">
            <v>A+ ; A+</v>
          </cell>
          <cell r="Q715" t="str">
            <v>Corto</v>
          </cell>
          <cell r="R715" t="str">
            <v>Corporativo Alto Riesgo Corto</v>
          </cell>
          <cell r="S715">
            <v>3.94</v>
          </cell>
          <cell r="T715" t="str">
            <v>A+</v>
          </cell>
          <cell r="U715" t="str">
            <v>5</v>
          </cell>
          <cell r="V715" t="str">
            <v>Alto Riesgo</v>
          </cell>
          <cell r="W715" t="str">
            <v>Corporativo</v>
          </cell>
          <cell r="X715" t="str">
            <v>Alto Riesgo Corto UF</v>
          </cell>
          <cell r="Y715" t="str">
            <v>Corporativo Alto Riesgo Corto</v>
          </cell>
          <cell r="Z715" t="str">
            <v>Corto UF</v>
          </cell>
          <cell r="AA715" t="str">
            <v>Corporativo Corto</v>
          </cell>
          <cell r="AB715" t="str">
            <v>Corporativo UF</v>
          </cell>
          <cell r="AC715" t="str">
            <v>Instrumentos de Deuda</v>
          </cell>
          <cell r="AD715" t="str">
            <v>Financieras</v>
          </cell>
          <cell r="AE715" t="str">
            <v>Bono Sf Tanner Serie N</v>
          </cell>
          <cell r="AF715" t="str">
            <v>Tanner</v>
          </cell>
        </row>
        <row r="716">
          <cell r="C716" t="str">
            <v>PAGARE R</v>
          </cell>
          <cell r="D716" t="str">
            <v>SANTANDER</v>
          </cell>
          <cell r="E716">
            <v>129102628</v>
          </cell>
          <cell r="F716">
            <v>5000</v>
          </cell>
          <cell r="G716">
            <v>1.371E-3</v>
          </cell>
          <cell r="H716">
            <v>2.84</v>
          </cell>
          <cell r="I716" t="str">
            <v>2017-07-17</v>
          </cell>
          <cell r="J716">
            <v>235</v>
          </cell>
          <cell r="K716">
            <v>0.65</v>
          </cell>
          <cell r="L716">
            <v>0</v>
          </cell>
          <cell r="M716" t="str">
            <v>UF</v>
          </cell>
          <cell r="N716" t="str">
            <v>RFL</v>
          </cell>
          <cell r="O716" t="str">
            <v>Renta Fija Local</v>
          </cell>
          <cell r="P716" t="str">
            <v>N1 ; N1</v>
          </cell>
          <cell r="Q716" t="str">
            <v>Corto</v>
          </cell>
          <cell r="R716" t="str">
            <v>Depósitos UF</v>
          </cell>
          <cell r="S716">
            <v>2.84</v>
          </cell>
          <cell r="T716" t="str">
            <v>N-1</v>
          </cell>
          <cell r="U716" t="str">
            <v>25</v>
          </cell>
          <cell r="V716" t="str">
            <v>Depósitos</v>
          </cell>
          <cell r="W716" t="str">
            <v>Depósitos</v>
          </cell>
          <cell r="X716" t="str">
            <v>Depósitos UF</v>
          </cell>
          <cell r="Y716" t="str">
            <v>Depósitos</v>
          </cell>
          <cell r="Z716" t="str">
            <v>Corto UF</v>
          </cell>
          <cell r="AA716" t="str">
            <v>Depósitos</v>
          </cell>
          <cell r="AB716" t="str">
            <v>Depósitos UF</v>
          </cell>
          <cell r="AC716" t="str">
            <v>Instrumentos de Deuda</v>
          </cell>
          <cell r="AD716" t="str">
            <v>Financieras</v>
          </cell>
          <cell r="AE716" t="str">
            <v>Deposito UF Banco Santander</v>
          </cell>
          <cell r="AF716" t="str">
            <v>Banco Santander</v>
          </cell>
        </row>
        <row r="717">
          <cell r="C717" t="str">
            <v>BAGRS-E</v>
          </cell>
          <cell r="D717" t="str">
            <v>AGROSUPER</v>
          </cell>
          <cell r="E717">
            <v>79825339</v>
          </cell>
          <cell r="F717">
            <v>3000</v>
          </cell>
          <cell r="G717">
            <v>8.4800000000000001E-4</v>
          </cell>
          <cell r="H717">
            <v>2.99</v>
          </cell>
          <cell r="I717" t="str">
            <v>2017-09-01</v>
          </cell>
          <cell r="J717">
            <v>281</v>
          </cell>
          <cell r="K717">
            <v>0.76</v>
          </cell>
          <cell r="L717">
            <v>100.38</v>
          </cell>
          <cell r="M717" t="str">
            <v>UF</v>
          </cell>
          <cell r="N717" t="str">
            <v>RFL</v>
          </cell>
          <cell r="O717" t="str">
            <v>Renta Fija Local</v>
          </cell>
          <cell r="P717" t="str">
            <v>AA- ; AA-</v>
          </cell>
          <cell r="Q717" t="str">
            <v>Corto</v>
          </cell>
          <cell r="R717" t="str">
            <v>Corporativo Bajo Riesgo Corto</v>
          </cell>
          <cell r="S717">
            <v>2.99</v>
          </cell>
          <cell r="T717" t="str">
            <v>AA-</v>
          </cell>
          <cell r="U717" t="str">
            <v>4</v>
          </cell>
          <cell r="V717" t="str">
            <v>Bajo Riesgo</v>
          </cell>
          <cell r="W717" t="str">
            <v>Corporativo</v>
          </cell>
          <cell r="X717" t="str">
            <v>Bajo Riesgo Corto UF</v>
          </cell>
          <cell r="Y717" t="str">
            <v>Corporativo Bajo Riesgo Corto</v>
          </cell>
          <cell r="Z717" t="str">
            <v>Corto UF</v>
          </cell>
          <cell r="AA717" t="str">
            <v>Corporativo Corto</v>
          </cell>
          <cell r="AB717" t="str">
            <v>Corporativo UF</v>
          </cell>
          <cell r="AC717" t="str">
            <v>Instrumentos de Deuda</v>
          </cell>
          <cell r="AD717" t="str">
            <v>Consumo</v>
          </cell>
          <cell r="AE717" t="str">
            <v>Bono Agrosuper Sa Serie E</v>
          </cell>
          <cell r="AF717" t="str">
            <v>Agrosuper</v>
          </cell>
        </row>
        <row r="718">
          <cell r="C718" t="str">
            <v>BHER-C0413</v>
          </cell>
          <cell r="D718" t="str">
            <v>LOS HEROES</v>
          </cell>
          <cell r="E718">
            <v>30033859</v>
          </cell>
          <cell r="F718">
            <v>80000000</v>
          </cell>
          <cell r="G718">
            <v>3.19E-4</v>
          </cell>
          <cell r="H718">
            <v>6.94</v>
          </cell>
          <cell r="I718" t="str">
            <v>2018-04-01</v>
          </cell>
          <cell r="J718">
            <v>493</v>
          </cell>
          <cell r="K718">
            <v>0.83</v>
          </cell>
          <cell r="L718">
            <v>99.27</v>
          </cell>
          <cell r="M718" t="str">
            <v>$</v>
          </cell>
          <cell r="N718" t="str">
            <v>RFL</v>
          </cell>
          <cell r="O718" t="str">
            <v>Renta Fija Local</v>
          </cell>
          <cell r="P718" t="str">
            <v>BBB+ ; A-</v>
          </cell>
          <cell r="Q718" t="str">
            <v>Corto</v>
          </cell>
          <cell r="R718" t="str">
            <v>Corporativo Alto Riesgo Corto</v>
          </cell>
          <cell r="S718">
            <v>3.94</v>
          </cell>
          <cell r="T718" t="str">
            <v>BBB+</v>
          </cell>
          <cell r="U718" t="str">
            <v>8</v>
          </cell>
          <cell r="V718" t="str">
            <v>Alto Riesgo</v>
          </cell>
          <cell r="W718" t="str">
            <v>Corporativo</v>
          </cell>
          <cell r="X718" t="str">
            <v>Alto Riesgo Corto $</v>
          </cell>
          <cell r="Y718" t="str">
            <v>Corporativo Alto Riesgo Corto</v>
          </cell>
          <cell r="Z718" t="str">
            <v>Corto $</v>
          </cell>
          <cell r="AA718" t="str">
            <v>Corporativo Corto</v>
          </cell>
          <cell r="AB718" t="str">
            <v>Corporativo $</v>
          </cell>
          <cell r="AC718" t="str">
            <v>Instrumentos de Deuda</v>
          </cell>
          <cell r="AD718" t="str">
            <v>Financieras</v>
          </cell>
          <cell r="AE718" t="str">
            <v>Bono Los Heroes C.C.A.F. Serie C</v>
          </cell>
          <cell r="AF718" t="str">
            <v>Caja Los Héroes</v>
          </cell>
        </row>
        <row r="719">
          <cell r="C719" t="str">
            <v>BHER-E0813</v>
          </cell>
          <cell r="D719" t="str">
            <v>LOS HEROES</v>
          </cell>
          <cell r="E719">
            <v>583877152</v>
          </cell>
          <cell r="F719">
            <v>44000</v>
          </cell>
          <cell r="G719">
            <v>6.2030000000000002E-3</v>
          </cell>
          <cell r="H719">
            <v>3.95</v>
          </cell>
          <cell r="I719" t="str">
            <v>2018-08-01</v>
          </cell>
          <cell r="J719">
            <v>615</v>
          </cell>
          <cell r="K719">
            <v>0.91</v>
          </cell>
          <cell r="L719">
            <v>99.77</v>
          </cell>
          <cell r="M719" t="str">
            <v>UF</v>
          </cell>
          <cell r="N719" t="str">
            <v>RFL</v>
          </cell>
          <cell r="O719" t="str">
            <v>Renta Fija Local</v>
          </cell>
          <cell r="P719" t="str">
            <v>BBB+ ; A-</v>
          </cell>
          <cell r="Q719" t="str">
            <v>Corto</v>
          </cell>
          <cell r="R719" t="str">
            <v>Corporativo Alto Riesgo Corto</v>
          </cell>
          <cell r="S719">
            <v>3.95</v>
          </cell>
          <cell r="T719" t="str">
            <v>BBB+</v>
          </cell>
          <cell r="U719" t="str">
            <v>8</v>
          </cell>
          <cell r="V719" t="str">
            <v>Alto Riesgo</v>
          </cell>
          <cell r="W719" t="str">
            <v>Corporativo</v>
          </cell>
          <cell r="X719" t="str">
            <v>Alto Riesgo Corto UF</v>
          </cell>
          <cell r="Y719" t="str">
            <v>Corporativo Alto Riesgo Corto</v>
          </cell>
          <cell r="Z719" t="str">
            <v>Corto UF</v>
          </cell>
          <cell r="AA719" t="str">
            <v>Corporativo Corto</v>
          </cell>
          <cell r="AB719" t="str">
            <v>Corporativo UF</v>
          </cell>
          <cell r="AC719" t="str">
            <v>Instrumentos de Deuda</v>
          </cell>
          <cell r="AD719" t="str">
            <v>Financieras</v>
          </cell>
          <cell r="AE719" t="str">
            <v>Bono Los Heroes C.C.A.F. Serie E</v>
          </cell>
          <cell r="AF719" t="str">
            <v>Caja Los Héroes</v>
          </cell>
        </row>
        <row r="720">
          <cell r="C720" t="str">
            <v>BHER-A1212</v>
          </cell>
          <cell r="D720" t="str">
            <v>LOS HEROES</v>
          </cell>
          <cell r="E720">
            <v>963765639</v>
          </cell>
          <cell r="F720">
            <v>930000000</v>
          </cell>
          <cell r="G720">
            <v>1.0239E-2</v>
          </cell>
          <cell r="H720">
            <v>7.08</v>
          </cell>
          <cell r="I720" t="str">
            <v>2017-12-01</v>
          </cell>
          <cell r="J720">
            <v>372</v>
          </cell>
          <cell r="K720">
            <v>0.97</v>
          </cell>
          <cell r="L720">
            <v>100.19</v>
          </cell>
          <cell r="M720" t="str">
            <v>$</v>
          </cell>
          <cell r="N720" t="str">
            <v>RFL</v>
          </cell>
          <cell r="O720" t="str">
            <v>Renta Fija Local</v>
          </cell>
          <cell r="P720" t="str">
            <v>BBB+ ; A-</v>
          </cell>
          <cell r="Q720" t="str">
            <v>Corto</v>
          </cell>
          <cell r="R720" t="str">
            <v>Corporativo Alto Riesgo Corto</v>
          </cell>
          <cell r="S720">
            <v>4.08</v>
          </cell>
          <cell r="T720" t="str">
            <v>BBB+</v>
          </cell>
          <cell r="U720" t="str">
            <v>8</v>
          </cell>
          <cell r="V720" t="str">
            <v>Alto Riesgo</v>
          </cell>
          <cell r="W720" t="str">
            <v>Corporativo</v>
          </cell>
          <cell r="X720" t="str">
            <v>Alto Riesgo Corto $</v>
          </cell>
          <cell r="Y720" t="str">
            <v>Corporativo Alto Riesgo Corto</v>
          </cell>
          <cell r="Z720" t="str">
            <v>Corto $</v>
          </cell>
          <cell r="AA720" t="str">
            <v>Corporativo Corto</v>
          </cell>
          <cell r="AB720" t="str">
            <v>Corporativo $</v>
          </cell>
          <cell r="AC720" t="str">
            <v>Instrumentos de Deuda</v>
          </cell>
          <cell r="AD720" t="str">
            <v>Financieras</v>
          </cell>
          <cell r="AE720" t="str">
            <v>Bono Los Heroes C.C.A.F. Serie A</v>
          </cell>
          <cell r="AF720" t="str">
            <v>Caja Los Héroes</v>
          </cell>
        </row>
        <row r="721">
          <cell r="C721" t="str">
            <v>BCAJ-I0315</v>
          </cell>
          <cell r="D721" t="str">
            <v>LOS ANDES</v>
          </cell>
          <cell r="E721">
            <v>169614191</v>
          </cell>
          <cell r="F721">
            <v>210000000</v>
          </cell>
          <cell r="G721">
            <v>1.802E-3</v>
          </cell>
          <cell r="H721">
            <v>5.21</v>
          </cell>
          <cell r="I721" t="str">
            <v>2018-09-15</v>
          </cell>
          <cell r="J721">
            <v>660</v>
          </cell>
          <cell r="K721">
            <v>1.03</v>
          </cell>
          <cell r="L721">
            <v>100</v>
          </cell>
          <cell r="M721" t="str">
            <v>$</v>
          </cell>
          <cell r="N721" t="str">
            <v>RFL</v>
          </cell>
          <cell r="O721" t="str">
            <v>Renta Fija Local</v>
          </cell>
          <cell r="P721" t="str">
            <v>A+ ; AA-</v>
          </cell>
          <cell r="Q721" t="str">
            <v>Corto</v>
          </cell>
          <cell r="R721" t="str">
            <v>Corporativo Alto Riesgo Corto</v>
          </cell>
          <cell r="S721">
            <v>2.21</v>
          </cell>
          <cell r="T721" t="str">
            <v>A+</v>
          </cell>
          <cell r="U721" t="str">
            <v>5</v>
          </cell>
          <cell r="V721" t="str">
            <v>Alto Riesgo</v>
          </cell>
          <cell r="W721" t="str">
            <v>Corporativo</v>
          </cell>
          <cell r="X721" t="str">
            <v>Alto Riesgo Corto $</v>
          </cell>
          <cell r="Y721" t="str">
            <v>Corporativo Alto Riesgo Corto</v>
          </cell>
          <cell r="Z721" t="str">
            <v>Corto $</v>
          </cell>
          <cell r="AA721" t="str">
            <v>Corporativo Corto</v>
          </cell>
          <cell r="AB721" t="str">
            <v>Corporativo $</v>
          </cell>
          <cell r="AC721" t="str">
            <v>Instrumentos de Deuda</v>
          </cell>
          <cell r="AD721" t="str">
            <v>Financieras</v>
          </cell>
          <cell r="AE721" t="str">
            <v>Bono Caja Los Andes Serie I</v>
          </cell>
          <cell r="AF721" t="str">
            <v>Caja Los Andes</v>
          </cell>
        </row>
        <row r="722">
          <cell r="C722" t="str">
            <v>BFORU-AQ</v>
          </cell>
          <cell r="D722" t="str">
            <v>LEAS FORUM</v>
          </cell>
          <cell r="E722">
            <v>40292961</v>
          </cell>
          <cell r="F722">
            <v>1500</v>
          </cell>
          <cell r="G722">
            <v>4.28E-4</v>
          </cell>
          <cell r="H722">
            <v>2.76</v>
          </cell>
          <cell r="I722" t="str">
            <v>2018-08-05</v>
          </cell>
          <cell r="J722">
            <v>619</v>
          </cell>
          <cell r="K722">
            <v>1.29</v>
          </cell>
          <cell r="L722">
            <v>101.05</v>
          </cell>
          <cell r="M722" t="str">
            <v>UF</v>
          </cell>
          <cell r="N722" t="str">
            <v>RFL</v>
          </cell>
          <cell r="O722" t="str">
            <v>Renta Fija Local</v>
          </cell>
          <cell r="P722" t="str">
            <v>AA ; AA</v>
          </cell>
          <cell r="Q722" t="str">
            <v>Corto</v>
          </cell>
          <cell r="R722" t="str">
            <v>Corporativo Bajo Riesgo Corto</v>
          </cell>
          <cell r="S722">
            <v>2.76</v>
          </cell>
          <cell r="T722" t="str">
            <v>AA</v>
          </cell>
          <cell r="U722" t="str">
            <v>3</v>
          </cell>
          <cell r="V722" t="str">
            <v>Bajo Riesgo</v>
          </cell>
          <cell r="W722" t="str">
            <v>Corporativo</v>
          </cell>
          <cell r="X722" t="str">
            <v>Bajo Riesgo Corto UF</v>
          </cell>
          <cell r="Y722" t="str">
            <v>Corporativo Bajo Riesgo Corto</v>
          </cell>
          <cell r="Z722" t="str">
            <v>Corto UF</v>
          </cell>
          <cell r="AA722" t="str">
            <v>Corporativo Corto</v>
          </cell>
          <cell r="AB722" t="str">
            <v>Corporativo UF</v>
          </cell>
          <cell r="AC722" t="str">
            <v>Instrumentos de Deuda</v>
          </cell>
          <cell r="AD722" t="str">
            <v>Financieras</v>
          </cell>
          <cell r="AE722" t="str">
            <v>Bono Forum Servicios Financieros Serie Aq</v>
          </cell>
          <cell r="AF722" t="str">
            <v>Forum Servicios Financieros S.A.</v>
          </cell>
        </row>
        <row r="723">
          <cell r="C723" t="str">
            <v>BCFSA-A</v>
          </cell>
          <cell r="D723" t="str">
            <v>CONSOR FIN</v>
          </cell>
          <cell r="E723">
            <v>589248610</v>
          </cell>
          <cell r="F723">
            <v>22000</v>
          </cell>
          <cell r="G723">
            <v>6.2599999999999999E-3</v>
          </cell>
          <cell r="H723">
            <v>2.7</v>
          </cell>
          <cell r="I723" t="str">
            <v>2018-04-01</v>
          </cell>
          <cell r="J723">
            <v>493</v>
          </cell>
          <cell r="K723">
            <v>1.32</v>
          </cell>
          <cell r="L723">
            <v>101.3</v>
          </cell>
          <cell r="M723" t="str">
            <v>UF</v>
          </cell>
          <cell r="N723" t="str">
            <v>RFL</v>
          </cell>
          <cell r="O723" t="str">
            <v>Renta Fija Local</v>
          </cell>
          <cell r="P723" t="str">
            <v>AA- ; AA</v>
          </cell>
          <cell r="Q723" t="str">
            <v>Corto</v>
          </cell>
          <cell r="R723" t="str">
            <v>Corporativo Bajo Riesgo Corto</v>
          </cell>
          <cell r="S723">
            <v>2.7</v>
          </cell>
          <cell r="T723" t="str">
            <v>AA-</v>
          </cell>
          <cell r="U723" t="str">
            <v>4</v>
          </cell>
          <cell r="V723" t="str">
            <v>Bajo Riesgo</v>
          </cell>
          <cell r="W723" t="str">
            <v>Corporativo</v>
          </cell>
          <cell r="X723" t="str">
            <v>Bajo Riesgo Corto UF</v>
          </cell>
          <cell r="Y723" t="str">
            <v>Corporativo Bajo Riesgo Corto</v>
          </cell>
          <cell r="Z723" t="str">
            <v>Corto UF</v>
          </cell>
          <cell r="AA723" t="str">
            <v>Corporativo Corto</v>
          </cell>
          <cell r="AB723" t="str">
            <v>Corporativo UF</v>
          </cell>
          <cell r="AC723" t="str">
            <v>Instrumentos de Deuda</v>
          </cell>
          <cell r="AD723" t="str">
            <v>Financieras</v>
          </cell>
          <cell r="AE723" t="str">
            <v>Bono Consorcio Financiero Serie A</v>
          </cell>
          <cell r="AF723" t="str">
            <v>Consorcio Financiera</v>
          </cell>
        </row>
        <row r="724">
          <cell r="C724" t="str">
            <v>BCAJ-J1215</v>
          </cell>
          <cell r="D724" t="str">
            <v>LOS ANDES</v>
          </cell>
          <cell r="E724">
            <v>242874425</v>
          </cell>
          <cell r="F724">
            <v>9000</v>
          </cell>
          <cell r="G724">
            <v>2.5799999999999998E-3</v>
          </cell>
          <cell r="H724">
            <v>3.18</v>
          </cell>
          <cell r="I724" t="str">
            <v>2019-06-01</v>
          </cell>
          <cell r="J724">
            <v>919</v>
          </cell>
          <cell r="K724">
            <v>1.46</v>
          </cell>
          <cell r="L724">
            <v>100.81</v>
          </cell>
          <cell r="M724" t="str">
            <v>UF</v>
          </cell>
          <cell r="N724" t="str">
            <v>RFL</v>
          </cell>
          <cell r="O724" t="str">
            <v>Renta Fija Local</v>
          </cell>
          <cell r="P724" t="str">
            <v>A+ ; AA-</v>
          </cell>
          <cell r="Q724" t="str">
            <v>Corto</v>
          </cell>
          <cell r="R724" t="str">
            <v>Corporativo Alto Riesgo Corto</v>
          </cell>
          <cell r="S724">
            <v>3.18</v>
          </cell>
          <cell r="T724" t="str">
            <v>A+</v>
          </cell>
          <cell r="U724" t="str">
            <v>5</v>
          </cell>
          <cell r="V724" t="str">
            <v>Alto Riesgo</v>
          </cell>
          <cell r="W724" t="str">
            <v>Corporativo</v>
          </cell>
          <cell r="X724" t="str">
            <v>Alto Riesgo Corto UF</v>
          </cell>
          <cell r="Y724" t="str">
            <v>Corporativo Alto Riesgo Corto</v>
          </cell>
          <cell r="Z724" t="str">
            <v>Corto UF</v>
          </cell>
          <cell r="AA724" t="str">
            <v>Corporativo Corto</v>
          </cell>
          <cell r="AB724" t="str">
            <v>Corporativo UF</v>
          </cell>
          <cell r="AC724" t="str">
            <v>Instrumentos de Deuda</v>
          </cell>
          <cell r="AD724" t="str">
            <v>Financieras</v>
          </cell>
          <cell r="AE724" t="str">
            <v>Bono Caja Los Andes Serie J</v>
          </cell>
          <cell r="AF724" t="str">
            <v>Caja Los Andes</v>
          </cell>
        </row>
        <row r="725">
          <cell r="C725" t="str">
            <v>BBCIS-P26A</v>
          </cell>
          <cell r="D725" t="str">
            <v>BCI SECURI</v>
          </cell>
          <cell r="E725">
            <v>1335805485</v>
          </cell>
          <cell r="F725">
            <v>1325000000</v>
          </cell>
          <cell r="G725">
            <v>1.4192E-2</v>
          </cell>
          <cell r="H725">
            <v>7.11</v>
          </cell>
          <cell r="I725" t="str">
            <v>2020-07-01</v>
          </cell>
          <cell r="J725">
            <v>1315</v>
          </cell>
          <cell r="K725">
            <v>1.68</v>
          </cell>
          <cell r="L725">
            <v>99.83</v>
          </cell>
          <cell r="M725" t="str">
            <v>$</v>
          </cell>
          <cell r="N725" t="str">
            <v>RFL</v>
          </cell>
          <cell r="O725" t="str">
            <v>Renta Fija Local</v>
          </cell>
          <cell r="P725" t="str">
            <v>AA ; AA</v>
          </cell>
          <cell r="Q725" t="str">
            <v>Corto</v>
          </cell>
          <cell r="R725" t="str">
            <v>Corporativo Bajo Riesgo Corto</v>
          </cell>
          <cell r="S725">
            <v>4.1100000000000003</v>
          </cell>
          <cell r="T725" t="str">
            <v>AA</v>
          </cell>
          <cell r="U725" t="str">
            <v>3</v>
          </cell>
          <cell r="V725" t="str">
            <v>Bajo Riesgo</v>
          </cell>
          <cell r="W725" t="str">
            <v>Corporativo</v>
          </cell>
          <cell r="X725" t="str">
            <v>Bajo Riesgo Corto $</v>
          </cell>
          <cell r="Y725" t="str">
            <v>Corporativo Bajo Riesgo Corto</v>
          </cell>
          <cell r="Z725" t="str">
            <v>Corto $</v>
          </cell>
          <cell r="AA725" t="str">
            <v>Corporativo Corto</v>
          </cell>
          <cell r="AB725" t="str">
            <v>Corporativo $</v>
          </cell>
          <cell r="AC725" t="str">
            <v>Instrumentos de Deuda</v>
          </cell>
          <cell r="AD725" t="str">
            <v>Financieras</v>
          </cell>
          <cell r="AE725" t="str">
            <v>Bono Bci Securitizadora P26A</v>
          </cell>
          <cell r="AF725" t="str">
            <v>BCI Securitizadora</v>
          </cell>
        </row>
        <row r="726">
          <cell r="C726" t="str">
            <v>BBANM-I</v>
          </cell>
          <cell r="D726" t="str">
            <v>BANMEDICA</v>
          </cell>
          <cell r="E726">
            <v>320710500</v>
          </cell>
          <cell r="F726">
            <v>300000000</v>
          </cell>
          <cell r="G726">
            <v>3.4069999999999999E-3</v>
          </cell>
          <cell r="H726">
            <v>4.82</v>
          </cell>
          <cell r="I726" t="str">
            <v>2020-04-10</v>
          </cell>
          <cell r="J726">
            <v>1233</v>
          </cell>
          <cell r="K726">
            <v>1.75</v>
          </cell>
          <cell r="L726">
            <v>102.8</v>
          </cell>
          <cell r="M726" t="str">
            <v>$</v>
          </cell>
          <cell r="N726" t="str">
            <v>RFL</v>
          </cell>
          <cell r="O726" t="str">
            <v>Renta Fija Local</v>
          </cell>
          <cell r="P726" t="str">
            <v>AA- ; AA-</v>
          </cell>
          <cell r="Q726" t="str">
            <v>Corto</v>
          </cell>
          <cell r="R726" t="str">
            <v>Corporativo Bajo Riesgo Corto</v>
          </cell>
          <cell r="S726">
            <v>1.82</v>
          </cell>
          <cell r="T726" t="str">
            <v>AA-</v>
          </cell>
          <cell r="U726" t="str">
            <v>4</v>
          </cell>
          <cell r="V726" t="str">
            <v>Bajo Riesgo</v>
          </cell>
          <cell r="W726" t="str">
            <v>Corporativo</v>
          </cell>
          <cell r="X726" t="str">
            <v>Bajo Riesgo Corto $</v>
          </cell>
          <cell r="Y726" t="str">
            <v>Corporativo Bajo Riesgo Corto</v>
          </cell>
          <cell r="Z726" t="str">
            <v>Corto $</v>
          </cell>
          <cell r="AA726" t="str">
            <v>Corporativo Corto</v>
          </cell>
          <cell r="AB726" t="str">
            <v>Corporativo $</v>
          </cell>
          <cell r="AC726" t="str">
            <v>Instrumentos de Deuda</v>
          </cell>
          <cell r="AD726" t="str">
            <v>Salud</v>
          </cell>
          <cell r="AE726" t="str">
            <v>Bono Banmedica Serie I</v>
          </cell>
          <cell r="AF726" t="str">
            <v>Banmedica</v>
          </cell>
        </row>
        <row r="727">
          <cell r="C727" t="str">
            <v>BTANN-P</v>
          </cell>
          <cell r="D727" t="str">
            <v>TANNER SF</v>
          </cell>
          <cell r="E727">
            <v>263953293</v>
          </cell>
          <cell r="F727">
            <v>10000</v>
          </cell>
          <cell r="G727">
            <v>2.8040000000000001E-3</v>
          </cell>
          <cell r="H727">
            <v>3.79</v>
          </cell>
          <cell r="I727" t="str">
            <v>2019-04-01</v>
          </cell>
          <cell r="J727">
            <v>858</v>
          </cell>
          <cell r="K727">
            <v>2.0299999999999998</v>
          </cell>
          <cell r="L727">
            <v>99.83</v>
          </cell>
          <cell r="M727" t="str">
            <v>UF</v>
          </cell>
          <cell r="N727" t="str">
            <v>RFL</v>
          </cell>
          <cell r="O727" t="str">
            <v>Renta Fija Local</v>
          </cell>
          <cell r="P727" t="str">
            <v>A+ ; A+</v>
          </cell>
          <cell r="Q727" t="str">
            <v>Corto</v>
          </cell>
          <cell r="R727" t="str">
            <v>Corporativo Alto Riesgo Corto</v>
          </cell>
          <cell r="S727">
            <v>3.79</v>
          </cell>
          <cell r="T727" t="str">
            <v>A+</v>
          </cell>
          <cell r="U727" t="str">
            <v>5</v>
          </cell>
          <cell r="V727" t="str">
            <v>Alto Riesgo</v>
          </cell>
          <cell r="W727" t="str">
            <v>Corporativo</v>
          </cell>
          <cell r="X727" t="str">
            <v>Alto Riesgo Corto UF</v>
          </cell>
          <cell r="Y727" t="str">
            <v>Corporativo Alto Riesgo Corto</v>
          </cell>
          <cell r="Z727" t="str">
            <v>Corto UF</v>
          </cell>
          <cell r="AA727" t="str">
            <v>Corporativo Corto</v>
          </cell>
          <cell r="AB727" t="str">
            <v>Corporativo UF</v>
          </cell>
          <cell r="AC727" t="str">
            <v>Instrumentos de Deuda</v>
          </cell>
          <cell r="AD727" t="str">
            <v>Financieras</v>
          </cell>
          <cell r="AE727" t="str">
            <v>Bono Sf Tanner Serie P</v>
          </cell>
          <cell r="AF727" t="str">
            <v>Tanner</v>
          </cell>
        </row>
        <row r="728">
          <cell r="C728" t="str">
            <v>BCAJ-O0816</v>
          </cell>
          <cell r="D728" t="str">
            <v>LOS ANDES</v>
          </cell>
          <cell r="E728">
            <v>1333927987</v>
          </cell>
          <cell r="F728">
            <v>1300000000</v>
          </cell>
          <cell r="G728">
            <v>1.4172000000000001E-2</v>
          </cell>
          <cell r="H728">
            <v>5.03</v>
          </cell>
          <cell r="I728" t="str">
            <v>2020-02-01</v>
          </cell>
          <cell r="J728">
            <v>1164</v>
          </cell>
          <cell r="K728">
            <v>2.0499999999999998</v>
          </cell>
          <cell r="L728">
            <v>100.91</v>
          </cell>
          <cell r="M728" t="str">
            <v>$</v>
          </cell>
          <cell r="N728" t="str">
            <v>RFL</v>
          </cell>
          <cell r="O728" t="str">
            <v>Renta Fija Local</v>
          </cell>
          <cell r="P728" t="str">
            <v>AA- ; A+</v>
          </cell>
          <cell r="Q728" t="str">
            <v>Corto</v>
          </cell>
          <cell r="R728" t="str">
            <v>Corporativo Alto Riesgo Corto</v>
          </cell>
          <cell r="S728">
            <v>2.0299999999999998</v>
          </cell>
          <cell r="T728" t="str">
            <v>A+</v>
          </cell>
          <cell r="U728" t="str">
            <v>5</v>
          </cell>
          <cell r="V728" t="str">
            <v>Alto Riesgo</v>
          </cell>
          <cell r="W728" t="str">
            <v>Corporativo</v>
          </cell>
          <cell r="X728" t="str">
            <v>Alto Riesgo Corto $</v>
          </cell>
          <cell r="Y728" t="str">
            <v>Corporativo Alto Riesgo Corto</v>
          </cell>
          <cell r="Z728" t="str">
            <v>Corto $</v>
          </cell>
          <cell r="AA728" t="str">
            <v>Corporativo Corto</v>
          </cell>
          <cell r="AB728" t="str">
            <v>Corporativo $</v>
          </cell>
          <cell r="AC728"/>
          <cell r="AD728"/>
          <cell r="AE728"/>
          <cell r="AF728" t="str">
            <v>Caja Los Andes</v>
          </cell>
        </row>
        <row r="729">
          <cell r="C729" t="str">
            <v>BFLIN-I</v>
          </cell>
          <cell r="D729" t="str">
            <v>FACTORLINE</v>
          </cell>
          <cell r="E729">
            <v>197258558</v>
          </cell>
          <cell r="F729">
            <v>10000</v>
          </cell>
          <cell r="G729">
            <v>2.0950000000000001E-3</v>
          </cell>
          <cell r="H729">
            <v>4.05</v>
          </cell>
          <cell r="I729" t="str">
            <v>2021-04-01</v>
          </cell>
          <cell r="J729">
            <v>1589</v>
          </cell>
          <cell r="K729">
            <v>2.23</v>
          </cell>
          <cell r="L729">
            <v>99.47</v>
          </cell>
          <cell r="M729" t="str">
            <v>UF</v>
          </cell>
          <cell r="N729" t="str">
            <v>RFL</v>
          </cell>
          <cell r="O729" t="str">
            <v>Renta Fija Local</v>
          </cell>
          <cell r="P729" t="str">
            <v>A+ ; A+</v>
          </cell>
          <cell r="Q729" t="str">
            <v>Corto</v>
          </cell>
          <cell r="R729" t="str">
            <v>Corporativo Alto Riesgo Corto</v>
          </cell>
          <cell r="S729">
            <v>4.05</v>
          </cell>
          <cell r="T729" t="str">
            <v>A+</v>
          </cell>
          <cell r="U729" t="str">
            <v>5</v>
          </cell>
          <cell r="V729" t="str">
            <v>Alto Riesgo</v>
          </cell>
          <cell r="W729" t="str">
            <v>Corporativo</v>
          </cell>
          <cell r="X729" t="str">
            <v>Alto Riesgo Corto UF</v>
          </cell>
          <cell r="Y729" t="str">
            <v>Corporativo Alto Riesgo Corto</v>
          </cell>
          <cell r="Z729" t="str">
            <v>Corto UF</v>
          </cell>
          <cell r="AA729" t="str">
            <v>Corporativo Corto</v>
          </cell>
          <cell r="AB729" t="str">
            <v>Corporativo UF</v>
          </cell>
          <cell r="AC729" t="str">
            <v>Instrumentos de Deuda</v>
          </cell>
          <cell r="AD729" t="str">
            <v>Financieras</v>
          </cell>
          <cell r="AE729" t="str">
            <v>Bono Factorline Serie I</v>
          </cell>
          <cell r="AF729" t="str">
            <v>Factorline S.A.</v>
          </cell>
        </row>
        <row r="730">
          <cell r="C730" t="str">
            <v>BBCIS-P30A</v>
          </cell>
          <cell r="D730" t="str">
            <v>BCI SECURI</v>
          </cell>
          <cell r="E730">
            <v>1668573493</v>
          </cell>
          <cell r="F730">
            <v>1670000000</v>
          </cell>
          <cell r="G730">
            <v>1.7728000000000001E-2</v>
          </cell>
          <cell r="H730">
            <v>6.23</v>
          </cell>
          <cell r="I730" t="str">
            <v>2020-04-01</v>
          </cell>
          <cell r="J730">
            <v>1224</v>
          </cell>
          <cell r="K730">
            <v>2.2400000000000002</v>
          </cell>
          <cell r="L730">
            <v>99.1</v>
          </cell>
          <cell r="M730" t="str">
            <v>$</v>
          </cell>
          <cell r="N730" t="str">
            <v>RFL</v>
          </cell>
          <cell r="O730" t="str">
            <v>Renta Fija Local</v>
          </cell>
          <cell r="P730" t="str">
            <v>AA ; AA</v>
          </cell>
          <cell r="Q730" t="str">
            <v>Corto</v>
          </cell>
          <cell r="R730" t="str">
            <v>Corporativo Bajo Riesgo Corto</v>
          </cell>
          <cell r="S730">
            <v>3.23</v>
          </cell>
          <cell r="T730" t="str">
            <v>AA</v>
          </cell>
          <cell r="U730" t="str">
            <v>3</v>
          </cell>
          <cell r="V730" t="str">
            <v>Bajo Riesgo</v>
          </cell>
          <cell r="W730" t="str">
            <v>Corporativo</v>
          </cell>
          <cell r="X730" t="str">
            <v>Bajo Riesgo Corto $</v>
          </cell>
          <cell r="Y730" t="str">
            <v>Corporativo Bajo Riesgo Corto</v>
          </cell>
          <cell r="Z730" t="str">
            <v>Corto $</v>
          </cell>
          <cell r="AA730" t="str">
            <v>Corporativo Corto</v>
          </cell>
          <cell r="AB730" t="str">
            <v>Corporativo $</v>
          </cell>
          <cell r="AC730" t="str">
            <v>Instrumentos de Deuda</v>
          </cell>
          <cell r="AD730" t="str">
            <v>Financieras</v>
          </cell>
          <cell r="AE730" t="str">
            <v>Bono Bci Securitizadora P30A</v>
          </cell>
          <cell r="AF730" t="str">
            <v>BCI Securitizadora</v>
          </cell>
        </row>
        <row r="731">
          <cell r="C731" t="str">
            <v>BSALF-M</v>
          </cell>
          <cell r="D731" t="str">
            <v>SALFACORP</v>
          </cell>
          <cell r="E731">
            <v>1875705240</v>
          </cell>
          <cell r="F731">
            <v>69000</v>
          </cell>
          <cell r="G731">
            <v>1.9928000000000001E-2</v>
          </cell>
          <cell r="H731">
            <v>4.1100000000000003</v>
          </cell>
          <cell r="I731" t="str">
            <v>2019-05-10</v>
          </cell>
          <cell r="J731">
            <v>897</v>
          </cell>
          <cell r="K731">
            <v>2.33</v>
          </cell>
          <cell r="L731">
            <v>103.16</v>
          </cell>
          <cell r="M731" t="str">
            <v>UF</v>
          </cell>
          <cell r="N731" t="str">
            <v>RFL</v>
          </cell>
          <cell r="O731" t="str">
            <v>Renta Fija Local</v>
          </cell>
          <cell r="P731" t="str">
            <v>BBB ; BBB</v>
          </cell>
          <cell r="Q731" t="str">
            <v>Corto</v>
          </cell>
          <cell r="R731" t="str">
            <v>Corporativo Alto Riesgo Corto</v>
          </cell>
          <cell r="S731">
            <v>4.1100000000000003</v>
          </cell>
          <cell r="T731" t="str">
            <v>BBB</v>
          </cell>
          <cell r="U731" t="str">
            <v>9</v>
          </cell>
          <cell r="V731" t="str">
            <v>Alto Riesgo</v>
          </cell>
          <cell r="W731" t="str">
            <v>Corporativo</v>
          </cell>
          <cell r="X731" t="str">
            <v>Alto Riesgo Corto UF</v>
          </cell>
          <cell r="Y731" t="str">
            <v>Corporativo Alto Riesgo Corto</v>
          </cell>
          <cell r="Z731" t="str">
            <v>Corto UF</v>
          </cell>
          <cell r="AA731" t="str">
            <v>Corporativo Corto</v>
          </cell>
          <cell r="AB731" t="str">
            <v>Corporativo UF</v>
          </cell>
          <cell r="AC731" t="str">
            <v>Instrumentos de Deuda</v>
          </cell>
          <cell r="AD731" t="str">
            <v>Construcción</v>
          </cell>
          <cell r="AE731" t="str">
            <v>Bono Salfacorp Serie M</v>
          </cell>
          <cell r="AF731" t="str">
            <v>Salfa Corp.</v>
          </cell>
        </row>
        <row r="732">
          <cell r="C732" t="str">
            <v>BFORU-AT</v>
          </cell>
          <cell r="D732" t="str">
            <v>LEAS FORUM</v>
          </cell>
          <cell r="E732">
            <v>609409986</v>
          </cell>
          <cell r="F732">
            <v>600000000</v>
          </cell>
          <cell r="G732">
            <v>6.4739999999999997E-3</v>
          </cell>
          <cell r="H732">
            <v>5.2</v>
          </cell>
          <cell r="I732" t="str">
            <v>2019-06-25</v>
          </cell>
          <cell r="J732">
            <v>943</v>
          </cell>
          <cell r="K732">
            <v>2.41</v>
          </cell>
          <cell r="L732">
            <v>99.54</v>
          </cell>
          <cell r="M732" t="str">
            <v>$</v>
          </cell>
          <cell r="N732" t="str">
            <v>RFL</v>
          </cell>
          <cell r="O732" t="str">
            <v>Renta Fija Local</v>
          </cell>
          <cell r="P732" t="str">
            <v>AA ; AA</v>
          </cell>
          <cell r="Q732" t="str">
            <v>Corto</v>
          </cell>
          <cell r="R732" t="str">
            <v>Corporativo Bajo Riesgo Corto</v>
          </cell>
          <cell r="S732">
            <v>2.2000000000000002</v>
          </cell>
          <cell r="T732" t="str">
            <v>AA</v>
          </cell>
          <cell r="U732" t="str">
            <v>3</v>
          </cell>
          <cell r="V732" t="str">
            <v>Bajo Riesgo</v>
          </cell>
          <cell r="W732" t="str">
            <v>Corporativo</v>
          </cell>
          <cell r="X732" t="str">
            <v>Bajo Riesgo Corto $</v>
          </cell>
          <cell r="Y732" t="str">
            <v>Corporativo Bajo Riesgo Corto</v>
          </cell>
          <cell r="Z732" t="str">
            <v>Corto $</v>
          </cell>
          <cell r="AA732" t="str">
            <v>Corporativo Corto</v>
          </cell>
          <cell r="AB732" t="str">
            <v>Corporativo $</v>
          </cell>
          <cell r="AC732" t="str">
            <v>Instrumentos de Deuda</v>
          </cell>
          <cell r="AD732" t="str">
            <v>Financieras</v>
          </cell>
          <cell r="AE732" t="str">
            <v>Bono Forum Servicios Financieros Serie At</v>
          </cell>
          <cell r="AF732" t="str">
            <v>Forum Servicios Financieros S.A.</v>
          </cell>
        </row>
        <row r="733">
          <cell r="C733" t="str">
            <v>UCHIC20100</v>
          </cell>
          <cell r="D733" t="str">
            <v>BBCHILE</v>
          </cell>
          <cell r="E733">
            <v>272280329</v>
          </cell>
          <cell r="F733">
            <v>20000</v>
          </cell>
          <cell r="G733">
            <v>2.892E-3</v>
          </cell>
          <cell r="H733">
            <v>2.69</v>
          </cell>
          <cell r="I733" t="str">
            <v>2022-01-01</v>
          </cell>
          <cell r="J733">
            <v>1864</v>
          </cell>
          <cell r="K733">
            <v>2.54</v>
          </cell>
          <cell r="L733">
            <v>109.48</v>
          </cell>
          <cell r="M733" t="str">
            <v>UF</v>
          </cell>
          <cell r="N733" t="str">
            <v>RFL</v>
          </cell>
          <cell r="O733" t="str">
            <v>Renta Fija Local</v>
          </cell>
          <cell r="P733" t="str">
            <v>AA+ ; AA</v>
          </cell>
          <cell r="Q733" t="str">
            <v>Corto</v>
          </cell>
          <cell r="R733" t="str">
            <v>Corporativo Bajo Riesgo Corto</v>
          </cell>
          <cell r="S733">
            <v>2.69</v>
          </cell>
          <cell r="T733" t="str">
            <v>AA</v>
          </cell>
          <cell r="U733" t="str">
            <v>3</v>
          </cell>
          <cell r="V733" t="str">
            <v>Bajo Riesgo</v>
          </cell>
          <cell r="W733" t="str">
            <v>Corporativo</v>
          </cell>
          <cell r="X733" t="str">
            <v>Bajo Riesgo Corto UF</v>
          </cell>
          <cell r="Y733" t="str">
            <v>Corporativo Bajo Riesgo Corto</v>
          </cell>
          <cell r="Z733" t="str">
            <v>Corto UF</v>
          </cell>
          <cell r="AA733" t="str">
            <v>Corporativo Corto</v>
          </cell>
          <cell r="AB733" t="str">
            <v>Corporativo UF</v>
          </cell>
          <cell r="AC733" t="str">
            <v>Instrumentos de Deuda</v>
          </cell>
          <cell r="AD733" t="str">
            <v>Financieras</v>
          </cell>
          <cell r="AE733" t="str">
            <v>Bono Subordinado Banco Chile Serie C2</v>
          </cell>
          <cell r="AF733" t="str">
            <v>Banco de Chile</v>
          </cell>
        </row>
        <row r="734">
          <cell r="C734" t="str">
            <v>BCOSJ-A</v>
          </cell>
          <cell r="D734" t="str">
            <v>TECNOCONTR</v>
          </cell>
          <cell r="E734">
            <v>1278651383</v>
          </cell>
          <cell r="F734">
            <v>65000</v>
          </cell>
          <cell r="G734">
            <v>1.3585E-2</v>
          </cell>
          <cell r="H734">
            <v>2.7</v>
          </cell>
          <cell r="I734" t="str">
            <v>2021-06-30</v>
          </cell>
          <cell r="J734">
            <v>1679</v>
          </cell>
          <cell r="K734">
            <v>2.5499999999999998</v>
          </cell>
          <cell r="L734">
            <v>100.62</v>
          </cell>
          <cell r="M734" t="str">
            <v>UF</v>
          </cell>
          <cell r="N734" t="str">
            <v>RFL</v>
          </cell>
          <cell r="O734" t="str">
            <v>Renta Fija Local</v>
          </cell>
          <cell r="P734" t="str">
            <v>AAA ; AAA</v>
          </cell>
          <cell r="Q734" t="str">
            <v>Corto</v>
          </cell>
          <cell r="R734" t="str">
            <v>Corporativo Bajo Riesgo Corto</v>
          </cell>
          <cell r="S734">
            <v>2.7</v>
          </cell>
          <cell r="T734" t="str">
            <v>AAA</v>
          </cell>
          <cell r="U734" t="str">
            <v>1</v>
          </cell>
          <cell r="V734" t="str">
            <v>Bajo Riesgo</v>
          </cell>
          <cell r="W734" t="str">
            <v>Corporativo</v>
          </cell>
          <cell r="X734" t="str">
            <v>Bajo Riesgo Corto UF</v>
          </cell>
          <cell r="Y734" t="str">
            <v>Corporativo Bajo Riesgo Corto</v>
          </cell>
          <cell r="Z734" t="str">
            <v>Corto UF</v>
          </cell>
          <cell r="AA734" t="str">
            <v>Corporativo Corto</v>
          </cell>
          <cell r="AB734" t="str">
            <v>Corporativo UF</v>
          </cell>
          <cell r="AC734" t="str">
            <v>Instrumentos de Deuda</v>
          </cell>
          <cell r="AD734" t="str">
            <v>Construcción</v>
          </cell>
          <cell r="AE734" t="str">
            <v>Bono Constructora San Jose Serie A</v>
          </cell>
          <cell r="AF734" t="str">
            <v>San José Tecnocontrol</v>
          </cell>
        </row>
        <row r="735">
          <cell r="C735" t="str">
            <v>BTANN-S</v>
          </cell>
          <cell r="D735" t="str">
            <v>TANNER SF</v>
          </cell>
          <cell r="E735">
            <v>712755349</v>
          </cell>
          <cell r="F735">
            <v>27500</v>
          </cell>
          <cell r="G735">
            <v>7.5719999999999997E-3</v>
          </cell>
          <cell r="H735">
            <v>3.95</v>
          </cell>
          <cell r="I735" t="str">
            <v>2019-12-15</v>
          </cell>
          <cell r="J735">
            <v>1116</v>
          </cell>
          <cell r="K735">
            <v>2.68</v>
          </cell>
          <cell r="L735">
            <v>97.31</v>
          </cell>
          <cell r="M735" t="str">
            <v>UF</v>
          </cell>
          <cell r="N735" t="str">
            <v>RFL</v>
          </cell>
          <cell r="O735" t="str">
            <v>Renta Fija Local</v>
          </cell>
          <cell r="P735" t="str">
            <v>A+ ; A+</v>
          </cell>
          <cell r="Q735" t="str">
            <v>Corto</v>
          </cell>
          <cell r="R735" t="str">
            <v>Corporativo Alto Riesgo Corto</v>
          </cell>
          <cell r="S735">
            <v>3.95</v>
          </cell>
          <cell r="T735" t="str">
            <v>A+</v>
          </cell>
          <cell r="U735" t="str">
            <v>5</v>
          </cell>
          <cell r="V735" t="str">
            <v>Alto Riesgo</v>
          </cell>
          <cell r="W735" t="str">
            <v>Corporativo</v>
          </cell>
          <cell r="X735" t="str">
            <v>Alto Riesgo Corto UF</v>
          </cell>
          <cell r="Y735" t="str">
            <v>Corporativo Alto Riesgo Corto</v>
          </cell>
          <cell r="Z735" t="str">
            <v>Corto UF</v>
          </cell>
          <cell r="AA735" t="str">
            <v>Corporativo Corto</v>
          </cell>
          <cell r="AB735" t="str">
            <v>Corporativo UF</v>
          </cell>
          <cell r="AC735" t="str">
            <v>Instrumentos de Deuda</v>
          </cell>
          <cell r="AD735" t="str">
            <v>Financieras</v>
          </cell>
          <cell r="AE735" t="str">
            <v>Bono Sf Tanner Serie S</v>
          </cell>
          <cell r="AF735" t="str">
            <v>Tanner</v>
          </cell>
        </row>
        <row r="736">
          <cell r="C736" t="str">
            <v>LATAIR0920</v>
          </cell>
          <cell r="D736" t="str">
            <v>LATAM AIR</v>
          </cell>
          <cell r="E736">
            <v>357204770</v>
          </cell>
          <cell r="F736">
            <v>500000</v>
          </cell>
          <cell r="G736">
            <v>3.7950000000000002E-3</v>
          </cell>
          <cell r="H736">
            <v>0</v>
          </cell>
          <cell r="I736" t="str">
            <v>2020-06-09</v>
          </cell>
          <cell r="J736">
            <v>1293</v>
          </cell>
          <cell r="K736">
            <v>3.09</v>
          </cell>
          <cell r="L736">
            <v>101.875</v>
          </cell>
          <cell r="M736" t="str">
            <v>USD</v>
          </cell>
          <cell r="N736" t="str">
            <v>RFL</v>
          </cell>
          <cell r="O736" t="str">
            <v>Renta Fija Local</v>
          </cell>
          <cell r="P736" t="str">
            <v>B</v>
          </cell>
          <cell r="Q736" t="str">
            <v>Corto</v>
          </cell>
          <cell r="R736" t="str">
            <v>Corporativo Alto Riesgo Corto</v>
          </cell>
          <cell r="S736">
            <v>0</v>
          </cell>
          <cell r="T736" t="str">
            <v>B</v>
          </cell>
          <cell r="U736" t="str">
            <v>15</v>
          </cell>
          <cell r="V736" t="str">
            <v>Alto Riesgo</v>
          </cell>
          <cell r="W736" t="str">
            <v>Corporativo</v>
          </cell>
          <cell r="X736" t="str">
            <v>Alto Riesgo Corto USD</v>
          </cell>
          <cell r="Y736" t="str">
            <v>Corporativo Alto Riesgo Corto</v>
          </cell>
          <cell r="Z736" t="str">
            <v>Corto USD</v>
          </cell>
          <cell r="AA736" t="str">
            <v>Corporativo Corto</v>
          </cell>
          <cell r="AB736" t="str">
            <v>Corporativo USD</v>
          </cell>
          <cell r="AC736" t="str">
            <v>Instrumentos de Deuda</v>
          </cell>
          <cell r="AD736" t="str">
            <v>Transporte</v>
          </cell>
          <cell r="AE736"/>
          <cell r="AF736"/>
        </row>
        <row r="737">
          <cell r="C737" t="str">
            <v>BFORU-AX</v>
          </cell>
          <cell r="D737" t="str">
            <v>LEAS FORUM</v>
          </cell>
          <cell r="E737">
            <v>404055256</v>
          </cell>
          <cell r="F737">
            <v>400000000</v>
          </cell>
          <cell r="G737">
            <v>4.2919999999999998E-3</v>
          </cell>
          <cell r="H737">
            <v>5.21</v>
          </cell>
          <cell r="I737" t="str">
            <v>2020-04-01</v>
          </cell>
          <cell r="J737">
            <v>1224</v>
          </cell>
          <cell r="K737">
            <v>3.1</v>
          </cell>
          <cell r="L737">
            <v>100.26</v>
          </cell>
          <cell r="M737" t="str">
            <v>$</v>
          </cell>
          <cell r="N737" t="str">
            <v>RFL</v>
          </cell>
          <cell r="O737" t="str">
            <v>Renta Fija Local</v>
          </cell>
          <cell r="P737" t="str">
            <v>AA ; AA</v>
          </cell>
          <cell r="Q737" t="str">
            <v>Corto</v>
          </cell>
          <cell r="R737" t="str">
            <v>Corporativo Bajo Riesgo Corto</v>
          </cell>
          <cell r="S737">
            <v>2.21</v>
          </cell>
          <cell r="T737" t="str">
            <v>AA</v>
          </cell>
          <cell r="U737" t="str">
            <v>3</v>
          </cell>
          <cell r="V737" t="str">
            <v>Bajo Riesgo</v>
          </cell>
          <cell r="W737" t="str">
            <v>Corporativo</v>
          </cell>
          <cell r="X737" t="str">
            <v>Bajo Riesgo Corto $</v>
          </cell>
          <cell r="Y737" t="str">
            <v>Corporativo Bajo Riesgo Corto</v>
          </cell>
          <cell r="Z737" t="str">
            <v>Corto $</v>
          </cell>
          <cell r="AA737" t="str">
            <v>Corporativo Corto</v>
          </cell>
          <cell r="AB737" t="str">
            <v>Corporativo $</v>
          </cell>
          <cell r="AC737" t="str">
            <v>Instrumentos de Deuda</v>
          </cell>
          <cell r="AD737" t="str">
            <v>Financieras</v>
          </cell>
          <cell r="AE737" t="str">
            <v>Bono Forum Servicios Financieros Serie Ax</v>
          </cell>
          <cell r="AF737" t="str">
            <v>Forum Servicios Financieros S.A.</v>
          </cell>
        </row>
        <row r="738">
          <cell r="C738" t="str">
            <v>BRPL-K0315</v>
          </cell>
          <cell r="D738" t="str">
            <v>BBRIPLEY</v>
          </cell>
          <cell r="E738">
            <v>1056932293</v>
          </cell>
          <cell r="F738">
            <v>40000</v>
          </cell>
          <cell r="G738">
            <v>1.1228999999999999E-2</v>
          </cell>
          <cell r="H738">
            <v>2.64</v>
          </cell>
          <cell r="I738" t="str">
            <v>2020-03-01</v>
          </cell>
          <cell r="J738">
            <v>1193</v>
          </cell>
          <cell r="K738">
            <v>3.14</v>
          </cell>
          <cell r="L738">
            <v>99.88</v>
          </cell>
          <cell r="M738" t="str">
            <v>UF</v>
          </cell>
          <cell r="N738" t="str">
            <v>RFL</v>
          </cell>
          <cell r="O738" t="str">
            <v>Renta Fija Local</v>
          </cell>
          <cell r="P738" t="str">
            <v>A+ ; A+</v>
          </cell>
          <cell r="Q738" t="str">
            <v>Corto</v>
          </cell>
          <cell r="R738" t="str">
            <v>Corporativo Alto Riesgo Corto</v>
          </cell>
          <cell r="S738">
            <v>2.64</v>
          </cell>
          <cell r="T738" t="str">
            <v>A+</v>
          </cell>
          <cell r="U738" t="str">
            <v>5</v>
          </cell>
          <cell r="V738" t="str">
            <v>Alto Riesgo</v>
          </cell>
          <cell r="W738" t="str">
            <v>Corporativo</v>
          </cell>
          <cell r="X738" t="str">
            <v>Alto Riesgo Corto UF</v>
          </cell>
          <cell r="Y738" t="str">
            <v>Corporativo Alto Riesgo Corto</v>
          </cell>
          <cell r="Z738" t="str">
            <v>Corto UF</v>
          </cell>
          <cell r="AA738" t="str">
            <v>Corporativo Corto</v>
          </cell>
          <cell r="AB738" t="str">
            <v>Corporativo UF</v>
          </cell>
          <cell r="AC738" t="str">
            <v>Instrumentos de Deuda</v>
          </cell>
          <cell r="AD738" t="str">
            <v>Financieras</v>
          </cell>
          <cell r="AE738" t="str">
            <v>Bono Bancario Ripley Serie E</v>
          </cell>
          <cell r="AF738" t="str">
            <v>Banco Ripley</v>
          </cell>
        </row>
        <row r="739">
          <cell r="C739" t="str">
            <v>BBBVM41113</v>
          </cell>
          <cell r="D739" t="str">
            <v>BBBVA</v>
          </cell>
          <cell r="E739">
            <v>266959471</v>
          </cell>
          <cell r="F739">
            <v>10000</v>
          </cell>
          <cell r="G739">
            <v>2.836E-3</v>
          </cell>
          <cell r="H739">
            <v>2.59</v>
          </cell>
          <cell r="I739" t="str">
            <v>2020-05-01</v>
          </cell>
          <cell r="J739">
            <v>1254</v>
          </cell>
          <cell r="K739">
            <v>3.29</v>
          </cell>
          <cell r="L739">
            <v>101.32</v>
          </cell>
          <cell r="M739" t="str">
            <v>UF</v>
          </cell>
          <cell r="N739" t="str">
            <v>RFL</v>
          </cell>
          <cell r="O739" t="str">
            <v>Renta Fija Local</v>
          </cell>
          <cell r="P739" t="str">
            <v>AA ; AA+</v>
          </cell>
          <cell r="Q739" t="str">
            <v>Corto</v>
          </cell>
          <cell r="R739" t="str">
            <v>Corporativo Bajo Riesgo Corto</v>
          </cell>
          <cell r="S739">
            <v>2.59</v>
          </cell>
          <cell r="T739" t="str">
            <v>AA</v>
          </cell>
          <cell r="U739" t="str">
            <v>3</v>
          </cell>
          <cell r="V739" t="str">
            <v>Bajo Riesgo</v>
          </cell>
          <cell r="W739" t="str">
            <v>Corporativo</v>
          </cell>
          <cell r="X739" t="str">
            <v>Bajo Riesgo Corto UF</v>
          </cell>
          <cell r="Y739" t="str">
            <v>Corporativo Bajo Riesgo Corto</v>
          </cell>
          <cell r="Z739" t="str">
            <v>Corto UF</v>
          </cell>
          <cell r="AA739" t="str">
            <v>Corporativo Corto</v>
          </cell>
          <cell r="AB739" t="str">
            <v>Corporativo UF</v>
          </cell>
          <cell r="AC739" t="str">
            <v>Instrumentos de Deuda</v>
          </cell>
          <cell r="AD739" t="str">
            <v>Financieras</v>
          </cell>
          <cell r="AE739" t="str">
            <v>Bono Bancario Bbva Serie M4</v>
          </cell>
          <cell r="AF739" t="str">
            <v>BBVA</v>
          </cell>
        </row>
        <row r="740">
          <cell r="C740" t="str">
            <v>BUDC-A</v>
          </cell>
          <cell r="D740" t="str">
            <v>UDECONCE</v>
          </cell>
          <cell r="E740">
            <v>757934959</v>
          </cell>
          <cell r="F740">
            <v>35500</v>
          </cell>
          <cell r="G740">
            <v>8.0520000000000001E-3</v>
          </cell>
          <cell r="H740">
            <v>4.41</v>
          </cell>
          <cell r="I740" t="str">
            <v>2021-11-10</v>
          </cell>
          <cell r="J740">
            <v>1812</v>
          </cell>
          <cell r="K740">
            <v>3.36</v>
          </cell>
          <cell r="L740">
            <v>104.85</v>
          </cell>
          <cell r="M740" t="str">
            <v>UF</v>
          </cell>
          <cell r="N740" t="str">
            <v>RFL</v>
          </cell>
          <cell r="O740" t="str">
            <v>Renta Fija Local</v>
          </cell>
          <cell r="P740" t="str">
            <v>BBB+ ; A+</v>
          </cell>
          <cell r="Q740" t="str">
            <v>Corto</v>
          </cell>
          <cell r="R740" t="str">
            <v>Corporativo Alto Riesgo Corto</v>
          </cell>
          <cell r="S740">
            <v>4.41</v>
          </cell>
          <cell r="T740" t="str">
            <v>BBB+</v>
          </cell>
          <cell r="U740" t="str">
            <v>8</v>
          </cell>
          <cell r="V740" t="str">
            <v>Alto Riesgo</v>
          </cell>
          <cell r="W740" t="str">
            <v>Corporativo</v>
          </cell>
          <cell r="X740" t="str">
            <v>Alto Riesgo Corto UF</v>
          </cell>
          <cell r="Y740" t="str">
            <v>Corporativo Alto Riesgo Corto</v>
          </cell>
          <cell r="Z740" t="str">
            <v>Corto UF</v>
          </cell>
          <cell r="AA740" t="str">
            <v>Corporativo Corto</v>
          </cell>
          <cell r="AB740" t="str">
            <v>Corporativo UF</v>
          </cell>
          <cell r="AC740" t="str">
            <v>Instrumentos de Deuda</v>
          </cell>
          <cell r="AD740" t="str">
            <v>Otros</v>
          </cell>
          <cell r="AE740" t="str">
            <v>Bono Universidad De Concepcion Serie A</v>
          </cell>
          <cell r="AF740" t="str">
            <v>Universidad de Concepción</v>
          </cell>
        </row>
        <row r="741">
          <cell r="C741" t="str">
            <v>SANT0920</v>
          </cell>
          <cell r="D741" t="str">
            <v>SANT-CHILE</v>
          </cell>
          <cell r="E741">
            <v>2021827778</v>
          </cell>
          <cell r="F741">
            <v>2000000000</v>
          </cell>
          <cell r="G741">
            <v>2.1481E-2</v>
          </cell>
          <cell r="H741">
            <v>0</v>
          </cell>
          <cell r="I741" t="str">
            <v>2020-09-22</v>
          </cell>
          <cell r="J741">
            <v>1398</v>
          </cell>
          <cell r="K741">
            <v>3.41</v>
          </cell>
          <cell r="L741">
            <v>99.99</v>
          </cell>
          <cell r="M741" t="str">
            <v>$</v>
          </cell>
          <cell r="N741" t="str">
            <v>RFL</v>
          </cell>
          <cell r="O741" t="str">
            <v>Renta Fija Local</v>
          </cell>
          <cell r="P741" t="str">
            <v>A+</v>
          </cell>
          <cell r="Q741" t="str">
            <v>Corto</v>
          </cell>
          <cell r="R741" t="str">
            <v>Corporativo Bajo Riesgo Corto</v>
          </cell>
          <cell r="S741">
            <v>0</v>
          </cell>
          <cell r="T741" t="str">
            <v>A+</v>
          </cell>
          <cell r="U741" t="str">
            <v>5</v>
          </cell>
          <cell r="V741" t="str">
            <v>Bajo Riesgo</v>
          </cell>
          <cell r="W741" t="str">
            <v>Corporativo</v>
          </cell>
          <cell r="X741" t="str">
            <v>Bajo Riesgo Corto $</v>
          </cell>
          <cell r="Y741" t="str">
            <v>Corporativo Bajo Riesgo Corto</v>
          </cell>
          <cell r="Z741" t="str">
            <v>Corto $</v>
          </cell>
          <cell r="AA741" t="str">
            <v>Corporativo Corto</v>
          </cell>
          <cell r="AB741" t="str">
            <v>Corporativo $</v>
          </cell>
          <cell r="AC741" t="str">
            <v>Instrumentos de Deuda</v>
          </cell>
          <cell r="AD741" t="str">
            <v>Financieras</v>
          </cell>
          <cell r="AE741" t="str">
            <v>Bono Banco Santander</v>
          </cell>
          <cell r="AF741" t="str">
            <v>Banco Santander</v>
          </cell>
        </row>
        <row r="742">
          <cell r="C742" t="str">
            <v>BMGAS-F</v>
          </cell>
          <cell r="D742" t="str">
            <v>METROGAS</v>
          </cell>
          <cell r="E742">
            <v>598938531</v>
          </cell>
          <cell r="F742">
            <v>37500</v>
          </cell>
          <cell r="G742">
            <v>6.3629999999999997E-3</v>
          </cell>
          <cell r="H742">
            <v>2.64</v>
          </cell>
          <cell r="I742" t="str">
            <v>2024-08-01</v>
          </cell>
          <cell r="J742">
            <v>2807</v>
          </cell>
          <cell r="K742">
            <v>3.55</v>
          </cell>
          <cell r="L742">
            <v>111.8</v>
          </cell>
          <cell r="M742" t="str">
            <v>UF</v>
          </cell>
          <cell r="N742" t="str">
            <v>RFL</v>
          </cell>
          <cell r="O742" t="str">
            <v>Renta Fija Local</v>
          </cell>
          <cell r="P742" t="str">
            <v>AA ; AA-</v>
          </cell>
          <cell r="Q742" t="str">
            <v>Corto</v>
          </cell>
          <cell r="R742" t="str">
            <v>Corporativo Bajo Riesgo Corto</v>
          </cell>
          <cell r="S742">
            <v>2.64</v>
          </cell>
          <cell r="T742" t="str">
            <v>AA-</v>
          </cell>
          <cell r="U742" t="str">
            <v>4</v>
          </cell>
          <cell r="V742" t="str">
            <v>Bajo Riesgo</v>
          </cell>
          <cell r="W742" t="str">
            <v>Corporativo</v>
          </cell>
          <cell r="X742" t="str">
            <v>Bajo Riesgo Corto UF</v>
          </cell>
          <cell r="Y742" t="str">
            <v>Corporativo Bajo Riesgo Corto</v>
          </cell>
          <cell r="Z742" t="str">
            <v>Corto UF</v>
          </cell>
          <cell r="AA742" t="str">
            <v>Corporativo Corto</v>
          </cell>
          <cell r="AB742" t="str">
            <v>Corporativo UF</v>
          </cell>
          <cell r="AC742" t="str">
            <v>Instrumentos de Deuda</v>
          </cell>
          <cell r="AD742" t="str">
            <v>Energía</v>
          </cell>
          <cell r="AE742" t="str">
            <v>Bono Metrogas Serie F</v>
          </cell>
          <cell r="AF742" t="str">
            <v>Metrogas</v>
          </cell>
        </row>
        <row r="743">
          <cell r="C743" t="str">
            <v>BCNO-U0915</v>
          </cell>
          <cell r="D743" t="str">
            <v>BBCONSORC</v>
          </cell>
          <cell r="E743">
            <v>651617599</v>
          </cell>
          <cell r="F743">
            <v>25000</v>
          </cell>
          <cell r="G743">
            <v>6.9230000000000003E-3</v>
          </cell>
          <cell r="H743">
            <v>2.7</v>
          </cell>
          <cell r="I743" t="str">
            <v>2020-09-01</v>
          </cell>
          <cell r="J743">
            <v>1377</v>
          </cell>
          <cell r="K743">
            <v>3.62</v>
          </cell>
          <cell r="L743">
            <v>98.59</v>
          </cell>
          <cell r="M743" t="str">
            <v>UF</v>
          </cell>
          <cell r="N743" t="str">
            <v>RFL</v>
          </cell>
          <cell r="O743" t="str">
            <v>Renta Fija Local</v>
          </cell>
          <cell r="P743" t="str">
            <v>AA- ; AA-</v>
          </cell>
          <cell r="Q743" t="str">
            <v>Corto</v>
          </cell>
          <cell r="R743" t="str">
            <v>Corporativo Bajo Riesgo Corto</v>
          </cell>
          <cell r="S743">
            <v>2.7</v>
          </cell>
          <cell r="T743" t="str">
            <v>AA-</v>
          </cell>
          <cell r="U743" t="str">
            <v>4</v>
          </cell>
          <cell r="V743" t="str">
            <v>Bajo Riesgo</v>
          </cell>
          <cell r="W743" t="str">
            <v>Corporativo</v>
          </cell>
          <cell r="X743" t="str">
            <v>Bajo Riesgo Corto UF</v>
          </cell>
          <cell r="Y743" t="str">
            <v>Corporativo Bajo Riesgo Corto</v>
          </cell>
          <cell r="Z743" t="str">
            <v>Corto UF</v>
          </cell>
          <cell r="AA743" t="str">
            <v>Corporativo Corto</v>
          </cell>
          <cell r="AB743" t="str">
            <v>Corporativo UF</v>
          </cell>
          <cell r="AC743" t="str">
            <v>Instrumentos de Deuda</v>
          </cell>
          <cell r="AD743" t="str">
            <v>Financieras</v>
          </cell>
          <cell r="AE743" t="str">
            <v>Bono Banco Consorcio Serie U</v>
          </cell>
          <cell r="AF743" t="str">
            <v>Banco Consorcio</v>
          </cell>
        </row>
        <row r="744">
          <cell r="C744" t="str">
            <v>BENJO-C</v>
          </cell>
          <cell r="D744" t="str">
            <v>ENJOY</v>
          </cell>
          <cell r="E744">
            <v>1222787731</v>
          </cell>
          <cell r="F744">
            <v>46500</v>
          </cell>
          <cell r="G744">
            <v>1.2991000000000001E-2</v>
          </cell>
          <cell r="H744">
            <v>5.3</v>
          </cell>
          <cell r="I744" t="str">
            <v>2024-06-20</v>
          </cell>
          <cell r="J744">
            <v>2765</v>
          </cell>
          <cell r="K744">
            <v>3.79</v>
          </cell>
          <cell r="L744">
            <v>98.02</v>
          </cell>
          <cell r="M744" t="str">
            <v>UF</v>
          </cell>
          <cell r="N744" t="str">
            <v>RFL</v>
          </cell>
          <cell r="O744" t="str">
            <v>Renta Fija Local</v>
          </cell>
          <cell r="P744" t="str">
            <v>BBB ;BBB-</v>
          </cell>
          <cell r="Q744" t="str">
            <v>Corto</v>
          </cell>
          <cell r="R744" t="str">
            <v>Corporativo Alto Riesgo Corto</v>
          </cell>
          <cell r="S744">
            <v>5.3</v>
          </cell>
          <cell r="T744" t="str">
            <v>BBB-</v>
          </cell>
          <cell r="U744" t="str">
            <v>10</v>
          </cell>
          <cell r="V744" t="str">
            <v>Alto Riesgo</v>
          </cell>
          <cell r="W744" t="str">
            <v>Corporativo</v>
          </cell>
          <cell r="X744" t="str">
            <v>Alto Riesgo Corto UF</v>
          </cell>
          <cell r="Y744" t="str">
            <v>Corporativo Alto Riesgo Corto</v>
          </cell>
          <cell r="Z744" t="str">
            <v>Corto UF</v>
          </cell>
          <cell r="AA744" t="str">
            <v>Corporativo Corto</v>
          </cell>
          <cell r="AB744" t="str">
            <v>Corporativo UF</v>
          </cell>
          <cell r="AC744" t="str">
            <v>Instrumentos de Deuda</v>
          </cell>
          <cell r="AD744" t="str">
            <v>Consumo</v>
          </cell>
          <cell r="AE744" t="str">
            <v>Bono Enjoy Serie C</v>
          </cell>
          <cell r="AF744" t="str">
            <v>Enjoy</v>
          </cell>
        </row>
        <row r="745">
          <cell r="C745" t="str">
            <v>BENJO-E</v>
          </cell>
          <cell r="D745" t="str">
            <v>ENJOY</v>
          </cell>
          <cell r="E745">
            <v>1081959445</v>
          </cell>
          <cell r="F745">
            <v>42000</v>
          </cell>
          <cell r="G745">
            <v>1.1495E-2</v>
          </cell>
          <cell r="H745">
            <v>5.3</v>
          </cell>
          <cell r="I745" t="str">
            <v>2024-06-20</v>
          </cell>
          <cell r="J745">
            <v>2765</v>
          </cell>
          <cell r="K745">
            <v>3.81</v>
          </cell>
          <cell r="L745">
            <v>96.22</v>
          </cell>
          <cell r="M745" t="str">
            <v>UF</v>
          </cell>
          <cell r="N745" t="str">
            <v>RFL</v>
          </cell>
          <cell r="O745" t="str">
            <v>Renta Fija Local</v>
          </cell>
          <cell r="P745" t="str">
            <v>BBB ;BBB-</v>
          </cell>
          <cell r="Q745" t="str">
            <v>Corto</v>
          </cell>
          <cell r="R745" t="str">
            <v>Corporativo Alto Riesgo Corto</v>
          </cell>
          <cell r="S745">
            <v>5.3</v>
          </cell>
          <cell r="T745" t="str">
            <v>BBB-</v>
          </cell>
          <cell r="U745" t="str">
            <v>10</v>
          </cell>
          <cell r="V745" t="str">
            <v>Alto Riesgo</v>
          </cell>
          <cell r="W745" t="str">
            <v>Corporativo</v>
          </cell>
          <cell r="X745" t="str">
            <v>Alto Riesgo Corto UF</v>
          </cell>
          <cell r="Y745" t="str">
            <v>Corporativo Alto Riesgo Corto</v>
          </cell>
          <cell r="Z745" t="str">
            <v>Corto UF</v>
          </cell>
          <cell r="AA745" t="str">
            <v>Corporativo Corto</v>
          </cell>
          <cell r="AB745" t="str">
            <v>Corporativo UF</v>
          </cell>
          <cell r="AC745" t="str">
            <v>Instrumentos de Deuda</v>
          </cell>
          <cell r="AD745" t="str">
            <v>Consumo</v>
          </cell>
          <cell r="AE745" t="str">
            <v>Bono Enjoy Serie E</v>
          </cell>
          <cell r="AF745" t="str">
            <v>Enjoy</v>
          </cell>
        </row>
        <row r="746">
          <cell r="C746" t="str">
            <v>BCHIS-P18A</v>
          </cell>
          <cell r="D746" t="str">
            <v>BANCHILSEC</v>
          </cell>
          <cell r="E746">
            <v>1168640235</v>
          </cell>
          <cell r="F746">
            <v>1135000000</v>
          </cell>
          <cell r="G746">
            <v>1.2416E-2</v>
          </cell>
          <cell r="H746">
            <v>5.56</v>
          </cell>
          <cell r="I746" t="str">
            <v>2022-03-01</v>
          </cell>
          <cell r="J746">
            <v>1923</v>
          </cell>
          <cell r="K746">
            <v>3.85</v>
          </cell>
          <cell r="L746">
            <v>101.61</v>
          </cell>
          <cell r="M746" t="str">
            <v>$</v>
          </cell>
          <cell r="N746" t="str">
            <v>RFL</v>
          </cell>
          <cell r="O746" t="str">
            <v>Renta Fija Local</v>
          </cell>
          <cell r="P746" t="str">
            <v>AA ; AA</v>
          </cell>
          <cell r="Q746" t="str">
            <v>Corto</v>
          </cell>
          <cell r="R746" t="str">
            <v>Corporativo Bajo Riesgo Corto</v>
          </cell>
          <cell r="S746">
            <v>2.56</v>
          </cell>
          <cell r="T746" t="str">
            <v>AA</v>
          </cell>
          <cell r="U746" t="str">
            <v>3</v>
          </cell>
          <cell r="V746" t="str">
            <v>Bajo Riesgo</v>
          </cell>
          <cell r="W746" t="str">
            <v>Corporativo</v>
          </cell>
          <cell r="X746" t="str">
            <v>Bajo Riesgo Corto $</v>
          </cell>
          <cell r="Y746" t="str">
            <v>Corporativo Bajo Riesgo Corto</v>
          </cell>
          <cell r="Z746" t="str">
            <v>Corto $</v>
          </cell>
          <cell r="AA746" t="str">
            <v>Corporativo Corto</v>
          </cell>
          <cell r="AB746" t="str">
            <v>Corporativo $</v>
          </cell>
          <cell r="AC746" t="str">
            <v>Instrumentos de Deuda</v>
          </cell>
          <cell r="AD746" t="str">
            <v>Financieras</v>
          </cell>
          <cell r="AE746" t="str">
            <v>Bono Banchile Securitizadora</v>
          </cell>
          <cell r="AF746" t="str">
            <v>Banchile Securitizadora</v>
          </cell>
        </row>
        <row r="747">
          <cell r="C747" t="str">
            <v>BFORU-BD</v>
          </cell>
          <cell r="D747" t="str">
            <v>LEAS FORUM</v>
          </cell>
          <cell r="E747">
            <v>1162297869</v>
          </cell>
          <cell r="F747">
            <v>43500</v>
          </cell>
          <cell r="G747">
            <v>1.2349000000000001E-2</v>
          </cell>
          <cell r="H747">
            <v>2.77</v>
          </cell>
          <cell r="I747" t="str">
            <v>2021-03-01</v>
          </cell>
          <cell r="J747">
            <v>1558</v>
          </cell>
          <cell r="K747">
            <v>4.01</v>
          </cell>
          <cell r="L747">
            <v>100.91</v>
          </cell>
          <cell r="M747" t="str">
            <v>UF</v>
          </cell>
          <cell r="N747" t="str">
            <v>RFL</v>
          </cell>
          <cell r="O747" t="str">
            <v>Renta Fija Local</v>
          </cell>
          <cell r="P747" t="str">
            <v>AA ; AA</v>
          </cell>
          <cell r="Q747" t="str">
            <v>Corto</v>
          </cell>
          <cell r="R747" t="str">
            <v>Corporativo Bajo Riesgo Corto</v>
          </cell>
          <cell r="S747">
            <v>2.77</v>
          </cell>
          <cell r="T747" t="str">
            <v>AA</v>
          </cell>
          <cell r="U747" t="str">
            <v>3</v>
          </cell>
          <cell r="V747" t="str">
            <v>Bajo Riesgo</v>
          </cell>
          <cell r="W747" t="str">
            <v>Corporativo</v>
          </cell>
          <cell r="X747" t="str">
            <v>Bajo Riesgo Corto UF</v>
          </cell>
          <cell r="Y747" t="str">
            <v>Corporativo Bajo Riesgo Corto</v>
          </cell>
          <cell r="Z747" t="str">
            <v>Corto UF</v>
          </cell>
          <cell r="AA747" t="str">
            <v>Corporativo Corto</v>
          </cell>
          <cell r="AB747" t="str">
            <v>Corporativo UF</v>
          </cell>
          <cell r="AC747" t="str">
            <v>Instrumentos de Deuda</v>
          </cell>
          <cell r="AD747" t="str">
            <v>Financieras</v>
          </cell>
          <cell r="AE747" t="str">
            <v>Bono Forum Servicios Financieros Serie Bd</v>
          </cell>
          <cell r="AF747" t="str">
            <v>Forum Servicios Financieros S.A.</v>
          </cell>
        </row>
        <row r="748">
          <cell r="C748" t="str">
            <v>BCAPS-G</v>
          </cell>
          <cell r="D748" t="str">
            <v>CAP</v>
          </cell>
          <cell r="E748">
            <v>873970545</v>
          </cell>
          <cell r="F748">
            <v>30000</v>
          </cell>
          <cell r="G748">
            <v>9.2849999999999999E-3</v>
          </cell>
          <cell r="H748">
            <v>4.1900000000000004</v>
          </cell>
          <cell r="I748" t="str">
            <v>2021-07-01</v>
          </cell>
          <cell r="J748">
            <v>1680</v>
          </cell>
          <cell r="K748">
            <v>4.01</v>
          </cell>
          <cell r="L748">
            <v>108.12</v>
          </cell>
          <cell r="M748" t="str">
            <v>UF</v>
          </cell>
          <cell r="N748" t="str">
            <v>RFL</v>
          </cell>
          <cell r="O748" t="str">
            <v>Renta Fija Local</v>
          </cell>
          <cell r="P748" t="str">
            <v>A+ ; A+</v>
          </cell>
          <cell r="Q748" t="str">
            <v>Corto</v>
          </cell>
          <cell r="R748" t="str">
            <v>Corporativo Alto Riesgo Corto</v>
          </cell>
          <cell r="S748">
            <v>4.1900000000000004</v>
          </cell>
          <cell r="T748" t="str">
            <v>A+</v>
          </cell>
          <cell r="U748" t="str">
            <v>5</v>
          </cell>
          <cell r="V748" t="str">
            <v>Alto Riesgo</v>
          </cell>
          <cell r="W748" t="str">
            <v>Corporativo</v>
          </cell>
          <cell r="X748" t="str">
            <v>Alto Riesgo Corto UF</v>
          </cell>
          <cell r="Y748" t="str">
            <v>Corporativo Alto Riesgo Corto</v>
          </cell>
          <cell r="Z748" t="str">
            <v>Corto UF</v>
          </cell>
          <cell r="AA748" t="str">
            <v>Corporativo Corto</v>
          </cell>
          <cell r="AB748" t="str">
            <v>Corporativo UF</v>
          </cell>
          <cell r="AC748"/>
          <cell r="AD748"/>
          <cell r="AE748"/>
          <cell r="AF748" t="str">
            <v>CAP</v>
          </cell>
        </row>
        <row r="749">
          <cell r="C749" t="str">
            <v>BANOR-B2</v>
          </cell>
          <cell r="D749" t="str">
            <v>AUTONORTE</v>
          </cell>
          <cell r="E749">
            <v>936999559</v>
          </cell>
          <cell r="F749">
            <v>30000</v>
          </cell>
          <cell r="G749">
            <v>9.9550000000000003E-3</v>
          </cell>
          <cell r="H749">
            <v>2.5499999999999998</v>
          </cell>
          <cell r="I749" t="str">
            <v>2024-12-30</v>
          </cell>
          <cell r="J749">
            <v>2958</v>
          </cell>
          <cell r="K749">
            <v>4.18</v>
          </cell>
          <cell r="L749">
            <v>113.24</v>
          </cell>
          <cell r="M749" t="str">
            <v>UF</v>
          </cell>
          <cell r="N749" t="str">
            <v>RFL</v>
          </cell>
          <cell r="O749" t="str">
            <v>Renta Fija Local</v>
          </cell>
          <cell r="P749" t="str">
            <v>AAA ; AA+</v>
          </cell>
          <cell r="Q749" t="str">
            <v>Corto</v>
          </cell>
          <cell r="R749" t="str">
            <v>Corporativo Bajo Riesgo Corto</v>
          </cell>
          <cell r="S749">
            <v>2.5499999999999998</v>
          </cell>
          <cell r="T749" t="str">
            <v>AA+</v>
          </cell>
          <cell r="U749" t="str">
            <v>2</v>
          </cell>
          <cell r="V749" t="str">
            <v>Bajo Riesgo</v>
          </cell>
          <cell r="W749" t="str">
            <v>Corporativo</v>
          </cell>
          <cell r="X749" t="str">
            <v>Bajo Riesgo Corto UF</v>
          </cell>
          <cell r="Y749" t="str">
            <v>Corporativo Bajo Riesgo Corto</v>
          </cell>
          <cell r="Z749" t="str">
            <v>Corto UF</v>
          </cell>
          <cell r="AA749" t="str">
            <v>Corporativo Corto</v>
          </cell>
          <cell r="AB749" t="str">
            <v>Corporativo UF</v>
          </cell>
          <cell r="AC749" t="str">
            <v>Instrumentos de Deuda</v>
          </cell>
          <cell r="AD749" t="str">
            <v>Otros</v>
          </cell>
          <cell r="AE749" t="str">
            <v>Autopista Norte Serie B2</v>
          </cell>
          <cell r="AF749" t="str">
            <v>Soc. Conc. Vespucio Norte Express S.A.</v>
          </cell>
        </row>
        <row r="750">
          <cell r="C750" t="str">
            <v>BTMOV-K</v>
          </cell>
          <cell r="D750" t="str">
            <v>MOVISTAR</v>
          </cell>
          <cell r="E750">
            <v>599369043</v>
          </cell>
          <cell r="F750">
            <v>600000000</v>
          </cell>
          <cell r="G750">
            <v>6.3680000000000004E-3</v>
          </cell>
          <cell r="H750">
            <v>5.15</v>
          </cell>
          <cell r="I750" t="str">
            <v>2021-09-13</v>
          </cell>
          <cell r="J750">
            <v>1754</v>
          </cell>
          <cell r="K750">
            <v>4.3</v>
          </cell>
          <cell r="L750">
            <v>98.97</v>
          </cell>
          <cell r="M750" t="str">
            <v>$</v>
          </cell>
          <cell r="N750" t="str">
            <v>RFL</v>
          </cell>
          <cell r="O750" t="str">
            <v>Renta Fija Local</v>
          </cell>
          <cell r="P750" t="str">
            <v>AA+ ; AA</v>
          </cell>
          <cell r="Q750" t="str">
            <v>Corto</v>
          </cell>
          <cell r="R750" t="str">
            <v>Corporativo Bajo Riesgo Corto</v>
          </cell>
          <cell r="S750">
            <v>2.15</v>
          </cell>
          <cell r="T750" t="str">
            <v>AA</v>
          </cell>
          <cell r="U750" t="str">
            <v>3</v>
          </cell>
          <cell r="V750" t="str">
            <v>Bajo Riesgo</v>
          </cell>
          <cell r="W750" t="str">
            <v>Corporativo</v>
          </cell>
          <cell r="X750" t="str">
            <v>Bajo Riesgo Corto $</v>
          </cell>
          <cell r="Y750" t="str">
            <v>Corporativo Bajo Riesgo Corto</v>
          </cell>
          <cell r="Z750" t="str">
            <v>Corto $</v>
          </cell>
          <cell r="AA750" t="str">
            <v>Corporativo Corto</v>
          </cell>
          <cell r="AB750" t="str">
            <v>Corporativo $</v>
          </cell>
          <cell r="AC750"/>
          <cell r="AD750"/>
          <cell r="AE750"/>
          <cell r="AF750" t="str">
            <v>Movistar</v>
          </cell>
        </row>
        <row r="751">
          <cell r="C751" t="str">
            <v>BMELI-A</v>
          </cell>
          <cell r="D751" t="str">
            <v>MELIPILLA</v>
          </cell>
          <cell r="E751">
            <v>1047284477</v>
          </cell>
          <cell r="F751">
            <v>43000</v>
          </cell>
          <cell r="G751">
            <v>1.1127E-2</v>
          </cell>
          <cell r="H751">
            <v>4.29</v>
          </cell>
          <cell r="I751" t="str">
            <v>2024-12-01</v>
          </cell>
          <cell r="J751">
            <v>2929</v>
          </cell>
          <cell r="K751">
            <v>4.32</v>
          </cell>
          <cell r="L751">
            <v>109.33</v>
          </cell>
          <cell r="M751" t="str">
            <v>UF</v>
          </cell>
          <cell r="N751" t="str">
            <v>RFL</v>
          </cell>
          <cell r="O751" t="str">
            <v>Renta Fija Local</v>
          </cell>
          <cell r="P751" t="str">
            <v>BBB ; BBB-</v>
          </cell>
          <cell r="Q751" t="str">
            <v>Corto</v>
          </cell>
          <cell r="R751" t="str">
            <v>Corporativo Alto Riesgo Corto</v>
          </cell>
          <cell r="S751">
            <v>4.29</v>
          </cell>
          <cell r="T751" t="str">
            <v>BBB-</v>
          </cell>
          <cell r="U751" t="str">
            <v>10</v>
          </cell>
          <cell r="V751" t="str">
            <v>Alto Riesgo</v>
          </cell>
          <cell r="W751" t="str">
            <v>Corporativo</v>
          </cell>
          <cell r="X751" t="str">
            <v>Alto Riesgo Corto UF</v>
          </cell>
          <cell r="Y751" t="str">
            <v>Corporativo Alto Riesgo Corto</v>
          </cell>
          <cell r="Z751" t="str">
            <v>Corto UF</v>
          </cell>
          <cell r="AA751" t="str">
            <v>Corporativo Corto</v>
          </cell>
          <cell r="AB751" t="str">
            <v>Corporativo UF</v>
          </cell>
          <cell r="AC751" t="str">
            <v>Instrumentos de Deuda</v>
          </cell>
          <cell r="AD751" t="str">
            <v>Otros</v>
          </cell>
          <cell r="AE751" t="str">
            <v>Bono Autopista Melipilla Serie A</v>
          </cell>
          <cell r="AF751" t="str">
            <v>Soc. Concesionaria Melipilla S.A.</v>
          </cell>
        </row>
        <row r="752">
          <cell r="C752" t="str">
            <v>BGASC-F2</v>
          </cell>
          <cell r="D752" t="str">
            <v>GASCO</v>
          </cell>
          <cell r="E752">
            <v>266921172</v>
          </cell>
          <cell r="F752">
            <v>10000</v>
          </cell>
          <cell r="G752">
            <v>2.8349999999999998E-3</v>
          </cell>
          <cell r="H752">
            <v>2.5099999999999998</v>
          </cell>
          <cell r="I752" t="str">
            <v>2025-12-01</v>
          </cell>
          <cell r="J752">
            <v>3294</v>
          </cell>
          <cell r="K752">
            <v>4.34</v>
          </cell>
          <cell r="L752">
            <v>121.06</v>
          </cell>
          <cell r="M752" t="str">
            <v>UF</v>
          </cell>
          <cell r="N752" t="str">
            <v>RFL</v>
          </cell>
          <cell r="O752" t="str">
            <v>Renta Fija Local</v>
          </cell>
          <cell r="P752" t="str">
            <v>AA- ; AA</v>
          </cell>
          <cell r="Q752" t="str">
            <v>Corto</v>
          </cell>
          <cell r="R752" t="str">
            <v>Corporativo Bajo Riesgo Corto</v>
          </cell>
          <cell r="S752">
            <v>2.5099999999999998</v>
          </cell>
          <cell r="T752" t="str">
            <v>AA-</v>
          </cell>
          <cell r="U752" t="str">
            <v>4</v>
          </cell>
          <cell r="V752" t="str">
            <v>Bajo Riesgo</v>
          </cell>
          <cell r="W752" t="str">
            <v>Corporativo</v>
          </cell>
          <cell r="X752" t="str">
            <v>Bajo Riesgo Corto UF</v>
          </cell>
          <cell r="Y752" t="str">
            <v>Corporativo Bajo Riesgo Corto</v>
          </cell>
          <cell r="Z752" t="str">
            <v>Corto UF</v>
          </cell>
          <cell r="AA752" t="str">
            <v>Corporativo Corto</v>
          </cell>
          <cell r="AB752" t="str">
            <v>Corporativo UF</v>
          </cell>
          <cell r="AC752" t="str">
            <v>Instumentos de Deuda</v>
          </cell>
          <cell r="AD752" t="str">
            <v>Energía</v>
          </cell>
          <cell r="AE752" t="str">
            <v>Bono GASCO serie F2</v>
          </cell>
          <cell r="AF752" t="str">
            <v>Gasco</v>
          </cell>
        </row>
        <row r="753">
          <cell r="C753" t="str">
            <v>BINDE-A</v>
          </cell>
          <cell r="D753" t="str">
            <v>CFIRENTAS</v>
          </cell>
          <cell r="E753">
            <v>1052393588</v>
          </cell>
          <cell r="F753">
            <v>40000</v>
          </cell>
          <cell r="G753">
            <v>1.1181E-2</v>
          </cell>
          <cell r="H753">
            <v>2.48</v>
          </cell>
          <cell r="I753" t="str">
            <v>2021-07-15</v>
          </cell>
          <cell r="J753">
            <v>1694</v>
          </cell>
          <cell r="K753">
            <v>4.3899999999999997</v>
          </cell>
          <cell r="L753">
            <v>99.23</v>
          </cell>
          <cell r="M753" t="str">
            <v>UF</v>
          </cell>
          <cell r="N753" t="str">
            <v>RFL</v>
          </cell>
          <cell r="O753" t="str">
            <v>Renta Fija Local</v>
          </cell>
          <cell r="P753" t="str">
            <v>AA- ; AA-</v>
          </cell>
          <cell r="Q753" t="str">
            <v>Corto</v>
          </cell>
          <cell r="R753" t="str">
            <v>Corporativo Bajo Riesgo Corto</v>
          </cell>
          <cell r="S753">
            <v>2.48</v>
          </cell>
          <cell r="T753" t="str">
            <v>AA-</v>
          </cell>
          <cell r="U753" t="str">
            <v>4</v>
          </cell>
          <cell r="V753" t="str">
            <v>Bajo Riesgo</v>
          </cell>
          <cell r="W753" t="str">
            <v>Corporativo</v>
          </cell>
          <cell r="X753" t="str">
            <v>Bajo Riesgo Corto UF</v>
          </cell>
          <cell r="Y753" t="str">
            <v>Corporativo Bajo Riesgo Corto</v>
          </cell>
          <cell r="Z753" t="str">
            <v>Corto UF</v>
          </cell>
          <cell r="AA753" t="str">
            <v>Corporativo Corto</v>
          </cell>
          <cell r="AB753" t="str">
            <v>Corporativo UF</v>
          </cell>
          <cell r="AC753"/>
          <cell r="AD753"/>
          <cell r="AE753"/>
          <cell r="AF753"/>
        </row>
        <row r="754">
          <cell r="C754" t="str">
            <v>BBANM-B</v>
          </cell>
          <cell r="D754" t="str">
            <v>BANMEDICA</v>
          </cell>
          <cell r="E754">
            <v>6446391</v>
          </cell>
          <cell r="F754">
            <v>500</v>
          </cell>
          <cell r="G754">
            <v>6.7999999999999999E-5</v>
          </cell>
          <cell r="H754">
            <v>3.8</v>
          </cell>
          <cell r="I754" t="str">
            <v>2026-04-15</v>
          </cell>
          <cell r="J754">
            <v>3429</v>
          </cell>
          <cell r="K754">
            <v>4.4000000000000004</v>
          </cell>
          <cell r="L754">
            <v>100.86</v>
          </cell>
          <cell r="M754" t="str">
            <v>UF</v>
          </cell>
          <cell r="N754" t="str">
            <v>RFL</v>
          </cell>
          <cell r="O754" t="str">
            <v>Renta Fija Local</v>
          </cell>
          <cell r="P754" t="str">
            <v>AA- ; AA-</v>
          </cell>
          <cell r="Q754" t="str">
            <v>Corto</v>
          </cell>
          <cell r="R754" t="str">
            <v>Corporativo Bajo Riesgo Corto</v>
          </cell>
          <cell r="S754">
            <v>3.8</v>
          </cell>
          <cell r="T754" t="str">
            <v>AA-</v>
          </cell>
          <cell r="U754" t="str">
            <v>4</v>
          </cell>
          <cell r="V754" t="str">
            <v>Bajo Riesgo</v>
          </cell>
          <cell r="W754" t="str">
            <v>Corporativo</v>
          </cell>
          <cell r="X754" t="str">
            <v>Bajo Riesgo Corto UF</v>
          </cell>
          <cell r="Y754" t="str">
            <v>Corporativo Bajo Riesgo Corto</v>
          </cell>
          <cell r="Z754" t="str">
            <v>Corto UF</v>
          </cell>
          <cell r="AA754" t="str">
            <v>Corporativo Corto</v>
          </cell>
          <cell r="AB754" t="str">
            <v>Corporativo UF</v>
          </cell>
          <cell r="AC754" t="str">
            <v>Instrumentos de Deuda</v>
          </cell>
          <cell r="AD754" t="str">
            <v>Salud</v>
          </cell>
          <cell r="AE754" t="str">
            <v>Bono Banmedica Serie B</v>
          </cell>
          <cell r="AF754" t="str">
            <v>Banmedica</v>
          </cell>
        </row>
        <row r="755">
          <cell r="C755" t="str">
            <v>BITA-K0911</v>
          </cell>
          <cell r="D755" t="str">
            <v>BBITAU</v>
          </cell>
          <cell r="E755">
            <v>823539765</v>
          </cell>
          <cell r="F755">
            <v>30000</v>
          </cell>
          <cell r="G755">
            <v>8.7489999999999998E-3</v>
          </cell>
          <cell r="H755">
            <v>2.68</v>
          </cell>
          <cell r="I755" t="str">
            <v>2021-09-01</v>
          </cell>
          <cell r="J755">
            <v>1742</v>
          </cell>
          <cell r="K755">
            <v>4.41</v>
          </cell>
          <cell r="L755">
            <v>103.56</v>
          </cell>
          <cell r="M755" t="str">
            <v>UF</v>
          </cell>
          <cell r="N755" t="str">
            <v>RFL</v>
          </cell>
          <cell r="O755" t="str">
            <v>Renta Fija Local</v>
          </cell>
          <cell r="P755" t="str">
            <v>AA ; AA</v>
          </cell>
          <cell r="Q755" t="str">
            <v>Corto</v>
          </cell>
          <cell r="R755" t="str">
            <v>Corporativo Bajo Riesgo Corto</v>
          </cell>
          <cell r="S755">
            <v>2.68</v>
          </cell>
          <cell r="T755" t="str">
            <v>AA</v>
          </cell>
          <cell r="U755" t="str">
            <v>3</v>
          </cell>
          <cell r="V755" t="str">
            <v>Bajo Riesgo</v>
          </cell>
          <cell r="W755" t="str">
            <v>Corporativo</v>
          </cell>
          <cell r="X755" t="str">
            <v>Bajo Riesgo Corto UF</v>
          </cell>
          <cell r="Y755" t="str">
            <v>Corporativo Bajo Riesgo Corto</v>
          </cell>
          <cell r="Z755" t="str">
            <v>Corto UF</v>
          </cell>
          <cell r="AA755" t="str">
            <v>Corporativo Corto</v>
          </cell>
          <cell r="AB755" t="str">
            <v>Corporativo UF</v>
          </cell>
          <cell r="AC755" t="str">
            <v>Instrumentos de Deuda</v>
          </cell>
          <cell r="AD755" t="str">
            <v>Financieras</v>
          </cell>
          <cell r="AE755" t="str">
            <v>Bono Banco Itau Serie K</v>
          </cell>
          <cell r="AF755" t="str">
            <v>Itau/Corpbanca</v>
          </cell>
        </row>
        <row r="756">
          <cell r="C756" t="str">
            <v>BNAVI-A</v>
          </cell>
          <cell r="D756" t="str">
            <v>NAVIERA</v>
          </cell>
          <cell r="E756">
            <v>320048698</v>
          </cell>
          <cell r="F756">
            <v>12000</v>
          </cell>
          <cell r="G756">
            <v>3.3999999999999998E-3</v>
          </cell>
          <cell r="H756">
            <v>4.13</v>
          </cell>
          <cell r="I756" t="str">
            <v>2025-02-16</v>
          </cell>
          <cell r="J756">
            <v>3006</v>
          </cell>
          <cell r="K756">
            <v>4.4400000000000004</v>
          </cell>
          <cell r="L756">
            <v>100.28</v>
          </cell>
          <cell r="M756" t="str">
            <v>UF</v>
          </cell>
          <cell r="N756" t="str">
            <v>RFL</v>
          </cell>
          <cell r="O756" t="str">
            <v>Renta Fija Local</v>
          </cell>
          <cell r="P756" t="str">
            <v>BBB+;BBB+</v>
          </cell>
          <cell r="Q756" t="str">
            <v>Corto</v>
          </cell>
          <cell r="R756" t="str">
            <v>Corporativo Alto Riesgo Corto</v>
          </cell>
          <cell r="S756">
            <v>4.13</v>
          </cell>
          <cell r="T756" t="str">
            <v>BBB+</v>
          </cell>
          <cell r="U756" t="str">
            <v>8</v>
          </cell>
          <cell r="V756" t="str">
            <v>Alto Riesgo</v>
          </cell>
          <cell r="W756" t="str">
            <v>Corporativo</v>
          </cell>
          <cell r="X756" t="str">
            <v>Alto Riesgo Corto UF</v>
          </cell>
          <cell r="Y756" t="str">
            <v>Corporativo Alto Riesgo Corto</v>
          </cell>
          <cell r="Z756" t="str">
            <v>Corto UF</v>
          </cell>
          <cell r="AA756" t="str">
            <v>Corporativo Corto</v>
          </cell>
          <cell r="AB756" t="str">
            <v>Corporativo UF</v>
          </cell>
          <cell r="AC756" t="str">
            <v>Instrumentos de Deuda</v>
          </cell>
          <cell r="AD756" t="str">
            <v>Transporte</v>
          </cell>
          <cell r="AE756" t="str">
            <v>Bono Naviera Serie A</v>
          </cell>
          <cell r="AF756" t="str">
            <v>Empresas Navieras S.A.</v>
          </cell>
        </row>
        <row r="757">
          <cell r="C757" t="str">
            <v>UBBV-A1203</v>
          </cell>
          <cell r="D757" t="str">
            <v>BBBVA</v>
          </cell>
          <cell r="E757">
            <v>510173616</v>
          </cell>
          <cell r="F757">
            <v>20000</v>
          </cell>
          <cell r="G757">
            <v>5.4200000000000003E-3</v>
          </cell>
          <cell r="H757">
            <v>2.85</v>
          </cell>
          <cell r="I757" t="str">
            <v>2027-12-01</v>
          </cell>
          <cell r="J757">
            <v>4024</v>
          </cell>
          <cell r="K757">
            <v>4.74</v>
          </cell>
          <cell r="L757">
            <v>114.81</v>
          </cell>
          <cell r="M757" t="str">
            <v>UF</v>
          </cell>
          <cell r="N757" t="str">
            <v>RFL</v>
          </cell>
          <cell r="O757" t="str">
            <v>Renta Fija Local</v>
          </cell>
          <cell r="P757" t="str">
            <v>AA ; AA+</v>
          </cell>
          <cell r="Q757" t="str">
            <v>Largo</v>
          </cell>
          <cell r="R757" t="str">
            <v>Corporativo Bajo Riesgo Largo</v>
          </cell>
          <cell r="S757">
            <v>2.85</v>
          </cell>
          <cell r="T757" t="str">
            <v>AA</v>
          </cell>
          <cell r="U757" t="str">
            <v>3</v>
          </cell>
          <cell r="V757" t="str">
            <v>Bajo Riesgo</v>
          </cell>
          <cell r="W757" t="str">
            <v>Corporativo</v>
          </cell>
          <cell r="X757" t="str">
            <v>Bajo Riesgo Largo UF</v>
          </cell>
          <cell r="Y757" t="str">
            <v>Corporativo Bajo Riesgo Largo</v>
          </cell>
          <cell r="Z757" t="str">
            <v>Largo UF</v>
          </cell>
          <cell r="AA757" t="str">
            <v>Corporativo Largo</v>
          </cell>
          <cell r="AB757" t="str">
            <v>Corporativo UF</v>
          </cell>
          <cell r="AC757" t="str">
            <v>Instrumentos de Deuda</v>
          </cell>
          <cell r="AD757" t="str">
            <v>Financieras</v>
          </cell>
          <cell r="AE757" t="str">
            <v>Bono Subordinado Bbva</v>
          </cell>
          <cell r="AF757" t="str">
            <v>BBVA</v>
          </cell>
        </row>
        <row r="758">
          <cell r="C758" t="str">
            <v>BJUMB-B2</v>
          </cell>
          <cell r="D758" t="str">
            <v>JUMBO</v>
          </cell>
          <cell r="E758">
            <v>967874745</v>
          </cell>
          <cell r="F758">
            <v>40000</v>
          </cell>
          <cell r="G758">
            <v>1.0283E-2</v>
          </cell>
          <cell r="H758">
            <v>2.86</v>
          </cell>
          <cell r="I758" t="str">
            <v>2026-09-01</v>
          </cell>
          <cell r="J758">
            <v>3568</v>
          </cell>
          <cell r="K758">
            <v>4.9800000000000004</v>
          </cell>
          <cell r="L758">
            <v>118.31</v>
          </cell>
          <cell r="M758" t="str">
            <v>UF</v>
          </cell>
          <cell r="N758" t="str">
            <v>RFL</v>
          </cell>
          <cell r="O758" t="str">
            <v>Renta Fija Local</v>
          </cell>
          <cell r="P758" t="str">
            <v>AA- ; AA-</v>
          </cell>
          <cell r="Q758" t="str">
            <v>Largo</v>
          </cell>
          <cell r="R758" t="str">
            <v>Corporativo Bajo Riesgo Largo</v>
          </cell>
          <cell r="S758">
            <v>2.86</v>
          </cell>
          <cell r="T758" t="str">
            <v>AA-</v>
          </cell>
          <cell r="U758" t="str">
            <v>4</v>
          </cell>
          <cell r="V758" t="str">
            <v>Bajo Riesgo</v>
          </cell>
          <cell r="W758" t="str">
            <v>Corporativo</v>
          </cell>
          <cell r="X758" t="str">
            <v>Bajo Riesgo Largo UF</v>
          </cell>
          <cell r="Y758" t="str">
            <v>Corporativo Bajo Riesgo Largo</v>
          </cell>
          <cell r="Z758" t="str">
            <v>Largo UF</v>
          </cell>
          <cell r="AA758" t="str">
            <v>Corporativo Largo</v>
          </cell>
          <cell r="AB758" t="str">
            <v>Corporativo UF</v>
          </cell>
          <cell r="AC758"/>
          <cell r="AD758"/>
          <cell r="AE758"/>
          <cell r="AF758"/>
        </row>
        <row r="759">
          <cell r="C759" t="str">
            <v>BBCIF20812</v>
          </cell>
          <cell r="D759" t="str">
            <v>BBCREDITO</v>
          </cell>
          <cell r="E759">
            <v>1058658719</v>
          </cell>
          <cell r="F759">
            <v>40000</v>
          </cell>
          <cell r="G759">
            <v>1.1247E-2</v>
          </cell>
          <cell r="H759">
            <v>2.65</v>
          </cell>
          <cell r="I759" t="str">
            <v>2022-08-01</v>
          </cell>
          <cell r="J759">
            <v>2076</v>
          </cell>
          <cell r="K759">
            <v>5.28</v>
          </cell>
          <cell r="L759">
            <v>99.82</v>
          </cell>
          <cell r="M759" t="str">
            <v>UF</v>
          </cell>
          <cell r="N759" t="str">
            <v>RFL</v>
          </cell>
          <cell r="O759" t="str">
            <v>Renta Fija Local</v>
          </cell>
          <cell r="P759" t="str">
            <v>AA+ ; AA+</v>
          </cell>
          <cell r="Q759" t="str">
            <v>Largo</v>
          </cell>
          <cell r="R759" t="str">
            <v>Corporativo Bajo Riesgo Largo</v>
          </cell>
          <cell r="S759">
            <v>2.65</v>
          </cell>
          <cell r="T759" t="str">
            <v>AA+</v>
          </cell>
          <cell r="U759" t="str">
            <v>2</v>
          </cell>
          <cell r="V759" t="str">
            <v>Bajo Riesgo</v>
          </cell>
          <cell r="W759" t="str">
            <v>Corporativo</v>
          </cell>
          <cell r="X759" t="str">
            <v>Bajo Riesgo Largo UF</v>
          </cell>
          <cell r="Y759" t="str">
            <v>Corporativo Bajo Riesgo Largo</v>
          </cell>
          <cell r="Z759" t="str">
            <v>Largo UF</v>
          </cell>
          <cell r="AA759" t="str">
            <v>Corporativo Largo</v>
          </cell>
          <cell r="AB759" t="str">
            <v>Corporativo UF</v>
          </cell>
          <cell r="AC759" t="str">
            <v>Instrumentos de Deuda</v>
          </cell>
          <cell r="AD759" t="str">
            <v>Financieras</v>
          </cell>
          <cell r="AE759" t="str">
            <v>Bono Banc Bci Subserie Af2, Serie Af</v>
          </cell>
          <cell r="AF759" t="str">
            <v>BCI</v>
          </cell>
        </row>
        <row r="760">
          <cell r="C760" t="str">
            <v>BCOLB-F</v>
          </cell>
          <cell r="D760" t="str">
            <v>COLBUN</v>
          </cell>
          <cell r="E760">
            <v>1130454473</v>
          </cell>
          <cell r="F760">
            <v>54000</v>
          </cell>
          <cell r="G760">
            <v>1.201E-2</v>
          </cell>
          <cell r="H760">
            <v>2.71</v>
          </cell>
          <cell r="I760" t="str">
            <v>2028-05-01</v>
          </cell>
          <cell r="J760">
            <v>4176</v>
          </cell>
          <cell r="K760">
            <v>5.34</v>
          </cell>
          <cell r="L760">
            <v>103.61</v>
          </cell>
          <cell r="M760" t="str">
            <v>UF</v>
          </cell>
          <cell r="N760" t="str">
            <v>RFL</v>
          </cell>
          <cell r="O760" t="str">
            <v>Renta Fija Local</v>
          </cell>
          <cell r="P760" t="str">
            <v>A+ ; AA-</v>
          </cell>
          <cell r="Q760" t="str">
            <v>Largo</v>
          </cell>
          <cell r="R760" t="str">
            <v>Corporativo Alto Riesgo Largo</v>
          </cell>
          <cell r="S760">
            <v>2.71</v>
          </cell>
          <cell r="T760" t="str">
            <v>A+</v>
          </cell>
          <cell r="U760" t="str">
            <v>5</v>
          </cell>
          <cell r="V760" t="str">
            <v>Alto Riesgo</v>
          </cell>
          <cell r="W760" t="str">
            <v>Corporativo</v>
          </cell>
          <cell r="X760" t="str">
            <v>Alto Riesgo Largo UF</v>
          </cell>
          <cell r="Y760" t="str">
            <v>Corporativo Alto Riesgo Largo</v>
          </cell>
          <cell r="Z760" t="str">
            <v>Largo UF</v>
          </cell>
          <cell r="AA760" t="str">
            <v>Corporativo Largo</v>
          </cell>
          <cell r="AB760" t="str">
            <v>Corporativo UF</v>
          </cell>
          <cell r="AC760" t="str">
            <v>Instrumentos de Deuda</v>
          </cell>
          <cell r="AD760" t="str">
            <v>Energía</v>
          </cell>
          <cell r="AE760" t="str">
            <v>Bono Colbun Serie F</v>
          </cell>
          <cell r="AF760" t="str">
            <v>Colbún S.A.</v>
          </cell>
        </row>
        <row r="761">
          <cell r="C761" t="str">
            <v>BANSM-A</v>
          </cell>
          <cell r="D761" t="str">
            <v>AGUAS NSUR</v>
          </cell>
          <cell r="E761">
            <v>426746951</v>
          </cell>
          <cell r="F761">
            <v>15000</v>
          </cell>
          <cell r="G761">
            <v>4.5339999999999998E-3</v>
          </cell>
          <cell r="H761">
            <v>2.61</v>
          </cell>
          <cell r="I761" t="str">
            <v>2028-03-21</v>
          </cell>
          <cell r="J761">
            <v>4135</v>
          </cell>
          <cell r="K761">
            <v>5.4</v>
          </cell>
          <cell r="L761">
            <v>107.44</v>
          </cell>
          <cell r="M761" t="str">
            <v>UF</v>
          </cell>
          <cell r="N761" t="str">
            <v>RFL</v>
          </cell>
          <cell r="O761" t="str">
            <v>Renta Fija Local</v>
          </cell>
          <cell r="P761" t="str">
            <v>AA- ; AA</v>
          </cell>
          <cell r="Q761" t="str">
            <v>Largo</v>
          </cell>
          <cell r="R761" t="str">
            <v>Corporativo Bajo Riesgo Largo</v>
          </cell>
          <cell r="S761">
            <v>2.61</v>
          </cell>
          <cell r="T761" t="str">
            <v>AA-</v>
          </cell>
          <cell r="U761" t="str">
            <v>4</v>
          </cell>
          <cell r="V761" t="str">
            <v>Bajo Riesgo</v>
          </cell>
          <cell r="W761" t="str">
            <v>Corporativo</v>
          </cell>
          <cell r="X761" t="str">
            <v>Bajo Riesgo Largo UF</v>
          </cell>
          <cell r="Y761" t="str">
            <v>Corporativo Bajo Riesgo Largo</v>
          </cell>
          <cell r="Z761" t="str">
            <v>Largo UF</v>
          </cell>
          <cell r="AA761" t="str">
            <v>Corporativo Largo</v>
          </cell>
          <cell r="AB761" t="str">
            <v>Corporativo UF</v>
          </cell>
          <cell r="AC761" t="str">
            <v>Instrumentos de Deuda</v>
          </cell>
          <cell r="AD761" t="str">
            <v>Servicios Básicos</v>
          </cell>
          <cell r="AE761" t="str">
            <v>Bono Aguas Nuevo Sur Serie A</v>
          </cell>
          <cell r="AF761" t="str">
            <v>Aguas Nuevo Sur</v>
          </cell>
        </row>
        <row r="762">
          <cell r="C762" t="str">
            <v>UFAL-A0607</v>
          </cell>
          <cell r="D762" t="str">
            <v>BBFALABELL</v>
          </cell>
          <cell r="E762">
            <v>1268421927</v>
          </cell>
          <cell r="F762">
            <v>50000</v>
          </cell>
          <cell r="G762">
            <v>1.3476E-2</v>
          </cell>
          <cell r="H762">
            <v>2.76</v>
          </cell>
          <cell r="I762" t="str">
            <v>2028-06-15</v>
          </cell>
          <cell r="J762">
            <v>4221</v>
          </cell>
          <cell r="K762">
            <v>5.48</v>
          </cell>
          <cell r="L762">
            <v>106.69</v>
          </cell>
          <cell r="M762" t="str">
            <v>UF</v>
          </cell>
          <cell r="N762" t="str">
            <v>RFL</v>
          </cell>
          <cell r="O762" t="str">
            <v>Renta Fija Local</v>
          </cell>
          <cell r="P762" t="str">
            <v>AA- ; A+</v>
          </cell>
          <cell r="Q762" t="str">
            <v>Largo</v>
          </cell>
          <cell r="R762" t="str">
            <v>Corporativo Alto Riesgo Largo</v>
          </cell>
          <cell r="S762">
            <v>2.76</v>
          </cell>
          <cell r="T762" t="str">
            <v>A+</v>
          </cell>
          <cell r="U762" t="str">
            <v>5</v>
          </cell>
          <cell r="V762" t="str">
            <v>Alto Riesgo</v>
          </cell>
          <cell r="W762" t="str">
            <v>Corporativo</v>
          </cell>
          <cell r="X762" t="str">
            <v>Alto Riesgo Largo UF</v>
          </cell>
          <cell r="Y762" t="str">
            <v>Corporativo Alto Riesgo Largo</v>
          </cell>
          <cell r="Z762" t="str">
            <v>Largo UF</v>
          </cell>
          <cell r="AA762" t="str">
            <v>Corporativo Largo</v>
          </cell>
          <cell r="AB762" t="str">
            <v>Corporativo UF</v>
          </cell>
          <cell r="AC762" t="str">
            <v>Instrumentos de Deuda</v>
          </cell>
          <cell r="AD762" t="str">
            <v>Financieras</v>
          </cell>
          <cell r="AE762" t="str">
            <v>Bono Subordinado Banco Falabella Serie A</v>
          </cell>
          <cell r="AF762" t="str">
            <v>Banco Falabella</v>
          </cell>
        </row>
        <row r="763">
          <cell r="C763" t="str">
            <v>BANUE-A</v>
          </cell>
          <cell r="D763" t="str">
            <v>AGUAS NUEV</v>
          </cell>
          <cell r="E763">
            <v>283560599</v>
          </cell>
          <cell r="F763">
            <v>10000</v>
          </cell>
          <cell r="G763">
            <v>3.0119999999999999E-3</v>
          </cell>
          <cell r="H763">
            <v>2.6</v>
          </cell>
          <cell r="I763" t="str">
            <v>2028-05-15</v>
          </cell>
          <cell r="J763">
            <v>4190</v>
          </cell>
          <cell r="K763">
            <v>5.55</v>
          </cell>
          <cell r="L763">
            <v>107.71</v>
          </cell>
          <cell r="M763" t="str">
            <v>UF</v>
          </cell>
          <cell r="N763" t="str">
            <v>RFL</v>
          </cell>
          <cell r="O763" t="str">
            <v>Renta Fija Local</v>
          </cell>
          <cell r="P763" t="str">
            <v>AA- ; AA-</v>
          </cell>
          <cell r="Q763" t="str">
            <v>Largo</v>
          </cell>
          <cell r="R763" t="str">
            <v>Corporativo Bajo Riesgo Largo</v>
          </cell>
          <cell r="S763">
            <v>2.6</v>
          </cell>
          <cell r="T763" t="str">
            <v>AA-</v>
          </cell>
          <cell r="U763" t="str">
            <v>4</v>
          </cell>
          <cell r="V763" t="str">
            <v>Bajo Riesgo</v>
          </cell>
          <cell r="W763" t="str">
            <v>Corporativo</v>
          </cell>
          <cell r="X763" t="str">
            <v>Bajo Riesgo Largo UF</v>
          </cell>
          <cell r="Y763" t="str">
            <v>Corporativo Bajo Riesgo Largo</v>
          </cell>
          <cell r="Z763" t="str">
            <v>Largo UF</v>
          </cell>
          <cell r="AA763" t="str">
            <v>Corporativo Largo</v>
          </cell>
          <cell r="AB763" t="str">
            <v>Corporativo UF</v>
          </cell>
          <cell r="AC763" t="str">
            <v>Instrumentos de Deuda</v>
          </cell>
          <cell r="AD763" t="str">
            <v>Servicios Básicos</v>
          </cell>
          <cell r="AE763" t="str">
            <v>Bono Aguas Nuevas Serie A</v>
          </cell>
          <cell r="AF763" t="str">
            <v>Aguas Nuevas S.A.</v>
          </cell>
        </row>
        <row r="764">
          <cell r="C764" t="str">
            <v>LBTYA 0124</v>
          </cell>
          <cell r="D764" t="str">
            <v>VTR FIN</v>
          </cell>
          <cell r="E764">
            <v>704334142</v>
          </cell>
          <cell r="F764">
            <v>1000000</v>
          </cell>
          <cell r="G764">
            <v>7.4830000000000001E-3</v>
          </cell>
          <cell r="H764">
            <v>0</v>
          </cell>
          <cell r="I764" t="str">
            <v>2024-01-15</v>
          </cell>
          <cell r="J764">
            <v>2608</v>
          </cell>
          <cell r="K764">
            <v>5.64</v>
          </cell>
          <cell r="L764">
            <v>101.25</v>
          </cell>
          <cell r="M764" t="str">
            <v>USD</v>
          </cell>
          <cell r="N764" t="str">
            <v>RFL</v>
          </cell>
          <cell r="O764" t="str">
            <v>Renta Fija Local</v>
          </cell>
          <cell r="P764" t="str">
            <v>B+</v>
          </cell>
          <cell r="Q764" t="str">
            <v>Largo</v>
          </cell>
          <cell r="R764" t="str">
            <v>Corporativo Alto Riesgo Largo</v>
          </cell>
          <cell r="S764">
            <v>0</v>
          </cell>
          <cell r="T764" t="str">
            <v>B+</v>
          </cell>
          <cell r="U764" t="str">
            <v>14</v>
          </cell>
          <cell r="V764" t="str">
            <v>Alto Riesgo</v>
          </cell>
          <cell r="W764" t="str">
            <v>Corporativo</v>
          </cell>
          <cell r="X764" t="str">
            <v>Alto Riesgo Largo USD</v>
          </cell>
          <cell r="Y764" t="str">
            <v>Corporativo Alto Riesgo Largo</v>
          </cell>
          <cell r="Z764" t="str">
            <v>Largo USD</v>
          </cell>
          <cell r="AA764" t="str">
            <v>Corporativo Largo</v>
          </cell>
          <cell r="AB764" t="str">
            <v>Corporativo USD</v>
          </cell>
          <cell r="AC764" t="str">
            <v>Instumentos de Deuda</v>
          </cell>
          <cell r="AD764" t="str">
            <v>Comunicaciones</v>
          </cell>
          <cell r="AE764" t="str">
            <v>Bono VTR USD</v>
          </cell>
          <cell r="AF764" t="str">
            <v>VTR</v>
          </cell>
        </row>
        <row r="765">
          <cell r="C765" t="str">
            <v>BBANM-D</v>
          </cell>
          <cell r="D765" t="str">
            <v>BANMEDICA</v>
          </cell>
          <cell r="E765">
            <v>453173374</v>
          </cell>
          <cell r="F765">
            <v>24000</v>
          </cell>
          <cell r="G765">
            <v>4.8139999999999997E-3</v>
          </cell>
          <cell r="H765">
            <v>2.7</v>
          </cell>
          <cell r="I765" t="str">
            <v>2029-05-02</v>
          </cell>
          <cell r="J765">
            <v>4542</v>
          </cell>
          <cell r="K765">
            <v>5.7</v>
          </cell>
          <cell r="L765">
            <v>103.06</v>
          </cell>
          <cell r="M765" t="str">
            <v>UF</v>
          </cell>
          <cell r="N765" t="str">
            <v>RFL</v>
          </cell>
          <cell r="O765" t="str">
            <v>Renta Fija Local</v>
          </cell>
          <cell r="P765" t="str">
            <v>AA- ; AA-</v>
          </cell>
          <cell r="Q765" t="str">
            <v>Largo</v>
          </cell>
          <cell r="R765" t="str">
            <v>Corporativo Bajo Riesgo Largo</v>
          </cell>
          <cell r="S765">
            <v>2.7</v>
          </cell>
          <cell r="T765" t="str">
            <v>AA-</v>
          </cell>
          <cell r="U765" t="str">
            <v>4</v>
          </cell>
          <cell r="V765" t="str">
            <v>Bajo Riesgo</v>
          </cell>
          <cell r="W765" t="str">
            <v>Corporativo</v>
          </cell>
          <cell r="X765" t="str">
            <v>Bajo Riesgo Largo UF</v>
          </cell>
          <cell r="Y765" t="str">
            <v>Corporativo Bajo Riesgo Largo</v>
          </cell>
          <cell r="Z765" t="str">
            <v>Largo UF</v>
          </cell>
          <cell r="AA765" t="str">
            <v>Corporativo Largo</v>
          </cell>
          <cell r="AB765" t="str">
            <v>Corporativo UF</v>
          </cell>
          <cell r="AC765" t="str">
            <v>Instrumentos de Deuda</v>
          </cell>
          <cell r="AD765" t="str">
            <v>Salud</v>
          </cell>
          <cell r="AE765" t="str">
            <v>Bonos Banmedica Serie D</v>
          </cell>
          <cell r="AF765" t="str">
            <v>Banmedica</v>
          </cell>
        </row>
        <row r="766">
          <cell r="C766" t="str">
            <v>BITAQ10512</v>
          </cell>
          <cell r="D766" t="str">
            <v>BBITAU</v>
          </cell>
          <cell r="E766">
            <v>556346807</v>
          </cell>
          <cell r="F766">
            <v>20000</v>
          </cell>
          <cell r="G766">
            <v>5.9109999999999996E-3</v>
          </cell>
          <cell r="H766">
            <v>2.79</v>
          </cell>
          <cell r="I766" t="str">
            <v>2023-05-01</v>
          </cell>
          <cell r="J766">
            <v>2349</v>
          </cell>
          <cell r="K766">
            <v>5.79</v>
          </cell>
          <cell r="L766">
            <v>105.53</v>
          </cell>
          <cell r="M766" t="str">
            <v>UF</v>
          </cell>
          <cell r="N766" t="str">
            <v>RFL</v>
          </cell>
          <cell r="O766" t="str">
            <v>Renta Fija Local</v>
          </cell>
          <cell r="P766" t="str">
            <v>AA- ; AA</v>
          </cell>
          <cell r="Q766" t="str">
            <v>Largo</v>
          </cell>
          <cell r="R766" t="str">
            <v>Corporativo Bajo Riesgo Largo</v>
          </cell>
          <cell r="S766">
            <v>2.79</v>
          </cell>
          <cell r="T766" t="str">
            <v>AA-</v>
          </cell>
          <cell r="U766" t="str">
            <v>4</v>
          </cell>
          <cell r="V766" t="str">
            <v>Bajo Riesgo</v>
          </cell>
          <cell r="W766" t="str">
            <v>Corporativo</v>
          </cell>
          <cell r="X766" t="str">
            <v>Bajo Riesgo Largo UF</v>
          </cell>
          <cell r="Y766" t="str">
            <v>Corporativo Bajo Riesgo Largo</v>
          </cell>
          <cell r="Z766" t="str">
            <v>Largo UF</v>
          </cell>
          <cell r="AA766" t="str">
            <v>Corporativo Largo</v>
          </cell>
          <cell r="AB766" t="str">
            <v>Corporativo UF</v>
          </cell>
          <cell r="AC766" t="str">
            <v>Instrumentos de Deuda</v>
          </cell>
          <cell r="AD766" t="str">
            <v>Financieras</v>
          </cell>
          <cell r="AE766" t="str">
            <v>Bono Banco Itau Serie Q1</v>
          </cell>
          <cell r="AF766" t="str">
            <v>Itau/Corpbanca</v>
          </cell>
        </row>
        <row r="767">
          <cell r="C767" t="str">
            <v>BGENE-N</v>
          </cell>
          <cell r="D767" t="str">
            <v>CHILGENER</v>
          </cell>
          <cell r="E767">
            <v>1459602223</v>
          </cell>
          <cell r="F767">
            <v>51000</v>
          </cell>
          <cell r="G767">
            <v>1.5507E-2</v>
          </cell>
          <cell r="H767">
            <v>2.93</v>
          </cell>
          <cell r="I767" t="str">
            <v>2028-12-01</v>
          </cell>
          <cell r="J767">
            <v>4390</v>
          </cell>
          <cell r="K767">
            <v>5.84</v>
          </cell>
          <cell r="L767">
            <v>106.74</v>
          </cell>
          <cell r="M767" t="str">
            <v>UF</v>
          </cell>
          <cell r="N767" t="str">
            <v>RFL</v>
          </cell>
          <cell r="O767" t="str">
            <v>Renta Fija Local</v>
          </cell>
          <cell r="P767" t="str">
            <v>A+ ; A+</v>
          </cell>
          <cell r="Q767" t="str">
            <v>Largo</v>
          </cell>
          <cell r="R767" t="str">
            <v>Corporativo Alto Riesgo Largo</v>
          </cell>
          <cell r="S767">
            <v>2.93</v>
          </cell>
          <cell r="T767" t="str">
            <v>A+</v>
          </cell>
          <cell r="U767" t="str">
            <v>5</v>
          </cell>
          <cell r="V767" t="str">
            <v>Alto Riesgo</v>
          </cell>
          <cell r="W767" t="str">
            <v>Corporativo</v>
          </cell>
          <cell r="X767" t="str">
            <v>Alto Riesgo Largo UF</v>
          </cell>
          <cell r="Y767" t="str">
            <v>Corporativo Alto Riesgo Largo</v>
          </cell>
          <cell r="Z767" t="str">
            <v>Largo UF</v>
          </cell>
          <cell r="AA767" t="str">
            <v>Corporativo Largo</v>
          </cell>
          <cell r="AB767" t="str">
            <v>Corporativo UF</v>
          </cell>
          <cell r="AC767" t="str">
            <v>Instrumentos de Deuda</v>
          </cell>
          <cell r="AD767" t="str">
            <v>Energía</v>
          </cell>
          <cell r="AE767" t="str">
            <v>Bono Aes Gener S.A. Serie N</v>
          </cell>
          <cell r="AF767" t="str">
            <v>AES Gener S.A.</v>
          </cell>
        </row>
        <row r="768">
          <cell r="C768" t="str">
            <v>BAVNO-A1</v>
          </cell>
          <cell r="D768" t="str">
            <v>AUTOVESNOR</v>
          </cell>
          <cell r="E768">
            <v>2482183368</v>
          </cell>
          <cell r="F768">
            <v>90000</v>
          </cell>
          <cell r="G768">
            <v>2.6372E-2</v>
          </cell>
          <cell r="H768">
            <v>3.03</v>
          </cell>
          <cell r="I768" t="str">
            <v>2028-12-15</v>
          </cell>
          <cell r="J768">
            <v>4404</v>
          </cell>
          <cell r="K768">
            <v>6.1</v>
          </cell>
          <cell r="L768">
            <v>113.88</v>
          </cell>
          <cell r="M768" t="str">
            <v>UF</v>
          </cell>
          <cell r="N768" t="str">
            <v>RFL</v>
          </cell>
          <cell r="O768" t="str">
            <v>Renta Fija Local</v>
          </cell>
          <cell r="P768" t="str">
            <v>A- ; A</v>
          </cell>
          <cell r="Q768" t="str">
            <v>Largo</v>
          </cell>
          <cell r="R768" t="str">
            <v>Corporativo Alto Riesgo Largo</v>
          </cell>
          <cell r="S768">
            <v>3.03</v>
          </cell>
          <cell r="T768" t="str">
            <v>A-</v>
          </cell>
          <cell r="U768" t="str">
            <v>7</v>
          </cell>
          <cell r="V768" t="str">
            <v>Alto Riesgo</v>
          </cell>
          <cell r="W768" t="str">
            <v>Corporativo</v>
          </cell>
          <cell r="X768" t="str">
            <v>Alto Riesgo Largo UF</v>
          </cell>
          <cell r="Y768" t="str">
            <v>Corporativo Alto Riesgo Largo</v>
          </cell>
          <cell r="Z768" t="str">
            <v>Largo UF</v>
          </cell>
          <cell r="AA768" t="str">
            <v>Corporativo Largo</v>
          </cell>
          <cell r="AB768" t="str">
            <v>Corporativo UF</v>
          </cell>
          <cell r="AC768" t="str">
            <v>Instrumentos de Deuda</v>
          </cell>
          <cell r="AD768" t="str">
            <v>Otros</v>
          </cell>
          <cell r="AE768" t="str">
            <v>Bono Vespucio Norte Express Serie A1</v>
          </cell>
          <cell r="AF768" t="str">
            <v>Soc. Conc. Vespucio Norte Express S.A.</v>
          </cell>
        </row>
        <row r="769">
          <cell r="C769" t="str">
            <v>BTMOV-F</v>
          </cell>
          <cell r="D769" t="str">
            <v>MOVISTAR</v>
          </cell>
          <cell r="E769">
            <v>915887875</v>
          </cell>
          <cell r="F769">
            <v>32500</v>
          </cell>
          <cell r="G769">
            <v>9.7310000000000001E-3</v>
          </cell>
          <cell r="H769">
            <v>2.52</v>
          </cell>
          <cell r="I769" t="str">
            <v>2023-10-04</v>
          </cell>
          <cell r="J769">
            <v>2505</v>
          </cell>
          <cell r="K769">
            <v>6.15</v>
          </cell>
          <cell r="L769">
            <v>106.63</v>
          </cell>
          <cell r="M769" t="str">
            <v>UF</v>
          </cell>
          <cell r="N769" t="str">
            <v>RFL</v>
          </cell>
          <cell r="O769" t="str">
            <v>Renta Fija Local</v>
          </cell>
          <cell r="P769" t="str">
            <v>AA ; AA+</v>
          </cell>
          <cell r="Q769" t="str">
            <v>Largo</v>
          </cell>
          <cell r="R769" t="str">
            <v>Corporativo Bajo Riesgo Largo</v>
          </cell>
          <cell r="S769">
            <v>2.52</v>
          </cell>
          <cell r="T769" t="str">
            <v>AA</v>
          </cell>
          <cell r="U769" t="str">
            <v>3</v>
          </cell>
          <cell r="V769" t="str">
            <v>Bajo Riesgo</v>
          </cell>
          <cell r="W769" t="str">
            <v>Corporativo</v>
          </cell>
          <cell r="X769" t="str">
            <v>Bajo Riesgo Largo UF</v>
          </cell>
          <cell r="Y769" t="str">
            <v>Corporativo Bajo Riesgo Largo</v>
          </cell>
          <cell r="Z769" t="str">
            <v>Largo UF</v>
          </cell>
          <cell r="AA769" t="str">
            <v>Corporativo Largo</v>
          </cell>
          <cell r="AB769" t="str">
            <v>Corporativo UF</v>
          </cell>
          <cell r="AC769" t="str">
            <v>Instrumentos de Deuda</v>
          </cell>
          <cell r="AD769" t="str">
            <v>Comunicaciones</v>
          </cell>
          <cell r="AE769" t="str">
            <v>Bono Movistar Serie F</v>
          </cell>
          <cell r="AF769" t="str">
            <v>Movistar</v>
          </cell>
        </row>
        <row r="770">
          <cell r="C770" t="str">
            <v>BCENC-J</v>
          </cell>
          <cell r="D770" t="str">
            <v>CENCOSUD</v>
          </cell>
          <cell r="E770">
            <v>494733200</v>
          </cell>
          <cell r="F770">
            <v>16000</v>
          </cell>
          <cell r="G770">
            <v>5.2560000000000003E-3</v>
          </cell>
          <cell r="H770">
            <v>3.09</v>
          </cell>
          <cell r="I770" t="str">
            <v>2029-10-15</v>
          </cell>
          <cell r="J770">
            <v>4708</v>
          </cell>
          <cell r="K770">
            <v>6.38</v>
          </cell>
          <cell r="L770">
            <v>116.86</v>
          </cell>
          <cell r="M770" t="str">
            <v>UF</v>
          </cell>
          <cell r="N770" t="str">
            <v>RFL</v>
          </cell>
          <cell r="O770" t="str">
            <v>Renta Fija Local</v>
          </cell>
          <cell r="P770" t="str">
            <v>AA- ; AA-</v>
          </cell>
          <cell r="Q770" t="str">
            <v>Largo</v>
          </cell>
          <cell r="R770" t="str">
            <v>Corporativo Bajo Riesgo Largo</v>
          </cell>
          <cell r="S770">
            <v>3.09</v>
          </cell>
          <cell r="T770" t="str">
            <v>AA-</v>
          </cell>
          <cell r="U770" t="str">
            <v>4</v>
          </cell>
          <cell r="V770" t="str">
            <v>Bajo Riesgo</v>
          </cell>
          <cell r="W770" t="str">
            <v>Corporativo</v>
          </cell>
          <cell r="X770" t="str">
            <v>Bajo Riesgo Largo UF</v>
          </cell>
          <cell r="Y770" t="str">
            <v>Corporativo Bajo Riesgo Largo</v>
          </cell>
          <cell r="Z770" t="str">
            <v>Largo UF</v>
          </cell>
          <cell r="AA770" t="str">
            <v>Corporativo Largo</v>
          </cell>
          <cell r="AB770" t="str">
            <v>Corporativo UF</v>
          </cell>
          <cell r="AC770" t="str">
            <v>Instrumentos de Deuda</v>
          </cell>
          <cell r="AD770" t="str">
            <v>Consumo</v>
          </cell>
          <cell r="AE770" t="str">
            <v>Bono Cencosud Serie J</v>
          </cell>
          <cell r="AF770" t="str">
            <v>Cencosud S.A.</v>
          </cell>
        </row>
        <row r="771">
          <cell r="C771" t="str">
            <v>BIELC-D</v>
          </cell>
          <cell r="D771" t="str">
            <v>ELECDELSUR</v>
          </cell>
          <cell r="E771">
            <v>244720677</v>
          </cell>
          <cell r="F771">
            <v>8000</v>
          </cell>
          <cell r="G771">
            <v>2.5999999999999999E-3</v>
          </cell>
          <cell r="H771">
            <v>2.84</v>
          </cell>
          <cell r="I771" t="str">
            <v>2029-06-30</v>
          </cell>
          <cell r="J771">
            <v>4601</v>
          </cell>
          <cell r="K771">
            <v>6.45</v>
          </cell>
          <cell r="L771">
            <v>114.06</v>
          </cell>
          <cell r="M771" t="str">
            <v>UF</v>
          </cell>
          <cell r="N771" t="str">
            <v>RFL</v>
          </cell>
          <cell r="O771" t="str">
            <v>Renta Fija Local</v>
          </cell>
          <cell r="P771" t="str">
            <v>AA- ; A+</v>
          </cell>
          <cell r="Q771" t="str">
            <v>Largo</v>
          </cell>
          <cell r="R771" t="str">
            <v>Corporativo Alto Riesgo Largo</v>
          </cell>
          <cell r="S771">
            <v>2.84</v>
          </cell>
          <cell r="T771" t="str">
            <v>A+</v>
          </cell>
          <cell r="U771" t="str">
            <v>5</v>
          </cell>
          <cell r="V771" t="str">
            <v>Alto Riesgo</v>
          </cell>
          <cell r="W771" t="str">
            <v>Corporativo</v>
          </cell>
          <cell r="X771" t="str">
            <v>Alto Riesgo Largo UF</v>
          </cell>
          <cell r="Y771" t="str">
            <v>Corporativo Alto Riesgo Largo</v>
          </cell>
          <cell r="Z771" t="str">
            <v>Largo UF</v>
          </cell>
          <cell r="AA771" t="str">
            <v>Corporativo Largo</v>
          </cell>
          <cell r="AB771" t="str">
            <v>Corporativo UF</v>
          </cell>
          <cell r="AC771" t="str">
            <v>Instrumentos de Deuda</v>
          </cell>
          <cell r="AD771" t="str">
            <v>Energía</v>
          </cell>
          <cell r="AE771" t="str">
            <v>Bono Distribuidora Del Sur Serie D</v>
          </cell>
          <cell r="AF771" t="str">
            <v>Distribuidora de Electrividad del Sur</v>
          </cell>
        </row>
        <row r="772">
          <cell r="C772" t="str">
            <v>BITA-X0613</v>
          </cell>
          <cell r="D772" t="str">
            <v>BBITAU</v>
          </cell>
          <cell r="E772">
            <v>317503296</v>
          </cell>
          <cell r="F772">
            <v>11000</v>
          </cell>
          <cell r="G772">
            <v>3.3730000000000001E-3</v>
          </cell>
          <cell r="H772">
            <v>2.61</v>
          </cell>
          <cell r="I772" t="str">
            <v>2024-06-01</v>
          </cell>
          <cell r="J772">
            <v>2746</v>
          </cell>
          <cell r="K772">
            <v>6.55</v>
          </cell>
          <cell r="L772">
            <v>107.8</v>
          </cell>
          <cell r="M772" t="str">
            <v>UF</v>
          </cell>
          <cell r="N772" t="str">
            <v>RFL</v>
          </cell>
          <cell r="O772" t="str">
            <v>Renta Fija Local</v>
          </cell>
          <cell r="P772" t="str">
            <v>AA ; AA</v>
          </cell>
          <cell r="Q772" t="str">
            <v>Largo</v>
          </cell>
          <cell r="R772" t="str">
            <v>Corporativo Bajo Riesgo Largo</v>
          </cell>
          <cell r="S772">
            <v>2.61</v>
          </cell>
          <cell r="T772" t="str">
            <v>AA</v>
          </cell>
          <cell r="U772" t="str">
            <v>3</v>
          </cell>
          <cell r="V772" t="str">
            <v>Bajo Riesgo</v>
          </cell>
          <cell r="W772" t="str">
            <v>Corporativo</v>
          </cell>
          <cell r="X772" t="str">
            <v>Bajo Riesgo Largo UF</v>
          </cell>
          <cell r="Y772" t="str">
            <v>Corporativo Bajo Riesgo Largo</v>
          </cell>
          <cell r="Z772" t="str">
            <v>Largo UF</v>
          </cell>
          <cell r="AA772" t="str">
            <v>Corporativo Largo</v>
          </cell>
          <cell r="AB772" t="str">
            <v>Corporativo UF</v>
          </cell>
          <cell r="AC772" t="str">
            <v>Instrumentos de Deuda</v>
          </cell>
          <cell r="AD772" t="str">
            <v>Financieras</v>
          </cell>
          <cell r="AE772" t="str">
            <v>Bono Banco Itau Serie X</v>
          </cell>
          <cell r="AF772" t="str">
            <v>Itau/Corpbanca</v>
          </cell>
        </row>
        <row r="773">
          <cell r="C773" t="str">
            <v>UBCIS11205</v>
          </cell>
          <cell r="D773" t="str">
            <v>BBCREDITO</v>
          </cell>
          <cell r="E773">
            <v>559398599</v>
          </cell>
          <cell r="F773">
            <v>25000</v>
          </cell>
          <cell r="G773">
            <v>5.9430000000000004E-3</v>
          </cell>
          <cell r="H773">
            <v>2.61</v>
          </cell>
          <cell r="I773" t="str">
            <v>2030-12-01</v>
          </cell>
          <cell r="J773">
            <v>5120</v>
          </cell>
          <cell r="K773">
            <v>6.57</v>
          </cell>
          <cell r="L773">
            <v>112.4</v>
          </cell>
          <cell r="M773" t="str">
            <v>UF</v>
          </cell>
          <cell r="N773"/>
          <cell r="O773" t="str">
            <v>-1000</v>
          </cell>
          <cell r="P773" t="str">
            <v>AA  ; AA-</v>
          </cell>
          <cell r="Q773" t="str">
            <v>Largo</v>
          </cell>
          <cell r="R773" t="str">
            <v>Corporativo Bajo Riesgo Largo</v>
          </cell>
          <cell r="S773">
            <v>2.61</v>
          </cell>
          <cell r="T773"/>
          <cell r="U773"/>
          <cell r="V773"/>
          <cell r="W773"/>
          <cell r="X773"/>
          <cell r="Y773"/>
          <cell r="Z773"/>
          <cell r="AA773"/>
          <cell r="AB773"/>
          <cell r="AC773"/>
          <cell r="AD773"/>
          <cell r="AE773" t="str">
            <v>Bono Subordinado Bci Serie S1</v>
          </cell>
          <cell r="AF773" t="str">
            <v>BCI</v>
          </cell>
        </row>
        <row r="774">
          <cell r="C774" t="str">
            <v>ENTEL3024</v>
          </cell>
          <cell r="D774" t="str">
            <v>ENTEL</v>
          </cell>
          <cell r="E774">
            <v>554914403</v>
          </cell>
          <cell r="F774">
            <v>800000</v>
          </cell>
          <cell r="G774">
            <v>5.8950000000000001E-3</v>
          </cell>
          <cell r="H774">
            <v>0</v>
          </cell>
          <cell r="I774" t="str">
            <v>2024-10-30</v>
          </cell>
          <cell r="J774">
            <v>2897</v>
          </cell>
          <cell r="K774">
            <v>6.67</v>
          </cell>
          <cell r="L774">
            <v>101.809</v>
          </cell>
          <cell r="M774" t="str">
            <v>USD</v>
          </cell>
          <cell r="N774" t="str">
            <v>RFL</v>
          </cell>
          <cell r="O774" t="str">
            <v>Renta Fija Local</v>
          </cell>
          <cell r="P774" t="str">
            <v>BBB</v>
          </cell>
          <cell r="Q774" t="str">
            <v>Largo</v>
          </cell>
          <cell r="R774" t="str">
            <v>Corporativo Alto Riesgo Largo</v>
          </cell>
          <cell r="S774">
            <v>0</v>
          </cell>
          <cell r="T774" t="str">
            <v>BBB</v>
          </cell>
          <cell r="U774" t="str">
            <v>9</v>
          </cell>
          <cell r="V774" t="str">
            <v>Alto Riesgo</v>
          </cell>
          <cell r="W774" t="str">
            <v>Corporativo</v>
          </cell>
          <cell r="X774" t="str">
            <v>Alto Riesgo Largo USD</v>
          </cell>
          <cell r="Y774" t="str">
            <v>Corporativo Alto Riesgo Largo</v>
          </cell>
          <cell r="Z774" t="str">
            <v>Largo USD</v>
          </cell>
          <cell r="AA774" t="str">
            <v>Corporativo Largo</v>
          </cell>
          <cell r="AB774" t="str">
            <v>Corporativo USD</v>
          </cell>
          <cell r="AC774"/>
          <cell r="AD774"/>
          <cell r="AE774"/>
          <cell r="AF774" t="str">
            <v>ENTEL</v>
          </cell>
        </row>
        <row r="775">
          <cell r="C775" t="str">
            <v>BEMCA-J</v>
          </cell>
          <cell r="D775" t="str">
            <v>EM.CAROZZI</v>
          </cell>
          <cell r="E775">
            <v>366504510</v>
          </cell>
          <cell r="F775">
            <v>12000</v>
          </cell>
          <cell r="G775">
            <v>3.8939999999999999E-3</v>
          </cell>
          <cell r="H775">
            <v>2.9</v>
          </cell>
          <cell r="I775" t="str">
            <v>2030-04-23</v>
          </cell>
          <cell r="J775">
            <v>4898</v>
          </cell>
          <cell r="K775">
            <v>6.85</v>
          </cell>
          <cell r="L775">
            <v>115.62</v>
          </cell>
          <cell r="M775" t="str">
            <v>UF</v>
          </cell>
          <cell r="N775" t="str">
            <v>RFL</v>
          </cell>
          <cell r="O775" t="str">
            <v>Renta Fija Local</v>
          </cell>
          <cell r="P775" t="str">
            <v>A+ ; A</v>
          </cell>
          <cell r="Q775" t="str">
            <v>Largo</v>
          </cell>
          <cell r="R775" t="str">
            <v>Corporativo Alto Riesgo Largo</v>
          </cell>
          <cell r="S775">
            <v>2.9</v>
          </cell>
          <cell r="T775" t="str">
            <v>A</v>
          </cell>
          <cell r="U775" t="str">
            <v>6</v>
          </cell>
          <cell r="V775" t="str">
            <v>Alto Riesgo</v>
          </cell>
          <cell r="W775" t="str">
            <v>Corporativo</v>
          </cell>
          <cell r="X775" t="str">
            <v>Alto Riesgo Largo UF</v>
          </cell>
          <cell r="Y775" t="str">
            <v>Corporativo Alto Riesgo Largo</v>
          </cell>
          <cell r="Z775" t="str">
            <v>Largo UF</v>
          </cell>
          <cell r="AA775" t="str">
            <v>Corporativo Largo</v>
          </cell>
          <cell r="AB775" t="str">
            <v>Corporativo UF</v>
          </cell>
          <cell r="AC775" t="str">
            <v>Instrumentos de Deuda</v>
          </cell>
          <cell r="AD775" t="str">
            <v>Consumo</v>
          </cell>
          <cell r="AE775" t="str">
            <v>Bono Carozzi Serie I</v>
          </cell>
          <cell r="AF775" t="str">
            <v>Empresas Carozzi S.A.</v>
          </cell>
        </row>
        <row r="776">
          <cell r="C776" t="str">
            <v>BRPLY-E</v>
          </cell>
          <cell r="D776" t="str">
            <v>RIPLEY S.A</v>
          </cell>
          <cell r="E776">
            <v>1389671839</v>
          </cell>
          <cell r="F776">
            <v>45000</v>
          </cell>
          <cell r="G776">
            <v>1.4763999999999999E-2</v>
          </cell>
          <cell r="H776">
            <v>2.86</v>
          </cell>
          <cell r="I776" t="str">
            <v>2030-06-10</v>
          </cell>
          <cell r="J776">
            <v>4946</v>
          </cell>
          <cell r="K776">
            <v>6.86</v>
          </cell>
          <cell r="L776">
            <v>114.83</v>
          </cell>
          <cell r="M776" t="str">
            <v>UF</v>
          </cell>
          <cell r="N776" t="str">
            <v>RFL</v>
          </cell>
          <cell r="O776" t="str">
            <v>Renta Fija Local</v>
          </cell>
          <cell r="P776" t="str">
            <v>A ; AA-</v>
          </cell>
          <cell r="Q776" t="str">
            <v>Largo</v>
          </cell>
          <cell r="R776" t="str">
            <v>Corporativo Alto Riesgo Largo</v>
          </cell>
          <cell r="S776">
            <v>2.86</v>
          </cell>
          <cell r="T776" t="str">
            <v>A</v>
          </cell>
          <cell r="U776" t="str">
            <v>6</v>
          </cell>
          <cell r="V776" t="str">
            <v>Alto Riesgo</v>
          </cell>
          <cell r="W776" t="str">
            <v>Corporativo</v>
          </cell>
          <cell r="X776" t="str">
            <v>Alto Riesgo Largo UF</v>
          </cell>
          <cell r="Y776" t="str">
            <v>Corporativo Alto Riesgo Largo</v>
          </cell>
          <cell r="Z776" t="str">
            <v>Largo UF</v>
          </cell>
          <cell r="AA776" t="str">
            <v>Corporativo Largo</v>
          </cell>
          <cell r="AB776" t="str">
            <v>Corporativo UF</v>
          </cell>
          <cell r="AC776" t="str">
            <v>Instrumentos de Deuda</v>
          </cell>
          <cell r="AD776" t="str">
            <v>Consumo</v>
          </cell>
          <cell r="AE776" t="str">
            <v>Bono Ripley Serie E</v>
          </cell>
          <cell r="AF776" t="str">
            <v>Ripley Chile S.A.</v>
          </cell>
        </row>
        <row r="777">
          <cell r="C777" t="str">
            <v>AESGEN0425</v>
          </cell>
          <cell r="D777" t="str">
            <v>AESGEN</v>
          </cell>
          <cell r="E777">
            <v>306647429</v>
          </cell>
          <cell r="F777">
            <v>500000</v>
          </cell>
          <cell r="G777">
            <v>3.258E-3</v>
          </cell>
          <cell r="H777">
            <v>0</v>
          </cell>
          <cell r="I777" t="str">
            <v>2025-04-30</v>
          </cell>
          <cell r="J777">
            <v>3079</v>
          </cell>
          <cell r="K777">
            <v>6.98</v>
          </cell>
          <cell r="L777">
            <v>90</v>
          </cell>
          <cell r="M777" t="str">
            <v>USD</v>
          </cell>
          <cell r="N777" t="str">
            <v>RFL</v>
          </cell>
          <cell r="O777" t="str">
            <v>Renta Fija Local</v>
          </cell>
          <cell r="P777" t="str">
            <v>BB+</v>
          </cell>
          <cell r="Q777" t="str">
            <v>Largo</v>
          </cell>
          <cell r="R777" t="str">
            <v>Corporativo Alto Riesgo Largo</v>
          </cell>
          <cell r="S777">
            <v>0</v>
          </cell>
          <cell r="T777" t="str">
            <v>BB+</v>
          </cell>
          <cell r="U777" t="str">
            <v>11</v>
          </cell>
          <cell r="V777" t="str">
            <v>Alto Riesgo</v>
          </cell>
          <cell r="W777" t="str">
            <v>Corporativo</v>
          </cell>
          <cell r="X777" t="str">
            <v>Alto Riesgo Largo USD</v>
          </cell>
          <cell r="Y777" t="str">
            <v>Corporativo Alto Riesgo Largo</v>
          </cell>
          <cell r="Z777" t="str">
            <v>Largo USD</v>
          </cell>
          <cell r="AA777" t="str">
            <v>Corporativo Largo</v>
          </cell>
          <cell r="AB777" t="str">
            <v>Corporativo USD</v>
          </cell>
          <cell r="AC777" t="str">
            <v>Instrumentos de Deuda</v>
          </cell>
          <cell r="AD777" t="str">
            <v>Energia</v>
          </cell>
          <cell r="AE777" t="str">
            <v>Bono AES Gener USD</v>
          </cell>
          <cell r="AF777" t="str">
            <v>AES Gener S.A.</v>
          </cell>
        </row>
        <row r="778">
          <cell r="C778" t="str">
            <v>USECJ11206</v>
          </cell>
          <cell r="D778" t="str">
            <v>BBSECURITY</v>
          </cell>
          <cell r="E778">
            <v>1217003826</v>
          </cell>
          <cell r="F778">
            <v>45000</v>
          </cell>
          <cell r="G778">
            <v>1.2930000000000001E-2</v>
          </cell>
          <cell r="H778">
            <v>2.8</v>
          </cell>
          <cell r="I778" t="str">
            <v>2031-12-01</v>
          </cell>
          <cell r="J778">
            <v>5485</v>
          </cell>
          <cell r="K778">
            <v>7.15</v>
          </cell>
          <cell r="L778">
            <v>101.38</v>
          </cell>
          <cell r="M778" t="str">
            <v>UF</v>
          </cell>
          <cell r="N778" t="str">
            <v>RFL</v>
          </cell>
          <cell r="O778" t="str">
            <v>Renta Fija Local</v>
          </cell>
          <cell r="P778" t="str">
            <v>A+ ; A</v>
          </cell>
          <cell r="Q778" t="str">
            <v>Largo</v>
          </cell>
          <cell r="R778" t="str">
            <v>Corporativo Alto Riesgo Largo</v>
          </cell>
          <cell r="S778">
            <v>2.8</v>
          </cell>
          <cell r="T778" t="str">
            <v>A</v>
          </cell>
          <cell r="U778" t="str">
            <v>6</v>
          </cell>
          <cell r="V778" t="str">
            <v>Alto Riesgo</v>
          </cell>
          <cell r="W778" t="str">
            <v>Corporativo</v>
          </cell>
          <cell r="X778" t="str">
            <v>Alto Riesgo Largo UF</v>
          </cell>
          <cell r="Y778" t="str">
            <v>Corporativo Alto Riesgo Largo</v>
          </cell>
          <cell r="Z778" t="str">
            <v>Largo UF</v>
          </cell>
          <cell r="AA778" t="str">
            <v>Corporativo Largo</v>
          </cell>
          <cell r="AB778" t="str">
            <v>Corporativo UF</v>
          </cell>
          <cell r="AC778" t="str">
            <v>Instrumentos de Deuda</v>
          </cell>
          <cell r="AD778" t="str">
            <v>Financieras</v>
          </cell>
          <cell r="AE778" t="str">
            <v>Bono Subordinado Banco Security Serie J1</v>
          </cell>
          <cell r="AF778" t="str">
            <v>Banco Security</v>
          </cell>
        </row>
        <row r="779">
          <cell r="C779" t="str">
            <v>BRITA-F</v>
          </cell>
          <cell r="D779" t="str">
            <v>SANTA RITA</v>
          </cell>
          <cell r="E779">
            <v>132734397</v>
          </cell>
          <cell r="F779">
            <v>4500</v>
          </cell>
          <cell r="G779">
            <v>1.41E-3</v>
          </cell>
          <cell r="H779">
            <v>2.85</v>
          </cell>
          <cell r="I779" t="str">
            <v>2030-09-15</v>
          </cell>
          <cell r="J779">
            <v>5043</v>
          </cell>
          <cell r="K779">
            <v>7.22</v>
          </cell>
          <cell r="L779">
            <v>111.24</v>
          </cell>
          <cell r="M779" t="str">
            <v>UF</v>
          </cell>
          <cell r="N779" t="str">
            <v>RFL</v>
          </cell>
          <cell r="O779" t="str">
            <v>Renta Fija Local</v>
          </cell>
          <cell r="P779" t="str">
            <v>A+ ; A+</v>
          </cell>
          <cell r="Q779" t="str">
            <v>Largo</v>
          </cell>
          <cell r="R779" t="str">
            <v>Corporativo Alto Riesgo Largo</v>
          </cell>
          <cell r="S779">
            <v>2.85</v>
          </cell>
          <cell r="T779" t="str">
            <v>A+</v>
          </cell>
          <cell r="U779" t="str">
            <v>5</v>
          </cell>
          <cell r="V779" t="str">
            <v>Alto Riesgo</v>
          </cell>
          <cell r="W779" t="str">
            <v>Corporativo</v>
          </cell>
          <cell r="X779" t="str">
            <v>Alto Riesgo Largo UF</v>
          </cell>
          <cell r="Y779" t="str">
            <v>Corporativo Alto Riesgo Largo</v>
          </cell>
          <cell r="Z779" t="str">
            <v>Largo UF</v>
          </cell>
          <cell r="AA779" t="str">
            <v>Corporativo Largo</v>
          </cell>
          <cell r="AB779" t="str">
            <v>Corporativo UF</v>
          </cell>
          <cell r="AC779" t="str">
            <v>Instrumentos de Deuda</v>
          </cell>
          <cell r="AD779" t="str">
            <v>Consumo</v>
          </cell>
          <cell r="AE779" t="str">
            <v>Bono Santa Rita Serie F</v>
          </cell>
          <cell r="AF779" t="str">
            <v>Santa Rita S.A.</v>
          </cell>
        </row>
        <row r="780">
          <cell r="C780" t="str">
            <v>BSOND-C</v>
          </cell>
          <cell r="D780" t="str">
            <v>SONDA</v>
          </cell>
          <cell r="E780">
            <v>1495534190</v>
          </cell>
          <cell r="F780">
            <v>50000</v>
          </cell>
          <cell r="G780">
            <v>1.5889E-2</v>
          </cell>
          <cell r="H780">
            <v>2.94</v>
          </cell>
          <cell r="I780" t="str">
            <v>2030-12-01</v>
          </cell>
          <cell r="J780">
            <v>5120</v>
          </cell>
          <cell r="K780">
            <v>7.26</v>
          </cell>
          <cell r="L780">
            <v>111.34</v>
          </cell>
          <cell r="M780" t="str">
            <v>UF</v>
          </cell>
          <cell r="N780" t="str">
            <v>RFL</v>
          </cell>
          <cell r="O780" t="str">
            <v>Renta Fija Local</v>
          </cell>
          <cell r="P780" t="str">
            <v>AA- ; AA</v>
          </cell>
          <cell r="Q780" t="str">
            <v>Largo</v>
          </cell>
          <cell r="R780" t="str">
            <v>Corporativo Bajo Riesgo Largo</v>
          </cell>
          <cell r="S780">
            <v>2.94</v>
          </cell>
          <cell r="T780" t="str">
            <v>AA-</v>
          </cell>
          <cell r="U780" t="str">
            <v>4</v>
          </cell>
          <cell r="V780" t="str">
            <v>Bajo Riesgo</v>
          </cell>
          <cell r="W780" t="str">
            <v>Corporativo</v>
          </cell>
          <cell r="X780" t="str">
            <v>Bajo Riesgo Largo UF</v>
          </cell>
          <cell r="Y780" t="str">
            <v>Corporativo Bajo Riesgo Largo</v>
          </cell>
          <cell r="Z780" t="str">
            <v>Largo UF</v>
          </cell>
          <cell r="AA780" t="str">
            <v>Corporativo Largo</v>
          </cell>
          <cell r="AB780" t="str">
            <v>Corporativo UF</v>
          </cell>
          <cell r="AC780" t="str">
            <v>Instrumentos de Deuda</v>
          </cell>
          <cell r="AD780" t="str">
            <v>Tecnología</v>
          </cell>
          <cell r="AE780" t="str">
            <v>Bono Sonda Serie C</v>
          </cell>
          <cell r="AF780" t="str">
            <v>Sonda S.A.</v>
          </cell>
        </row>
        <row r="781">
          <cell r="C781" t="str">
            <v>BBBVK80714</v>
          </cell>
          <cell r="D781" t="str">
            <v>BBBVA</v>
          </cell>
          <cell r="E781">
            <v>993484892</v>
          </cell>
          <cell r="F781">
            <v>35000</v>
          </cell>
          <cell r="G781">
            <v>1.0555E-2</v>
          </cell>
          <cell r="H781">
            <v>2.63</v>
          </cell>
          <cell r="I781" t="str">
            <v>2025-07-01</v>
          </cell>
          <cell r="J781">
            <v>3141</v>
          </cell>
          <cell r="K781">
            <v>7.46</v>
          </cell>
          <cell r="L781">
            <v>106.46</v>
          </cell>
          <cell r="M781" t="str">
            <v>UF</v>
          </cell>
          <cell r="N781" t="str">
            <v>RFL</v>
          </cell>
          <cell r="O781" t="str">
            <v>Renta Fija Local</v>
          </cell>
          <cell r="P781" t="str">
            <v>AA ; AA+</v>
          </cell>
          <cell r="Q781" t="str">
            <v>Largo</v>
          </cell>
          <cell r="R781" t="str">
            <v>Corporativo Bajo Riesgo Largo</v>
          </cell>
          <cell r="S781">
            <v>2.63</v>
          </cell>
          <cell r="T781" t="str">
            <v>AA</v>
          </cell>
          <cell r="U781" t="str">
            <v>3</v>
          </cell>
          <cell r="V781" t="str">
            <v>Bajo Riesgo</v>
          </cell>
          <cell r="W781" t="str">
            <v>Corporativo</v>
          </cell>
          <cell r="X781" t="str">
            <v>Bajo Riesgo Largo UF</v>
          </cell>
          <cell r="Y781" t="str">
            <v>Corporativo Bajo Riesgo Largo</v>
          </cell>
          <cell r="Z781" t="str">
            <v>Largo UF</v>
          </cell>
          <cell r="AA781" t="str">
            <v>Corporativo Largo</v>
          </cell>
          <cell r="AB781" t="str">
            <v>Corporativo UF</v>
          </cell>
          <cell r="AC781" t="str">
            <v>Instrumentos de Deuda</v>
          </cell>
          <cell r="AD781" t="str">
            <v>Financieras</v>
          </cell>
          <cell r="AE781" t="str">
            <v>Bono Bbva Serie K</v>
          </cell>
          <cell r="AF781" t="str">
            <v>BBVA</v>
          </cell>
        </row>
        <row r="782">
          <cell r="C782" t="str">
            <v>BMGAS-D2</v>
          </cell>
          <cell r="D782" t="str">
            <v>METROGAS</v>
          </cell>
          <cell r="E782">
            <v>725056250</v>
          </cell>
          <cell r="F782">
            <v>20000</v>
          </cell>
          <cell r="G782">
            <v>7.7029999999999998E-3</v>
          </cell>
          <cell r="H782">
            <v>2.3199999999999998</v>
          </cell>
          <cell r="I782" t="str">
            <v>2026-06-01</v>
          </cell>
          <cell r="J782">
            <v>3476</v>
          </cell>
          <cell r="K782">
            <v>7.46</v>
          </cell>
          <cell r="L782">
            <v>133.72999999999999</v>
          </cell>
          <cell r="M782" t="str">
            <v>UF</v>
          </cell>
          <cell r="N782"/>
          <cell r="O782" t="str">
            <v>-1000</v>
          </cell>
          <cell r="P782" t="str">
            <v>AA ; AA-</v>
          </cell>
          <cell r="Q782" t="str">
            <v>Largo</v>
          </cell>
          <cell r="R782" t="str">
            <v>Corporativo Bajo Riesgo Largo</v>
          </cell>
          <cell r="S782">
            <v>2.3199999999999998</v>
          </cell>
          <cell r="T782"/>
          <cell r="U782"/>
          <cell r="V782"/>
          <cell r="W782"/>
          <cell r="X782"/>
          <cell r="Y782"/>
          <cell r="Z782"/>
          <cell r="AA782"/>
          <cell r="AB782"/>
          <cell r="AC782" t="str">
            <v>Instrumentos de Deuda</v>
          </cell>
          <cell r="AD782" t="str">
            <v>Energia</v>
          </cell>
          <cell r="AE782" t="str">
            <v>Bono Metrogas Serie D2</v>
          </cell>
          <cell r="AF782" t="str">
            <v>Metrogas</v>
          </cell>
        </row>
        <row r="783">
          <cell r="C783" t="str">
            <v>BCGVI-B</v>
          </cell>
          <cell r="D783" t="str">
            <v>CG VIDA</v>
          </cell>
          <cell r="E783">
            <v>2093848712</v>
          </cell>
          <cell r="F783">
            <v>69000</v>
          </cell>
          <cell r="G783">
            <v>2.2245999999999998E-2</v>
          </cell>
          <cell r="H783">
            <v>2.95</v>
          </cell>
          <cell r="I783" t="str">
            <v>2031-03-15</v>
          </cell>
          <cell r="J783">
            <v>5224</v>
          </cell>
          <cell r="K783">
            <v>7.65</v>
          </cell>
          <cell r="L783">
            <v>111.9</v>
          </cell>
          <cell r="M783" t="str">
            <v>UF</v>
          </cell>
          <cell r="N783" t="str">
            <v>RFL</v>
          </cell>
          <cell r="O783" t="str">
            <v>Renta Fija Local</v>
          </cell>
          <cell r="P783" t="str">
            <v>AA- ; AA-</v>
          </cell>
          <cell r="Q783" t="str">
            <v>Largo</v>
          </cell>
          <cell r="R783" t="str">
            <v>Corporativo Bajo Riesgo Largo</v>
          </cell>
          <cell r="S783">
            <v>2.95</v>
          </cell>
          <cell r="T783" t="str">
            <v>AA-</v>
          </cell>
          <cell r="U783" t="str">
            <v>4</v>
          </cell>
          <cell r="V783" t="str">
            <v>Bajo Riesgo</v>
          </cell>
          <cell r="W783" t="str">
            <v>Corporativo</v>
          </cell>
          <cell r="X783" t="str">
            <v>Bajo Riesgo Largo UF</v>
          </cell>
          <cell r="Y783" t="str">
            <v>Corporativo Bajo Riesgo Largo</v>
          </cell>
          <cell r="Z783" t="str">
            <v>Largo UF</v>
          </cell>
          <cell r="AA783" t="str">
            <v>Corporativo Largo</v>
          </cell>
          <cell r="AB783" t="str">
            <v>Corporativo UF</v>
          </cell>
          <cell r="AC783" t="str">
            <v>Instrumentos de Deuda</v>
          </cell>
          <cell r="AD783" t="str">
            <v>Financieras</v>
          </cell>
          <cell r="AE783" t="str">
            <v>Bono Corpgroup Vida Chile Serie B</v>
          </cell>
          <cell r="AF783" t="str">
            <v>Corpgroup Vida Chile</v>
          </cell>
        </row>
        <row r="784">
          <cell r="C784" t="str">
            <v>BENAE-A</v>
          </cell>
          <cell r="D784" t="str">
            <v>ENAEX</v>
          </cell>
          <cell r="E784">
            <v>2011506036</v>
          </cell>
          <cell r="F784">
            <v>73500</v>
          </cell>
          <cell r="G784">
            <v>2.1371000000000001E-2</v>
          </cell>
          <cell r="H784">
            <v>2.46</v>
          </cell>
          <cell r="I784" t="str">
            <v>2025-09-01</v>
          </cell>
          <cell r="J784">
            <v>3203</v>
          </cell>
          <cell r="K784">
            <v>7.79</v>
          </cell>
          <cell r="L784">
            <v>103.38</v>
          </cell>
          <cell r="M784" t="str">
            <v>UF</v>
          </cell>
          <cell r="N784" t="str">
            <v>RFL</v>
          </cell>
          <cell r="O784" t="str">
            <v>Renta Fija Local</v>
          </cell>
          <cell r="P784" t="str">
            <v>AA- ; AA-</v>
          </cell>
          <cell r="Q784" t="str">
            <v>Largo</v>
          </cell>
          <cell r="R784" t="str">
            <v>Corporativo Bajo Riesgo Largo</v>
          </cell>
          <cell r="S784">
            <v>2.46</v>
          </cell>
          <cell r="T784" t="str">
            <v>AA-</v>
          </cell>
          <cell r="U784" t="str">
            <v>4</v>
          </cell>
          <cell r="V784" t="str">
            <v>Bajo Riesgo</v>
          </cell>
          <cell r="W784" t="str">
            <v>Corporativo</v>
          </cell>
          <cell r="X784" t="str">
            <v>Bajo Riesgo Largo UF</v>
          </cell>
          <cell r="Y784" t="str">
            <v>Corporativo Bajo Riesgo Largo</v>
          </cell>
          <cell r="Z784" t="str">
            <v>Largo UF</v>
          </cell>
          <cell r="AA784" t="str">
            <v>Corporativo Largo</v>
          </cell>
          <cell r="AB784" t="str">
            <v>Corporativo UF</v>
          </cell>
          <cell r="AC784" t="str">
            <v>Instrumentos de Deuda</v>
          </cell>
          <cell r="AD784" t="str">
            <v>Energía</v>
          </cell>
          <cell r="AE784" t="str">
            <v>Bonos Enaex Serie A</v>
          </cell>
          <cell r="AF784" t="str">
            <v>ENAEX</v>
          </cell>
        </row>
        <row r="785">
          <cell r="C785" t="str">
            <v>BWATT-I</v>
          </cell>
          <cell r="D785" t="str">
            <v>WATTS</v>
          </cell>
          <cell r="E785">
            <v>296893364</v>
          </cell>
          <cell r="F785">
            <v>10000</v>
          </cell>
          <cell r="G785">
            <v>3.1540000000000001E-3</v>
          </cell>
          <cell r="H785">
            <v>2.7</v>
          </cell>
          <cell r="I785" t="str">
            <v>2031-04-01</v>
          </cell>
          <cell r="J785">
            <v>5241</v>
          </cell>
          <cell r="K785">
            <v>8.0500000000000007</v>
          </cell>
          <cell r="L785">
            <v>112.2</v>
          </cell>
          <cell r="M785" t="str">
            <v>UF</v>
          </cell>
          <cell r="N785" t="str">
            <v>RFL</v>
          </cell>
          <cell r="O785" t="str">
            <v>Renta Fija Local</v>
          </cell>
          <cell r="P785" t="str">
            <v>A ; A</v>
          </cell>
          <cell r="Q785" t="str">
            <v>Largo</v>
          </cell>
          <cell r="R785" t="str">
            <v>Corporativo Alto Riesgo Largo</v>
          </cell>
          <cell r="S785">
            <v>2.7</v>
          </cell>
          <cell r="T785" t="str">
            <v>A</v>
          </cell>
          <cell r="U785" t="str">
            <v>6</v>
          </cell>
          <cell r="V785" t="str">
            <v>Alto Riesgo</v>
          </cell>
          <cell r="W785" t="str">
            <v>Corporativo</v>
          </cell>
          <cell r="X785" t="str">
            <v>Alto Riesgo Largo UF</v>
          </cell>
          <cell r="Y785" t="str">
            <v>Corporativo Alto Riesgo Largo</v>
          </cell>
          <cell r="Z785" t="str">
            <v>Largo UF</v>
          </cell>
          <cell r="AA785" t="str">
            <v>Corporativo Largo</v>
          </cell>
          <cell r="AB785" t="str">
            <v>Corporativo UF</v>
          </cell>
          <cell r="AC785" t="str">
            <v>Instrumentos de Deuda</v>
          </cell>
          <cell r="AD785" t="str">
            <v>Consumo</v>
          </cell>
          <cell r="AE785" t="str">
            <v>Bono Watts Serie I</v>
          </cell>
          <cell r="AF785" t="str">
            <v>Watts</v>
          </cell>
        </row>
        <row r="786">
          <cell r="C786" t="str">
            <v>BAYS3-A</v>
          </cell>
          <cell r="D786" t="str">
            <v>AYSTRES</v>
          </cell>
          <cell r="E786">
            <v>1444113199</v>
          </cell>
          <cell r="F786">
            <v>46000</v>
          </cell>
          <cell r="G786">
            <v>1.5343000000000001E-2</v>
          </cell>
          <cell r="H786">
            <v>2.66</v>
          </cell>
          <cell r="I786" t="str">
            <v>2032-12-15</v>
          </cell>
          <cell r="J786">
            <v>5865</v>
          </cell>
          <cell r="K786">
            <v>8.15</v>
          </cell>
          <cell r="L786">
            <v>116.97</v>
          </cell>
          <cell r="M786" t="str">
            <v>UF</v>
          </cell>
          <cell r="N786" t="str">
            <v>RFL</v>
          </cell>
          <cell r="O786" t="str">
            <v>Renta Fija Local</v>
          </cell>
          <cell r="P786" t="str">
            <v>AA- ; A+</v>
          </cell>
          <cell r="Q786" t="str">
            <v>Largo</v>
          </cell>
          <cell r="R786" t="str">
            <v>Corporativo Alto Riesgo Largo</v>
          </cell>
          <cell r="S786">
            <v>2.66</v>
          </cell>
          <cell r="T786" t="str">
            <v>A+</v>
          </cell>
          <cell r="U786" t="str">
            <v>5</v>
          </cell>
          <cell r="V786" t="str">
            <v>Alto Riesgo</v>
          </cell>
          <cell r="W786" t="str">
            <v>Corporativo</v>
          </cell>
          <cell r="X786" t="str">
            <v>Alto Riesgo Largo UF</v>
          </cell>
          <cell r="Y786" t="str">
            <v>Corporativo Alto Riesgo Largo</v>
          </cell>
          <cell r="Z786" t="str">
            <v>Largo UF</v>
          </cell>
          <cell r="AA786" t="str">
            <v>Corporativo Largo</v>
          </cell>
          <cell r="AB786" t="str">
            <v>Corporativo UF</v>
          </cell>
          <cell r="AC786" t="str">
            <v>Instrumentos de Deuda</v>
          </cell>
          <cell r="AD786" t="str">
            <v>Diversificados</v>
          </cell>
          <cell r="AE786" t="str">
            <v>Bono Inversiones Ays Tres Serie A</v>
          </cell>
          <cell r="AF786" t="str">
            <v>INVERSIONES AYS TRES</v>
          </cell>
        </row>
        <row r="787">
          <cell r="C787" t="str">
            <v>BCGEI-I</v>
          </cell>
          <cell r="D787" t="str">
            <v>ELECTRICID</v>
          </cell>
          <cell r="E787">
            <v>386002463</v>
          </cell>
          <cell r="F787">
            <v>12500</v>
          </cell>
          <cell r="G787">
            <v>4.1009999999999996E-3</v>
          </cell>
          <cell r="H787">
            <v>2.75</v>
          </cell>
          <cell r="I787" t="str">
            <v>2029-08-11</v>
          </cell>
          <cell r="J787">
            <v>4643</v>
          </cell>
          <cell r="K787">
            <v>8.17</v>
          </cell>
          <cell r="L787">
            <v>115.89</v>
          </cell>
          <cell r="M787" t="str">
            <v>UF</v>
          </cell>
          <cell r="N787" t="str">
            <v>RFL</v>
          </cell>
          <cell r="O787" t="str">
            <v>Renta Fija Local</v>
          </cell>
          <cell r="P787" t="str">
            <v>AA ; AA-</v>
          </cell>
          <cell r="Q787" t="str">
            <v>Largo</v>
          </cell>
          <cell r="R787" t="str">
            <v>Corporativo Bajo Riesgo Largo</v>
          </cell>
          <cell r="S787">
            <v>2.75</v>
          </cell>
          <cell r="T787" t="str">
            <v>AA-</v>
          </cell>
          <cell r="U787" t="str">
            <v>4</v>
          </cell>
          <cell r="V787" t="str">
            <v>Bajo Riesgo</v>
          </cell>
          <cell r="W787" t="str">
            <v>Corporativo</v>
          </cell>
          <cell r="X787" t="str">
            <v>Bajo Riesgo Largo UF</v>
          </cell>
          <cell r="Y787" t="str">
            <v>Corporativo Bajo Riesgo Largo</v>
          </cell>
          <cell r="Z787" t="str">
            <v>Largo UF</v>
          </cell>
          <cell r="AA787" t="str">
            <v>Corporativo Largo</v>
          </cell>
          <cell r="AB787" t="str">
            <v>Corporativo UF</v>
          </cell>
          <cell r="AC787" t="str">
            <v>Instrumentos de Deuda</v>
          </cell>
          <cell r="AD787" t="str">
            <v>Servicios Básicos</v>
          </cell>
          <cell r="AE787" t="str">
            <v>Bono Cge Serie I</v>
          </cell>
          <cell r="AF787" t="str">
            <v>Cía. General de Electricidad S.A.</v>
          </cell>
        </row>
        <row r="788">
          <cell r="C788" t="str">
            <v>UBICS30207</v>
          </cell>
          <cell r="D788" t="str">
            <v>BBICE</v>
          </cell>
          <cell r="E788">
            <v>882092895</v>
          </cell>
          <cell r="F788">
            <v>30000</v>
          </cell>
          <cell r="G788">
            <v>9.3710000000000009E-3</v>
          </cell>
          <cell r="H788">
            <v>2.82</v>
          </cell>
          <cell r="I788" t="str">
            <v>2027-02-01</v>
          </cell>
          <cell r="J788">
            <v>3721</v>
          </cell>
          <cell r="K788">
            <v>8.48</v>
          </cell>
          <cell r="L788">
            <v>110.41</v>
          </cell>
          <cell r="M788" t="str">
            <v>UF</v>
          </cell>
          <cell r="N788" t="str">
            <v>RFL</v>
          </cell>
          <cell r="O788" t="str">
            <v>Renta Fija Local</v>
          </cell>
          <cell r="P788" t="str">
            <v>AA- ; A+</v>
          </cell>
          <cell r="Q788" t="str">
            <v>Largo</v>
          </cell>
          <cell r="R788" t="str">
            <v>Corporativo Alto Riesgo Largo</v>
          </cell>
          <cell r="S788">
            <v>2.82</v>
          </cell>
          <cell r="T788" t="str">
            <v>A+</v>
          </cell>
          <cell r="U788" t="str">
            <v>5</v>
          </cell>
          <cell r="V788" t="str">
            <v>Alto Riesgo</v>
          </cell>
          <cell r="W788" t="str">
            <v>Corporativo</v>
          </cell>
          <cell r="X788" t="str">
            <v>Alto Riesgo Largo UF</v>
          </cell>
          <cell r="Y788" t="str">
            <v>Corporativo Alto Riesgo Largo</v>
          </cell>
          <cell r="Z788" t="str">
            <v>Largo UF</v>
          </cell>
          <cell r="AA788" t="str">
            <v>Corporativo Largo</v>
          </cell>
          <cell r="AB788" t="str">
            <v>Corporativo UF</v>
          </cell>
          <cell r="AC788" t="str">
            <v>Instrumentos de Deuda</v>
          </cell>
          <cell r="AD788" t="str">
            <v>Financieras</v>
          </cell>
          <cell r="AE788" t="str">
            <v>Bono Subordinado Bci Serie S3</v>
          </cell>
          <cell r="AF788" t="str">
            <v>BICE</v>
          </cell>
        </row>
        <row r="789">
          <cell r="C789" t="str">
            <v>BTU0150326</v>
          </cell>
          <cell r="D789" t="str">
            <v>BTU</v>
          </cell>
          <cell r="E789">
            <v>778737288</v>
          </cell>
          <cell r="F789">
            <v>30000</v>
          </cell>
          <cell r="G789">
            <v>8.2730000000000008E-3</v>
          </cell>
          <cell r="H789">
            <v>1.7</v>
          </cell>
          <cell r="I789" t="str">
            <v>2026-03-01</v>
          </cell>
          <cell r="J789">
            <v>3384</v>
          </cell>
          <cell r="K789">
            <v>8.65</v>
          </cell>
          <cell r="L789">
            <v>98.36</v>
          </cell>
          <cell r="M789" t="str">
            <v>UF</v>
          </cell>
          <cell r="N789" t="str">
            <v>RFL</v>
          </cell>
          <cell r="O789" t="str">
            <v>Renta Fija Local</v>
          </cell>
          <cell r="P789" t="str">
            <v>NA</v>
          </cell>
          <cell r="Q789" t="str">
            <v>Largo</v>
          </cell>
          <cell r="R789" t="str">
            <v>Gobierno UF Largo</v>
          </cell>
          <cell r="S789">
            <v>1.7</v>
          </cell>
          <cell r="T789" t="str">
            <v>Gob</v>
          </cell>
          <cell r="U789" t="str">
            <v>0</v>
          </cell>
          <cell r="V789" t="str">
            <v>Gobierno</v>
          </cell>
          <cell r="W789" t="str">
            <v>Gobierno</v>
          </cell>
          <cell r="X789" t="str">
            <v>Gobierno Largo UF</v>
          </cell>
          <cell r="Y789" t="str">
            <v>Gobierno Largo</v>
          </cell>
          <cell r="Z789" t="str">
            <v>Largo UF</v>
          </cell>
          <cell r="AA789" t="str">
            <v>Gobierno</v>
          </cell>
          <cell r="AB789" t="str">
            <v>Gobierno UF</v>
          </cell>
          <cell r="AC789" t="str">
            <v>Instrumentos de Deuda</v>
          </cell>
          <cell r="AD789" t="str">
            <v>Financieras</v>
          </cell>
          <cell r="AE789" t="str">
            <v>Bono Tesoreria En Uf</v>
          </cell>
          <cell r="AF789" t="str">
            <v>Tesorería General de la República</v>
          </cell>
        </row>
        <row r="790">
          <cell r="C790" t="str">
            <v>BAGRS-D</v>
          </cell>
          <cell r="D790" t="str">
            <v>AGROSUPER</v>
          </cell>
          <cell r="E790">
            <v>2807155020</v>
          </cell>
          <cell r="F790">
            <v>100000</v>
          </cell>
          <cell r="G790">
            <v>2.9825000000000001E-2</v>
          </cell>
          <cell r="H790">
            <v>3.12</v>
          </cell>
          <cell r="I790" t="str">
            <v>2032-09-01</v>
          </cell>
          <cell r="J790">
            <v>5760</v>
          </cell>
          <cell r="K790">
            <v>8.69</v>
          </cell>
          <cell r="L790">
            <v>105.83</v>
          </cell>
          <cell r="M790" t="str">
            <v>UF</v>
          </cell>
          <cell r="N790" t="str">
            <v>RFL</v>
          </cell>
          <cell r="O790" t="str">
            <v>Renta Fija Local</v>
          </cell>
          <cell r="P790" t="str">
            <v>AA- ; AA-</v>
          </cell>
          <cell r="Q790" t="str">
            <v>Largo</v>
          </cell>
          <cell r="R790" t="str">
            <v>Corporativo Bajo Riesgo Largo</v>
          </cell>
          <cell r="S790">
            <v>3.12</v>
          </cell>
          <cell r="T790" t="str">
            <v>AA-</v>
          </cell>
          <cell r="U790" t="str">
            <v>4</v>
          </cell>
          <cell r="V790" t="str">
            <v>Bajo Riesgo</v>
          </cell>
          <cell r="W790" t="str">
            <v>Corporativo</v>
          </cell>
          <cell r="X790" t="str">
            <v>Bajo Riesgo Largo UF</v>
          </cell>
          <cell r="Y790" t="str">
            <v>Corporativo Bajo Riesgo Largo</v>
          </cell>
          <cell r="Z790" t="str">
            <v>Largo UF</v>
          </cell>
          <cell r="AA790" t="str">
            <v>Corporativo Largo</v>
          </cell>
          <cell r="AB790" t="str">
            <v>Corporativo UF</v>
          </cell>
          <cell r="AC790" t="str">
            <v>Instrumentos de Deuda</v>
          </cell>
          <cell r="AD790" t="str">
            <v>Consumo</v>
          </cell>
          <cell r="AE790" t="str">
            <v>Bono Agrosuper Sa Serie D</v>
          </cell>
          <cell r="AF790" t="str">
            <v>Agrosuper</v>
          </cell>
        </row>
        <row r="791">
          <cell r="C791" t="str">
            <v>BGASC-H</v>
          </cell>
          <cell r="D791" t="str">
            <v>GASCO</v>
          </cell>
          <cell r="E791">
            <v>133771136</v>
          </cell>
          <cell r="F791">
            <v>5000</v>
          </cell>
          <cell r="G791">
            <v>1.421E-3</v>
          </cell>
          <cell r="H791">
            <v>3.39</v>
          </cell>
          <cell r="I791" t="str">
            <v>2028-09-01</v>
          </cell>
          <cell r="J791">
            <v>4299</v>
          </cell>
          <cell r="K791">
            <v>8.84</v>
          </cell>
          <cell r="L791">
            <v>100.93</v>
          </cell>
          <cell r="M791" t="str">
            <v>UF</v>
          </cell>
          <cell r="N791" t="str">
            <v>RFL</v>
          </cell>
          <cell r="O791" t="str">
            <v>Renta Fija Local</v>
          </cell>
          <cell r="P791" t="str">
            <v>AA- ; AA</v>
          </cell>
          <cell r="Q791" t="str">
            <v>Largo</v>
          </cell>
          <cell r="R791" t="str">
            <v>Corporativo Bajo Riesgo Largo</v>
          </cell>
          <cell r="S791">
            <v>3.39</v>
          </cell>
          <cell r="T791" t="str">
            <v>AA-</v>
          </cell>
          <cell r="U791" t="str">
            <v>4</v>
          </cell>
          <cell r="V791" t="str">
            <v>Bajo Riesgo</v>
          </cell>
          <cell r="W791" t="str">
            <v>Corporativo</v>
          </cell>
          <cell r="X791" t="str">
            <v>Bajo Riesgo Largo UF</v>
          </cell>
          <cell r="Y791" t="str">
            <v>Corporativo Bajo Riesgo Largo</v>
          </cell>
          <cell r="Z791" t="str">
            <v>Largo UF</v>
          </cell>
          <cell r="AA791" t="str">
            <v>Corporativo Largo</v>
          </cell>
          <cell r="AB791" t="str">
            <v>Corporativo UF</v>
          </cell>
          <cell r="AC791"/>
          <cell r="AD791"/>
          <cell r="AE791"/>
          <cell r="AF791" t="str">
            <v>Gasco</v>
          </cell>
        </row>
        <row r="792">
          <cell r="C792" t="str">
            <v>BGASC-D</v>
          </cell>
          <cell r="D792" t="str">
            <v>GASCO</v>
          </cell>
          <cell r="E792">
            <v>1135947016</v>
          </cell>
          <cell r="F792">
            <v>30000</v>
          </cell>
          <cell r="G792">
            <v>1.2069E-2</v>
          </cell>
          <cell r="H792">
            <v>3.2</v>
          </cell>
          <cell r="I792" t="str">
            <v>2029-03-01</v>
          </cell>
          <cell r="J792">
            <v>4480</v>
          </cell>
          <cell r="K792">
            <v>8.89</v>
          </cell>
          <cell r="L792">
            <v>141.6</v>
          </cell>
          <cell r="M792" t="str">
            <v>UF</v>
          </cell>
          <cell r="N792" t="str">
            <v>RFL</v>
          </cell>
          <cell r="O792" t="str">
            <v>Renta Fija Local</v>
          </cell>
          <cell r="P792" t="str">
            <v>AA- ; AA</v>
          </cell>
          <cell r="Q792" t="str">
            <v>Largo</v>
          </cell>
          <cell r="R792" t="str">
            <v>Corporativo Bajo Riesgo Largo</v>
          </cell>
          <cell r="S792">
            <v>3.2</v>
          </cell>
          <cell r="T792" t="str">
            <v>AA-</v>
          </cell>
          <cell r="U792" t="str">
            <v>4</v>
          </cell>
          <cell r="V792" t="str">
            <v>Bajo Riesgo</v>
          </cell>
          <cell r="W792" t="str">
            <v>Corporativo</v>
          </cell>
          <cell r="X792" t="str">
            <v>Bajo Riesgo Largo UF</v>
          </cell>
          <cell r="Y792" t="str">
            <v>Corporativo Bajo Riesgo Largo</v>
          </cell>
          <cell r="Z792" t="str">
            <v>Largo UF</v>
          </cell>
          <cell r="AA792" t="str">
            <v>Corporativo Largo</v>
          </cell>
          <cell r="AB792" t="str">
            <v>Corporativo UF</v>
          </cell>
          <cell r="AC792"/>
          <cell r="AD792"/>
          <cell r="AE792"/>
          <cell r="AF792" t="str">
            <v>Gasco</v>
          </cell>
        </row>
        <row r="793">
          <cell r="C793" t="str">
            <v>BNTRA-D</v>
          </cell>
          <cell r="D793" t="str">
            <v>NTRANSELEC</v>
          </cell>
          <cell r="E793">
            <v>1340243995</v>
          </cell>
          <cell r="F793">
            <v>45000</v>
          </cell>
          <cell r="G793">
            <v>1.4239E-2</v>
          </cell>
          <cell r="H793">
            <v>3.01</v>
          </cell>
          <cell r="I793" t="str">
            <v>2027-12-15</v>
          </cell>
          <cell r="J793">
            <v>4038</v>
          </cell>
          <cell r="K793">
            <v>8.94</v>
          </cell>
          <cell r="L793">
            <v>111.17</v>
          </cell>
          <cell r="M793" t="str">
            <v>UF</v>
          </cell>
          <cell r="N793" t="str">
            <v>RFL</v>
          </cell>
          <cell r="O793" t="str">
            <v>Renta Fija Local</v>
          </cell>
          <cell r="P793" t="str">
            <v>AA- ; AA-</v>
          </cell>
          <cell r="Q793" t="str">
            <v>Largo</v>
          </cell>
          <cell r="R793" t="str">
            <v>Corporativo Bajo Riesgo Largo</v>
          </cell>
          <cell r="S793">
            <v>3.01</v>
          </cell>
          <cell r="T793" t="str">
            <v>AA-</v>
          </cell>
          <cell r="U793" t="str">
            <v>4</v>
          </cell>
          <cell r="V793" t="str">
            <v>Bajo Riesgo</v>
          </cell>
          <cell r="W793" t="str">
            <v>Corporativo</v>
          </cell>
          <cell r="X793" t="str">
            <v>Bajo Riesgo Largo UF</v>
          </cell>
          <cell r="Y793" t="str">
            <v>Corporativo Bajo Riesgo Largo</v>
          </cell>
          <cell r="Z793" t="str">
            <v>Largo UF</v>
          </cell>
          <cell r="AA793" t="str">
            <v>Corporativo Largo</v>
          </cell>
          <cell r="AB793" t="str">
            <v>Corporativo UF</v>
          </cell>
          <cell r="AC793" t="str">
            <v>Instrumentos de Deuda</v>
          </cell>
          <cell r="AD793" t="str">
            <v>Servicios Básicos</v>
          </cell>
          <cell r="AE793" t="str">
            <v>Serie Transelec S.A. Serie D</v>
          </cell>
          <cell r="AF793" t="str">
            <v>Transelec S.A.</v>
          </cell>
        </row>
        <row r="794">
          <cell r="C794" t="str">
            <v>BSKSA-E</v>
          </cell>
          <cell r="D794" t="str">
            <v>SK</v>
          </cell>
          <cell r="E794">
            <v>1241403521</v>
          </cell>
          <cell r="F794">
            <v>42000</v>
          </cell>
          <cell r="G794">
            <v>1.3188999999999999E-2</v>
          </cell>
          <cell r="H794">
            <v>2.74</v>
          </cell>
          <cell r="I794" t="str">
            <v>2033-03-15</v>
          </cell>
          <cell r="J794">
            <v>5955</v>
          </cell>
          <cell r="K794">
            <v>9.08</v>
          </cell>
          <cell r="L794">
            <v>111.55</v>
          </cell>
          <cell r="M794" t="str">
            <v>UF</v>
          </cell>
          <cell r="N794" t="str">
            <v>RFL</v>
          </cell>
          <cell r="O794" t="str">
            <v>Renta Fija Local</v>
          </cell>
          <cell r="P794" t="str">
            <v>A+ ; AA-</v>
          </cell>
          <cell r="Q794" t="str">
            <v>Largo</v>
          </cell>
          <cell r="R794" t="str">
            <v>Corporativo Alto Riesgo Largo</v>
          </cell>
          <cell r="S794">
            <v>2.74</v>
          </cell>
          <cell r="T794" t="str">
            <v>A+</v>
          </cell>
          <cell r="U794" t="str">
            <v>5</v>
          </cell>
          <cell r="V794" t="str">
            <v>Alto Riesgo</v>
          </cell>
          <cell r="W794" t="str">
            <v>Corporativo</v>
          </cell>
          <cell r="X794" t="str">
            <v>Alto Riesgo Largo UF</v>
          </cell>
          <cell r="Y794" t="str">
            <v>Corporativo Alto Riesgo Largo</v>
          </cell>
          <cell r="Z794" t="str">
            <v>Largo UF</v>
          </cell>
          <cell r="AA794" t="str">
            <v>Corporativo Largo</v>
          </cell>
          <cell r="AB794" t="str">
            <v>Corporativo UF</v>
          </cell>
          <cell r="AC794" t="str">
            <v>Instrumentos de Deuda</v>
          </cell>
          <cell r="AD794" t="str">
            <v>Industriales</v>
          </cell>
          <cell r="AE794" t="str">
            <v>Bono Sk Serie E</v>
          </cell>
          <cell r="AF794" t="str">
            <v>Sigdo Koppers S.A.</v>
          </cell>
        </row>
        <row r="795">
          <cell r="C795" t="str">
            <v>BCOOD20514</v>
          </cell>
          <cell r="D795" t="str">
            <v>COOPEUCH</v>
          </cell>
          <cell r="E795">
            <v>2196457524</v>
          </cell>
          <cell r="F795">
            <v>87000</v>
          </cell>
          <cell r="G795">
            <v>2.3335999999999999E-2</v>
          </cell>
          <cell r="H795">
            <v>3.08</v>
          </cell>
          <cell r="I795" t="str">
            <v>2039-05-05</v>
          </cell>
          <cell r="J795">
            <v>8197</v>
          </cell>
          <cell r="K795">
            <v>9.1300000000000008</v>
          </cell>
          <cell r="L795">
            <v>106.45</v>
          </cell>
          <cell r="M795" t="str">
            <v>UF</v>
          </cell>
          <cell r="N795" t="str">
            <v>RFL</v>
          </cell>
          <cell r="O795" t="str">
            <v>Renta Fija Local</v>
          </cell>
          <cell r="P795" t="str">
            <v>AA- ; AA-</v>
          </cell>
          <cell r="Q795" t="str">
            <v>Largo</v>
          </cell>
          <cell r="R795" t="str">
            <v>Corporativo Bajo Riesgo Largo</v>
          </cell>
          <cell r="S795">
            <v>3.08</v>
          </cell>
          <cell r="T795" t="str">
            <v>AA-</v>
          </cell>
          <cell r="U795" t="str">
            <v>4</v>
          </cell>
          <cell r="V795" t="str">
            <v>Bajo Riesgo</v>
          </cell>
          <cell r="W795" t="str">
            <v>Corporativo</v>
          </cell>
          <cell r="X795" t="str">
            <v>Bajo Riesgo Largo UF</v>
          </cell>
          <cell r="Y795" t="str">
            <v>Corporativo Bajo Riesgo Largo</v>
          </cell>
          <cell r="Z795" t="str">
            <v>Largo UF</v>
          </cell>
          <cell r="AA795" t="str">
            <v>Corporativo Largo</v>
          </cell>
          <cell r="AB795" t="str">
            <v>Corporativo UF</v>
          </cell>
          <cell r="AC795" t="str">
            <v>Instrumentos de Deuda</v>
          </cell>
          <cell r="AD795" t="str">
            <v>Financieras</v>
          </cell>
          <cell r="AE795" t="str">
            <v>Bono Coopeuch Serie D2</v>
          </cell>
          <cell r="AF795" t="str">
            <v>COOPEUCH</v>
          </cell>
        </row>
        <row r="796">
          <cell r="C796" t="str">
            <v>BCENC-O</v>
          </cell>
          <cell r="D796" t="str">
            <v>CENCOSUD</v>
          </cell>
          <cell r="E796">
            <v>2135443510</v>
          </cell>
          <cell r="F796">
            <v>2040000000</v>
          </cell>
          <cell r="G796">
            <v>2.2688E-2</v>
          </cell>
          <cell r="H796">
            <v>6.84</v>
          </cell>
          <cell r="I796" t="str">
            <v>2031-06-01</v>
          </cell>
          <cell r="J796">
            <v>5302</v>
          </cell>
          <cell r="K796">
            <v>9.15</v>
          </cell>
          <cell r="L796">
            <v>101.34</v>
          </cell>
          <cell r="M796" t="str">
            <v>$</v>
          </cell>
          <cell r="N796" t="str">
            <v>RFL</v>
          </cell>
          <cell r="O796" t="str">
            <v>Renta Fija Local</v>
          </cell>
          <cell r="P796" t="str">
            <v>AA- ; AA-</v>
          </cell>
          <cell r="Q796" t="str">
            <v>Largo</v>
          </cell>
          <cell r="R796" t="str">
            <v>Corporativo Bajo Riesgo Largo</v>
          </cell>
          <cell r="S796">
            <v>3.84</v>
          </cell>
          <cell r="T796" t="str">
            <v>AA-</v>
          </cell>
          <cell r="U796" t="str">
            <v>4</v>
          </cell>
          <cell r="V796" t="str">
            <v>Bajo Riesgo</v>
          </cell>
          <cell r="W796" t="str">
            <v>Corporativo</v>
          </cell>
          <cell r="X796" t="str">
            <v>Bajo Riesgo Largo $</v>
          </cell>
          <cell r="Y796" t="str">
            <v>Corporativo Bajo Riesgo Largo</v>
          </cell>
          <cell r="Z796" t="str">
            <v>Largo $</v>
          </cell>
          <cell r="AA796" t="str">
            <v>Corporativo Largo</v>
          </cell>
          <cell r="AB796" t="str">
            <v>Corporativo $</v>
          </cell>
          <cell r="AC796" t="str">
            <v>Instrumentos de Deuda</v>
          </cell>
          <cell r="AD796" t="str">
            <v>Consumo</v>
          </cell>
          <cell r="AE796" t="str">
            <v>Bono Cencosud Serie O</v>
          </cell>
          <cell r="AF796" t="str">
            <v>Cencosud S.A.</v>
          </cell>
        </row>
        <row r="797">
          <cell r="C797" t="str">
            <v>BMOLY-C</v>
          </cell>
          <cell r="D797" t="str">
            <v>MOLYMET</v>
          </cell>
          <cell r="E797">
            <v>14751701</v>
          </cell>
          <cell r="F797">
            <v>500</v>
          </cell>
          <cell r="G797">
            <v>1.56E-4</v>
          </cell>
          <cell r="H797">
            <v>3.17</v>
          </cell>
          <cell r="I797" t="str">
            <v>2028-06-01</v>
          </cell>
          <cell r="J797">
            <v>4207</v>
          </cell>
          <cell r="K797">
            <v>9.2100000000000009</v>
          </cell>
          <cell r="L797">
            <v>109.96</v>
          </cell>
          <cell r="M797" t="str">
            <v>UF</v>
          </cell>
          <cell r="N797" t="str">
            <v>RFL</v>
          </cell>
          <cell r="O797" t="str">
            <v>Renta Fija Local</v>
          </cell>
          <cell r="P797" t="str">
            <v>A+ ; A+</v>
          </cell>
          <cell r="Q797" t="str">
            <v>Largo</v>
          </cell>
          <cell r="R797" t="str">
            <v>Corporativo Alto Riesgo Largo</v>
          </cell>
          <cell r="S797">
            <v>3.17</v>
          </cell>
          <cell r="T797" t="str">
            <v>A+</v>
          </cell>
          <cell r="U797" t="str">
            <v>5</v>
          </cell>
          <cell r="V797" t="str">
            <v>Alto Riesgo</v>
          </cell>
          <cell r="W797" t="str">
            <v>Corporativo</v>
          </cell>
          <cell r="X797" t="str">
            <v>Alto Riesgo Largo UF</v>
          </cell>
          <cell r="Y797" t="str">
            <v>Corporativo Alto Riesgo Largo</v>
          </cell>
          <cell r="Z797" t="str">
            <v>Largo UF</v>
          </cell>
          <cell r="AA797" t="str">
            <v>Corporativo Largo</v>
          </cell>
          <cell r="AB797" t="str">
            <v>Corporativo UF</v>
          </cell>
          <cell r="AC797"/>
          <cell r="AD797"/>
          <cell r="AE797"/>
          <cell r="AF797" t="str">
            <v>MOLYMET</v>
          </cell>
        </row>
        <row r="798">
          <cell r="C798" t="str">
            <v>BCENC-F</v>
          </cell>
          <cell r="D798" t="str">
            <v>CENCOSUD</v>
          </cell>
          <cell r="E798">
            <v>289969419</v>
          </cell>
          <cell r="F798">
            <v>10000</v>
          </cell>
          <cell r="G798">
            <v>3.0799999999999998E-3</v>
          </cell>
          <cell r="H798">
            <v>2.94</v>
          </cell>
          <cell r="I798" t="str">
            <v>2028-05-07</v>
          </cell>
          <cell r="J798">
            <v>4182</v>
          </cell>
          <cell r="K798">
            <v>9.42</v>
          </cell>
          <cell r="L798">
            <v>110.06</v>
          </cell>
          <cell r="M798" t="str">
            <v>UF</v>
          </cell>
          <cell r="N798" t="str">
            <v>RFL</v>
          </cell>
          <cell r="O798" t="str">
            <v>Renta Fija Local</v>
          </cell>
          <cell r="P798" t="str">
            <v>AA- ; AA-</v>
          </cell>
          <cell r="Q798" t="str">
            <v>Largo</v>
          </cell>
          <cell r="R798" t="str">
            <v>Corporativo Bajo Riesgo Largo</v>
          </cell>
          <cell r="S798">
            <v>2.94</v>
          </cell>
          <cell r="T798" t="str">
            <v>AA-</v>
          </cell>
          <cell r="U798" t="str">
            <v>4</v>
          </cell>
          <cell r="V798" t="str">
            <v>Bajo Riesgo</v>
          </cell>
          <cell r="W798" t="str">
            <v>Corporativo</v>
          </cell>
          <cell r="X798" t="str">
            <v>Bajo Riesgo Largo UF</v>
          </cell>
          <cell r="Y798" t="str">
            <v>Corporativo Bajo Riesgo Largo</v>
          </cell>
          <cell r="Z798" t="str">
            <v>Largo UF</v>
          </cell>
          <cell r="AA798" t="str">
            <v>Corporativo Largo</v>
          </cell>
          <cell r="AB798" t="str">
            <v>Corporativo UF</v>
          </cell>
          <cell r="AC798" t="str">
            <v>Instrumentos de Deuda</v>
          </cell>
          <cell r="AD798" t="str">
            <v>Consumo</v>
          </cell>
          <cell r="AE798" t="str">
            <v>Bono Cencosud Serie F</v>
          </cell>
          <cell r="AF798" t="str">
            <v>Cencosud S.A.</v>
          </cell>
        </row>
        <row r="799">
          <cell r="C799" t="str">
            <v>BCFSA-B</v>
          </cell>
          <cell r="D799" t="str">
            <v>CONSOR FIN</v>
          </cell>
          <cell r="E799">
            <v>582007487</v>
          </cell>
          <cell r="F799">
            <v>20000</v>
          </cell>
          <cell r="G799">
            <v>6.1830000000000001E-3</v>
          </cell>
          <cell r="H799">
            <v>2.88</v>
          </cell>
          <cell r="I799" t="str">
            <v>2034-04-01</v>
          </cell>
          <cell r="J799">
            <v>6337</v>
          </cell>
          <cell r="K799">
            <v>9.8000000000000007</v>
          </cell>
          <cell r="L799">
            <v>110.03</v>
          </cell>
          <cell r="M799" t="str">
            <v>UF</v>
          </cell>
          <cell r="N799" t="str">
            <v>RFL</v>
          </cell>
          <cell r="O799" t="str">
            <v>Renta Fija Local</v>
          </cell>
          <cell r="P799" t="str">
            <v>AA- ; AA</v>
          </cell>
          <cell r="Q799" t="str">
            <v>Largo</v>
          </cell>
          <cell r="R799" t="str">
            <v>Corporativo Bajo Riesgo Largo</v>
          </cell>
          <cell r="S799">
            <v>2.88</v>
          </cell>
          <cell r="T799" t="str">
            <v>AA-</v>
          </cell>
          <cell r="U799" t="str">
            <v>4</v>
          </cell>
          <cell r="V799" t="str">
            <v>Bajo Riesgo</v>
          </cell>
          <cell r="W799" t="str">
            <v>Corporativo</v>
          </cell>
          <cell r="X799" t="str">
            <v>Bajo Riesgo Largo UF</v>
          </cell>
          <cell r="Y799" t="str">
            <v>Corporativo Bajo Riesgo Largo</v>
          </cell>
          <cell r="Z799" t="str">
            <v>Largo UF</v>
          </cell>
          <cell r="AA799" t="str">
            <v>Corporativo Largo</v>
          </cell>
          <cell r="AB799" t="str">
            <v>Corporativo UF</v>
          </cell>
          <cell r="AC799" t="str">
            <v>Instrumentos de Deuda</v>
          </cell>
          <cell r="AD799" t="str">
            <v>Financieras</v>
          </cell>
          <cell r="AE799" t="str">
            <v>Bono Consorcio Serie B</v>
          </cell>
          <cell r="AF799" t="str">
            <v>Consorcio Financiera</v>
          </cell>
        </row>
        <row r="800">
          <cell r="C800" t="str">
            <v>BRENT-C</v>
          </cell>
          <cell r="D800" t="str">
            <v>RENTAS</v>
          </cell>
          <cell r="E800">
            <v>2416804853</v>
          </cell>
          <cell r="F800">
            <v>88000</v>
          </cell>
          <cell r="G800">
            <v>2.5676999999999998E-2</v>
          </cell>
          <cell r="H800">
            <v>3.56</v>
          </cell>
          <cell r="I800" t="str">
            <v>2034-11-15</v>
          </cell>
          <cell r="J800">
            <v>6565</v>
          </cell>
          <cell r="K800">
            <v>10.08</v>
          </cell>
          <cell r="L800">
            <v>104.33</v>
          </cell>
          <cell r="M800" t="str">
            <v>UF</v>
          </cell>
          <cell r="N800" t="str">
            <v>RFL</v>
          </cell>
          <cell r="O800" t="str">
            <v>Renta Fija Local</v>
          </cell>
          <cell r="P800" t="str">
            <v>A ; AA-</v>
          </cell>
          <cell r="Q800" t="str">
            <v>Largo</v>
          </cell>
          <cell r="R800" t="str">
            <v>Corporativo Alto Riesgo Largo</v>
          </cell>
          <cell r="S800">
            <v>3.56</v>
          </cell>
          <cell r="T800" t="str">
            <v>A</v>
          </cell>
          <cell r="U800" t="str">
            <v>6</v>
          </cell>
          <cell r="V800" t="str">
            <v>Alto Riesgo</v>
          </cell>
          <cell r="W800" t="str">
            <v>Corporativo</v>
          </cell>
          <cell r="X800" t="str">
            <v>Alto Riesgo Largo UF</v>
          </cell>
          <cell r="Y800" t="str">
            <v>Corporativo Alto Riesgo Largo</v>
          </cell>
          <cell r="Z800" t="str">
            <v>Largo UF</v>
          </cell>
          <cell r="AA800" t="str">
            <v>Corporativo Largo</v>
          </cell>
          <cell r="AB800" t="str">
            <v>Corporativo UF</v>
          </cell>
          <cell r="AC800" t="str">
            <v>Instrumentos de Deuda</v>
          </cell>
          <cell r="AD800" t="str">
            <v>Construcción</v>
          </cell>
          <cell r="AE800" t="str">
            <v>Bono Soc De Rentas Comerciales Serie C</v>
          </cell>
          <cell r="AF800" t="str">
            <v>Sociedad de Rentas Comerciales S.A.</v>
          </cell>
        </row>
        <row r="801">
          <cell r="C801" t="str">
            <v>BLCON-B</v>
          </cell>
          <cell r="D801" t="str">
            <v>LAS CONDES</v>
          </cell>
          <cell r="E801">
            <v>301792182</v>
          </cell>
          <cell r="F801">
            <v>10000</v>
          </cell>
          <cell r="G801">
            <v>3.2060000000000001E-3</v>
          </cell>
          <cell r="H801">
            <v>2.72</v>
          </cell>
          <cell r="I801" t="str">
            <v>2034-11-30</v>
          </cell>
          <cell r="J801">
            <v>6580</v>
          </cell>
          <cell r="K801">
            <v>10.14</v>
          </cell>
          <cell r="L801">
            <v>112.61</v>
          </cell>
          <cell r="M801" t="str">
            <v>UF</v>
          </cell>
          <cell r="N801" t="str">
            <v>RFL</v>
          </cell>
          <cell r="O801" t="str">
            <v>Renta Fija Local</v>
          </cell>
          <cell r="P801" t="str">
            <v>A+ ; A+</v>
          </cell>
          <cell r="Q801" t="str">
            <v>Largo</v>
          </cell>
          <cell r="R801" t="str">
            <v>Corporativo Alto Riesgo Largo</v>
          </cell>
          <cell r="S801">
            <v>2.72</v>
          </cell>
          <cell r="T801" t="str">
            <v>A+</v>
          </cell>
          <cell r="U801" t="str">
            <v>5</v>
          </cell>
          <cell r="V801" t="str">
            <v>Alto Riesgo</v>
          </cell>
          <cell r="W801" t="str">
            <v>Corporativo</v>
          </cell>
          <cell r="X801" t="str">
            <v>Alto Riesgo Largo UF</v>
          </cell>
          <cell r="Y801" t="str">
            <v>Corporativo Alto Riesgo Largo</v>
          </cell>
          <cell r="Z801" t="str">
            <v>Largo UF</v>
          </cell>
          <cell r="AA801" t="str">
            <v>Corporativo Largo</v>
          </cell>
          <cell r="AB801" t="str">
            <v>Corporativo UF</v>
          </cell>
          <cell r="AC801"/>
          <cell r="AD801"/>
          <cell r="AE801"/>
          <cell r="AF801" t="str">
            <v>LAS CONDES</v>
          </cell>
        </row>
        <row r="802">
          <cell r="C802" t="str">
            <v>BFAL-C0711</v>
          </cell>
          <cell r="D802" t="str">
            <v>BBFALABELL</v>
          </cell>
          <cell r="E802">
            <v>294770975</v>
          </cell>
          <cell r="F802">
            <v>10000</v>
          </cell>
          <cell r="G802">
            <v>3.1310000000000001E-3</v>
          </cell>
          <cell r="H802">
            <v>2.82</v>
          </cell>
          <cell r="I802" t="str">
            <v>2032-07-31</v>
          </cell>
          <cell r="J802">
            <v>5728</v>
          </cell>
          <cell r="K802">
            <v>10.36</v>
          </cell>
          <cell r="L802">
            <v>110.75</v>
          </cell>
          <cell r="M802" t="str">
            <v>UF</v>
          </cell>
          <cell r="N802" t="str">
            <v>RFL</v>
          </cell>
          <cell r="O802" t="str">
            <v>Renta Fija Local</v>
          </cell>
          <cell r="P802" t="str">
            <v>AA ; AA</v>
          </cell>
          <cell r="Q802" t="str">
            <v>Largo</v>
          </cell>
          <cell r="R802" t="str">
            <v>Corporativo Bajo Riesgo Largo</v>
          </cell>
          <cell r="S802">
            <v>2.82</v>
          </cell>
          <cell r="T802" t="str">
            <v>AA</v>
          </cell>
          <cell r="U802" t="str">
            <v>3</v>
          </cell>
          <cell r="V802" t="str">
            <v>Bajo Riesgo</v>
          </cell>
          <cell r="W802" t="str">
            <v>Corporativo</v>
          </cell>
          <cell r="X802" t="str">
            <v>Bajo Riesgo Largo UF</v>
          </cell>
          <cell r="Y802" t="str">
            <v>Corporativo Bajo Riesgo Largo</v>
          </cell>
          <cell r="Z802" t="str">
            <v>Largo UF</v>
          </cell>
          <cell r="AA802" t="str">
            <v>Corporativo Largo</v>
          </cell>
          <cell r="AB802" t="str">
            <v>Corporativo UF</v>
          </cell>
          <cell r="AC802" t="str">
            <v>Instrumentos de Deuda</v>
          </cell>
          <cell r="AD802" t="str">
            <v>Financieras</v>
          </cell>
          <cell r="AE802" t="str">
            <v>Bono Banco Falabella Serie C</v>
          </cell>
          <cell r="AF802" t="str">
            <v>Banco Falabella</v>
          </cell>
        </row>
        <row r="803">
          <cell r="C803" t="str">
            <v>BBANM-J</v>
          </cell>
          <cell r="D803" t="str">
            <v>BANMEDICA</v>
          </cell>
          <cell r="E803">
            <v>578997057</v>
          </cell>
          <cell r="F803">
            <v>20000</v>
          </cell>
          <cell r="G803">
            <v>6.1510000000000002E-3</v>
          </cell>
          <cell r="H803">
            <v>3.14</v>
          </cell>
          <cell r="I803" t="str">
            <v>2034-04-10</v>
          </cell>
          <cell r="J803">
            <v>6346</v>
          </cell>
          <cell r="K803">
            <v>11.51</v>
          </cell>
          <cell r="L803">
            <v>107.53</v>
          </cell>
          <cell r="M803" t="str">
            <v>UF</v>
          </cell>
          <cell r="N803" t="str">
            <v>RFL</v>
          </cell>
          <cell r="O803" t="str">
            <v>Renta Fija Local</v>
          </cell>
          <cell r="P803" t="str">
            <v>AA- ; AA-</v>
          </cell>
          <cell r="Q803" t="str">
            <v>Largo</v>
          </cell>
          <cell r="R803" t="str">
            <v>Corporativo Bajo Riesgo Largo</v>
          </cell>
          <cell r="S803">
            <v>3.14</v>
          </cell>
          <cell r="T803" t="str">
            <v>AA-</v>
          </cell>
          <cell r="U803" t="str">
            <v>4</v>
          </cell>
          <cell r="V803" t="str">
            <v>Bajo Riesgo</v>
          </cell>
          <cell r="W803" t="str">
            <v>Corporativo</v>
          </cell>
          <cell r="X803" t="str">
            <v>Bajo Riesgo Largo UF</v>
          </cell>
          <cell r="Y803" t="str">
            <v>Corporativo Bajo Riesgo Largo</v>
          </cell>
          <cell r="Z803" t="str">
            <v>Largo UF</v>
          </cell>
          <cell r="AA803" t="str">
            <v>Corporativo Largo</v>
          </cell>
          <cell r="AB803" t="str">
            <v>Corporativo UF</v>
          </cell>
          <cell r="AC803"/>
          <cell r="AD803"/>
          <cell r="AE803"/>
          <cell r="AF803" t="str">
            <v>Banmedica</v>
          </cell>
        </row>
        <row r="804">
          <cell r="C804" t="str">
            <v>UCNO-A1011</v>
          </cell>
          <cell r="D804" t="str">
            <v>BBCONSORC</v>
          </cell>
          <cell r="E804">
            <v>1345527459</v>
          </cell>
          <cell r="F804">
            <v>45000</v>
          </cell>
          <cell r="G804">
            <v>1.4295E-2</v>
          </cell>
          <cell r="H804">
            <v>2.88</v>
          </cell>
          <cell r="I804" t="str">
            <v>2031-10-15</v>
          </cell>
          <cell r="J804">
            <v>5438</v>
          </cell>
          <cell r="K804">
            <v>11.6</v>
          </cell>
          <cell r="L804">
            <v>113.2</v>
          </cell>
          <cell r="M804" t="str">
            <v>UF</v>
          </cell>
          <cell r="N804" t="str">
            <v>RFL</v>
          </cell>
          <cell r="O804" t="str">
            <v>Renta Fija Local</v>
          </cell>
          <cell r="P804" t="str">
            <v>A+ ; A+</v>
          </cell>
          <cell r="Q804" t="str">
            <v>Largo</v>
          </cell>
          <cell r="R804" t="str">
            <v>Corporativo Alto Riesgo Largo</v>
          </cell>
          <cell r="S804">
            <v>2.88</v>
          </cell>
          <cell r="T804" t="str">
            <v>A+</v>
          </cell>
          <cell r="U804" t="str">
            <v>5</v>
          </cell>
          <cell r="V804" t="str">
            <v>Alto Riesgo</v>
          </cell>
          <cell r="W804" t="str">
            <v>Corporativo</v>
          </cell>
          <cell r="X804" t="str">
            <v>Alto Riesgo Largo UF</v>
          </cell>
          <cell r="Y804" t="str">
            <v>Corporativo Alto Riesgo Largo</v>
          </cell>
          <cell r="Z804" t="str">
            <v>Largo UF</v>
          </cell>
          <cell r="AA804" t="str">
            <v>Corporativo Largo</v>
          </cell>
          <cell r="AB804" t="str">
            <v>Corporativo UF</v>
          </cell>
          <cell r="AC804" t="str">
            <v>Instrumentos de Deuda</v>
          </cell>
          <cell r="AD804" t="str">
            <v>Financieras</v>
          </cell>
          <cell r="AE804" t="str">
            <v>Bono Subordinado Banco Consorcio Serie A</v>
          </cell>
          <cell r="AF804" t="str">
            <v>Banco Consorcio</v>
          </cell>
        </row>
        <row r="805">
          <cell r="C805" t="str">
            <v>UBBVH90607</v>
          </cell>
          <cell r="D805" t="str">
            <v>BBBVA</v>
          </cell>
          <cell r="E805">
            <v>556745281</v>
          </cell>
          <cell r="F805">
            <v>20000</v>
          </cell>
          <cell r="G805">
            <v>5.9150000000000001E-3</v>
          </cell>
          <cell r="H805">
            <v>3.15</v>
          </cell>
          <cell r="I805" t="str">
            <v>2032-06-01</v>
          </cell>
          <cell r="J805">
            <v>5668</v>
          </cell>
          <cell r="K805">
            <v>12.02</v>
          </cell>
          <cell r="L805">
            <v>104.11</v>
          </cell>
          <cell r="M805" t="str">
            <v>UF</v>
          </cell>
          <cell r="N805" t="str">
            <v>RFL</v>
          </cell>
          <cell r="O805" t="str">
            <v>Renta Fija Local</v>
          </cell>
          <cell r="P805" t="str">
            <v>A ; AA</v>
          </cell>
          <cell r="Q805" t="str">
            <v>Largo</v>
          </cell>
          <cell r="R805" t="str">
            <v>Corporativo Alto Riesgo Largo</v>
          </cell>
          <cell r="S805">
            <v>3.15</v>
          </cell>
          <cell r="T805" t="str">
            <v>A</v>
          </cell>
          <cell r="U805" t="str">
            <v>6</v>
          </cell>
          <cell r="V805" t="str">
            <v>Alto Riesgo</v>
          </cell>
          <cell r="W805" t="str">
            <v>Corporativo</v>
          </cell>
          <cell r="X805" t="str">
            <v>Alto Riesgo Largo UF</v>
          </cell>
          <cell r="Y805" t="str">
            <v>Corporativo Alto Riesgo Largo</v>
          </cell>
          <cell r="Z805" t="str">
            <v>Largo UF</v>
          </cell>
          <cell r="AA805" t="str">
            <v>Corporativo Largo</v>
          </cell>
          <cell r="AB805" t="str">
            <v>Corporativo UF</v>
          </cell>
          <cell r="AC805" t="str">
            <v>Instrumentos de Deuda</v>
          </cell>
          <cell r="AD805" t="str">
            <v>Financieras</v>
          </cell>
          <cell r="AE805" t="str">
            <v>Bono Bancario Bbva</v>
          </cell>
          <cell r="AF805" t="str">
            <v>BBVA</v>
          </cell>
        </row>
        <row r="806">
          <cell r="C806" t="str">
            <v>BWATT-L</v>
          </cell>
          <cell r="D806" t="str">
            <v>WATTS</v>
          </cell>
          <cell r="E806">
            <v>2251496081</v>
          </cell>
          <cell r="F806">
            <v>76500</v>
          </cell>
          <cell r="G806">
            <v>2.3921000000000001E-2</v>
          </cell>
          <cell r="H806">
            <v>3.23</v>
          </cell>
          <cell r="I806" t="str">
            <v>2032-11-15</v>
          </cell>
          <cell r="J806">
            <v>5835</v>
          </cell>
          <cell r="K806">
            <v>12.09</v>
          </cell>
          <cell r="L806">
            <v>111.8</v>
          </cell>
          <cell r="M806" t="str">
            <v>UF</v>
          </cell>
          <cell r="N806" t="str">
            <v>RFL</v>
          </cell>
          <cell r="O806" t="str">
            <v>Renta Fija Local</v>
          </cell>
          <cell r="P806" t="str">
            <v>A ; A</v>
          </cell>
          <cell r="Q806" t="str">
            <v>Largo</v>
          </cell>
          <cell r="R806" t="str">
            <v>Corporativo Alto Riesgo Largo</v>
          </cell>
          <cell r="S806">
            <v>3.23</v>
          </cell>
          <cell r="T806" t="str">
            <v>A</v>
          </cell>
          <cell r="U806" t="str">
            <v>6</v>
          </cell>
          <cell r="V806" t="str">
            <v>Alto Riesgo</v>
          </cell>
          <cell r="W806" t="str">
            <v>Corporativo</v>
          </cell>
          <cell r="X806" t="str">
            <v>Alto Riesgo Largo UF</v>
          </cell>
          <cell r="Y806" t="str">
            <v>Corporativo Alto Riesgo Largo</v>
          </cell>
          <cell r="Z806" t="str">
            <v>Largo UF</v>
          </cell>
          <cell r="AA806" t="str">
            <v>Corporativo Largo</v>
          </cell>
          <cell r="AB806" t="str">
            <v>Corporativo UF</v>
          </cell>
          <cell r="AC806" t="str">
            <v>Instrumentos de Deuda</v>
          </cell>
          <cell r="AD806" t="str">
            <v>Consumo</v>
          </cell>
          <cell r="AE806" t="str">
            <v>Bono Watts Serie L</v>
          </cell>
          <cell r="AF806" t="str">
            <v>Watts</v>
          </cell>
        </row>
        <row r="807">
          <cell r="C807" t="str">
            <v>BEMCA-P</v>
          </cell>
          <cell r="D807" t="str">
            <v>EM.CAROZZI</v>
          </cell>
          <cell r="E807">
            <v>1120927994</v>
          </cell>
          <cell r="F807">
            <v>40000</v>
          </cell>
          <cell r="G807">
            <v>1.1908999999999999E-2</v>
          </cell>
          <cell r="H807">
            <v>3.26</v>
          </cell>
          <cell r="I807" t="str">
            <v>2035-05-15</v>
          </cell>
          <cell r="J807">
            <v>6746</v>
          </cell>
          <cell r="K807">
            <v>12.12</v>
          </cell>
          <cell r="L807">
            <v>106.46</v>
          </cell>
          <cell r="M807" t="str">
            <v>UF</v>
          </cell>
          <cell r="N807" t="str">
            <v>RFL</v>
          </cell>
          <cell r="O807" t="str">
            <v>Renta Fija Local</v>
          </cell>
          <cell r="P807" t="str">
            <v>A+ ; A</v>
          </cell>
          <cell r="Q807" t="str">
            <v>Largo</v>
          </cell>
          <cell r="R807" t="str">
            <v>Corporativo Alto Riesgo Largo</v>
          </cell>
          <cell r="S807">
            <v>3.26</v>
          </cell>
          <cell r="T807" t="str">
            <v>A</v>
          </cell>
          <cell r="U807" t="str">
            <v>6</v>
          </cell>
          <cell r="V807" t="str">
            <v>Alto Riesgo</v>
          </cell>
          <cell r="W807" t="str">
            <v>Corporativo</v>
          </cell>
          <cell r="X807" t="str">
            <v>Alto Riesgo Largo UF</v>
          </cell>
          <cell r="Y807" t="str">
            <v>Corporativo Alto Riesgo Largo</v>
          </cell>
          <cell r="Z807" t="str">
            <v>Largo UF</v>
          </cell>
          <cell r="AA807" t="str">
            <v>Corporativo Largo</v>
          </cell>
          <cell r="AB807" t="str">
            <v>Corporativo UF</v>
          </cell>
          <cell r="AC807" t="str">
            <v>Instrumentos de Deuda</v>
          </cell>
          <cell r="AD807" t="str">
            <v>Consumo</v>
          </cell>
          <cell r="AE807" t="str">
            <v>Bono Carozzi Serie P</v>
          </cell>
          <cell r="AF807" t="str">
            <v>Empresas Carozzi S.A.</v>
          </cell>
        </row>
        <row r="808">
          <cell r="C808" t="str">
            <v>USECJ20312</v>
          </cell>
          <cell r="D808" t="str">
            <v>BBSECURITY</v>
          </cell>
          <cell r="E808">
            <v>1031420793</v>
          </cell>
          <cell r="F808">
            <v>34500</v>
          </cell>
          <cell r="G808">
            <v>1.0958000000000001E-2</v>
          </cell>
          <cell r="H808">
            <v>2.97</v>
          </cell>
          <cell r="I808" t="str">
            <v>2037-03-01</v>
          </cell>
          <cell r="J808">
            <v>7402</v>
          </cell>
          <cell r="K808">
            <v>12.15</v>
          </cell>
          <cell r="L808">
            <v>112.66</v>
          </cell>
          <cell r="M808" t="str">
            <v>UF</v>
          </cell>
          <cell r="N808" t="str">
            <v>RFL</v>
          </cell>
          <cell r="O808" t="str">
            <v>Renta Fija Local</v>
          </cell>
          <cell r="P808" t="str">
            <v>A+ ; A</v>
          </cell>
          <cell r="Q808" t="str">
            <v>Largo</v>
          </cell>
          <cell r="R808" t="str">
            <v>Corporativo Alto Riesgo Largo</v>
          </cell>
          <cell r="S808">
            <v>2.97</v>
          </cell>
          <cell r="T808" t="str">
            <v>A</v>
          </cell>
          <cell r="U808" t="str">
            <v>6</v>
          </cell>
          <cell r="V808" t="str">
            <v>Alto Riesgo</v>
          </cell>
          <cell r="W808" t="str">
            <v>Corporativo</v>
          </cell>
          <cell r="X808" t="str">
            <v>Alto Riesgo Largo UF</v>
          </cell>
          <cell r="Y808" t="str">
            <v>Corporativo Alto Riesgo Largo</v>
          </cell>
          <cell r="Z808" t="str">
            <v>Largo UF</v>
          </cell>
          <cell r="AA808" t="str">
            <v>Corporativo Largo</v>
          </cell>
          <cell r="AB808" t="str">
            <v>Corporativo UF</v>
          </cell>
          <cell r="AC808" t="str">
            <v>Instrumentos de Deuda</v>
          </cell>
          <cell r="AD808" t="str">
            <v>Financieras</v>
          </cell>
          <cell r="AE808" t="str">
            <v>Bono Subordinado Banco Security Serie J2</v>
          </cell>
          <cell r="AF808" t="str">
            <v>Banco Security</v>
          </cell>
        </row>
        <row r="809">
          <cell r="C809" t="str">
            <v>UCOR-V0808</v>
          </cell>
          <cell r="D809" t="str">
            <v>BBCORPBANC</v>
          </cell>
          <cell r="E809">
            <v>2287013848</v>
          </cell>
          <cell r="F809">
            <v>70000</v>
          </cell>
          <cell r="G809">
            <v>2.4298E-2</v>
          </cell>
          <cell r="H809">
            <v>2.89</v>
          </cell>
          <cell r="I809" t="str">
            <v>2033-08-01</v>
          </cell>
          <cell r="J809">
            <v>6094</v>
          </cell>
          <cell r="K809">
            <v>12.23</v>
          </cell>
          <cell r="L809">
            <v>122.47</v>
          </cell>
          <cell r="M809" t="str">
            <v>UF</v>
          </cell>
          <cell r="N809" t="str">
            <v>RFL</v>
          </cell>
          <cell r="O809" t="str">
            <v>Renta Fija Local</v>
          </cell>
          <cell r="P809" t="str">
            <v>AA- ; AA-</v>
          </cell>
          <cell r="Q809" t="str">
            <v>Largo</v>
          </cell>
          <cell r="R809" t="str">
            <v>Corporativo Bajo Riesgo Largo</v>
          </cell>
          <cell r="S809">
            <v>2.89</v>
          </cell>
          <cell r="T809" t="str">
            <v>AA-</v>
          </cell>
          <cell r="U809" t="str">
            <v>4</v>
          </cell>
          <cell r="V809" t="str">
            <v>Bajo Riesgo</v>
          </cell>
          <cell r="W809" t="str">
            <v>Corporativo</v>
          </cell>
          <cell r="X809" t="str">
            <v>Bajo Riesgo Largo UF</v>
          </cell>
          <cell r="Y809" t="str">
            <v>Corporativo Bajo Riesgo Largo</v>
          </cell>
          <cell r="Z809" t="str">
            <v>Largo UF</v>
          </cell>
          <cell r="AA809" t="str">
            <v>Corporativo Largo</v>
          </cell>
          <cell r="AB809" t="str">
            <v>Corporativo UF</v>
          </cell>
          <cell r="AC809" t="str">
            <v>Instrumentos de Deuda</v>
          </cell>
          <cell r="AD809" t="str">
            <v>Financieras</v>
          </cell>
          <cell r="AE809" t="str">
            <v>Bono Subordinadocorpbanca Serie V</v>
          </cell>
          <cell r="AF809" t="str">
            <v>Itau/Corpbanca</v>
          </cell>
        </row>
        <row r="810">
          <cell r="C810" t="str">
            <v>USECJ31013</v>
          </cell>
          <cell r="D810" t="str">
            <v>BBSECURITY</v>
          </cell>
          <cell r="E810">
            <v>892892862</v>
          </cell>
          <cell r="F810">
            <v>30000</v>
          </cell>
          <cell r="G810">
            <v>9.4859999999999996E-3</v>
          </cell>
          <cell r="H810">
            <v>3.05</v>
          </cell>
          <cell r="I810" t="str">
            <v>2038-10-01</v>
          </cell>
          <cell r="J810">
            <v>7981</v>
          </cell>
          <cell r="K810">
            <v>13.06</v>
          </cell>
          <cell r="L810">
            <v>112.52</v>
          </cell>
          <cell r="M810" t="str">
            <v>UF</v>
          </cell>
          <cell r="N810" t="str">
            <v>RFL</v>
          </cell>
          <cell r="O810" t="str">
            <v>Renta Fija Local</v>
          </cell>
          <cell r="P810" t="str">
            <v>AA- ; AA-</v>
          </cell>
          <cell r="Q810" t="str">
            <v>Largo</v>
          </cell>
          <cell r="R810" t="str">
            <v>Corporativo Bajo Riesgo Largo</v>
          </cell>
          <cell r="S810">
            <v>3.05</v>
          </cell>
          <cell r="T810" t="str">
            <v>AA-</v>
          </cell>
          <cell r="U810" t="str">
            <v>4</v>
          </cell>
          <cell r="V810" t="str">
            <v>Bajo Riesgo</v>
          </cell>
          <cell r="W810" t="str">
            <v>Corporativo</v>
          </cell>
          <cell r="X810" t="str">
            <v>Bajo Riesgo Largo UF</v>
          </cell>
          <cell r="Y810" t="str">
            <v>Corporativo Bajo Riesgo Largo</v>
          </cell>
          <cell r="Z810" t="str">
            <v>Largo UF</v>
          </cell>
          <cell r="AA810" t="str">
            <v>Corporativo Largo</v>
          </cell>
          <cell r="AB810" t="str">
            <v>Corporativo UF</v>
          </cell>
          <cell r="AC810" t="str">
            <v>Instrumentos de Deuda</v>
          </cell>
          <cell r="AD810" t="str">
            <v>Financieras</v>
          </cell>
          <cell r="AE810" t="str">
            <v>Bono Subordinado Banco Security Serie J3</v>
          </cell>
          <cell r="AF810" t="str">
            <v>Banco Security</v>
          </cell>
        </row>
        <row r="811">
          <cell r="C811" t="str">
            <v>BENTE-M</v>
          </cell>
          <cell r="D811" t="str">
            <v>ENTEL</v>
          </cell>
          <cell r="E811">
            <v>974862636</v>
          </cell>
          <cell r="F811">
            <v>35000</v>
          </cell>
          <cell r="G811">
            <v>1.0357E-2</v>
          </cell>
          <cell r="H811">
            <v>3.19</v>
          </cell>
          <cell r="I811" t="str">
            <v>2035-05-30</v>
          </cell>
          <cell r="J811">
            <v>6761</v>
          </cell>
          <cell r="K811">
            <v>13.71</v>
          </cell>
          <cell r="L811">
            <v>104.15</v>
          </cell>
          <cell r="M811" t="str">
            <v>UF</v>
          </cell>
          <cell r="N811" t="str">
            <v>RFL</v>
          </cell>
          <cell r="O811" t="str">
            <v>Renta Fija Local</v>
          </cell>
          <cell r="P811" t="str">
            <v>A+ ; AA+</v>
          </cell>
          <cell r="Q811" t="str">
            <v>Largo</v>
          </cell>
          <cell r="R811" t="str">
            <v>Corporativo Alto Riesgo Largo</v>
          </cell>
          <cell r="S811">
            <v>3.19</v>
          </cell>
          <cell r="T811" t="str">
            <v>A+</v>
          </cell>
          <cell r="U811" t="str">
            <v>5</v>
          </cell>
          <cell r="V811" t="str">
            <v>Alto Riesgo</v>
          </cell>
          <cell r="W811" t="str">
            <v>Corporativo</v>
          </cell>
          <cell r="X811" t="str">
            <v>Alto Riesgo Largo UF</v>
          </cell>
          <cell r="Y811" t="str">
            <v>Corporativo Alto Riesgo Largo</v>
          </cell>
          <cell r="Z811" t="str">
            <v>Largo UF</v>
          </cell>
          <cell r="AA811" t="str">
            <v>Corporativo Largo</v>
          </cell>
          <cell r="AB811" t="str">
            <v>Corporativo UF</v>
          </cell>
          <cell r="AC811" t="str">
            <v>Instrumentos de Deuda</v>
          </cell>
          <cell r="AD811" t="str">
            <v>Telecomunicaciones</v>
          </cell>
          <cell r="AE811" t="str">
            <v>Bono Enjoy Serie M</v>
          </cell>
          <cell r="AF811" t="str">
            <v>ENTEL</v>
          </cell>
        </row>
        <row r="812">
          <cell r="C812" t="str">
            <v>UCNO-G0414</v>
          </cell>
          <cell r="D812" t="str">
            <v>BBCONSORC</v>
          </cell>
          <cell r="E812">
            <v>358426661</v>
          </cell>
          <cell r="F812">
            <v>12000</v>
          </cell>
          <cell r="G812">
            <v>3.8080000000000002E-3</v>
          </cell>
          <cell r="H812">
            <v>3.17</v>
          </cell>
          <cell r="I812" t="str">
            <v>2039-04-01</v>
          </cell>
          <cell r="J812">
            <v>8163</v>
          </cell>
          <cell r="K812">
            <v>15.45</v>
          </cell>
          <cell r="L812">
            <v>112.92</v>
          </cell>
          <cell r="M812" t="str">
            <v>UF</v>
          </cell>
          <cell r="N812" t="str">
            <v>RFL</v>
          </cell>
          <cell r="O812" t="str">
            <v>Renta Fija Local</v>
          </cell>
          <cell r="P812" t="str">
            <v>A+ ; A+</v>
          </cell>
          <cell r="Q812" t="str">
            <v>Largo</v>
          </cell>
          <cell r="R812" t="str">
            <v>Corporativo Alto Riesgo Largo</v>
          </cell>
          <cell r="S812">
            <v>3.17</v>
          </cell>
          <cell r="T812" t="str">
            <v>A+</v>
          </cell>
          <cell r="U812" t="str">
            <v>5</v>
          </cell>
          <cell r="V812" t="str">
            <v>Alto Riesgo</v>
          </cell>
          <cell r="W812" t="str">
            <v>Corporativo</v>
          </cell>
          <cell r="X812" t="str">
            <v>Alto Riesgo Largo UF</v>
          </cell>
          <cell r="Y812" t="str">
            <v>Corporativo Alto Riesgo Largo</v>
          </cell>
          <cell r="Z812" t="str">
            <v>Largo UF</v>
          </cell>
          <cell r="AA812" t="str">
            <v>Corporativo Largo</v>
          </cell>
          <cell r="AB812" t="str">
            <v>Corporativo UF</v>
          </cell>
          <cell r="AC812"/>
          <cell r="AD812" t="str">
            <v>Financieras</v>
          </cell>
          <cell r="AE812" t="str">
            <v>Bono Subordinado Banco Consorcio Serie G</v>
          </cell>
          <cell r="AF812" t="str">
            <v>Banco Consorcio</v>
          </cell>
        </row>
        <row r="813">
          <cell r="C813" t="str">
            <v>UCNO-K1114</v>
          </cell>
          <cell r="D813" t="str">
            <v>BBCONSORC</v>
          </cell>
          <cell r="E813">
            <v>1454567733</v>
          </cell>
          <cell r="F813">
            <v>50000</v>
          </cell>
          <cell r="G813">
            <v>1.5454000000000001E-2</v>
          </cell>
          <cell r="H813">
            <v>3.15</v>
          </cell>
          <cell r="I813" t="str">
            <v>2039-11-01</v>
          </cell>
          <cell r="J813">
            <v>8377</v>
          </cell>
          <cell r="K813">
            <v>15.93</v>
          </cell>
          <cell r="L813">
            <v>110.35</v>
          </cell>
          <cell r="M813" t="str">
            <v>UF</v>
          </cell>
          <cell r="N813" t="str">
            <v>RFL</v>
          </cell>
          <cell r="O813" t="str">
            <v>Renta Fija Local</v>
          </cell>
          <cell r="P813" t="str">
            <v>A+ ; A+</v>
          </cell>
          <cell r="Q813" t="str">
            <v>Largo</v>
          </cell>
          <cell r="R813" t="str">
            <v>Corporativo Alto Riesgo Largo</v>
          </cell>
          <cell r="S813">
            <v>3.15</v>
          </cell>
          <cell r="T813" t="str">
            <v>A+</v>
          </cell>
          <cell r="U813" t="str">
            <v>5</v>
          </cell>
          <cell r="V813" t="str">
            <v>Alto Riesgo</v>
          </cell>
          <cell r="W813" t="str">
            <v>Corporativo</v>
          </cell>
          <cell r="X813" t="str">
            <v>Alto Riesgo Largo UF</v>
          </cell>
          <cell r="Y813" t="str">
            <v>Corporativo Alto Riesgo Largo</v>
          </cell>
          <cell r="Z813" t="str">
            <v>Largo UF</v>
          </cell>
          <cell r="AA813" t="str">
            <v>Corporativo Largo</v>
          </cell>
          <cell r="AB813" t="str">
            <v>Corporativo UF</v>
          </cell>
          <cell r="AC813" t="str">
            <v>Instrumentos de Deuda</v>
          </cell>
          <cell r="AD813" t="str">
            <v>Financieras</v>
          </cell>
          <cell r="AE813" t="str">
            <v>Bono Subordinado Banco Consorcio Serie K</v>
          </cell>
          <cell r="AF813" t="str">
            <v>Banco Consorcio</v>
          </cell>
        </row>
        <row r="814">
          <cell r="C814"/>
          <cell r="D814"/>
          <cell r="E814"/>
          <cell r="F814"/>
          <cell r="G814"/>
          <cell r="H814"/>
          <cell r="I814"/>
          <cell r="J814"/>
          <cell r="K814"/>
          <cell r="L814"/>
          <cell r="M814"/>
          <cell r="N814"/>
          <cell r="O814"/>
          <cell r="P814"/>
          <cell r="Q814"/>
          <cell r="R814"/>
          <cell r="S814"/>
          <cell r="T814"/>
          <cell r="U814"/>
          <cell r="V814"/>
          <cell r="W814"/>
          <cell r="X814"/>
          <cell r="Y814"/>
          <cell r="Z814"/>
          <cell r="AA814"/>
          <cell r="AB814"/>
          <cell r="AC814"/>
          <cell r="AD814"/>
          <cell r="AE814"/>
          <cell r="AF814"/>
        </row>
        <row r="815">
          <cell r="C815"/>
          <cell r="D815"/>
          <cell r="E815"/>
          <cell r="F815"/>
          <cell r="G815"/>
          <cell r="H815"/>
          <cell r="I815"/>
          <cell r="J815"/>
          <cell r="K815"/>
          <cell r="L815"/>
          <cell r="M815"/>
          <cell r="N815"/>
          <cell r="O815"/>
          <cell r="P815"/>
          <cell r="Q815"/>
          <cell r="R815"/>
          <cell r="S815"/>
          <cell r="T815"/>
          <cell r="U815"/>
          <cell r="V815"/>
          <cell r="W815"/>
          <cell r="X815"/>
          <cell r="Y815"/>
          <cell r="Z815"/>
          <cell r="AA815"/>
          <cell r="AB815"/>
          <cell r="AC815"/>
          <cell r="AD815"/>
          <cell r="AE815"/>
          <cell r="AF815"/>
        </row>
        <row r="816">
          <cell r="C816"/>
          <cell r="D816"/>
          <cell r="E816"/>
          <cell r="F816"/>
          <cell r="G816"/>
          <cell r="H816"/>
          <cell r="I816"/>
          <cell r="J816"/>
          <cell r="K816"/>
          <cell r="L816"/>
          <cell r="M816"/>
          <cell r="N816"/>
          <cell r="O816"/>
          <cell r="P816"/>
          <cell r="Q816"/>
          <cell r="R816"/>
          <cell r="S816"/>
          <cell r="T816"/>
          <cell r="U816"/>
          <cell r="V816"/>
          <cell r="W816"/>
          <cell r="X816"/>
          <cell r="Y816"/>
          <cell r="Z816"/>
          <cell r="AA816"/>
          <cell r="AB816"/>
          <cell r="AC816"/>
          <cell r="AD816"/>
          <cell r="AE816"/>
          <cell r="AF816"/>
        </row>
        <row r="817">
          <cell r="C817"/>
          <cell r="D817"/>
          <cell r="E817"/>
          <cell r="F817"/>
          <cell r="G817"/>
          <cell r="H817"/>
          <cell r="I817"/>
          <cell r="J817"/>
          <cell r="K817"/>
          <cell r="L817"/>
          <cell r="M817"/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  <cell r="X817"/>
          <cell r="Y817"/>
          <cell r="Z817"/>
          <cell r="AA817"/>
          <cell r="AB817"/>
          <cell r="AC817"/>
          <cell r="AD817"/>
          <cell r="AE817"/>
          <cell r="AF817"/>
        </row>
        <row r="818">
          <cell r="C818"/>
          <cell r="D818"/>
          <cell r="E818"/>
          <cell r="F818"/>
          <cell r="G818"/>
          <cell r="H818"/>
          <cell r="I818"/>
          <cell r="J818"/>
          <cell r="K818"/>
          <cell r="L818"/>
          <cell r="M818"/>
          <cell r="N818"/>
          <cell r="O818"/>
          <cell r="P818"/>
          <cell r="Q818"/>
          <cell r="R818"/>
          <cell r="S818"/>
          <cell r="T818"/>
          <cell r="U818"/>
          <cell r="V818"/>
          <cell r="W818"/>
          <cell r="X818"/>
          <cell r="Y818"/>
          <cell r="Z818"/>
          <cell r="AA818"/>
          <cell r="AB818"/>
          <cell r="AC818"/>
          <cell r="AD818"/>
          <cell r="AE818"/>
          <cell r="AF818"/>
        </row>
        <row r="819">
          <cell r="C819"/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  <cell r="X819"/>
          <cell r="Y819"/>
          <cell r="Z819"/>
          <cell r="AA819"/>
          <cell r="AB819"/>
          <cell r="AC819"/>
          <cell r="AD819"/>
          <cell r="AE819"/>
          <cell r="AF819"/>
        </row>
        <row r="820">
          <cell r="C820"/>
          <cell r="D820"/>
          <cell r="E820"/>
          <cell r="F820"/>
          <cell r="G820"/>
          <cell r="H820"/>
          <cell r="I820"/>
          <cell r="J820"/>
          <cell r="K820"/>
          <cell r="L820"/>
          <cell r="M820"/>
          <cell r="N820"/>
          <cell r="O820"/>
          <cell r="P820"/>
          <cell r="Q820"/>
          <cell r="R820"/>
          <cell r="S820"/>
          <cell r="T820"/>
          <cell r="U820"/>
          <cell r="V820"/>
          <cell r="W820"/>
          <cell r="X820"/>
          <cell r="Y820"/>
          <cell r="Z820"/>
          <cell r="AA820"/>
          <cell r="AB820"/>
          <cell r="AC820"/>
          <cell r="AD820"/>
          <cell r="AE820"/>
          <cell r="AF820"/>
        </row>
        <row r="821">
          <cell r="C821"/>
          <cell r="D821"/>
          <cell r="E821"/>
          <cell r="F821"/>
          <cell r="G821"/>
          <cell r="H821"/>
          <cell r="I821"/>
          <cell r="J821"/>
          <cell r="K821"/>
          <cell r="L821"/>
          <cell r="M821"/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  <cell r="X821"/>
          <cell r="Y821"/>
          <cell r="Z821"/>
          <cell r="AA821"/>
          <cell r="AB821"/>
          <cell r="AC821"/>
          <cell r="AD821"/>
          <cell r="AE821"/>
          <cell r="AF821"/>
        </row>
        <row r="822">
          <cell r="C822"/>
          <cell r="D822"/>
          <cell r="E822"/>
          <cell r="F822"/>
          <cell r="G822"/>
          <cell r="H822"/>
          <cell r="I822"/>
          <cell r="J822"/>
          <cell r="K822"/>
          <cell r="L822"/>
          <cell r="M822"/>
          <cell r="N822"/>
          <cell r="O822"/>
          <cell r="P822"/>
          <cell r="Q822"/>
          <cell r="R822"/>
          <cell r="S822"/>
          <cell r="T822"/>
          <cell r="U822"/>
          <cell r="V822"/>
          <cell r="W822"/>
          <cell r="X822"/>
          <cell r="Y822"/>
          <cell r="Z822"/>
          <cell r="AA822"/>
          <cell r="AB822"/>
          <cell r="AC822"/>
          <cell r="AD822"/>
          <cell r="AE822"/>
          <cell r="AF822"/>
        </row>
        <row r="823">
          <cell r="C823"/>
          <cell r="D823"/>
          <cell r="E823"/>
          <cell r="F823"/>
          <cell r="G823"/>
          <cell r="H823"/>
          <cell r="I823"/>
          <cell r="J823"/>
          <cell r="K823"/>
          <cell r="L823"/>
          <cell r="M823"/>
          <cell r="N823"/>
          <cell r="O823"/>
          <cell r="P823"/>
          <cell r="Q823"/>
          <cell r="R823"/>
          <cell r="S823"/>
          <cell r="T823"/>
          <cell r="U823"/>
          <cell r="V823"/>
          <cell r="W823"/>
          <cell r="X823"/>
          <cell r="Y823"/>
          <cell r="Z823"/>
          <cell r="AA823"/>
          <cell r="AB823"/>
          <cell r="AC823"/>
          <cell r="AD823"/>
          <cell r="AE823"/>
          <cell r="AF823"/>
        </row>
        <row r="824">
          <cell r="C824"/>
          <cell r="D824"/>
          <cell r="E824"/>
          <cell r="F824"/>
          <cell r="G824"/>
          <cell r="H824"/>
          <cell r="I824"/>
          <cell r="J824"/>
          <cell r="K824"/>
          <cell r="L824"/>
          <cell r="M824"/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  <cell r="X824"/>
          <cell r="Y824"/>
          <cell r="Z824"/>
          <cell r="AA824"/>
          <cell r="AB824"/>
          <cell r="AC824"/>
          <cell r="AD824"/>
          <cell r="AE824"/>
          <cell r="AF824"/>
        </row>
        <row r="825">
          <cell r="C825"/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/>
          <cell r="S825"/>
          <cell r="T825"/>
          <cell r="U825"/>
          <cell r="V825"/>
          <cell r="W825"/>
          <cell r="X825"/>
          <cell r="Y825"/>
          <cell r="Z825"/>
          <cell r="AA825"/>
          <cell r="AB825"/>
          <cell r="AC825"/>
          <cell r="AD825"/>
          <cell r="AE825"/>
          <cell r="AF825"/>
        </row>
        <row r="826">
          <cell r="C826"/>
          <cell r="D826"/>
          <cell r="E826"/>
          <cell r="F826"/>
          <cell r="G826"/>
          <cell r="H826"/>
          <cell r="I826"/>
          <cell r="J826"/>
          <cell r="K826"/>
          <cell r="L826"/>
          <cell r="M826"/>
          <cell r="N826"/>
          <cell r="O826"/>
          <cell r="P826"/>
          <cell r="Q826"/>
          <cell r="R826"/>
          <cell r="S826"/>
          <cell r="T826"/>
          <cell r="U826"/>
          <cell r="V826"/>
          <cell r="W826"/>
          <cell r="X826"/>
          <cell r="Y826"/>
          <cell r="Z826"/>
          <cell r="AA826"/>
          <cell r="AB826"/>
          <cell r="AC826"/>
          <cell r="AD826"/>
          <cell r="AE826"/>
          <cell r="AF826"/>
        </row>
        <row r="827">
          <cell r="C827"/>
          <cell r="D827"/>
          <cell r="E827"/>
          <cell r="F827"/>
          <cell r="G827"/>
          <cell r="H827"/>
          <cell r="I827"/>
          <cell r="J827"/>
          <cell r="K827"/>
          <cell r="L827"/>
          <cell r="M827"/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  <cell r="X827"/>
          <cell r="Y827"/>
          <cell r="Z827"/>
          <cell r="AA827"/>
          <cell r="AB827"/>
          <cell r="AC827"/>
          <cell r="AD827"/>
          <cell r="AE827"/>
          <cell r="AF827"/>
        </row>
        <row r="828">
          <cell r="C828"/>
          <cell r="D828"/>
          <cell r="E828"/>
          <cell r="F828"/>
          <cell r="G828"/>
          <cell r="H828"/>
          <cell r="I828"/>
          <cell r="J828"/>
          <cell r="K828"/>
          <cell r="L828"/>
          <cell r="M828"/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  <cell r="X828"/>
          <cell r="Y828"/>
          <cell r="Z828"/>
          <cell r="AA828"/>
          <cell r="AB828"/>
          <cell r="AC828"/>
          <cell r="AD828"/>
          <cell r="AE828"/>
          <cell r="AF828"/>
        </row>
        <row r="829">
          <cell r="C829"/>
          <cell r="D829"/>
          <cell r="E829"/>
          <cell r="F829"/>
          <cell r="G829"/>
          <cell r="H829"/>
          <cell r="I829"/>
          <cell r="J829"/>
          <cell r="K829"/>
          <cell r="L829"/>
          <cell r="M829"/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  <cell r="X829"/>
          <cell r="Y829"/>
          <cell r="Z829"/>
          <cell r="AA829"/>
          <cell r="AB829"/>
          <cell r="AC829"/>
          <cell r="AD829"/>
          <cell r="AE829"/>
          <cell r="AF829"/>
        </row>
        <row r="830">
          <cell r="C830"/>
          <cell r="D830"/>
          <cell r="E830"/>
          <cell r="F830"/>
          <cell r="G830"/>
          <cell r="H830"/>
          <cell r="I830"/>
          <cell r="J830"/>
          <cell r="K830"/>
          <cell r="L830"/>
          <cell r="M830"/>
          <cell r="N830"/>
          <cell r="O830"/>
          <cell r="P830"/>
          <cell r="Q830"/>
          <cell r="R830"/>
          <cell r="S830"/>
          <cell r="T830"/>
          <cell r="U830"/>
          <cell r="V830"/>
          <cell r="W830"/>
          <cell r="X830"/>
          <cell r="Y830"/>
          <cell r="Z830"/>
          <cell r="AA830"/>
          <cell r="AB830"/>
          <cell r="AC830"/>
          <cell r="AD830"/>
          <cell r="AE830"/>
          <cell r="AF830"/>
        </row>
        <row r="831">
          <cell r="C831"/>
          <cell r="D831"/>
          <cell r="E831"/>
          <cell r="F831"/>
          <cell r="G831"/>
          <cell r="H831"/>
          <cell r="I831"/>
          <cell r="J831"/>
          <cell r="K831"/>
          <cell r="L831"/>
          <cell r="M831"/>
          <cell r="N831"/>
          <cell r="O831"/>
          <cell r="P831"/>
          <cell r="Q831"/>
          <cell r="R831"/>
          <cell r="S831"/>
          <cell r="T831"/>
          <cell r="U831"/>
          <cell r="V831"/>
          <cell r="W831"/>
          <cell r="X831"/>
          <cell r="Y831"/>
          <cell r="Z831"/>
          <cell r="AA831"/>
          <cell r="AB831"/>
          <cell r="AC831"/>
          <cell r="AD831"/>
          <cell r="AE831"/>
          <cell r="AF831"/>
        </row>
        <row r="832">
          <cell r="C832"/>
          <cell r="D832"/>
          <cell r="E832"/>
          <cell r="F832"/>
          <cell r="G832"/>
          <cell r="H832"/>
          <cell r="I832"/>
          <cell r="J832"/>
          <cell r="K832"/>
          <cell r="L832"/>
          <cell r="M832"/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  <cell r="X832"/>
          <cell r="Y832"/>
          <cell r="Z832"/>
          <cell r="AA832"/>
          <cell r="AB832"/>
          <cell r="AC832"/>
          <cell r="AD832"/>
          <cell r="AE832"/>
          <cell r="AF832"/>
        </row>
        <row r="833">
          <cell r="C833"/>
          <cell r="D833"/>
          <cell r="E833"/>
          <cell r="F833"/>
          <cell r="G833"/>
          <cell r="H833"/>
          <cell r="I833"/>
          <cell r="J833"/>
          <cell r="K833"/>
          <cell r="L833"/>
          <cell r="M833"/>
          <cell r="N833"/>
          <cell r="O833"/>
          <cell r="P833"/>
          <cell r="Q833"/>
          <cell r="R833"/>
          <cell r="S833"/>
          <cell r="T833"/>
          <cell r="U833"/>
          <cell r="V833"/>
          <cell r="W833"/>
          <cell r="X833"/>
          <cell r="Y833"/>
          <cell r="Z833"/>
          <cell r="AA833"/>
          <cell r="AB833"/>
          <cell r="AC833"/>
          <cell r="AD833"/>
          <cell r="AE833"/>
          <cell r="AF833"/>
        </row>
        <row r="834">
          <cell r="C834"/>
          <cell r="D834"/>
          <cell r="E834"/>
          <cell r="F834"/>
          <cell r="G834"/>
          <cell r="H834"/>
          <cell r="I834"/>
          <cell r="J834"/>
          <cell r="K834"/>
          <cell r="L834"/>
          <cell r="M834"/>
          <cell r="N834"/>
          <cell r="O834"/>
          <cell r="P834"/>
          <cell r="Q834"/>
          <cell r="R834"/>
          <cell r="S834"/>
          <cell r="T834"/>
          <cell r="U834"/>
          <cell r="V834"/>
          <cell r="W834"/>
          <cell r="X834"/>
          <cell r="Y834"/>
          <cell r="Z834"/>
          <cell r="AA834"/>
          <cell r="AB834"/>
          <cell r="AC834"/>
          <cell r="AD834"/>
          <cell r="AE834"/>
          <cell r="AF834"/>
        </row>
        <row r="835">
          <cell r="C835"/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  <cell r="X835"/>
          <cell r="Y835"/>
          <cell r="Z835"/>
          <cell r="AA835"/>
          <cell r="AB835"/>
          <cell r="AC835"/>
          <cell r="AD835"/>
          <cell r="AE835"/>
          <cell r="AF835"/>
        </row>
        <row r="836">
          <cell r="C836"/>
          <cell r="D836"/>
          <cell r="E836"/>
          <cell r="F836"/>
          <cell r="G836"/>
          <cell r="H836"/>
          <cell r="I836"/>
          <cell r="J836"/>
          <cell r="K836"/>
          <cell r="L836"/>
          <cell r="M836"/>
          <cell r="N836"/>
          <cell r="O836"/>
          <cell r="P836"/>
          <cell r="Q836"/>
          <cell r="R836"/>
          <cell r="S836"/>
          <cell r="T836"/>
          <cell r="U836"/>
          <cell r="V836"/>
          <cell r="W836"/>
          <cell r="X836"/>
          <cell r="Y836"/>
          <cell r="Z836"/>
          <cell r="AA836"/>
          <cell r="AB836"/>
          <cell r="AC836"/>
          <cell r="AD836"/>
          <cell r="AE836"/>
          <cell r="AF836"/>
        </row>
        <row r="837">
          <cell r="C837"/>
          <cell r="D837"/>
          <cell r="E837"/>
          <cell r="F837"/>
          <cell r="G837"/>
          <cell r="H837"/>
          <cell r="I837"/>
          <cell r="J837"/>
          <cell r="K837"/>
          <cell r="L837"/>
          <cell r="M837"/>
          <cell r="N837"/>
          <cell r="O837"/>
          <cell r="P837"/>
          <cell r="Q837"/>
          <cell r="R837"/>
          <cell r="S837"/>
          <cell r="T837"/>
          <cell r="U837"/>
          <cell r="V837"/>
          <cell r="W837"/>
          <cell r="X837"/>
          <cell r="Y837"/>
          <cell r="Z837"/>
          <cell r="AA837"/>
          <cell r="AB837"/>
          <cell r="AC837"/>
          <cell r="AD837"/>
          <cell r="AE837"/>
          <cell r="AF837"/>
        </row>
        <row r="838">
          <cell r="C838"/>
          <cell r="D838"/>
          <cell r="E838"/>
          <cell r="F838"/>
          <cell r="G838"/>
          <cell r="H838"/>
          <cell r="I838"/>
          <cell r="J838"/>
          <cell r="K838"/>
          <cell r="L838"/>
          <cell r="M838"/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  <cell r="X838"/>
          <cell r="Y838"/>
          <cell r="Z838"/>
          <cell r="AA838"/>
          <cell r="AB838"/>
          <cell r="AC838"/>
          <cell r="AD838"/>
          <cell r="AE838"/>
          <cell r="AF838"/>
        </row>
        <row r="839">
          <cell r="C839"/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/>
          <cell r="S839"/>
          <cell r="T839"/>
          <cell r="U839"/>
          <cell r="V839"/>
          <cell r="W839"/>
          <cell r="X839"/>
          <cell r="Y839"/>
          <cell r="Z839"/>
          <cell r="AA839"/>
          <cell r="AB839"/>
          <cell r="AC839"/>
          <cell r="AD839"/>
          <cell r="AE839"/>
          <cell r="AF839"/>
        </row>
        <row r="840">
          <cell r="C840"/>
          <cell r="D840"/>
          <cell r="E840"/>
          <cell r="F840"/>
          <cell r="G840"/>
          <cell r="H840"/>
          <cell r="I840"/>
          <cell r="J840"/>
          <cell r="K840"/>
          <cell r="L840"/>
          <cell r="M840"/>
          <cell r="N840"/>
          <cell r="O840"/>
          <cell r="P840"/>
          <cell r="Q840"/>
          <cell r="R840"/>
          <cell r="S840"/>
          <cell r="T840"/>
          <cell r="U840"/>
          <cell r="V840"/>
          <cell r="W840"/>
          <cell r="X840"/>
          <cell r="Y840"/>
          <cell r="Z840"/>
          <cell r="AA840"/>
          <cell r="AB840"/>
          <cell r="AC840"/>
          <cell r="AD840"/>
          <cell r="AE840"/>
          <cell r="AF840"/>
        </row>
        <row r="841">
          <cell r="C841"/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/>
          <cell r="S841"/>
          <cell r="T841"/>
          <cell r="U841"/>
          <cell r="V841"/>
          <cell r="W841"/>
          <cell r="X841"/>
          <cell r="Y841"/>
          <cell r="Z841"/>
          <cell r="AA841"/>
          <cell r="AB841"/>
          <cell r="AC841"/>
          <cell r="AD841"/>
          <cell r="AE841"/>
          <cell r="AF841"/>
        </row>
        <row r="842">
          <cell r="C842"/>
          <cell r="D842"/>
          <cell r="E842"/>
          <cell r="F842"/>
          <cell r="G842"/>
          <cell r="H842"/>
          <cell r="I842"/>
          <cell r="J842"/>
          <cell r="K842"/>
          <cell r="L842"/>
          <cell r="M842"/>
          <cell r="N842"/>
          <cell r="O842"/>
          <cell r="P842"/>
          <cell r="Q842"/>
          <cell r="R842"/>
          <cell r="S842"/>
          <cell r="T842"/>
          <cell r="U842"/>
          <cell r="V842"/>
          <cell r="W842"/>
          <cell r="X842"/>
          <cell r="Y842"/>
          <cell r="Z842"/>
          <cell r="AA842"/>
          <cell r="AB842"/>
          <cell r="AC842"/>
          <cell r="AD842"/>
          <cell r="AE842"/>
          <cell r="AF842"/>
        </row>
        <row r="843">
          <cell r="C843"/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/>
          <cell r="S843"/>
          <cell r="T843"/>
          <cell r="U843"/>
          <cell r="V843"/>
          <cell r="W843"/>
          <cell r="X843"/>
          <cell r="Y843"/>
          <cell r="Z843"/>
          <cell r="AA843"/>
          <cell r="AB843"/>
          <cell r="AC843"/>
          <cell r="AD843"/>
          <cell r="AE843"/>
          <cell r="AF843"/>
        </row>
        <row r="844">
          <cell r="C844"/>
          <cell r="D844"/>
          <cell r="E844"/>
          <cell r="F844"/>
          <cell r="G844"/>
          <cell r="H844"/>
          <cell r="I844"/>
          <cell r="J844"/>
          <cell r="K844"/>
          <cell r="L844"/>
          <cell r="M844"/>
          <cell r="N844"/>
          <cell r="O844"/>
          <cell r="P844"/>
          <cell r="Q844"/>
          <cell r="R844"/>
          <cell r="S844"/>
          <cell r="T844"/>
          <cell r="U844"/>
          <cell r="V844"/>
          <cell r="W844"/>
          <cell r="X844"/>
          <cell r="Y844"/>
          <cell r="Z844"/>
          <cell r="AA844"/>
          <cell r="AB844"/>
          <cell r="AC844"/>
          <cell r="AD844"/>
          <cell r="AE844"/>
          <cell r="AF844"/>
        </row>
        <row r="845">
          <cell r="C845"/>
          <cell r="D845"/>
          <cell r="E845"/>
          <cell r="F845"/>
          <cell r="G845"/>
          <cell r="H845"/>
          <cell r="I845"/>
          <cell r="J845"/>
          <cell r="K845"/>
          <cell r="L845"/>
          <cell r="M845"/>
          <cell r="N845"/>
          <cell r="O845"/>
          <cell r="P845"/>
          <cell r="Q845"/>
          <cell r="R845"/>
          <cell r="S845"/>
          <cell r="T845"/>
          <cell r="U845"/>
          <cell r="V845"/>
          <cell r="W845"/>
          <cell r="X845"/>
          <cell r="Y845"/>
          <cell r="Z845"/>
          <cell r="AA845"/>
          <cell r="AB845"/>
          <cell r="AC845"/>
          <cell r="AD845"/>
          <cell r="AE845"/>
          <cell r="AF845"/>
        </row>
        <row r="846">
          <cell r="C846"/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/>
          <cell r="S846"/>
          <cell r="T846"/>
          <cell r="U846"/>
          <cell r="V846"/>
          <cell r="W846"/>
          <cell r="X846"/>
          <cell r="Y846"/>
          <cell r="Z846"/>
          <cell r="AA846"/>
          <cell r="AB846"/>
          <cell r="AC846"/>
          <cell r="AD846"/>
          <cell r="AE846"/>
          <cell r="AF846"/>
        </row>
        <row r="847">
          <cell r="C847"/>
          <cell r="D847"/>
          <cell r="E847"/>
          <cell r="F847"/>
          <cell r="G847"/>
          <cell r="H847"/>
          <cell r="I847"/>
          <cell r="J847"/>
          <cell r="K847"/>
          <cell r="L847"/>
          <cell r="M847"/>
          <cell r="N847"/>
          <cell r="O847"/>
          <cell r="P847"/>
          <cell r="Q847"/>
          <cell r="R847"/>
          <cell r="S847"/>
          <cell r="T847"/>
          <cell r="U847"/>
          <cell r="V847"/>
          <cell r="W847"/>
          <cell r="X847"/>
          <cell r="Y847"/>
          <cell r="Z847"/>
          <cell r="AA847"/>
          <cell r="AB847"/>
          <cell r="AC847"/>
          <cell r="AD847"/>
          <cell r="AE847"/>
          <cell r="AF847"/>
        </row>
        <row r="848">
          <cell r="C848"/>
          <cell r="D848"/>
          <cell r="E848"/>
          <cell r="F848"/>
          <cell r="G848"/>
          <cell r="H848"/>
          <cell r="I848"/>
          <cell r="J848"/>
          <cell r="K848"/>
          <cell r="L848"/>
          <cell r="M848"/>
          <cell r="N848"/>
          <cell r="O848"/>
          <cell r="P848"/>
          <cell r="Q848"/>
          <cell r="R848"/>
          <cell r="S848"/>
          <cell r="T848"/>
          <cell r="U848"/>
          <cell r="V848"/>
          <cell r="W848"/>
          <cell r="X848"/>
          <cell r="Y848"/>
          <cell r="Z848"/>
          <cell r="AA848"/>
          <cell r="AB848"/>
          <cell r="AC848"/>
          <cell r="AD848"/>
          <cell r="AE848"/>
          <cell r="AF848"/>
        </row>
        <row r="849">
          <cell r="C849"/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/>
          <cell r="S849"/>
          <cell r="T849"/>
          <cell r="U849"/>
          <cell r="V849"/>
          <cell r="W849"/>
          <cell r="X849"/>
          <cell r="Y849"/>
          <cell r="Z849"/>
          <cell r="AA849"/>
          <cell r="AB849"/>
          <cell r="AC849"/>
          <cell r="AD849"/>
          <cell r="AE849"/>
          <cell r="AF849"/>
        </row>
        <row r="850">
          <cell r="C850"/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/>
          <cell r="S850"/>
          <cell r="T850"/>
          <cell r="U850"/>
          <cell r="V850"/>
          <cell r="W850"/>
          <cell r="X850"/>
          <cell r="Y850"/>
          <cell r="Z850"/>
          <cell r="AA850"/>
          <cell r="AB850"/>
          <cell r="AC850"/>
          <cell r="AD850"/>
          <cell r="AE850"/>
          <cell r="AF850"/>
        </row>
        <row r="851">
          <cell r="C851"/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/>
          <cell r="S851"/>
          <cell r="T851"/>
          <cell r="U851"/>
          <cell r="V851"/>
          <cell r="W851"/>
          <cell r="X851"/>
          <cell r="Y851"/>
          <cell r="Z851"/>
          <cell r="AA851"/>
          <cell r="AB851"/>
          <cell r="AC851"/>
          <cell r="AD851"/>
          <cell r="AE851"/>
          <cell r="AF851"/>
        </row>
        <row r="852">
          <cell r="C852"/>
          <cell r="D852"/>
          <cell r="E852"/>
          <cell r="F852"/>
          <cell r="G852"/>
          <cell r="H852"/>
          <cell r="I852"/>
          <cell r="J852"/>
          <cell r="K852"/>
          <cell r="L852"/>
          <cell r="M852"/>
          <cell r="N852"/>
          <cell r="O852"/>
          <cell r="P852"/>
          <cell r="Q852"/>
          <cell r="R852"/>
          <cell r="S852"/>
          <cell r="T852"/>
          <cell r="U852"/>
          <cell r="V852"/>
          <cell r="W852"/>
          <cell r="X852"/>
          <cell r="Y852"/>
          <cell r="Z852"/>
          <cell r="AA852"/>
          <cell r="AB852"/>
          <cell r="AC852"/>
          <cell r="AD852"/>
          <cell r="AE852"/>
          <cell r="AF852"/>
        </row>
        <row r="853">
          <cell r="C853"/>
          <cell r="D853"/>
          <cell r="E853"/>
          <cell r="F853"/>
          <cell r="G853"/>
          <cell r="H853"/>
          <cell r="I853"/>
          <cell r="J853"/>
          <cell r="K853"/>
          <cell r="L853"/>
          <cell r="M853"/>
          <cell r="N853"/>
          <cell r="O853"/>
          <cell r="P853"/>
          <cell r="Q853"/>
          <cell r="R853"/>
          <cell r="S853"/>
          <cell r="T853"/>
          <cell r="U853"/>
          <cell r="V853"/>
          <cell r="W853"/>
          <cell r="X853"/>
          <cell r="Y853"/>
          <cell r="Z853"/>
          <cell r="AA853"/>
          <cell r="AB853"/>
          <cell r="AC853"/>
          <cell r="AD853"/>
          <cell r="AE853"/>
          <cell r="AF853"/>
        </row>
        <row r="854">
          <cell r="C854"/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/>
          <cell r="S854"/>
          <cell r="T854"/>
          <cell r="U854"/>
          <cell r="V854"/>
          <cell r="W854"/>
          <cell r="X854"/>
          <cell r="Y854"/>
          <cell r="Z854"/>
          <cell r="AA854"/>
          <cell r="AB854"/>
          <cell r="AC854"/>
          <cell r="AD854"/>
          <cell r="AE854"/>
          <cell r="AF854"/>
        </row>
        <row r="855">
          <cell r="C855"/>
          <cell r="D855"/>
          <cell r="E855"/>
          <cell r="F855"/>
          <cell r="G855"/>
          <cell r="H855"/>
          <cell r="I855"/>
          <cell r="J855"/>
          <cell r="K855"/>
          <cell r="L855"/>
          <cell r="M855"/>
          <cell r="N855"/>
          <cell r="O855"/>
          <cell r="P855"/>
          <cell r="Q855"/>
          <cell r="R855"/>
          <cell r="S855"/>
          <cell r="T855"/>
          <cell r="U855"/>
          <cell r="V855"/>
          <cell r="W855"/>
          <cell r="X855"/>
          <cell r="Y855"/>
          <cell r="Z855"/>
          <cell r="AA855"/>
          <cell r="AB855"/>
          <cell r="AC855"/>
          <cell r="AD855"/>
          <cell r="AE855"/>
          <cell r="AF855"/>
        </row>
        <row r="856">
          <cell r="C856"/>
          <cell r="D856"/>
          <cell r="E856"/>
          <cell r="F856"/>
          <cell r="G856"/>
          <cell r="H856"/>
          <cell r="I856"/>
          <cell r="J856"/>
          <cell r="K856"/>
          <cell r="L856"/>
          <cell r="M856"/>
          <cell r="N856"/>
          <cell r="O856"/>
          <cell r="P856"/>
          <cell r="Q856"/>
          <cell r="R856"/>
          <cell r="S856"/>
          <cell r="T856"/>
          <cell r="U856"/>
          <cell r="V856"/>
          <cell r="W856"/>
          <cell r="X856"/>
          <cell r="Y856"/>
          <cell r="Z856"/>
          <cell r="AA856"/>
          <cell r="AB856"/>
          <cell r="AC856"/>
          <cell r="AD856"/>
          <cell r="AE856"/>
          <cell r="AF856"/>
        </row>
        <row r="857">
          <cell r="C857"/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/>
          <cell r="S857"/>
          <cell r="T857"/>
          <cell r="U857"/>
          <cell r="V857"/>
          <cell r="W857"/>
          <cell r="X857"/>
          <cell r="Y857"/>
          <cell r="Z857"/>
          <cell r="AA857"/>
          <cell r="AB857"/>
          <cell r="AC857"/>
          <cell r="AD857"/>
          <cell r="AE857"/>
          <cell r="AF857"/>
        </row>
        <row r="858">
          <cell r="C858"/>
          <cell r="D858"/>
          <cell r="E858"/>
          <cell r="F858"/>
          <cell r="G858"/>
          <cell r="H858"/>
          <cell r="I858"/>
          <cell r="J858"/>
          <cell r="K858"/>
          <cell r="L858"/>
          <cell r="M858"/>
          <cell r="N858"/>
          <cell r="O858"/>
          <cell r="P858"/>
          <cell r="Q858"/>
          <cell r="R858"/>
          <cell r="S858"/>
          <cell r="T858"/>
          <cell r="U858"/>
          <cell r="V858"/>
          <cell r="W858"/>
          <cell r="X858"/>
          <cell r="Y858"/>
          <cell r="Z858"/>
          <cell r="AA858"/>
          <cell r="AB858"/>
          <cell r="AC858"/>
          <cell r="AD858"/>
          <cell r="AE858"/>
          <cell r="AF858"/>
        </row>
        <row r="859">
          <cell r="C859"/>
          <cell r="D859"/>
          <cell r="E859"/>
          <cell r="F859"/>
          <cell r="G859"/>
          <cell r="H859"/>
          <cell r="I859"/>
          <cell r="J859"/>
          <cell r="K859"/>
          <cell r="L859"/>
          <cell r="M859"/>
          <cell r="N859"/>
          <cell r="O859"/>
          <cell r="P859"/>
          <cell r="Q859"/>
          <cell r="R859"/>
          <cell r="S859"/>
          <cell r="T859"/>
          <cell r="U859"/>
          <cell r="V859"/>
          <cell r="W859"/>
          <cell r="X859"/>
          <cell r="Y859"/>
          <cell r="Z859"/>
          <cell r="AA859"/>
          <cell r="AB859"/>
          <cell r="AC859"/>
          <cell r="AD859"/>
          <cell r="AE859"/>
          <cell r="AF859"/>
        </row>
        <row r="860">
          <cell r="C860"/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/>
          <cell r="S860"/>
          <cell r="T860"/>
          <cell r="U860"/>
          <cell r="V860"/>
          <cell r="W860"/>
          <cell r="X860"/>
          <cell r="Y860"/>
          <cell r="Z860"/>
          <cell r="AA860"/>
          <cell r="AB860"/>
          <cell r="AC860"/>
          <cell r="AD860"/>
          <cell r="AE860"/>
          <cell r="AF860"/>
        </row>
        <row r="861">
          <cell r="C861"/>
          <cell r="D861"/>
          <cell r="E861"/>
          <cell r="F861"/>
          <cell r="G861"/>
          <cell r="H861"/>
          <cell r="I861"/>
          <cell r="J861"/>
          <cell r="K861"/>
          <cell r="L861"/>
          <cell r="M861"/>
          <cell r="N861"/>
          <cell r="O861"/>
          <cell r="P861"/>
          <cell r="Q861"/>
          <cell r="R861"/>
          <cell r="S861"/>
          <cell r="T861"/>
          <cell r="U861"/>
          <cell r="V861"/>
          <cell r="W861"/>
          <cell r="X861"/>
          <cell r="Y861"/>
          <cell r="Z861"/>
          <cell r="AA861"/>
          <cell r="AB861"/>
          <cell r="AC861"/>
          <cell r="AD861"/>
          <cell r="AE861"/>
          <cell r="AF861"/>
        </row>
        <row r="862">
          <cell r="C862"/>
          <cell r="D862"/>
          <cell r="E862"/>
          <cell r="F862"/>
          <cell r="G862"/>
          <cell r="H862"/>
          <cell r="I862"/>
          <cell r="J862"/>
          <cell r="K862"/>
          <cell r="L862"/>
          <cell r="M862"/>
          <cell r="N862"/>
          <cell r="O862"/>
          <cell r="P862"/>
          <cell r="Q862"/>
          <cell r="R862"/>
          <cell r="S862"/>
          <cell r="T862"/>
          <cell r="U862"/>
          <cell r="V862"/>
          <cell r="W862"/>
          <cell r="X862"/>
          <cell r="Y862"/>
          <cell r="Z862"/>
          <cell r="AA862"/>
          <cell r="AB862"/>
          <cell r="AC862"/>
          <cell r="AD862"/>
          <cell r="AE862"/>
          <cell r="AF862"/>
        </row>
        <row r="863">
          <cell r="C863"/>
          <cell r="D863"/>
          <cell r="E863"/>
          <cell r="F863"/>
          <cell r="G863"/>
          <cell r="H863"/>
          <cell r="I863"/>
          <cell r="J863"/>
          <cell r="K863"/>
          <cell r="L863"/>
          <cell r="M863"/>
          <cell r="N863"/>
          <cell r="O863"/>
          <cell r="P863"/>
          <cell r="Q863"/>
          <cell r="R863"/>
          <cell r="S863"/>
          <cell r="T863"/>
          <cell r="U863"/>
          <cell r="V863"/>
          <cell r="W863"/>
          <cell r="X863"/>
          <cell r="Y863"/>
          <cell r="Z863"/>
          <cell r="AA863"/>
          <cell r="AB863"/>
          <cell r="AC863"/>
          <cell r="AD863"/>
          <cell r="AE863"/>
          <cell r="AF863"/>
        </row>
        <row r="864">
          <cell r="C864"/>
          <cell r="D864"/>
          <cell r="E864"/>
          <cell r="F864"/>
          <cell r="G864"/>
          <cell r="H864"/>
          <cell r="I864"/>
          <cell r="J864"/>
          <cell r="K864"/>
          <cell r="L864"/>
          <cell r="M864"/>
          <cell r="N864"/>
          <cell r="O864"/>
          <cell r="P864"/>
          <cell r="Q864"/>
          <cell r="R864"/>
          <cell r="S864"/>
          <cell r="T864"/>
          <cell r="U864"/>
          <cell r="V864"/>
          <cell r="W864"/>
          <cell r="X864"/>
          <cell r="Y864"/>
          <cell r="Z864"/>
          <cell r="AA864"/>
          <cell r="AB864"/>
          <cell r="AC864"/>
          <cell r="AD864"/>
          <cell r="AE864"/>
          <cell r="AF864"/>
        </row>
        <row r="865">
          <cell r="C865"/>
          <cell r="D865"/>
          <cell r="E865"/>
          <cell r="F865"/>
          <cell r="G865"/>
          <cell r="H865"/>
          <cell r="I865"/>
          <cell r="J865"/>
          <cell r="K865"/>
          <cell r="L865"/>
          <cell r="M865"/>
          <cell r="N865"/>
          <cell r="O865"/>
          <cell r="P865"/>
          <cell r="Q865"/>
          <cell r="R865"/>
          <cell r="S865"/>
          <cell r="T865"/>
          <cell r="U865"/>
          <cell r="V865"/>
          <cell r="W865"/>
          <cell r="X865"/>
          <cell r="Y865"/>
          <cell r="Z865"/>
          <cell r="AA865"/>
          <cell r="AB865"/>
          <cell r="AC865"/>
          <cell r="AD865"/>
          <cell r="AE865"/>
          <cell r="AF865"/>
        </row>
        <row r="866">
          <cell r="C866"/>
          <cell r="D866"/>
          <cell r="E866"/>
          <cell r="F866"/>
          <cell r="G866"/>
          <cell r="H866"/>
          <cell r="I866"/>
          <cell r="J866"/>
          <cell r="K866"/>
          <cell r="L866"/>
          <cell r="M866"/>
          <cell r="N866"/>
          <cell r="O866"/>
          <cell r="P866"/>
          <cell r="Q866"/>
          <cell r="R866"/>
          <cell r="S866"/>
          <cell r="T866"/>
          <cell r="U866"/>
          <cell r="V866"/>
          <cell r="W866"/>
          <cell r="X866"/>
          <cell r="Y866"/>
          <cell r="Z866"/>
          <cell r="AA866"/>
          <cell r="AB866"/>
          <cell r="AC866"/>
          <cell r="AD866"/>
          <cell r="AE866"/>
          <cell r="AF866"/>
        </row>
        <row r="867">
          <cell r="C867"/>
          <cell r="D867"/>
          <cell r="E867"/>
          <cell r="F867"/>
          <cell r="G867"/>
          <cell r="H867"/>
          <cell r="I867"/>
          <cell r="J867"/>
          <cell r="K867"/>
          <cell r="L867"/>
          <cell r="M867"/>
          <cell r="N867"/>
          <cell r="O867"/>
          <cell r="P867"/>
          <cell r="Q867"/>
          <cell r="R867"/>
          <cell r="S867"/>
          <cell r="T867"/>
          <cell r="U867"/>
          <cell r="V867"/>
          <cell r="W867"/>
          <cell r="X867"/>
          <cell r="Y867"/>
          <cell r="Z867"/>
          <cell r="AA867"/>
          <cell r="AB867"/>
          <cell r="AC867"/>
          <cell r="AD867"/>
          <cell r="AE867"/>
          <cell r="AF867"/>
        </row>
        <row r="868">
          <cell r="C868"/>
          <cell r="D868"/>
          <cell r="E868"/>
          <cell r="F868"/>
          <cell r="G868"/>
          <cell r="H868"/>
          <cell r="I868"/>
          <cell r="J868"/>
          <cell r="K868"/>
          <cell r="L868"/>
          <cell r="M868"/>
          <cell r="N868"/>
          <cell r="O868"/>
          <cell r="P868"/>
          <cell r="Q868"/>
          <cell r="R868"/>
          <cell r="S868"/>
          <cell r="T868"/>
          <cell r="U868"/>
          <cell r="V868"/>
          <cell r="W868"/>
          <cell r="X868"/>
          <cell r="Y868"/>
          <cell r="Z868"/>
          <cell r="AA868"/>
          <cell r="AB868"/>
          <cell r="AC868"/>
          <cell r="AD868"/>
          <cell r="AE868"/>
          <cell r="AF868"/>
        </row>
        <row r="869">
          <cell r="C869"/>
          <cell r="D869"/>
          <cell r="E869"/>
          <cell r="F869"/>
          <cell r="G869"/>
          <cell r="H869"/>
          <cell r="I869"/>
          <cell r="J869"/>
          <cell r="K869"/>
          <cell r="L869"/>
          <cell r="M869"/>
          <cell r="N869"/>
          <cell r="O869"/>
          <cell r="P869"/>
          <cell r="Q869"/>
          <cell r="R869"/>
          <cell r="S869"/>
          <cell r="T869"/>
          <cell r="U869"/>
          <cell r="V869"/>
          <cell r="W869"/>
          <cell r="X869"/>
          <cell r="Y869"/>
          <cell r="Z869"/>
          <cell r="AA869"/>
          <cell r="AB869"/>
          <cell r="AC869"/>
          <cell r="AD869"/>
          <cell r="AE869"/>
          <cell r="AF869"/>
        </row>
        <row r="870">
          <cell r="C870"/>
          <cell r="D870"/>
          <cell r="E870"/>
          <cell r="F870"/>
          <cell r="G870"/>
          <cell r="H870"/>
          <cell r="I870"/>
          <cell r="J870"/>
          <cell r="K870"/>
          <cell r="L870"/>
          <cell r="M870"/>
          <cell r="N870"/>
          <cell r="O870"/>
          <cell r="P870"/>
          <cell r="Q870"/>
          <cell r="R870"/>
          <cell r="S870"/>
          <cell r="T870"/>
          <cell r="U870"/>
          <cell r="V870"/>
          <cell r="W870"/>
          <cell r="X870"/>
          <cell r="Y870"/>
          <cell r="Z870"/>
          <cell r="AA870"/>
          <cell r="AB870"/>
          <cell r="AC870"/>
          <cell r="AD870"/>
          <cell r="AE870"/>
          <cell r="AF870"/>
        </row>
        <row r="871">
          <cell r="C871"/>
          <cell r="D871"/>
          <cell r="E871"/>
          <cell r="F871"/>
          <cell r="G871"/>
          <cell r="H871"/>
          <cell r="I871"/>
          <cell r="J871"/>
          <cell r="K871"/>
          <cell r="L871"/>
          <cell r="M871"/>
          <cell r="N871"/>
          <cell r="O871"/>
          <cell r="P871"/>
          <cell r="Q871"/>
          <cell r="R871"/>
          <cell r="S871"/>
          <cell r="T871"/>
          <cell r="U871"/>
          <cell r="V871"/>
          <cell r="W871"/>
          <cell r="X871"/>
          <cell r="Y871"/>
          <cell r="Z871"/>
          <cell r="AA871"/>
          <cell r="AB871"/>
          <cell r="AC871"/>
          <cell r="AD871"/>
          <cell r="AE871"/>
          <cell r="AF871"/>
        </row>
        <row r="872">
          <cell r="C872"/>
          <cell r="D872"/>
          <cell r="E872"/>
          <cell r="F872"/>
          <cell r="G872"/>
          <cell r="H872"/>
          <cell r="I872"/>
          <cell r="J872"/>
          <cell r="K872"/>
          <cell r="L872"/>
          <cell r="M872"/>
          <cell r="N872"/>
          <cell r="O872"/>
          <cell r="P872"/>
          <cell r="Q872"/>
          <cell r="R872"/>
          <cell r="S872"/>
          <cell r="T872"/>
          <cell r="U872"/>
          <cell r="V872"/>
          <cell r="W872"/>
          <cell r="X872"/>
          <cell r="Y872"/>
          <cell r="Z872"/>
          <cell r="AA872"/>
          <cell r="AB872"/>
          <cell r="AC872"/>
          <cell r="AD872"/>
          <cell r="AE872"/>
          <cell r="AF872"/>
        </row>
        <row r="873">
          <cell r="C873"/>
          <cell r="D873"/>
          <cell r="E873"/>
          <cell r="F873"/>
          <cell r="G873"/>
          <cell r="H873"/>
          <cell r="I873"/>
          <cell r="J873"/>
          <cell r="K873"/>
          <cell r="L873"/>
          <cell r="M873"/>
          <cell r="N873"/>
          <cell r="O873"/>
          <cell r="P873"/>
          <cell r="Q873"/>
          <cell r="R873"/>
          <cell r="S873"/>
          <cell r="T873"/>
          <cell r="U873"/>
          <cell r="V873"/>
          <cell r="W873"/>
          <cell r="X873"/>
          <cell r="Y873"/>
          <cell r="Z873"/>
          <cell r="AA873"/>
          <cell r="AB873"/>
          <cell r="AC873"/>
          <cell r="AD873"/>
          <cell r="AE873"/>
          <cell r="AF873"/>
        </row>
        <row r="874">
          <cell r="C874"/>
          <cell r="D874"/>
          <cell r="E874"/>
          <cell r="F874"/>
          <cell r="G874"/>
          <cell r="H874"/>
          <cell r="I874"/>
          <cell r="J874"/>
          <cell r="K874"/>
          <cell r="L874"/>
          <cell r="M874"/>
          <cell r="N874"/>
          <cell r="O874"/>
          <cell r="P874"/>
          <cell r="Q874"/>
          <cell r="R874"/>
          <cell r="S874"/>
          <cell r="T874"/>
          <cell r="U874"/>
          <cell r="V874"/>
          <cell r="W874"/>
          <cell r="X874"/>
          <cell r="Y874"/>
          <cell r="Z874"/>
          <cell r="AA874"/>
          <cell r="AB874"/>
          <cell r="AC874"/>
          <cell r="AD874"/>
          <cell r="AE874"/>
          <cell r="AF874"/>
        </row>
        <row r="875">
          <cell r="C875"/>
          <cell r="D875"/>
          <cell r="E875"/>
          <cell r="F875"/>
          <cell r="G875"/>
          <cell r="H875"/>
          <cell r="I875"/>
          <cell r="J875"/>
          <cell r="K875"/>
          <cell r="L875"/>
          <cell r="M875"/>
          <cell r="N875"/>
          <cell r="O875"/>
          <cell r="P875"/>
          <cell r="Q875"/>
          <cell r="R875"/>
          <cell r="S875"/>
          <cell r="T875"/>
          <cell r="U875"/>
          <cell r="V875"/>
          <cell r="W875"/>
          <cell r="X875"/>
          <cell r="Y875"/>
          <cell r="Z875"/>
          <cell r="AA875"/>
          <cell r="AB875"/>
          <cell r="AC875"/>
          <cell r="AD875"/>
          <cell r="AE875"/>
          <cell r="AF875"/>
        </row>
        <row r="876">
          <cell r="C876"/>
          <cell r="D876"/>
          <cell r="E876"/>
          <cell r="F876"/>
          <cell r="G876"/>
          <cell r="H876"/>
          <cell r="I876"/>
          <cell r="J876"/>
          <cell r="K876"/>
          <cell r="L876"/>
          <cell r="M876"/>
          <cell r="N876"/>
          <cell r="O876"/>
          <cell r="P876"/>
          <cell r="Q876"/>
          <cell r="R876"/>
          <cell r="S876"/>
          <cell r="T876"/>
          <cell r="U876"/>
          <cell r="V876"/>
          <cell r="W876"/>
          <cell r="X876"/>
          <cell r="Y876"/>
          <cell r="Z876"/>
          <cell r="AA876"/>
          <cell r="AB876"/>
          <cell r="AC876"/>
          <cell r="AD876"/>
          <cell r="AE876"/>
          <cell r="AF876"/>
        </row>
        <row r="877">
          <cell r="C877"/>
          <cell r="D877"/>
          <cell r="E877"/>
          <cell r="F877"/>
          <cell r="G877"/>
          <cell r="H877"/>
          <cell r="I877"/>
          <cell r="J877"/>
          <cell r="K877"/>
          <cell r="L877"/>
          <cell r="M877"/>
          <cell r="N877"/>
          <cell r="O877"/>
          <cell r="P877"/>
          <cell r="Q877"/>
          <cell r="R877"/>
          <cell r="S877"/>
          <cell r="T877"/>
          <cell r="U877"/>
          <cell r="V877"/>
          <cell r="W877"/>
          <cell r="X877"/>
          <cell r="Y877"/>
          <cell r="Z877"/>
          <cell r="AA877"/>
          <cell r="AB877"/>
          <cell r="AC877"/>
          <cell r="AD877"/>
          <cell r="AE877"/>
          <cell r="AF877"/>
        </row>
        <row r="878">
          <cell r="C878"/>
          <cell r="D878"/>
          <cell r="E878"/>
          <cell r="F878"/>
          <cell r="G878"/>
          <cell r="H878"/>
          <cell r="I878"/>
          <cell r="J878"/>
          <cell r="K878"/>
          <cell r="L878"/>
          <cell r="M878"/>
          <cell r="N878"/>
          <cell r="O878"/>
          <cell r="P878"/>
          <cell r="Q878"/>
          <cell r="R878"/>
          <cell r="S878"/>
          <cell r="T878"/>
          <cell r="U878"/>
          <cell r="V878"/>
          <cell r="W878"/>
          <cell r="X878"/>
          <cell r="Y878"/>
          <cell r="Z878"/>
          <cell r="AA878"/>
          <cell r="AB878"/>
          <cell r="AC878"/>
          <cell r="AD878"/>
          <cell r="AE878"/>
          <cell r="AF878"/>
        </row>
        <row r="879">
          <cell r="C879"/>
          <cell r="D879"/>
          <cell r="E879"/>
          <cell r="F879"/>
          <cell r="G879"/>
          <cell r="H879"/>
          <cell r="I879"/>
          <cell r="J879"/>
          <cell r="K879"/>
          <cell r="L879"/>
          <cell r="M879"/>
          <cell r="N879"/>
          <cell r="O879"/>
          <cell r="P879"/>
          <cell r="Q879"/>
          <cell r="R879"/>
          <cell r="S879"/>
          <cell r="T879"/>
          <cell r="U879"/>
          <cell r="V879"/>
          <cell r="W879"/>
          <cell r="X879"/>
          <cell r="Y879"/>
          <cell r="Z879"/>
          <cell r="AA879"/>
          <cell r="AB879"/>
          <cell r="AC879"/>
          <cell r="AD879"/>
          <cell r="AE879"/>
          <cell r="AF879"/>
        </row>
        <row r="880">
          <cell r="C880"/>
          <cell r="D880"/>
          <cell r="E880"/>
          <cell r="F880"/>
          <cell r="G880"/>
          <cell r="H880"/>
          <cell r="I880"/>
          <cell r="J880"/>
          <cell r="K880"/>
          <cell r="L880"/>
          <cell r="M880"/>
          <cell r="N880"/>
          <cell r="O880"/>
          <cell r="P880"/>
          <cell r="Q880"/>
          <cell r="R880"/>
          <cell r="S880"/>
          <cell r="T880"/>
          <cell r="U880"/>
          <cell r="V880"/>
          <cell r="W880"/>
          <cell r="X880"/>
          <cell r="Y880"/>
          <cell r="Z880"/>
          <cell r="AA880"/>
          <cell r="AB880"/>
          <cell r="AC880"/>
          <cell r="AD880"/>
          <cell r="AE880"/>
          <cell r="AF880"/>
        </row>
        <row r="881">
          <cell r="C881"/>
          <cell r="D881"/>
          <cell r="E881">
            <v>20770.72</v>
          </cell>
          <cell r="F881">
            <v>672.82212653196416</v>
          </cell>
          <cell r="G881"/>
          <cell r="H881"/>
          <cell r="I881"/>
          <cell r="J881"/>
          <cell r="K881"/>
          <cell r="L881"/>
          <cell r="M881"/>
          <cell r="N881"/>
          <cell r="O881"/>
          <cell r="P881"/>
          <cell r="Q881"/>
          <cell r="R881"/>
          <cell r="S881"/>
          <cell r="T881"/>
          <cell r="U881"/>
          <cell r="V881"/>
          <cell r="W881"/>
          <cell r="X881"/>
          <cell r="Y881"/>
          <cell r="Z881"/>
          <cell r="AA881"/>
          <cell r="AB881"/>
          <cell r="AC881"/>
          <cell r="AD881"/>
          <cell r="AE881"/>
          <cell r="AF881"/>
        </row>
        <row r="882">
          <cell r="C882"/>
          <cell r="D882"/>
          <cell r="E882">
            <v>20773.564431495546</v>
          </cell>
          <cell r="F882">
            <v>13975000</v>
          </cell>
          <cell r="G882"/>
          <cell r="H882"/>
          <cell r="I882"/>
          <cell r="J882"/>
          <cell r="K882"/>
          <cell r="L882"/>
          <cell r="M882"/>
          <cell r="N882"/>
          <cell r="O882"/>
          <cell r="P882"/>
          <cell r="Q882"/>
          <cell r="R882"/>
          <cell r="S882"/>
          <cell r="T882"/>
          <cell r="U882"/>
          <cell r="V882"/>
          <cell r="W882"/>
          <cell r="X882"/>
          <cell r="Y882"/>
          <cell r="Z882"/>
          <cell r="AA882"/>
          <cell r="AB882"/>
          <cell r="AC882"/>
          <cell r="AD882"/>
          <cell r="AE882"/>
          <cell r="AF882"/>
        </row>
        <row r="883">
          <cell r="C883"/>
          <cell r="D883"/>
          <cell r="E883">
            <v>20955.479914228734</v>
          </cell>
          <cell r="F883"/>
          <cell r="G883"/>
          <cell r="H883"/>
          <cell r="I883"/>
          <cell r="J883"/>
          <cell r="K883"/>
          <cell r="L883"/>
          <cell r="M883"/>
          <cell r="N883"/>
          <cell r="O883"/>
          <cell r="P883"/>
          <cell r="Q883"/>
          <cell r="R883"/>
          <cell r="S883"/>
          <cell r="T883"/>
          <cell r="U883"/>
          <cell r="V883"/>
          <cell r="W883"/>
          <cell r="X883"/>
          <cell r="Y883"/>
          <cell r="Z883"/>
          <cell r="AA883"/>
          <cell r="AB883"/>
          <cell r="AC883"/>
          <cell r="AD883"/>
          <cell r="AE883"/>
          <cell r="AF883"/>
        </row>
        <row r="884">
          <cell r="C884"/>
          <cell r="D884"/>
          <cell r="E884"/>
          <cell r="F884"/>
          <cell r="G884"/>
          <cell r="H884"/>
          <cell r="I884"/>
          <cell r="J884"/>
          <cell r="K884"/>
          <cell r="L884"/>
          <cell r="M884"/>
          <cell r="N884"/>
          <cell r="O884"/>
          <cell r="P884"/>
          <cell r="Q884"/>
          <cell r="R884"/>
          <cell r="S884"/>
          <cell r="T884"/>
          <cell r="U884"/>
          <cell r="V884"/>
          <cell r="W884"/>
          <cell r="X884"/>
          <cell r="Y884"/>
          <cell r="Z884"/>
          <cell r="AA884"/>
          <cell r="AB884"/>
          <cell r="AC884"/>
          <cell r="AD884"/>
          <cell r="AE884"/>
          <cell r="AF884"/>
        </row>
        <row r="885">
          <cell r="C885"/>
          <cell r="D885"/>
          <cell r="E885"/>
          <cell r="F885"/>
          <cell r="G885"/>
          <cell r="H885"/>
          <cell r="I885"/>
          <cell r="J885"/>
          <cell r="K885"/>
          <cell r="L885"/>
          <cell r="M885"/>
          <cell r="N885"/>
          <cell r="O885"/>
          <cell r="P885"/>
          <cell r="Q885"/>
          <cell r="R885"/>
          <cell r="S885"/>
          <cell r="T885"/>
          <cell r="U885"/>
          <cell r="V885"/>
          <cell r="W885"/>
          <cell r="X885"/>
          <cell r="Y885"/>
          <cell r="Z885"/>
          <cell r="AA885"/>
          <cell r="AB885"/>
          <cell r="AC885"/>
          <cell r="AD885"/>
          <cell r="AE885"/>
          <cell r="AF885"/>
        </row>
        <row r="886">
          <cell r="C886"/>
          <cell r="D886"/>
          <cell r="E886"/>
          <cell r="F886"/>
          <cell r="G886"/>
          <cell r="H886"/>
          <cell r="I886"/>
          <cell r="J886"/>
          <cell r="K886"/>
          <cell r="L886"/>
          <cell r="M886"/>
          <cell r="N886"/>
          <cell r="O886"/>
          <cell r="P886"/>
          <cell r="Q886"/>
          <cell r="R886"/>
          <cell r="S886"/>
          <cell r="T886"/>
          <cell r="U886"/>
          <cell r="V886"/>
          <cell r="W886"/>
          <cell r="X886"/>
          <cell r="Y886"/>
          <cell r="Z886"/>
          <cell r="AA886"/>
          <cell r="AB886"/>
          <cell r="AC886"/>
          <cell r="AD886"/>
          <cell r="AE886"/>
          <cell r="AF886"/>
        </row>
        <row r="887">
          <cell r="C887"/>
          <cell r="D887"/>
          <cell r="E887"/>
          <cell r="F887"/>
          <cell r="G887"/>
          <cell r="H887"/>
          <cell r="I887"/>
          <cell r="J887"/>
          <cell r="K887"/>
          <cell r="L887"/>
          <cell r="M887"/>
          <cell r="N887"/>
          <cell r="O887"/>
          <cell r="P887"/>
          <cell r="Q887"/>
          <cell r="R887"/>
          <cell r="S887"/>
          <cell r="T887"/>
          <cell r="U887"/>
          <cell r="V887"/>
          <cell r="W887"/>
          <cell r="X887"/>
          <cell r="Y887"/>
          <cell r="Z887"/>
          <cell r="AA887"/>
          <cell r="AB887"/>
          <cell r="AC887"/>
          <cell r="AD887"/>
          <cell r="AE887"/>
          <cell r="AF887"/>
        </row>
        <row r="888">
          <cell r="C888"/>
          <cell r="D888"/>
          <cell r="E888"/>
          <cell r="F888"/>
          <cell r="G888"/>
          <cell r="H888"/>
          <cell r="I888"/>
          <cell r="J888"/>
          <cell r="K888"/>
          <cell r="L888"/>
          <cell r="M888"/>
          <cell r="N888"/>
          <cell r="O888"/>
          <cell r="P888"/>
          <cell r="Q888"/>
          <cell r="R888"/>
          <cell r="S888"/>
          <cell r="T888"/>
          <cell r="U888"/>
          <cell r="V888"/>
          <cell r="W888"/>
          <cell r="X888"/>
          <cell r="Y888"/>
          <cell r="Z888"/>
          <cell r="AA888"/>
          <cell r="AB888"/>
          <cell r="AC888"/>
          <cell r="AD888"/>
          <cell r="AE888"/>
          <cell r="AF888"/>
        </row>
        <row r="889">
          <cell r="C889"/>
          <cell r="D889"/>
          <cell r="E889"/>
          <cell r="F889"/>
          <cell r="G889"/>
          <cell r="H889"/>
          <cell r="I889"/>
          <cell r="J889"/>
          <cell r="K889"/>
          <cell r="L889"/>
          <cell r="M889"/>
          <cell r="N889"/>
          <cell r="O889"/>
          <cell r="P889"/>
          <cell r="Q889"/>
          <cell r="R889"/>
          <cell r="S889"/>
          <cell r="T889"/>
          <cell r="U889"/>
          <cell r="V889"/>
          <cell r="W889"/>
          <cell r="X889"/>
          <cell r="Y889"/>
          <cell r="Z889"/>
          <cell r="AA889"/>
          <cell r="AB889"/>
          <cell r="AC889"/>
          <cell r="AD889"/>
          <cell r="AE889"/>
          <cell r="AF889"/>
        </row>
        <row r="890">
          <cell r="C890"/>
          <cell r="D890"/>
          <cell r="E890"/>
          <cell r="F890"/>
          <cell r="G890"/>
          <cell r="H890"/>
          <cell r="I890"/>
          <cell r="J890"/>
          <cell r="K890"/>
          <cell r="L890"/>
          <cell r="M890"/>
          <cell r="N890"/>
          <cell r="O890"/>
          <cell r="P890"/>
          <cell r="Q890"/>
          <cell r="R890"/>
          <cell r="S890"/>
          <cell r="T890"/>
          <cell r="U890"/>
          <cell r="V890"/>
          <cell r="W890"/>
          <cell r="X890"/>
          <cell r="Y890"/>
          <cell r="Z890"/>
          <cell r="AA890"/>
          <cell r="AB890"/>
          <cell r="AC890"/>
          <cell r="AD890"/>
          <cell r="AE890"/>
          <cell r="AF890"/>
        </row>
        <row r="891">
          <cell r="C891"/>
          <cell r="D891"/>
          <cell r="E891"/>
          <cell r="F891"/>
          <cell r="G891"/>
          <cell r="H891"/>
          <cell r="I891"/>
          <cell r="J891"/>
          <cell r="K891"/>
          <cell r="L891"/>
          <cell r="M891"/>
          <cell r="N891"/>
          <cell r="O891"/>
          <cell r="P891"/>
          <cell r="Q891"/>
          <cell r="R891"/>
          <cell r="S891"/>
          <cell r="T891"/>
          <cell r="U891"/>
          <cell r="V891"/>
          <cell r="W891"/>
          <cell r="X891"/>
          <cell r="Y891"/>
          <cell r="Z891"/>
          <cell r="AA891"/>
          <cell r="AB891"/>
          <cell r="AC891"/>
          <cell r="AD891"/>
          <cell r="AE891"/>
          <cell r="AF891"/>
        </row>
        <row r="892">
          <cell r="C892"/>
          <cell r="D892"/>
          <cell r="E892"/>
          <cell r="F892"/>
          <cell r="G892"/>
          <cell r="H892"/>
          <cell r="I892"/>
          <cell r="J892"/>
          <cell r="K892"/>
          <cell r="L892"/>
          <cell r="M892"/>
          <cell r="N892"/>
          <cell r="O892"/>
          <cell r="P892"/>
          <cell r="Q892"/>
          <cell r="R892"/>
          <cell r="S892"/>
          <cell r="T892"/>
          <cell r="U892"/>
          <cell r="V892"/>
          <cell r="W892"/>
          <cell r="X892"/>
          <cell r="Y892"/>
          <cell r="Z892"/>
          <cell r="AA892"/>
          <cell r="AB892"/>
          <cell r="AC892"/>
          <cell r="AD892"/>
          <cell r="AE892"/>
          <cell r="AF892"/>
        </row>
        <row r="893">
          <cell r="C893"/>
          <cell r="D893"/>
          <cell r="E893"/>
          <cell r="F893"/>
          <cell r="G893"/>
          <cell r="H893"/>
          <cell r="I893"/>
          <cell r="J893"/>
          <cell r="K893"/>
          <cell r="L893"/>
          <cell r="M893"/>
          <cell r="N893"/>
          <cell r="O893"/>
          <cell r="P893"/>
          <cell r="Q893"/>
          <cell r="R893"/>
          <cell r="S893"/>
          <cell r="T893"/>
          <cell r="U893"/>
          <cell r="V893"/>
          <cell r="W893"/>
          <cell r="X893"/>
          <cell r="Y893"/>
          <cell r="Z893"/>
          <cell r="AA893"/>
          <cell r="AB893"/>
          <cell r="AC893"/>
          <cell r="AD893"/>
          <cell r="AE893"/>
          <cell r="AF893"/>
        </row>
        <row r="894">
          <cell r="C894"/>
          <cell r="D894"/>
          <cell r="E894"/>
          <cell r="F894"/>
          <cell r="G894"/>
          <cell r="H894"/>
          <cell r="I894"/>
          <cell r="J894"/>
          <cell r="K894"/>
          <cell r="L894"/>
          <cell r="M894"/>
          <cell r="N894"/>
          <cell r="O894"/>
          <cell r="P894"/>
          <cell r="Q894"/>
          <cell r="R894"/>
          <cell r="S894"/>
          <cell r="T894"/>
          <cell r="U894"/>
          <cell r="V894"/>
          <cell r="W894"/>
          <cell r="X894"/>
          <cell r="Y894"/>
          <cell r="Z894"/>
          <cell r="AA894"/>
          <cell r="AB894"/>
          <cell r="AC894"/>
          <cell r="AD894"/>
          <cell r="AE894"/>
          <cell r="AF894"/>
        </row>
        <row r="895">
          <cell r="C895"/>
          <cell r="D895"/>
          <cell r="E895"/>
          <cell r="F895"/>
          <cell r="G895"/>
          <cell r="H895"/>
          <cell r="I895"/>
          <cell r="J895"/>
          <cell r="K895"/>
          <cell r="L895"/>
          <cell r="M895"/>
          <cell r="N895"/>
          <cell r="O895"/>
          <cell r="P895"/>
          <cell r="Q895"/>
          <cell r="R895"/>
          <cell r="S895"/>
          <cell r="T895"/>
          <cell r="U895"/>
          <cell r="V895"/>
          <cell r="W895"/>
          <cell r="X895"/>
          <cell r="Y895"/>
          <cell r="Z895"/>
          <cell r="AA895"/>
          <cell r="AB895"/>
          <cell r="AC895"/>
          <cell r="AD895"/>
          <cell r="AE895"/>
          <cell r="AF895"/>
        </row>
        <row r="896">
          <cell r="C896"/>
          <cell r="D896"/>
          <cell r="E896"/>
          <cell r="F896"/>
          <cell r="G896"/>
          <cell r="H896"/>
          <cell r="I896"/>
          <cell r="J896"/>
          <cell r="K896"/>
          <cell r="L896"/>
          <cell r="M896"/>
          <cell r="N896"/>
          <cell r="O896"/>
          <cell r="P896"/>
          <cell r="Q896"/>
          <cell r="R896"/>
          <cell r="S896"/>
          <cell r="T896"/>
          <cell r="U896"/>
          <cell r="V896"/>
          <cell r="W896"/>
          <cell r="X896"/>
          <cell r="Y896"/>
          <cell r="Z896"/>
          <cell r="AA896"/>
          <cell r="AB896"/>
          <cell r="AC896"/>
          <cell r="AD896"/>
          <cell r="AE896"/>
          <cell r="AF896"/>
        </row>
        <row r="897">
          <cell r="C897"/>
          <cell r="D897"/>
          <cell r="E897"/>
          <cell r="F897"/>
          <cell r="G897"/>
          <cell r="H897"/>
          <cell r="I897"/>
          <cell r="J897"/>
          <cell r="K897"/>
          <cell r="L897"/>
          <cell r="M897"/>
          <cell r="N897"/>
          <cell r="O897"/>
          <cell r="P897"/>
          <cell r="Q897"/>
          <cell r="R897"/>
          <cell r="S897"/>
          <cell r="T897"/>
          <cell r="U897"/>
          <cell r="V897"/>
          <cell r="W897"/>
          <cell r="X897"/>
          <cell r="Y897"/>
          <cell r="Z897"/>
          <cell r="AA897"/>
          <cell r="AB897"/>
          <cell r="AC897"/>
          <cell r="AD897"/>
          <cell r="AE897"/>
          <cell r="AF897"/>
        </row>
        <row r="898">
          <cell r="C898"/>
          <cell r="D898"/>
          <cell r="E898"/>
          <cell r="F898"/>
          <cell r="G898"/>
          <cell r="H898"/>
          <cell r="I898"/>
          <cell r="J898"/>
          <cell r="K898"/>
          <cell r="L898"/>
          <cell r="M898"/>
          <cell r="N898"/>
          <cell r="O898"/>
          <cell r="P898"/>
          <cell r="Q898"/>
          <cell r="R898"/>
          <cell r="S898"/>
          <cell r="T898"/>
          <cell r="U898"/>
          <cell r="V898"/>
          <cell r="W898"/>
          <cell r="X898"/>
          <cell r="Y898"/>
          <cell r="Z898"/>
          <cell r="AA898"/>
          <cell r="AB898"/>
          <cell r="AC898"/>
          <cell r="AD898"/>
          <cell r="AE898"/>
          <cell r="AF898"/>
        </row>
        <row r="899">
          <cell r="C899"/>
          <cell r="D899"/>
          <cell r="E899"/>
          <cell r="F899"/>
          <cell r="G899"/>
          <cell r="H899"/>
          <cell r="I899"/>
          <cell r="J899"/>
          <cell r="K899"/>
          <cell r="L899"/>
          <cell r="M899"/>
          <cell r="N899"/>
          <cell r="O899"/>
          <cell r="P899"/>
          <cell r="Q899"/>
          <cell r="R899"/>
          <cell r="S899"/>
          <cell r="T899"/>
          <cell r="U899"/>
          <cell r="V899"/>
          <cell r="W899"/>
          <cell r="X899"/>
          <cell r="Y899"/>
          <cell r="Z899"/>
          <cell r="AA899"/>
          <cell r="AB899"/>
          <cell r="AC899"/>
          <cell r="AD899"/>
          <cell r="AE899"/>
          <cell r="AF899"/>
        </row>
        <row r="900">
          <cell r="C900"/>
          <cell r="D900"/>
          <cell r="E900"/>
          <cell r="F900"/>
          <cell r="G900"/>
          <cell r="H900"/>
          <cell r="I900"/>
          <cell r="J900"/>
          <cell r="K900"/>
          <cell r="L900"/>
          <cell r="M900"/>
          <cell r="N900"/>
          <cell r="O900"/>
          <cell r="P900"/>
          <cell r="Q900"/>
          <cell r="R900"/>
          <cell r="S900"/>
          <cell r="T900"/>
          <cell r="U900"/>
          <cell r="V900"/>
          <cell r="W900"/>
          <cell r="X900"/>
          <cell r="Y900"/>
          <cell r="Z900"/>
          <cell r="AA900"/>
          <cell r="AB900"/>
          <cell r="AC900"/>
          <cell r="AD900"/>
          <cell r="AE900"/>
          <cell r="AF900"/>
        </row>
        <row r="901">
          <cell r="C901"/>
          <cell r="D901"/>
          <cell r="E901"/>
          <cell r="F901"/>
          <cell r="G901"/>
          <cell r="H901"/>
          <cell r="I901"/>
          <cell r="J901"/>
          <cell r="K901"/>
          <cell r="L901"/>
          <cell r="M901"/>
          <cell r="N901"/>
          <cell r="O901"/>
          <cell r="P901"/>
          <cell r="Q901"/>
          <cell r="R901"/>
          <cell r="S901"/>
          <cell r="T901"/>
          <cell r="U901"/>
          <cell r="V901"/>
          <cell r="W901"/>
          <cell r="X901"/>
          <cell r="Y901"/>
          <cell r="Z901"/>
          <cell r="AA901"/>
          <cell r="AB901"/>
          <cell r="AC901"/>
          <cell r="AD901"/>
          <cell r="AE901"/>
          <cell r="AF901"/>
        </row>
        <row r="902">
          <cell r="C902"/>
          <cell r="D902"/>
          <cell r="E902"/>
          <cell r="F902"/>
          <cell r="G902"/>
          <cell r="H902"/>
          <cell r="I902"/>
          <cell r="J902"/>
          <cell r="K902"/>
          <cell r="L902"/>
          <cell r="M902"/>
          <cell r="N902"/>
          <cell r="O902"/>
          <cell r="P902"/>
          <cell r="Q902"/>
          <cell r="R902"/>
          <cell r="S902"/>
          <cell r="T902"/>
          <cell r="U902"/>
          <cell r="V902"/>
          <cell r="W902"/>
          <cell r="X902"/>
          <cell r="Y902"/>
          <cell r="Z902"/>
          <cell r="AA902"/>
          <cell r="AB902"/>
          <cell r="AC902"/>
          <cell r="AD902"/>
          <cell r="AE902"/>
          <cell r="AF902"/>
        </row>
        <row r="903">
          <cell r="C903"/>
          <cell r="D903"/>
          <cell r="E903"/>
          <cell r="F903"/>
          <cell r="G903"/>
          <cell r="H903"/>
          <cell r="I903"/>
          <cell r="J903"/>
          <cell r="K903"/>
          <cell r="L903"/>
          <cell r="M903"/>
          <cell r="N903"/>
          <cell r="O903"/>
          <cell r="P903"/>
          <cell r="Q903"/>
          <cell r="R903"/>
          <cell r="S903"/>
          <cell r="T903"/>
          <cell r="U903"/>
          <cell r="V903"/>
          <cell r="W903"/>
          <cell r="X903"/>
          <cell r="Y903"/>
          <cell r="Z903"/>
          <cell r="AA903"/>
          <cell r="AB903"/>
          <cell r="AC903"/>
          <cell r="AD903"/>
          <cell r="AE903"/>
          <cell r="AF903"/>
        </row>
        <row r="904">
          <cell r="C904"/>
          <cell r="D904"/>
          <cell r="E904"/>
          <cell r="F904"/>
          <cell r="G904"/>
          <cell r="H904"/>
          <cell r="I904"/>
          <cell r="J904"/>
          <cell r="K904"/>
          <cell r="L904"/>
          <cell r="M904"/>
          <cell r="N904"/>
          <cell r="O904"/>
          <cell r="P904"/>
          <cell r="Q904"/>
          <cell r="R904"/>
          <cell r="S904"/>
          <cell r="T904"/>
          <cell r="U904"/>
          <cell r="V904"/>
          <cell r="W904"/>
          <cell r="X904"/>
          <cell r="Y904"/>
          <cell r="Z904"/>
          <cell r="AA904"/>
          <cell r="AB904"/>
          <cell r="AC904"/>
          <cell r="AD904"/>
          <cell r="AE904"/>
          <cell r="AF904"/>
        </row>
        <row r="905">
          <cell r="C905"/>
          <cell r="D905"/>
          <cell r="E905"/>
          <cell r="F905"/>
          <cell r="G905"/>
          <cell r="H905"/>
          <cell r="I905"/>
          <cell r="J905"/>
          <cell r="K905"/>
          <cell r="L905"/>
          <cell r="M905"/>
          <cell r="N905"/>
          <cell r="O905"/>
          <cell r="P905"/>
          <cell r="Q905"/>
          <cell r="R905"/>
          <cell r="S905"/>
          <cell r="T905"/>
          <cell r="U905"/>
          <cell r="V905"/>
          <cell r="W905"/>
          <cell r="X905"/>
          <cell r="Y905"/>
          <cell r="Z905"/>
          <cell r="AA905"/>
          <cell r="AB905"/>
          <cell r="AC905"/>
          <cell r="AD905"/>
          <cell r="AE905"/>
          <cell r="AF905"/>
        </row>
        <row r="906">
          <cell r="C906"/>
          <cell r="D906"/>
          <cell r="E906"/>
          <cell r="F906"/>
          <cell r="G906"/>
          <cell r="H906"/>
          <cell r="I906"/>
          <cell r="J906"/>
          <cell r="K906"/>
          <cell r="L906"/>
          <cell r="M906"/>
          <cell r="N906"/>
          <cell r="O906"/>
          <cell r="P906"/>
          <cell r="Q906"/>
          <cell r="R906"/>
          <cell r="S906"/>
          <cell r="T906"/>
          <cell r="U906"/>
          <cell r="V906"/>
          <cell r="W906"/>
          <cell r="X906"/>
          <cell r="Y906"/>
          <cell r="Z906"/>
          <cell r="AA906"/>
          <cell r="AB906"/>
          <cell r="AC906"/>
          <cell r="AD906"/>
          <cell r="AE906"/>
          <cell r="AF906"/>
        </row>
        <row r="907">
          <cell r="C907"/>
          <cell r="D907"/>
          <cell r="E907"/>
          <cell r="F907"/>
          <cell r="G907"/>
          <cell r="H907"/>
          <cell r="I907"/>
          <cell r="J907"/>
          <cell r="K907"/>
          <cell r="L907"/>
          <cell r="M907"/>
          <cell r="N907"/>
          <cell r="O907"/>
          <cell r="P907"/>
          <cell r="Q907"/>
          <cell r="R907"/>
          <cell r="S907"/>
          <cell r="T907"/>
          <cell r="U907"/>
          <cell r="V907"/>
          <cell r="W907"/>
          <cell r="X907"/>
          <cell r="Y907"/>
          <cell r="Z907"/>
          <cell r="AA907"/>
          <cell r="AB907"/>
          <cell r="AC907"/>
          <cell r="AD907"/>
          <cell r="AE907"/>
          <cell r="AF907"/>
        </row>
        <row r="908">
          <cell r="C908"/>
          <cell r="D908"/>
          <cell r="E908"/>
          <cell r="F908"/>
          <cell r="G908"/>
          <cell r="H908"/>
          <cell r="I908"/>
          <cell r="J908"/>
          <cell r="K908"/>
          <cell r="L908"/>
          <cell r="M908"/>
          <cell r="N908"/>
          <cell r="O908"/>
          <cell r="P908"/>
          <cell r="Q908"/>
          <cell r="R908"/>
          <cell r="S908"/>
          <cell r="T908"/>
          <cell r="U908"/>
          <cell r="V908"/>
          <cell r="W908"/>
          <cell r="X908"/>
          <cell r="Y908"/>
          <cell r="Z908"/>
          <cell r="AA908"/>
          <cell r="AB908"/>
          <cell r="AC908"/>
          <cell r="AD908"/>
          <cell r="AE908"/>
          <cell r="AF908"/>
        </row>
        <row r="909">
          <cell r="C909"/>
          <cell r="D909"/>
          <cell r="E909"/>
          <cell r="F909"/>
          <cell r="G909"/>
          <cell r="H909"/>
          <cell r="I909"/>
          <cell r="J909"/>
          <cell r="K909"/>
          <cell r="L909"/>
          <cell r="M909"/>
          <cell r="N909"/>
          <cell r="O909"/>
          <cell r="P909"/>
          <cell r="Q909"/>
          <cell r="R909"/>
          <cell r="S909"/>
          <cell r="T909"/>
          <cell r="U909"/>
          <cell r="V909"/>
          <cell r="W909"/>
          <cell r="X909"/>
          <cell r="Y909"/>
          <cell r="Z909"/>
          <cell r="AA909"/>
          <cell r="AB909"/>
          <cell r="AC909"/>
          <cell r="AD909"/>
          <cell r="AE909"/>
          <cell r="AF909"/>
        </row>
        <row r="910">
          <cell r="C910"/>
          <cell r="D910"/>
          <cell r="E910"/>
          <cell r="F910"/>
          <cell r="G910"/>
          <cell r="H910"/>
          <cell r="I910"/>
          <cell r="J910"/>
          <cell r="K910"/>
          <cell r="L910"/>
          <cell r="M910"/>
          <cell r="N910"/>
          <cell r="O910"/>
          <cell r="P910"/>
          <cell r="Q910"/>
          <cell r="R910"/>
          <cell r="S910"/>
          <cell r="T910"/>
          <cell r="U910"/>
          <cell r="V910"/>
          <cell r="W910"/>
          <cell r="X910"/>
          <cell r="Y910"/>
          <cell r="Z910"/>
          <cell r="AA910"/>
          <cell r="AB910"/>
          <cell r="AC910"/>
          <cell r="AD910"/>
          <cell r="AE910"/>
          <cell r="AF910"/>
        </row>
        <row r="911">
          <cell r="C911"/>
          <cell r="D911"/>
          <cell r="E911"/>
          <cell r="F911"/>
          <cell r="G911"/>
          <cell r="H911"/>
          <cell r="I911"/>
          <cell r="J911"/>
          <cell r="K911"/>
          <cell r="L911"/>
          <cell r="M911"/>
          <cell r="N911"/>
          <cell r="O911"/>
          <cell r="P911"/>
          <cell r="Q911"/>
          <cell r="R911"/>
          <cell r="S911"/>
          <cell r="T911"/>
          <cell r="U911"/>
          <cell r="V911"/>
          <cell r="W911"/>
          <cell r="X911"/>
          <cell r="Y911"/>
          <cell r="Z911"/>
          <cell r="AA911"/>
          <cell r="AB911"/>
          <cell r="AC911"/>
          <cell r="AD911"/>
          <cell r="AE911"/>
          <cell r="AF911"/>
        </row>
        <row r="912">
          <cell r="C912"/>
          <cell r="D912"/>
          <cell r="E912"/>
          <cell r="F912"/>
          <cell r="G912"/>
          <cell r="H912"/>
          <cell r="I912"/>
          <cell r="J912"/>
          <cell r="K912"/>
          <cell r="L912"/>
          <cell r="M912"/>
          <cell r="N912"/>
          <cell r="O912"/>
          <cell r="P912"/>
          <cell r="Q912"/>
          <cell r="R912"/>
          <cell r="S912"/>
          <cell r="T912"/>
          <cell r="U912"/>
          <cell r="V912"/>
          <cell r="W912"/>
          <cell r="X912"/>
          <cell r="Y912"/>
          <cell r="Z912"/>
          <cell r="AA912"/>
          <cell r="AB912"/>
          <cell r="AC912"/>
          <cell r="AD912"/>
          <cell r="AE912"/>
          <cell r="AF912"/>
        </row>
        <row r="913">
          <cell r="C913"/>
          <cell r="D913"/>
          <cell r="E913"/>
          <cell r="F913"/>
          <cell r="G913"/>
          <cell r="H913"/>
          <cell r="I913"/>
          <cell r="J913"/>
          <cell r="K913"/>
          <cell r="L913"/>
          <cell r="M913"/>
          <cell r="N913"/>
          <cell r="O913"/>
          <cell r="P913"/>
          <cell r="Q913"/>
          <cell r="R913"/>
          <cell r="S913"/>
          <cell r="T913"/>
          <cell r="U913"/>
          <cell r="V913"/>
          <cell r="W913"/>
          <cell r="X913"/>
          <cell r="Y913"/>
          <cell r="Z913"/>
          <cell r="AA913"/>
          <cell r="AB913"/>
          <cell r="AC913"/>
          <cell r="AD913"/>
          <cell r="AE913"/>
          <cell r="AF913"/>
        </row>
        <row r="914">
          <cell r="C914"/>
          <cell r="D914"/>
          <cell r="E914"/>
          <cell r="F914"/>
          <cell r="G914"/>
          <cell r="H914"/>
          <cell r="I914"/>
          <cell r="J914"/>
          <cell r="K914"/>
          <cell r="L914"/>
          <cell r="M914"/>
          <cell r="N914"/>
          <cell r="O914"/>
          <cell r="P914"/>
          <cell r="Q914"/>
          <cell r="R914"/>
          <cell r="S914"/>
          <cell r="T914"/>
          <cell r="U914"/>
          <cell r="V914"/>
          <cell r="W914"/>
          <cell r="X914"/>
          <cell r="Y914"/>
          <cell r="Z914"/>
          <cell r="AA914"/>
          <cell r="AB914"/>
          <cell r="AC914"/>
          <cell r="AD914"/>
          <cell r="AE914"/>
          <cell r="AF914"/>
        </row>
        <row r="915">
          <cell r="C915"/>
          <cell r="D915"/>
          <cell r="E915"/>
          <cell r="F915"/>
          <cell r="G915"/>
          <cell r="H915"/>
          <cell r="I915"/>
          <cell r="J915"/>
          <cell r="K915"/>
          <cell r="L915"/>
          <cell r="M915"/>
          <cell r="N915"/>
          <cell r="O915"/>
          <cell r="P915"/>
          <cell r="Q915"/>
          <cell r="R915"/>
          <cell r="S915"/>
          <cell r="T915"/>
          <cell r="U915"/>
          <cell r="V915"/>
          <cell r="W915"/>
          <cell r="X915"/>
          <cell r="Y915"/>
          <cell r="Z915"/>
          <cell r="AA915"/>
          <cell r="AB915"/>
          <cell r="AC915"/>
          <cell r="AD915"/>
          <cell r="AE915"/>
          <cell r="AF915"/>
        </row>
        <row r="916">
          <cell r="C916"/>
          <cell r="D916"/>
          <cell r="E916"/>
          <cell r="F916"/>
          <cell r="G916"/>
          <cell r="H916"/>
          <cell r="I916"/>
          <cell r="J916"/>
          <cell r="K916"/>
          <cell r="L916"/>
          <cell r="M916"/>
          <cell r="N916"/>
          <cell r="O916"/>
          <cell r="P916"/>
          <cell r="Q916"/>
          <cell r="R916"/>
          <cell r="S916"/>
          <cell r="T916"/>
          <cell r="U916"/>
          <cell r="V916"/>
          <cell r="W916"/>
          <cell r="X916"/>
          <cell r="Y916"/>
          <cell r="Z916"/>
          <cell r="AA916"/>
          <cell r="AB916"/>
          <cell r="AC916"/>
          <cell r="AD916"/>
          <cell r="AE916"/>
          <cell r="AF916"/>
        </row>
        <row r="917">
          <cell r="C917"/>
          <cell r="D917"/>
          <cell r="E917"/>
          <cell r="F917"/>
          <cell r="G917"/>
          <cell r="H917"/>
          <cell r="I917"/>
          <cell r="J917"/>
          <cell r="K917"/>
          <cell r="L917"/>
          <cell r="M917"/>
          <cell r="N917"/>
          <cell r="O917"/>
          <cell r="P917"/>
          <cell r="Q917"/>
          <cell r="R917"/>
          <cell r="S917"/>
          <cell r="T917"/>
          <cell r="U917"/>
          <cell r="V917"/>
          <cell r="W917"/>
          <cell r="X917"/>
          <cell r="Y917"/>
          <cell r="Z917"/>
          <cell r="AA917"/>
          <cell r="AB917"/>
          <cell r="AC917"/>
          <cell r="AD917"/>
          <cell r="AE917"/>
          <cell r="AF917"/>
        </row>
        <row r="918">
          <cell r="C918"/>
          <cell r="D918"/>
          <cell r="E918"/>
          <cell r="F918"/>
          <cell r="G918"/>
          <cell r="H918"/>
          <cell r="I918"/>
          <cell r="J918"/>
          <cell r="K918"/>
          <cell r="L918"/>
          <cell r="M918"/>
          <cell r="N918"/>
          <cell r="O918"/>
          <cell r="P918"/>
          <cell r="Q918"/>
          <cell r="R918"/>
          <cell r="S918"/>
          <cell r="T918"/>
          <cell r="U918"/>
          <cell r="V918"/>
          <cell r="W918"/>
          <cell r="X918"/>
          <cell r="Y918"/>
          <cell r="Z918"/>
          <cell r="AA918"/>
          <cell r="AB918"/>
          <cell r="AC918"/>
          <cell r="AD918"/>
          <cell r="AE918"/>
          <cell r="AF918"/>
        </row>
        <row r="919">
          <cell r="C919"/>
          <cell r="D919"/>
          <cell r="E919"/>
          <cell r="F919"/>
          <cell r="G919"/>
          <cell r="H919"/>
          <cell r="I919"/>
          <cell r="J919"/>
          <cell r="K919"/>
          <cell r="L919"/>
          <cell r="M919"/>
          <cell r="N919"/>
          <cell r="O919"/>
          <cell r="P919"/>
          <cell r="Q919"/>
          <cell r="R919"/>
          <cell r="S919"/>
          <cell r="T919"/>
          <cell r="U919"/>
          <cell r="V919"/>
          <cell r="W919"/>
          <cell r="X919"/>
          <cell r="Y919"/>
          <cell r="Z919"/>
          <cell r="AA919"/>
          <cell r="AB919"/>
          <cell r="AC919"/>
          <cell r="AD919"/>
          <cell r="AE919"/>
          <cell r="AF919"/>
        </row>
        <row r="920">
          <cell r="C920"/>
          <cell r="D920"/>
          <cell r="E920"/>
          <cell r="F920"/>
          <cell r="G920"/>
          <cell r="H920"/>
          <cell r="I920"/>
          <cell r="J920"/>
          <cell r="K920"/>
          <cell r="L920"/>
          <cell r="M920"/>
          <cell r="N920"/>
          <cell r="O920"/>
          <cell r="P920"/>
          <cell r="Q920"/>
          <cell r="R920"/>
          <cell r="S920"/>
          <cell r="T920"/>
          <cell r="U920"/>
          <cell r="V920"/>
          <cell r="W920"/>
          <cell r="X920"/>
          <cell r="Y920"/>
          <cell r="Z920"/>
          <cell r="AA920"/>
          <cell r="AB920"/>
          <cell r="AC920"/>
          <cell r="AD920"/>
          <cell r="AE920"/>
          <cell r="AF920"/>
        </row>
        <row r="921">
          <cell r="C921"/>
          <cell r="D921"/>
          <cell r="E921"/>
          <cell r="F921"/>
          <cell r="G921"/>
          <cell r="H921"/>
          <cell r="I921"/>
          <cell r="J921"/>
          <cell r="K921"/>
          <cell r="L921"/>
          <cell r="M921"/>
          <cell r="N921"/>
          <cell r="O921"/>
          <cell r="P921"/>
          <cell r="Q921"/>
          <cell r="R921"/>
          <cell r="S921"/>
          <cell r="T921"/>
          <cell r="U921"/>
          <cell r="V921"/>
          <cell r="W921"/>
          <cell r="X921"/>
          <cell r="Y921"/>
          <cell r="Z921"/>
          <cell r="AA921"/>
          <cell r="AB921"/>
          <cell r="AC921"/>
          <cell r="AD921"/>
          <cell r="AE921"/>
          <cell r="AF921"/>
        </row>
        <row r="922">
          <cell r="C922"/>
          <cell r="D922"/>
          <cell r="E922"/>
          <cell r="F922"/>
          <cell r="G922"/>
          <cell r="H922"/>
          <cell r="I922"/>
          <cell r="J922"/>
          <cell r="K922"/>
          <cell r="L922"/>
          <cell r="M922"/>
          <cell r="N922"/>
          <cell r="O922"/>
          <cell r="P922"/>
          <cell r="Q922"/>
          <cell r="R922"/>
          <cell r="S922"/>
          <cell r="T922"/>
          <cell r="U922"/>
          <cell r="V922"/>
          <cell r="W922"/>
          <cell r="X922"/>
          <cell r="Y922"/>
          <cell r="Z922"/>
          <cell r="AA922"/>
          <cell r="AB922"/>
          <cell r="AC922"/>
          <cell r="AD922"/>
          <cell r="AE922"/>
          <cell r="AF922"/>
        </row>
        <row r="923">
          <cell r="C923"/>
          <cell r="D923"/>
          <cell r="E923"/>
          <cell r="F923"/>
          <cell r="G923"/>
          <cell r="H923"/>
          <cell r="I923"/>
          <cell r="J923"/>
          <cell r="K923"/>
          <cell r="L923"/>
          <cell r="M923"/>
          <cell r="N923"/>
          <cell r="O923"/>
          <cell r="P923"/>
          <cell r="Q923"/>
          <cell r="R923"/>
          <cell r="S923"/>
          <cell r="T923"/>
          <cell r="U923"/>
          <cell r="V923"/>
          <cell r="W923"/>
          <cell r="X923"/>
          <cell r="Y923"/>
          <cell r="Z923"/>
          <cell r="AA923"/>
          <cell r="AB923"/>
          <cell r="AC923"/>
          <cell r="AD923"/>
          <cell r="AE923"/>
          <cell r="AF923"/>
        </row>
        <row r="924">
          <cell r="C924"/>
          <cell r="D924"/>
          <cell r="E924"/>
          <cell r="F924"/>
          <cell r="G924"/>
          <cell r="H924"/>
          <cell r="I924"/>
          <cell r="J924"/>
          <cell r="K924"/>
          <cell r="L924"/>
          <cell r="M924"/>
          <cell r="N924"/>
          <cell r="O924"/>
          <cell r="P924"/>
          <cell r="Q924"/>
          <cell r="R924"/>
          <cell r="S924"/>
          <cell r="T924"/>
          <cell r="U924"/>
          <cell r="V924"/>
          <cell r="W924"/>
          <cell r="X924"/>
          <cell r="Y924"/>
          <cell r="Z924"/>
          <cell r="AA924"/>
          <cell r="AB924"/>
          <cell r="AC924"/>
          <cell r="AD924"/>
          <cell r="AE924"/>
          <cell r="AF924"/>
        </row>
        <row r="925">
          <cell r="C925"/>
          <cell r="D925"/>
          <cell r="E925"/>
          <cell r="F925"/>
          <cell r="G925"/>
          <cell r="H925"/>
          <cell r="I925"/>
          <cell r="J925"/>
          <cell r="K925"/>
          <cell r="L925"/>
          <cell r="M925"/>
          <cell r="N925"/>
          <cell r="O925"/>
          <cell r="P925"/>
          <cell r="Q925"/>
          <cell r="R925"/>
          <cell r="S925"/>
          <cell r="T925"/>
          <cell r="U925"/>
          <cell r="V925"/>
          <cell r="W925"/>
          <cell r="X925"/>
          <cell r="Y925"/>
          <cell r="Z925"/>
          <cell r="AA925"/>
          <cell r="AB925"/>
          <cell r="AC925"/>
          <cell r="AD925"/>
          <cell r="AE925"/>
          <cell r="AF925"/>
        </row>
        <row r="926">
          <cell r="C926"/>
          <cell r="D926"/>
          <cell r="E926"/>
          <cell r="F926"/>
          <cell r="G926"/>
          <cell r="H926"/>
          <cell r="I926"/>
          <cell r="J926"/>
          <cell r="K926"/>
          <cell r="L926"/>
          <cell r="M926"/>
          <cell r="N926"/>
          <cell r="O926"/>
          <cell r="P926"/>
          <cell r="Q926"/>
          <cell r="R926"/>
          <cell r="S926"/>
          <cell r="T926"/>
          <cell r="U926"/>
          <cell r="V926"/>
          <cell r="W926"/>
          <cell r="X926"/>
          <cell r="Y926"/>
          <cell r="Z926"/>
          <cell r="AA926"/>
          <cell r="AB926"/>
          <cell r="AC926"/>
          <cell r="AD926"/>
          <cell r="AE926"/>
          <cell r="AF926"/>
        </row>
        <row r="927"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  <cell r="M927"/>
          <cell r="N927"/>
          <cell r="O927"/>
          <cell r="P927"/>
          <cell r="Q927"/>
          <cell r="R927"/>
          <cell r="S927"/>
          <cell r="T927"/>
          <cell r="U927"/>
          <cell r="V927"/>
          <cell r="W927"/>
          <cell r="X927"/>
          <cell r="Y927"/>
          <cell r="Z927"/>
          <cell r="AA927"/>
          <cell r="AB927"/>
          <cell r="AC927"/>
          <cell r="AD927"/>
          <cell r="AE927"/>
          <cell r="AF927"/>
        </row>
        <row r="928">
          <cell r="C928"/>
          <cell r="D928"/>
          <cell r="E928"/>
          <cell r="F928"/>
          <cell r="G928"/>
          <cell r="H928"/>
          <cell r="I928"/>
          <cell r="J928"/>
          <cell r="K928"/>
          <cell r="L928"/>
          <cell r="M928"/>
          <cell r="N928"/>
          <cell r="O928"/>
          <cell r="P928"/>
          <cell r="Q928"/>
          <cell r="R928"/>
          <cell r="S928"/>
          <cell r="T928"/>
          <cell r="U928"/>
          <cell r="V928"/>
          <cell r="W928"/>
          <cell r="X928"/>
          <cell r="Y928"/>
          <cell r="Z928"/>
          <cell r="AA928"/>
          <cell r="AB928"/>
          <cell r="AC928"/>
          <cell r="AD928"/>
          <cell r="AE928"/>
          <cell r="AF928"/>
        </row>
        <row r="929">
          <cell r="C929"/>
          <cell r="D929"/>
          <cell r="E929"/>
          <cell r="F929"/>
          <cell r="G929"/>
          <cell r="H929"/>
          <cell r="I929"/>
          <cell r="J929"/>
          <cell r="K929"/>
          <cell r="L929"/>
          <cell r="M929"/>
          <cell r="N929"/>
          <cell r="O929"/>
          <cell r="P929"/>
          <cell r="Q929"/>
          <cell r="R929"/>
          <cell r="S929"/>
          <cell r="T929"/>
          <cell r="U929"/>
          <cell r="V929"/>
          <cell r="W929"/>
          <cell r="X929"/>
          <cell r="Y929"/>
          <cell r="Z929"/>
          <cell r="AA929"/>
          <cell r="AB929"/>
          <cell r="AC929"/>
          <cell r="AD929"/>
          <cell r="AE929"/>
          <cell r="AF929"/>
        </row>
        <row r="930">
          <cell r="C930"/>
          <cell r="D930"/>
          <cell r="E930"/>
          <cell r="F930"/>
          <cell r="G930"/>
          <cell r="H930"/>
          <cell r="I930"/>
          <cell r="J930"/>
          <cell r="K930"/>
          <cell r="L930"/>
          <cell r="M930"/>
          <cell r="N930"/>
          <cell r="O930"/>
          <cell r="P930"/>
          <cell r="Q930"/>
          <cell r="R930"/>
          <cell r="S930"/>
          <cell r="T930"/>
          <cell r="U930"/>
          <cell r="V930"/>
          <cell r="W930"/>
          <cell r="X930"/>
          <cell r="Y930"/>
          <cell r="Z930"/>
          <cell r="AA930"/>
          <cell r="AB930"/>
          <cell r="AC930"/>
          <cell r="AD930"/>
          <cell r="AE930"/>
          <cell r="AF930"/>
        </row>
        <row r="931">
          <cell r="C931"/>
          <cell r="D931"/>
          <cell r="E931"/>
          <cell r="F931"/>
          <cell r="G931"/>
          <cell r="H931"/>
          <cell r="I931"/>
          <cell r="J931"/>
          <cell r="K931"/>
          <cell r="L931"/>
          <cell r="M931"/>
          <cell r="N931"/>
          <cell r="O931"/>
          <cell r="P931"/>
          <cell r="Q931"/>
          <cell r="R931"/>
          <cell r="S931"/>
          <cell r="T931"/>
          <cell r="U931"/>
          <cell r="V931"/>
          <cell r="W931"/>
          <cell r="X931"/>
          <cell r="Y931"/>
          <cell r="Z931"/>
          <cell r="AA931"/>
          <cell r="AB931"/>
          <cell r="AC931"/>
          <cell r="AD931"/>
          <cell r="AE931"/>
          <cell r="AF931"/>
        </row>
        <row r="932">
          <cell r="C932"/>
          <cell r="D932"/>
          <cell r="E932"/>
          <cell r="F932"/>
          <cell r="G932"/>
          <cell r="H932"/>
          <cell r="I932"/>
          <cell r="J932"/>
          <cell r="K932"/>
          <cell r="L932"/>
          <cell r="M932"/>
          <cell r="N932"/>
          <cell r="O932"/>
          <cell r="P932"/>
          <cell r="Q932"/>
          <cell r="R932"/>
          <cell r="S932"/>
          <cell r="T932"/>
          <cell r="U932"/>
          <cell r="V932"/>
          <cell r="W932"/>
          <cell r="X932"/>
          <cell r="Y932"/>
          <cell r="Z932"/>
          <cell r="AA932"/>
          <cell r="AB932"/>
          <cell r="AC932"/>
          <cell r="AD932"/>
          <cell r="AE932"/>
          <cell r="AF932"/>
        </row>
        <row r="933">
          <cell r="C933"/>
          <cell r="D933"/>
          <cell r="E933"/>
          <cell r="F933"/>
          <cell r="G933"/>
          <cell r="H933"/>
          <cell r="I933"/>
          <cell r="J933"/>
          <cell r="K933"/>
          <cell r="L933"/>
          <cell r="M933"/>
          <cell r="N933"/>
          <cell r="O933"/>
          <cell r="P933"/>
          <cell r="Q933"/>
          <cell r="R933"/>
          <cell r="S933"/>
          <cell r="T933"/>
          <cell r="U933"/>
          <cell r="V933"/>
          <cell r="W933"/>
          <cell r="X933"/>
          <cell r="Y933"/>
          <cell r="Z933"/>
          <cell r="AA933"/>
          <cell r="AB933"/>
          <cell r="AC933"/>
          <cell r="AD933"/>
          <cell r="AE933"/>
          <cell r="AF933"/>
        </row>
        <row r="934"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  <cell r="M934"/>
          <cell r="N934"/>
          <cell r="O934"/>
          <cell r="P934"/>
          <cell r="Q934"/>
          <cell r="R934"/>
          <cell r="S934"/>
          <cell r="T934"/>
          <cell r="U934"/>
          <cell r="V934"/>
          <cell r="W934"/>
          <cell r="X934"/>
          <cell r="Y934"/>
          <cell r="Z934"/>
          <cell r="AA934"/>
          <cell r="AB934"/>
          <cell r="AC934"/>
          <cell r="AD934"/>
          <cell r="AE934"/>
          <cell r="AF934"/>
        </row>
        <row r="935">
          <cell r="C935"/>
          <cell r="D935"/>
          <cell r="E935"/>
          <cell r="F935"/>
          <cell r="G935"/>
          <cell r="H935"/>
          <cell r="I935"/>
          <cell r="J935"/>
          <cell r="K935"/>
          <cell r="L935"/>
          <cell r="M935"/>
          <cell r="N935"/>
          <cell r="O935"/>
          <cell r="P935"/>
          <cell r="Q935"/>
          <cell r="R935"/>
          <cell r="S935"/>
          <cell r="T935"/>
          <cell r="U935"/>
          <cell r="V935"/>
          <cell r="W935"/>
          <cell r="X935"/>
          <cell r="Y935"/>
          <cell r="Z935"/>
          <cell r="AA935"/>
          <cell r="AB935"/>
          <cell r="AC935"/>
          <cell r="AD935"/>
          <cell r="AE935"/>
          <cell r="AF935"/>
        </row>
        <row r="936">
          <cell r="C936"/>
          <cell r="D936"/>
          <cell r="E936"/>
          <cell r="F936"/>
          <cell r="G936"/>
          <cell r="H936"/>
          <cell r="I936"/>
          <cell r="J936"/>
          <cell r="K936"/>
          <cell r="L936"/>
          <cell r="M936"/>
          <cell r="N936"/>
          <cell r="O936"/>
          <cell r="P936"/>
          <cell r="Q936"/>
          <cell r="R936"/>
          <cell r="S936"/>
          <cell r="T936"/>
          <cell r="U936"/>
          <cell r="V936"/>
          <cell r="W936"/>
          <cell r="X936"/>
          <cell r="Y936"/>
          <cell r="Z936"/>
          <cell r="AA936"/>
          <cell r="AB936"/>
          <cell r="AC936"/>
          <cell r="AD936"/>
          <cell r="AE936"/>
          <cell r="AF936"/>
        </row>
        <row r="937">
          <cell r="C937"/>
          <cell r="D937"/>
          <cell r="E937"/>
          <cell r="F937"/>
          <cell r="G937"/>
          <cell r="H937"/>
          <cell r="I937"/>
          <cell r="J937"/>
          <cell r="K937"/>
          <cell r="L937"/>
          <cell r="M937"/>
          <cell r="N937"/>
          <cell r="O937"/>
          <cell r="P937"/>
          <cell r="Q937"/>
          <cell r="R937"/>
          <cell r="S937"/>
          <cell r="T937"/>
          <cell r="U937"/>
          <cell r="V937"/>
          <cell r="W937"/>
          <cell r="X937"/>
          <cell r="Y937"/>
          <cell r="Z937"/>
          <cell r="AA937"/>
          <cell r="AB937"/>
          <cell r="AC937"/>
          <cell r="AD937"/>
          <cell r="AE937"/>
          <cell r="AF937"/>
        </row>
        <row r="938"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  <cell r="M938"/>
          <cell r="N938"/>
          <cell r="O938"/>
          <cell r="P938"/>
          <cell r="Q938"/>
          <cell r="R938"/>
          <cell r="S938"/>
          <cell r="T938"/>
          <cell r="U938"/>
          <cell r="V938"/>
          <cell r="W938"/>
          <cell r="X938"/>
          <cell r="Y938"/>
          <cell r="Z938"/>
          <cell r="AA938"/>
          <cell r="AB938"/>
          <cell r="AC938"/>
          <cell r="AD938"/>
          <cell r="AE938"/>
          <cell r="AF938"/>
        </row>
        <row r="939">
          <cell r="C939"/>
          <cell r="D939"/>
          <cell r="E939"/>
          <cell r="F939"/>
          <cell r="G939"/>
          <cell r="H939"/>
          <cell r="I939"/>
          <cell r="J939"/>
          <cell r="K939"/>
          <cell r="L939"/>
          <cell r="M939"/>
          <cell r="N939"/>
          <cell r="O939"/>
          <cell r="P939"/>
          <cell r="Q939"/>
          <cell r="R939"/>
          <cell r="S939"/>
          <cell r="T939"/>
          <cell r="U939"/>
          <cell r="V939"/>
          <cell r="W939"/>
          <cell r="X939"/>
          <cell r="Y939"/>
          <cell r="Z939"/>
          <cell r="AA939"/>
          <cell r="AB939"/>
          <cell r="AC939"/>
          <cell r="AD939"/>
          <cell r="AE939"/>
          <cell r="AF939"/>
        </row>
        <row r="940">
          <cell r="C940"/>
          <cell r="D940"/>
          <cell r="E940"/>
          <cell r="F940"/>
          <cell r="G940"/>
          <cell r="H940"/>
          <cell r="I940"/>
          <cell r="J940"/>
          <cell r="K940"/>
          <cell r="L940"/>
          <cell r="M940"/>
          <cell r="N940"/>
          <cell r="O940"/>
          <cell r="P940"/>
          <cell r="Q940"/>
          <cell r="R940"/>
          <cell r="S940"/>
          <cell r="T940"/>
          <cell r="U940"/>
          <cell r="V940"/>
          <cell r="W940"/>
          <cell r="X940"/>
          <cell r="Y940"/>
          <cell r="Z940"/>
          <cell r="AA940"/>
          <cell r="AB940"/>
          <cell r="AC940"/>
          <cell r="AD940"/>
          <cell r="AE940"/>
          <cell r="AF940"/>
        </row>
        <row r="941">
          <cell r="C941"/>
          <cell r="D941"/>
          <cell r="E941"/>
          <cell r="F941"/>
          <cell r="G941"/>
          <cell r="H941"/>
          <cell r="I941"/>
          <cell r="J941"/>
          <cell r="K941"/>
          <cell r="L941"/>
          <cell r="M941"/>
          <cell r="N941"/>
          <cell r="O941"/>
          <cell r="P941"/>
          <cell r="Q941"/>
          <cell r="R941"/>
          <cell r="S941"/>
          <cell r="T941"/>
          <cell r="U941"/>
          <cell r="V941"/>
          <cell r="W941"/>
          <cell r="X941"/>
          <cell r="Y941"/>
          <cell r="Z941"/>
          <cell r="AA941"/>
          <cell r="AB941"/>
          <cell r="AC941"/>
          <cell r="AD941"/>
          <cell r="AE941"/>
          <cell r="AF941"/>
        </row>
        <row r="942">
          <cell r="C942"/>
          <cell r="D942"/>
          <cell r="E942"/>
          <cell r="F942"/>
          <cell r="G942"/>
          <cell r="H942"/>
          <cell r="I942"/>
          <cell r="J942"/>
          <cell r="K942"/>
          <cell r="L942"/>
          <cell r="M942"/>
          <cell r="N942"/>
          <cell r="O942"/>
          <cell r="P942"/>
          <cell r="Q942"/>
          <cell r="R942"/>
          <cell r="S942"/>
          <cell r="T942"/>
          <cell r="U942"/>
          <cell r="V942"/>
          <cell r="W942"/>
          <cell r="X942"/>
          <cell r="Y942"/>
          <cell r="Z942"/>
          <cell r="AA942"/>
          <cell r="AB942"/>
          <cell r="AC942"/>
          <cell r="AD942"/>
          <cell r="AE942"/>
          <cell r="AF942"/>
        </row>
        <row r="943">
          <cell r="C943"/>
          <cell r="D943"/>
          <cell r="E943"/>
          <cell r="F943"/>
          <cell r="G943"/>
          <cell r="H943"/>
          <cell r="I943"/>
          <cell r="J943"/>
          <cell r="K943"/>
          <cell r="L943"/>
          <cell r="M943"/>
          <cell r="N943"/>
          <cell r="O943"/>
          <cell r="P943"/>
          <cell r="Q943"/>
          <cell r="R943"/>
          <cell r="S943"/>
          <cell r="T943"/>
          <cell r="U943"/>
          <cell r="V943"/>
          <cell r="W943"/>
          <cell r="X943"/>
          <cell r="Y943"/>
          <cell r="Z943"/>
          <cell r="AA943"/>
          <cell r="AB943"/>
          <cell r="AC943"/>
          <cell r="AD943"/>
          <cell r="AE943"/>
          <cell r="AF943"/>
        </row>
        <row r="944">
          <cell r="C944"/>
          <cell r="D944"/>
          <cell r="E944"/>
          <cell r="F944"/>
          <cell r="G944"/>
          <cell r="H944"/>
          <cell r="I944"/>
          <cell r="J944"/>
          <cell r="K944"/>
          <cell r="L944"/>
          <cell r="M944"/>
          <cell r="N944"/>
          <cell r="O944"/>
          <cell r="P944"/>
          <cell r="Q944"/>
          <cell r="R944"/>
          <cell r="S944"/>
          <cell r="T944"/>
          <cell r="U944"/>
          <cell r="V944"/>
          <cell r="W944"/>
          <cell r="X944"/>
          <cell r="Y944"/>
          <cell r="Z944"/>
          <cell r="AA944"/>
          <cell r="AB944"/>
          <cell r="AC944"/>
          <cell r="AD944"/>
          <cell r="AE944"/>
          <cell r="AF944"/>
        </row>
        <row r="945">
          <cell r="C945"/>
          <cell r="D945"/>
          <cell r="E945"/>
          <cell r="F945"/>
          <cell r="G945"/>
          <cell r="H945"/>
          <cell r="I945"/>
          <cell r="J945"/>
          <cell r="K945"/>
          <cell r="L945"/>
          <cell r="M945"/>
          <cell r="N945"/>
          <cell r="O945"/>
          <cell r="P945"/>
          <cell r="Q945"/>
          <cell r="R945"/>
          <cell r="S945"/>
          <cell r="T945"/>
          <cell r="U945"/>
          <cell r="V945"/>
          <cell r="W945"/>
          <cell r="X945"/>
          <cell r="Y945"/>
          <cell r="Z945"/>
          <cell r="AA945"/>
          <cell r="AB945"/>
          <cell r="AC945"/>
          <cell r="AD945"/>
          <cell r="AE945"/>
          <cell r="AF945"/>
        </row>
        <row r="946">
          <cell r="C946"/>
          <cell r="D946"/>
          <cell r="E946"/>
          <cell r="F946"/>
          <cell r="G946"/>
          <cell r="H946"/>
          <cell r="I946"/>
          <cell r="J946"/>
          <cell r="K946"/>
          <cell r="L946"/>
          <cell r="M946"/>
          <cell r="N946"/>
          <cell r="O946"/>
          <cell r="P946"/>
          <cell r="Q946"/>
          <cell r="R946"/>
          <cell r="S946"/>
          <cell r="T946"/>
          <cell r="U946"/>
          <cell r="V946"/>
          <cell r="W946"/>
          <cell r="X946"/>
          <cell r="Y946"/>
          <cell r="Z946"/>
          <cell r="AA946"/>
          <cell r="AB946"/>
          <cell r="AC946"/>
          <cell r="AD946"/>
          <cell r="AE946"/>
          <cell r="AF946"/>
        </row>
        <row r="947">
          <cell r="C947"/>
          <cell r="D947"/>
          <cell r="E947"/>
          <cell r="F947"/>
          <cell r="G947"/>
          <cell r="H947"/>
          <cell r="I947"/>
          <cell r="J947"/>
          <cell r="K947"/>
          <cell r="L947"/>
          <cell r="M947"/>
          <cell r="N947"/>
          <cell r="O947"/>
          <cell r="P947"/>
          <cell r="Q947"/>
          <cell r="R947"/>
          <cell r="S947"/>
          <cell r="T947"/>
          <cell r="U947"/>
          <cell r="V947"/>
          <cell r="W947"/>
          <cell r="X947"/>
          <cell r="Y947"/>
          <cell r="Z947"/>
          <cell r="AA947"/>
          <cell r="AB947"/>
          <cell r="AC947"/>
          <cell r="AD947"/>
          <cell r="AE947"/>
          <cell r="AF947"/>
        </row>
        <row r="948">
          <cell r="C948"/>
          <cell r="D948"/>
          <cell r="E948"/>
          <cell r="F948"/>
          <cell r="G948"/>
          <cell r="H948"/>
          <cell r="I948"/>
          <cell r="J948"/>
          <cell r="K948"/>
          <cell r="L948"/>
          <cell r="M948"/>
          <cell r="N948"/>
          <cell r="O948"/>
          <cell r="P948"/>
          <cell r="Q948"/>
          <cell r="R948"/>
          <cell r="S948"/>
          <cell r="T948"/>
          <cell r="U948"/>
          <cell r="V948"/>
          <cell r="W948"/>
          <cell r="X948"/>
          <cell r="Y948"/>
          <cell r="Z948"/>
          <cell r="AA948"/>
          <cell r="AB948"/>
          <cell r="AC948"/>
          <cell r="AD948"/>
          <cell r="AE948"/>
          <cell r="AF948"/>
        </row>
        <row r="949">
          <cell r="C949"/>
          <cell r="D949"/>
          <cell r="E949"/>
          <cell r="F949"/>
          <cell r="G949"/>
          <cell r="H949"/>
          <cell r="I949"/>
          <cell r="J949"/>
          <cell r="K949"/>
          <cell r="L949"/>
          <cell r="M949"/>
          <cell r="N949"/>
          <cell r="O949"/>
          <cell r="P949"/>
          <cell r="Q949"/>
          <cell r="R949"/>
          <cell r="S949"/>
          <cell r="T949"/>
          <cell r="U949"/>
          <cell r="V949"/>
          <cell r="W949"/>
          <cell r="X949"/>
          <cell r="Y949"/>
          <cell r="Z949"/>
          <cell r="AA949"/>
          <cell r="AB949"/>
          <cell r="AC949"/>
          <cell r="AD949"/>
          <cell r="AE949"/>
          <cell r="AF949"/>
        </row>
        <row r="950">
          <cell r="C950"/>
          <cell r="D950"/>
          <cell r="E950"/>
          <cell r="F950"/>
          <cell r="G950"/>
          <cell r="H950"/>
          <cell r="I950"/>
          <cell r="J950"/>
          <cell r="K950"/>
          <cell r="L950"/>
          <cell r="M950"/>
          <cell r="N950"/>
          <cell r="O950"/>
          <cell r="P950"/>
          <cell r="Q950"/>
          <cell r="R950"/>
          <cell r="S950"/>
          <cell r="T950"/>
          <cell r="U950"/>
          <cell r="V950"/>
          <cell r="W950"/>
          <cell r="X950"/>
          <cell r="Y950"/>
          <cell r="Z950"/>
          <cell r="AA950"/>
          <cell r="AB950"/>
          <cell r="AC950"/>
          <cell r="AD950"/>
          <cell r="AE950"/>
          <cell r="AF950"/>
        </row>
        <row r="951">
          <cell r="C951"/>
          <cell r="D951"/>
          <cell r="E951"/>
          <cell r="F951"/>
          <cell r="G951"/>
          <cell r="H951"/>
          <cell r="I951"/>
          <cell r="J951"/>
          <cell r="K951"/>
          <cell r="L951"/>
          <cell r="M951"/>
          <cell r="N951"/>
          <cell r="O951"/>
          <cell r="P951"/>
          <cell r="Q951"/>
          <cell r="R951"/>
          <cell r="S951"/>
          <cell r="T951"/>
          <cell r="U951"/>
          <cell r="V951"/>
          <cell r="W951"/>
          <cell r="X951"/>
          <cell r="Y951"/>
          <cell r="Z951"/>
          <cell r="AA951"/>
          <cell r="AB951"/>
          <cell r="AC951"/>
          <cell r="AD951"/>
          <cell r="AE951"/>
          <cell r="AF951"/>
        </row>
        <row r="952">
          <cell r="C952"/>
          <cell r="D952"/>
          <cell r="E952"/>
          <cell r="F952"/>
          <cell r="G952"/>
          <cell r="H952"/>
          <cell r="I952"/>
          <cell r="J952"/>
          <cell r="K952"/>
          <cell r="L952"/>
          <cell r="M952"/>
          <cell r="N952"/>
          <cell r="O952"/>
          <cell r="P952"/>
          <cell r="Q952"/>
          <cell r="R952"/>
          <cell r="S952"/>
          <cell r="T952"/>
          <cell r="U952"/>
          <cell r="V952"/>
          <cell r="W952"/>
          <cell r="X952"/>
          <cell r="Y952"/>
          <cell r="Z952"/>
          <cell r="AA952"/>
          <cell r="AB952"/>
          <cell r="AC952"/>
          <cell r="AD952"/>
          <cell r="AE952"/>
          <cell r="AF952"/>
        </row>
        <row r="953">
          <cell r="C953"/>
          <cell r="D953"/>
          <cell r="E953"/>
          <cell r="F953"/>
          <cell r="G953"/>
          <cell r="H953"/>
          <cell r="I953"/>
          <cell r="J953"/>
          <cell r="K953"/>
          <cell r="L953"/>
          <cell r="M953"/>
          <cell r="N953"/>
          <cell r="O953"/>
          <cell r="P953"/>
          <cell r="Q953"/>
          <cell r="R953"/>
          <cell r="S953"/>
          <cell r="T953"/>
          <cell r="U953"/>
          <cell r="V953"/>
          <cell r="W953"/>
          <cell r="X953"/>
          <cell r="Y953"/>
          <cell r="Z953"/>
          <cell r="AA953"/>
          <cell r="AB953"/>
          <cell r="AC953"/>
          <cell r="AD953"/>
          <cell r="AE953"/>
          <cell r="AF953"/>
        </row>
        <row r="954">
          <cell r="C954"/>
          <cell r="D954"/>
          <cell r="E954"/>
          <cell r="F954"/>
          <cell r="G954"/>
          <cell r="H954"/>
          <cell r="I954"/>
          <cell r="J954"/>
          <cell r="K954"/>
          <cell r="L954"/>
          <cell r="M954"/>
          <cell r="N954"/>
          <cell r="O954"/>
          <cell r="P954"/>
          <cell r="Q954"/>
          <cell r="R954"/>
          <cell r="S954"/>
          <cell r="T954"/>
          <cell r="U954"/>
          <cell r="V954"/>
          <cell r="W954"/>
          <cell r="X954"/>
          <cell r="Y954"/>
          <cell r="Z954"/>
          <cell r="AA954"/>
          <cell r="AB954"/>
          <cell r="AC954"/>
          <cell r="AD954"/>
          <cell r="AE954"/>
          <cell r="AF954"/>
        </row>
        <row r="955">
          <cell r="C955"/>
          <cell r="D955"/>
          <cell r="E955"/>
          <cell r="F955"/>
          <cell r="G955"/>
          <cell r="H955"/>
          <cell r="I955"/>
          <cell r="J955"/>
          <cell r="K955"/>
          <cell r="L955"/>
          <cell r="M955"/>
          <cell r="N955"/>
          <cell r="O955"/>
          <cell r="P955"/>
          <cell r="Q955"/>
          <cell r="R955"/>
          <cell r="S955"/>
          <cell r="T955"/>
          <cell r="U955"/>
          <cell r="V955"/>
          <cell r="W955"/>
          <cell r="X955"/>
          <cell r="Y955"/>
          <cell r="Z955"/>
          <cell r="AA955"/>
          <cell r="AB955"/>
          <cell r="AC955"/>
          <cell r="AD955"/>
          <cell r="AE955"/>
          <cell r="AF955"/>
        </row>
        <row r="956">
          <cell r="C956"/>
          <cell r="D956"/>
          <cell r="E956"/>
          <cell r="F956"/>
          <cell r="G956"/>
          <cell r="H956"/>
          <cell r="I956"/>
          <cell r="J956"/>
          <cell r="K956"/>
          <cell r="L956"/>
          <cell r="M956"/>
          <cell r="N956"/>
          <cell r="O956"/>
          <cell r="P956"/>
          <cell r="Q956"/>
          <cell r="R956"/>
          <cell r="S956"/>
          <cell r="T956"/>
          <cell r="U956"/>
          <cell r="V956"/>
          <cell r="W956"/>
          <cell r="X956"/>
          <cell r="Y956"/>
          <cell r="Z956"/>
          <cell r="AA956"/>
          <cell r="AB956"/>
          <cell r="AC956"/>
          <cell r="AD956"/>
          <cell r="AE956"/>
          <cell r="AF956"/>
        </row>
        <row r="957"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  <cell r="M957"/>
          <cell r="N957"/>
          <cell r="O957"/>
          <cell r="P957"/>
          <cell r="Q957"/>
          <cell r="R957"/>
          <cell r="S957"/>
          <cell r="T957"/>
          <cell r="U957"/>
          <cell r="V957"/>
          <cell r="W957"/>
          <cell r="X957"/>
          <cell r="Y957"/>
          <cell r="Z957"/>
          <cell r="AA957"/>
          <cell r="AB957"/>
          <cell r="AC957"/>
          <cell r="AD957"/>
          <cell r="AE957"/>
          <cell r="AF957"/>
        </row>
        <row r="958">
          <cell r="C958"/>
          <cell r="D958"/>
          <cell r="E958"/>
          <cell r="F958"/>
          <cell r="G958"/>
          <cell r="H958"/>
          <cell r="I958"/>
          <cell r="J958"/>
          <cell r="K958"/>
          <cell r="L958"/>
          <cell r="M958"/>
          <cell r="N958"/>
          <cell r="O958"/>
          <cell r="P958"/>
          <cell r="Q958"/>
          <cell r="R958"/>
          <cell r="S958"/>
          <cell r="T958"/>
          <cell r="U958"/>
          <cell r="V958"/>
          <cell r="W958"/>
          <cell r="X958"/>
          <cell r="Y958"/>
          <cell r="Z958"/>
          <cell r="AA958"/>
          <cell r="AB958"/>
          <cell r="AC958"/>
          <cell r="AD958"/>
          <cell r="AE958"/>
          <cell r="AF958"/>
        </row>
        <row r="959">
          <cell r="C959"/>
          <cell r="D959"/>
          <cell r="E959"/>
          <cell r="F959"/>
          <cell r="G959"/>
          <cell r="H959"/>
          <cell r="I959"/>
          <cell r="J959"/>
          <cell r="K959"/>
          <cell r="L959"/>
          <cell r="M959"/>
          <cell r="N959"/>
          <cell r="O959"/>
          <cell r="P959"/>
          <cell r="Q959"/>
          <cell r="R959"/>
          <cell r="S959"/>
          <cell r="T959"/>
          <cell r="U959"/>
          <cell r="V959"/>
          <cell r="W959"/>
          <cell r="X959"/>
          <cell r="Y959"/>
          <cell r="Z959"/>
          <cell r="AA959"/>
          <cell r="AB959"/>
          <cell r="AC959"/>
          <cell r="AD959"/>
          <cell r="AE959"/>
          <cell r="AF959"/>
        </row>
        <row r="960">
          <cell r="C960"/>
          <cell r="D960"/>
          <cell r="E960"/>
          <cell r="F960"/>
          <cell r="G960"/>
          <cell r="H960"/>
          <cell r="I960"/>
          <cell r="J960"/>
          <cell r="K960"/>
          <cell r="L960"/>
          <cell r="M960"/>
          <cell r="N960"/>
          <cell r="O960"/>
          <cell r="P960"/>
          <cell r="Q960"/>
          <cell r="R960"/>
          <cell r="S960"/>
          <cell r="T960"/>
          <cell r="U960"/>
          <cell r="V960"/>
          <cell r="W960"/>
          <cell r="X960"/>
          <cell r="Y960"/>
          <cell r="Z960"/>
          <cell r="AA960"/>
          <cell r="AB960"/>
          <cell r="AC960"/>
          <cell r="AD960"/>
          <cell r="AE960"/>
          <cell r="AF960"/>
        </row>
        <row r="961">
          <cell r="C961"/>
          <cell r="D961"/>
          <cell r="E961"/>
          <cell r="F961"/>
          <cell r="G961"/>
          <cell r="H961"/>
          <cell r="I961"/>
          <cell r="J961"/>
          <cell r="K961"/>
          <cell r="L961"/>
          <cell r="M961"/>
          <cell r="N961"/>
          <cell r="O961"/>
          <cell r="P961"/>
          <cell r="Q961"/>
          <cell r="R961"/>
          <cell r="S961"/>
          <cell r="T961"/>
          <cell r="U961"/>
          <cell r="V961"/>
          <cell r="W961"/>
          <cell r="X961"/>
          <cell r="Y961"/>
          <cell r="Z961"/>
          <cell r="AA961"/>
          <cell r="AB961"/>
          <cell r="AC961"/>
          <cell r="AD961"/>
          <cell r="AE961"/>
          <cell r="AF961"/>
        </row>
        <row r="962">
          <cell r="C962"/>
          <cell r="D962"/>
          <cell r="E962"/>
          <cell r="F962"/>
          <cell r="G962"/>
          <cell r="H962"/>
          <cell r="I962"/>
          <cell r="J962"/>
          <cell r="K962"/>
          <cell r="L962"/>
          <cell r="M962"/>
          <cell r="N962"/>
          <cell r="O962"/>
          <cell r="P962"/>
          <cell r="Q962"/>
          <cell r="R962"/>
          <cell r="S962"/>
          <cell r="T962"/>
          <cell r="U962"/>
          <cell r="V962"/>
          <cell r="W962"/>
          <cell r="X962"/>
          <cell r="Y962"/>
          <cell r="Z962"/>
          <cell r="AA962"/>
          <cell r="AB962"/>
          <cell r="AC962"/>
          <cell r="AD962"/>
          <cell r="AE962"/>
          <cell r="AF962"/>
        </row>
        <row r="963">
          <cell r="C963"/>
          <cell r="D963"/>
          <cell r="E963"/>
          <cell r="F963"/>
          <cell r="G963"/>
          <cell r="H963"/>
          <cell r="I963"/>
          <cell r="J963"/>
          <cell r="K963"/>
          <cell r="L963"/>
          <cell r="M963"/>
          <cell r="N963"/>
          <cell r="O963"/>
          <cell r="P963"/>
          <cell r="Q963"/>
          <cell r="R963"/>
          <cell r="S963"/>
          <cell r="T963"/>
          <cell r="U963"/>
          <cell r="V963"/>
          <cell r="W963"/>
          <cell r="X963"/>
          <cell r="Y963"/>
          <cell r="Z963"/>
          <cell r="AA963"/>
          <cell r="AB963"/>
          <cell r="AC963"/>
          <cell r="AD963"/>
          <cell r="AE963"/>
          <cell r="AF963"/>
        </row>
        <row r="964">
          <cell r="C964"/>
          <cell r="D964"/>
          <cell r="E964"/>
          <cell r="F964"/>
          <cell r="G964"/>
          <cell r="H964"/>
          <cell r="I964"/>
          <cell r="J964"/>
          <cell r="K964"/>
          <cell r="L964"/>
          <cell r="M964"/>
          <cell r="N964"/>
          <cell r="O964"/>
          <cell r="P964"/>
          <cell r="Q964"/>
          <cell r="R964"/>
          <cell r="S964"/>
          <cell r="T964"/>
          <cell r="U964"/>
          <cell r="V964"/>
          <cell r="W964"/>
          <cell r="X964"/>
          <cell r="Y964"/>
          <cell r="Z964"/>
          <cell r="AA964"/>
          <cell r="AB964"/>
          <cell r="AC964"/>
          <cell r="AD964"/>
          <cell r="AE964"/>
          <cell r="AF964"/>
        </row>
        <row r="965">
          <cell r="C965"/>
          <cell r="D965"/>
          <cell r="E965"/>
          <cell r="F965"/>
          <cell r="G965"/>
          <cell r="H965"/>
          <cell r="I965"/>
          <cell r="J965"/>
          <cell r="K965"/>
          <cell r="L965"/>
          <cell r="M965"/>
          <cell r="N965"/>
          <cell r="O965"/>
          <cell r="P965"/>
          <cell r="Q965"/>
          <cell r="R965"/>
          <cell r="S965"/>
          <cell r="T965"/>
          <cell r="U965"/>
          <cell r="V965"/>
          <cell r="W965"/>
          <cell r="X965"/>
          <cell r="Y965"/>
          <cell r="Z965"/>
          <cell r="AA965"/>
          <cell r="AB965"/>
          <cell r="AC965"/>
          <cell r="AD965"/>
          <cell r="AE965"/>
          <cell r="AF965"/>
        </row>
        <row r="966">
          <cell r="C966"/>
          <cell r="D966"/>
          <cell r="E966"/>
          <cell r="F966"/>
          <cell r="G966"/>
          <cell r="H966"/>
          <cell r="I966"/>
          <cell r="J966"/>
          <cell r="K966"/>
          <cell r="L966"/>
          <cell r="M966"/>
          <cell r="N966"/>
          <cell r="O966"/>
          <cell r="P966"/>
          <cell r="Q966"/>
          <cell r="R966"/>
          <cell r="S966"/>
          <cell r="T966"/>
          <cell r="U966"/>
          <cell r="V966"/>
          <cell r="W966"/>
          <cell r="X966"/>
          <cell r="Y966"/>
          <cell r="Z966"/>
          <cell r="AA966"/>
          <cell r="AB966"/>
          <cell r="AC966"/>
          <cell r="AD966"/>
          <cell r="AE966"/>
          <cell r="AF966"/>
        </row>
        <row r="967">
          <cell r="C967"/>
          <cell r="D967"/>
          <cell r="E967"/>
          <cell r="F967"/>
          <cell r="G967"/>
          <cell r="H967"/>
          <cell r="I967"/>
          <cell r="J967"/>
          <cell r="K967"/>
          <cell r="L967"/>
          <cell r="M967"/>
          <cell r="N967"/>
          <cell r="O967"/>
          <cell r="P967"/>
          <cell r="Q967"/>
          <cell r="R967"/>
          <cell r="S967"/>
          <cell r="T967"/>
          <cell r="U967"/>
          <cell r="V967"/>
          <cell r="W967"/>
          <cell r="X967"/>
          <cell r="Y967"/>
          <cell r="Z967"/>
          <cell r="AA967"/>
          <cell r="AB967"/>
          <cell r="AC967"/>
          <cell r="AD967"/>
          <cell r="AE967"/>
          <cell r="AF967"/>
        </row>
        <row r="968">
          <cell r="C968"/>
          <cell r="D968"/>
          <cell r="E968"/>
          <cell r="F968"/>
          <cell r="G968"/>
          <cell r="H968"/>
          <cell r="I968"/>
          <cell r="J968"/>
          <cell r="K968"/>
          <cell r="L968"/>
          <cell r="M968"/>
          <cell r="N968"/>
          <cell r="O968"/>
          <cell r="P968"/>
          <cell r="Q968"/>
          <cell r="R968"/>
          <cell r="S968"/>
          <cell r="T968"/>
          <cell r="U968"/>
          <cell r="V968"/>
          <cell r="W968"/>
          <cell r="X968"/>
          <cell r="Y968"/>
          <cell r="Z968"/>
          <cell r="AA968"/>
          <cell r="AB968"/>
          <cell r="AC968"/>
          <cell r="AD968"/>
          <cell r="AE968"/>
          <cell r="AF968"/>
        </row>
        <row r="969">
          <cell r="C969"/>
          <cell r="D969"/>
          <cell r="E969"/>
          <cell r="F969"/>
          <cell r="G969"/>
          <cell r="H969"/>
          <cell r="I969"/>
          <cell r="J969"/>
          <cell r="K969"/>
          <cell r="L969"/>
          <cell r="M969"/>
          <cell r="N969"/>
          <cell r="O969"/>
          <cell r="P969"/>
          <cell r="Q969"/>
          <cell r="R969"/>
          <cell r="S969"/>
          <cell r="T969"/>
          <cell r="U969"/>
          <cell r="V969"/>
          <cell r="W969"/>
          <cell r="X969"/>
          <cell r="Y969"/>
          <cell r="Z969"/>
          <cell r="AA969"/>
          <cell r="AB969"/>
          <cell r="AC969"/>
          <cell r="AD969"/>
          <cell r="AE969"/>
          <cell r="AF969"/>
        </row>
        <row r="970">
          <cell r="C970"/>
          <cell r="D970"/>
          <cell r="E970"/>
          <cell r="F970"/>
          <cell r="G970"/>
          <cell r="H970"/>
          <cell r="I970"/>
          <cell r="J970"/>
          <cell r="K970"/>
          <cell r="L970"/>
          <cell r="M970"/>
          <cell r="N970"/>
          <cell r="O970"/>
          <cell r="P970"/>
          <cell r="Q970"/>
          <cell r="R970"/>
          <cell r="S970"/>
          <cell r="T970"/>
          <cell r="U970"/>
          <cell r="V970"/>
          <cell r="W970"/>
          <cell r="X970"/>
          <cell r="Y970"/>
          <cell r="Z970"/>
          <cell r="AA970"/>
          <cell r="AB970"/>
          <cell r="AC970"/>
          <cell r="AD970"/>
          <cell r="AE970"/>
          <cell r="AF970"/>
        </row>
        <row r="971">
          <cell r="C971"/>
          <cell r="D971"/>
          <cell r="E971"/>
          <cell r="F971"/>
          <cell r="G971"/>
          <cell r="H971"/>
          <cell r="I971"/>
          <cell r="J971"/>
          <cell r="K971"/>
          <cell r="L971"/>
          <cell r="M971"/>
          <cell r="N971"/>
          <cell r="O971"/>
          <cell r="P971"/>
          <cell r="Q971"/>
          <cell r="R971"/>
          <cell r="S971"/>
          <cell r="T971"/>
          <cell r="U971"/>
          <cell r="V971"/>
          <cell r="W971"/>
          <cell r="X971"/>
          <cell r="Y971"/>
          <cell r="Z971"/>
          <cell r="AA971"/>
          <cell r="AB971"/>
          <cell r="AC971"/>
          <cell r="AD971"/>
          <cell r="AE971"/>
          <cell r="AF971"/>
        </row>
        <row r="972">
          <cell r="C972"/>
          <cell r="D972"/>
          <cell r="E972"/>
          <cell r="F972"/>
          <cell r="G972"/>
          <cell r="H972"/>
          <cell r="I972"/>
          <cell r="J972"/>
          <cell r="K972"/>
          <cell r="L972"/>
          <cell r="M972"/>
          <cell r="N972"/>
          <cell r="O972"/>
          <cell r="P972"/>
          <cell r="Q972"/>
          <cell r="R972"/>
          <cell r="S972"/>
          <cell r="T972"/>
          <cell r="U972"/>
          <cell r="V972"/>
          <cell r="W972"/>
          <cell r="X972"/>
          <cell r="Y972"/>
          <cell r="Z972"/>
          <cell r="AA972"/>
          <cell r="AB972"/>
          <cell r="AC972"/>
          <cell r="AD972"/>
          <cell r="AE972"/>
          <cell r="AF972"/>
        </row>
        <row r="973">
          <cell r="C973"/>
          <cell r="D973"/>
          <cell r="E973"/>
          <cell r="F973"/>
          <cell r="G973"/>
          <cell r="H973"/>
          <cell r="I973"/>
          <cell r="J973"/>
          <cell r="K973"/>
          <cell r="L973"/>
          <cell r="M973"/>
          <cell r="N973"/>
          <cell r="O973"/>
          <cell r="P973"/>
          <cell r="Q973"/>
          <cell r="R973"/>
          <cell r="S973"/>
          <cell r="T973"/>
          <cell r="U973"/>
          <cell r="V973"/>
          <cell r="W973"/>
          <cell r="X973"/>
          <cell r="Y973"/>
          <cell r="Z973"/>
          <cell r="AA973"/>
          <cell r="AB973"/>
          <cell r="AC973"/>
          <cell r="AD973"/>
          <cell r="AE973"/>
          <cell r="AF973"/>
        </row>
        <row r="974">
          <cell r="C974"/>
          <cell r="D974"/>
          <cell r="E974"/>
          <cell r="F974"/>
          <cell r="G974"/>
          <cell r="H974"/>
          <cell r="I974"/>
          <cell r="J974"/>
          <cell r="K974"/>
          <cell r="L974"/>
          <cell r="M974"/>
          <cell r="N974"/>
          <cell r="O974"/>
          <cell r="P974"/>
          <cell r="Q974"/>
          <cell r="R974"/>
          <cell r="S974"/>
          <cell r="T974"/>
          <cell r="U974"/>
          <cell r="V974"/>
          <cell r="W974"/>
          <cell r="X974"/>
          <cell r="Y974"/>
          <cell r="Z974"/>
          <cell r="AA974"/>
          <cell r="AB974"/>
          <cell r="AC974"/>
          <cell r="AD974"/>
          <cell r="AE974"/>
          <cell r="AF974"/>
        </row>
        <row r="975">
          <cell r="C975"/>
          <cell r="D975"/>
          <cell r="E975"/>
          <cell r="F975"/>
          <cell r="G975"/>
          <cell r="H975"/>
          <cell r="I975"/>
          <cell r="J975"/>
          <cell r="K975"/>
          <cell r="L975"/>
          <cell r="M975"/>
          <cell r="N975"/>
          <cell r="O975"/>
          <cell r="P975"/>
          <cell r="Q975"/>
          <cell r="R975"/>
          <cell r="S975"/>
          <cell r="T975"/>
          <cell r="U975"/>
          <cell r="V975"/>
          <cell r="W975"/>
          <cell r="X975"/>
          <cell r="Y975"/>
          <cell r="Z975"/>
          <cell r="AA975"/>
          <cell r="AB975"/>
          <cell r="AC975"/>
          <cell r="AD975"/>
          <cell r="AE975"/>
          <cell r="AF975"/>
        </row>
        <row r="976">
          <cell r="C976"/>
          <cell r="D976"/>
          <cell r="E976"/>
          <cell r="F976"/>
          <cell r="G976"/>
          <cell r="H976"/>
          <cell r="I976"/>
          <cell r="J976"/>
          <cell r="K976"/>
          <cell r="L976"/>
          <cell r="M976"/>
          <cell r="N976"/>
          <cell r="O976"/>
          <cell r="P976"/>
          <cell r="Q976"/>
          <cell r="R976"/>
          <cell r="S976"/>
          <cell r="T976"/>
          <cell r="U976"/>
          <cell r="V976"/>
          <cell r="W976"/>
          <cell r="X976"/>
          <cell r="Y976"/>
          <cell r="Z976"/>
          <cell r="AA976"/>
          <cell r="AB976"/>
          <cell r="AC976"/>
          <cell r="AD976"/>
          <cell r="AE976"/>
          <cell r="AF976"/>
        </row>
        <row r="977">
          <cell r="C977"/>
          <cell r="D977"/>
          <cell r="E977"/>
          <cell r="F977"/>
          <cell r="G977"/>
          <cell r="H977"/>
          <cell r="I977"/>
          <cell r="J977"/>
          <cell r="K977"/>
          <cell r="L977"/>
          <cell r="M977"/>
          <cell r="N977"/>
          <cell r="O977"/>
          <cell r="P977"/>
          <cell r="Q977"/>
          <cell r="R977"/>
          <cell r="S977"/>
          <cell r="T977"/>
          <cell r="U977"/>
          <cell r="V977"/>
          <cell r="W977"/>
          <cell r="X977"/>
          <cell r="Y977"/>
          <cell r="Z977"/>
          <cell r="AA977"/>
          <cell r="AB977"/>
          <cell r="AC977"/>
          <cell r="AD977"/>
          <cell r="AE977"/>
          <cell r="AF977"/>
        </row>
        <row r="978">
          <cell r="C978"/>
          <cell r="D978"/>
          <cell r="E978"/>
          <cell r="F978"/>
          <cell r="G978"/>
          <cell r="H978"/>
          <cell r="I978"/>
          <cell r="J978"/>
          <cell r="K978"/>
          <cell r="L978"/>
          <cell r="M978"/>
          <cell r="N978"/>
          <cell r="O978"/>
          <cell r="P978"/>
          <cell r="Q978"/>
          <cell r="R978"/>
          <cell r="S978"/>
          <cell r="T978"/>
          <cell r="U978"/>
          <cell r="V978"/>
          <cell r="W978"/>
          <cell r="X978"/>
          <cell r="Y978"/>
          <cell r="Z978"/>
          <cell r="AA978"/>
          <cell r="AB978"/>
          <cell r="AC978"/>
          <cell r="AD978"/>
          <cell r="AE978"/>
          <cell r="AF978"/>
        </row>
        <row r="979">
          <cell r="C979"/>
          <cell r="D979"/>
          <cell r="E979"/>
          <cell r="F979"/>
          <cell r="G979"/>
          <cell r="H979"/>
          <cell r="I979"/>
          <cell r="J979"/>
          <cell r="K979"/>
          <cell r="L979"/>
          <cell r="M979"/>
          <cell r="N979"/>
          <cell r="O979"/>
          <cell r="P979"/>
          <cell r="Q979"/>
          <cell r="R979"/>
          <cell r="S979"/>
          <cell r="T979"/>
          <cell r="U979"/>
          <cell r="V979"/>
          <cell r="W979"/>
          <cell r="X979"/>
          <cell r="Y979"/>
          <cell r="Z979"/>
          <cell r="AA979"/>
          <cell r="AB979"/>
          <cell r="AC979"/>
          <cell r="AD979"/>
          <cell r="AE979"/>
          <cell r="AF979"/>
        </row>
        <row r="980">
          <cell r="C980"/>
          <cell r="D980"/>
          <cell r="E980"/>
          <cell r="F980"/>
          <cell r="G980"/>
          <cell r="H980"/>
          <cell r="I980"/>
          <cell r="J980"/>
          <cell r="K980"/>
          <cell r="L980"/>
          <cell r="M980"/>
          <cell r="N980"/>
          <cell r="O980"/>
          <cell r="P980"/>
          <cell r="Q980"/>
          <cell r="R980"/>
          <cell r="S980"/>
          <cell r="T980"/>
          <cell r="U980"/>
          <cell r="V980"/>
          <cell r="W980"/>
          <cell r="X980"/>
          <cell r="Y980"/>
          <cell r="Z980"/>
          <cell r="AA980"/>
          <cell r="AB980"/>
          <cell r="AC980"/>
          <cell r="AD980"/>
          <cell r="AE980"/>
          <cell r="AF980"/>
        </row>
        <row r="981">
          <cell r="C981"/>
          <cell r="D981"/>
          <cell r="E981"/>
          <cell r="F981"/>
          <cell r="G981"/>
          <cell r="H981"/>
          <cell r="I981"/>
          <cell r="J981"/>
          <cell r="K981"/>
          <cell r="L981"/>
          <cell r="M981"/>
          <cell r="N981"/>
          <cell r="O981"/>
          <cell r="P981"/>
          <cell r="Q981"/>
          <cell r="R981"/>
          <cell r="S981"/>
          <cell r="T981"/>
          <cell r="U981"/>
          <cell r="V981"/>
          <cell r="W981"/>
          <cell r="X981"/>
          <cell r="Y981"/>
          <cell r="Z981"/>
          <cell r="AA981"/>
          <cell r="AB981"/>
          <cell r="AC981"/>
          <cell r="AD981"/>
          <cell r="AE981"/>
          <cell r="AF981"/>
        </row>
        <row r="982">
          <cell r="C982"/>
          <cell r="D982"/>
          <cell r="E982"/>
          <cell r="F982"/>
          <cell r="G982"/>
          <cell r="H982"/>
          <cell r="I982"/>
          <cell r="J982"/>
          <cell r="K982"/>
          <cell r="L982"/>
          <cell r="M982"/>
          <cell r="N982"/>
          <cell r="O982"/>
          <cell r="P982"/>
          <cell r="Q982"/>
          <cell r="R982"/>
          <cell r="S982"/>
          <cell r="T982"/>
          <cell r="U982"/>
          <cell r="V982"/>
          <cell r="W982"/>
          <cell r="X982"/>
          <cell r="Y982"/>
          <cell r="Z982"/>
          <cell r="AA982"/>
          <cell r="AB982"/>
          <cell r="AC982"/>
          <cell r="AD982"/>
          <cell r="AE982"/>
          <cell r="AF982"/>
        </row>
        <row r="983">
          <cell r="C983"/>
          <cell r="D983"/>
          <cell r="E983"/>
          <cell r="F983"/>
          <cell r="G983"/>
          <cell r="H983"/>
          <cell r="I983"/>
          <cell r="J983"/>
          <cell r="K983"/>
          <cell r="L983"/>
          <cell r="M983"/>
          <cell r="N983"/>
          <cell r="O983"/>
          <cell r="P983"/>
          <cell r="Q983"/>
          <cell r="R983"/>
          <cell r="S983"/>
          <cell r="T983"/>
          <cell r="U983"/>
          <cell r="V983"/>
          <cell r="W983"/>
          <cell r="X983"/>
          <cell r="Y983"/>
          <cell r="Z983"/>
          <cell r="AA983"/>
          <cell r="AB983"/>
          <cell r="AC983"/>
          <cell r="AD983"/>
          <cell r="AE983"/>
          <cell r="AF983"/>
        </row>
        <row r="984">
          <cell r="C984"/>
          <cell r="D984"/>
          <cell r="E984"/>
          <cell r="F984"/>
          <cell r="G984"/>
          <cell r="H984"/>
          <cell r="I984"/>
          <cell r="J984"/>
          <cell r="K984"/>
          <cell r="L984"/>
          <cell r="M984"/>
          <cell r="N984"/>
          <cell r="O984"/>
          <cell r="P984"/>
          <cell r="Q984"/>
          <cell r="R984"/>
          <cell r="S984"/>
          <cell r="T984"/>
          <cell r="U984"/>
          <cell r="V984"/>
          <cell r="W984"/>
          <cell r="X984"/>
          <cell r="Y984"/>
          <cell r="Z984"/>
          <cell r="AA984"/>
          <cell r="AB984"/>
          <cell r="AC984"/>
          <cell r="AD984"/>
          <cell r="AE984"/>
          <cell r="AF984"/>
        </row>
        <row r="985"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  <cell r="M985"/>
          <cell r="N985"/>
          <cell r="O985"/>
          <cell r="P985"/>
          <cell r="Q985"/>
          <cell r="R985"/>
          <cell r="S985"/>
          <cell r="T985"/>
          <cell r="U985"/>
          <cell r="V985"/>
          <cell r="W985"/>
          <cell r="X985"/>
          <cell r="Y985"/>
          <cell r="Z985"/>
          <cell r="AA985"/>
          <cell r="AB985"/>
          <cell r="AC985"/>
          <cell r="AD985"/>
          <cell r="AE985"/>
          <cell r="AF985"/>
        </row>
        <row r="986">
          <cell r="C986"/>
          <cell r="D986"/>
          <cell r="E986"/>
          <cell r="F986"/>
          <cell r="G986"/>
          <cell r="H986"/>
          <cell r="I986"/>
          <cell r="J986"/>
          <cell r="K986"/>
          <cell r="L986"/>
          <cell r="M986"/>
          <cell r="N986"/>
          <cell r="O986"/>
          <cell r="P986"/>
          <cell r="Q986"/>
          <cell r="R986"/>
          <cell r="S986"/>
          <cell r="T986"/>
          <cell r="U986"/>
          <cell r="V986"/>
          <cell r="W986"/>
          <cell r="X986"/>
          <cell r="Y986"/>
          <cell r="Z986"/>
          <cell r="AA986"/>
          <cell r="AB986"/>
          <cell r="AC986"/>
          <cell r="AD986"/>
          <cell r="AE986"/>
          <cell r="AF986"/>
        </row>
        <row r="987">
          <cell r="C987"/>
          <cell r="D987"/>
          <cell r="E987"/>
          <cell r="F987"/>
          <cell r="G987"/>
          <cell r="H987"/>
          <cell r="I987"/>
          <cell r="J987"/>
          <cell r="K987"/>
          <cell r="L987"/>
          <cell r="M987"/>
          <cell r="N987"/>
          <cell r="O987"/>
          <cell r="P987"/>
          <cell r="Q987"/>
          <cell r="R987"/>
          <cell r="S987"/>
          <cell r="T987"/>
          <cell r="U987"/>
          <cell r="V987"/>
          <cell r="W987"/>
          <cell r="X987"/>
          <cell r="Y987"/>
          <cell r="Z987"/>
          <cell r="AA987"/>
          <cell r="AB987"/>
          <cell r="AC987"/>
          <cell r="AD987"/>
          <cell r="AE987"/>
          <cell r="AF987"/>
        </row>
        <row r="988">
          <cell r="C988"/>
          <cell r="D988"/>
          <cell r="E988"/>
          <cell r="F988"/>
          <cell r="G988"/>
          <cell r="H988"/>
          <cell r="I988"/>
          <cell r="J988"/>
          <cell r="K988"/>
          <cell r="L988"/>
          <cell r="M988"/>
          <cell r="N988"/>
          <cell r="O988"/>
          <cell r="P988"/>
          <cell r="Q988"/>
          <cell r="R988"/>
          <cell r="S988"/>
          <cell r="T988"/>
          <cell r="U988"/>
          <cell r="V988"/>
          <cell r="W988"/>
          <cell r="X988"/>
          <cell r="Y988"/>
          <cell r="Z988"/>
          <cell r="AA988"/>
          <cell r="AB988"/>
          <cell r="AC988"/>
          <cell r="AD988"/>
          <cell r="AE988"/>
          <cell r="AF988"/>
        </row>
        <row r="989">
          <cell r="C989"/>
          <cell r="D989"/>
          <cell r="E989"/>
          <cell r="F989"/>
          <cell r="G989"/>
          <cell r="H989"/>
          <cell r="I989"/>
          <cell r="J989"/>
          <cell r="K989"/>
          <cell r="L989"/>
          <cell r="M989"/>
          <cell r="N989"/>
          <cell r="O989"/>
          <cell r="P989"/>
          <cell r="Q989"/>
          <cell r="R989"/>
          <cell r="S989"/>
          <cell r="T989"/>
          <cell r="U989"/>
          <cell r="V989"/>
          <cell r="W989"/>
          <cell r="X989"/>
          <cell r="Y989"/>
          <cell r="Z989"/>
          <cell r="AA989"/>
          <cell r="AB989"/>
          <cell r="AC989"/>
          <cell r="AD989"/>
          <cell r="AE989"/>
          <cell r="AF989"/>
        </row>
        <row r="990">
          <cell r="C990"/>
          <cell r="D990"/>
          <cell r="E990"/>
          <cell r="F990"/>
          <cell r="G990"/>
          <cell r="H990"/>
          <cell r="I990"/>
          <cell r="J990"/>
          <cell r="K990"/>
          <cell r="L990"/>
          <cell r="M990"/>
          <cell r="N990"/>
          <cell r="O990"/>
          <cell r="P990"/>
          <cell r="Q990"/>
          <cell r="R990"/>
          <cell r="S990"/>
          <cell r="T990"/>
          <cell r="U990"/>
          <cell r="V990"/>
          <cell r="W990"/>
          <cell r="X990"/>
          <cell r="Y990"/>
          <cell r="Z990"/>
          <cell r="AA990"/>
          <cell r="AB990"/>
          <cell r="AC990"/>
          <cell r="AD990"/>
          <cell r="AE990"/>
          <cell r="AF990"/>
        </row>
        <row r="991">
          <cell r="C991"/>
          <cell r="D991"/>
          <cell r="E991"/>
          <cell r="F991"/>
          <cell r="G991"/>
          <cell r="H991"/>
          <cell r="I991"/>
          <cell r="J991"/>
          <cell r="K991"/>
          <cell r="L991"/>
          <cell r="M991"/>
          <cell r="N991"/>
          <cell r="O991"/>
          <cell r="P991"/>
          <cell r="Q991"/>
          <cell r="R991"/>
          <cell r="S991"/>
          <cell r="T991"/>
          <cell r="U991"/>
          <cell r="V991"/>
          <cell r="W991"/>
          <cell r="X991"/>
          <cell r="Y991"/>
          <cell r="Z991"/>
          <cell r="AA991"/>
          <cell r="AB991"/>
          <cell r="AC991"/>
          <cell r="AD991"/>
          <cell r="AE991"/>
          <cell r="AF991"/>
        </row>
        <row r="992">
          <cell r="C992"/>
          <cell r="D992"/>
          <cell r="E992"/>
          <cell r="F992"/>
          <cell r="G992"/>
          <cell r="H992"/>
          <cell r="I992"/>
          <cell r="J992"/>
          <cell r="K992"/>
          <cell r="L992"/>
          <cell r="M992"/>
          <cell r="N992"/>
          <cell r="O992"/>
          <cell r="P992"/>
          <cell r="Q992"/>
          <cell r="R992"/>
          <cell r="S992"/>
          <cell r="T992"/>
          <cell r="U992"/>
          <cell r="V992"/>
          <cell r="W992"/>
          <cell r="X992"/>
          <cell r="Y992"/>
          <cell r="Z992"/>
          <cell r="AA992"/>
          <cell r="AB992"/>
          <cell r="AC992"/>
          <cell r="AD992"/>
          <cell r="AE992"/>
          <cell r="AF992"/>
        </row>
        <row r="993">
          <cell r="C993"/>
          <cell r="D993"/>
          <cell r="E993"/>
          <cell r="F993"/>
          <cell r="G993"/>
          <cell r="H993"/>
          <cell r="I993"/>
          <cell r="J993"/>
          <cell r="K993"/>
          <cell r="L993"/>
          <cell r="M993"/>
          <cell r="N993"/>
          <cell r="O993"/>
          <cell r="P993"/>
          <cell r="Q993"/>
          <cell r="R993"/>
          <cell r="S993"/>
          <cell r="T993"/>
          <cell r="U993"/>
          <cell r="V993"/>
          <cell r="W993"/>
          <cell r="X993"/>
          <cell r="Y993"/>
          <cell r="Z993"/>
          <cell r="AA993"/>
          <cell r="AB993"/>
          <cell r="AC993"/>
          <cell r="AD993"/>
          <cell r="AE993"/>
          <cell r="AF993"/>
        </row>
        <row r="994">
          <cell r="C994"/>
          <cell r="D994"/>
          <cell r="E994"/>
          <cell r="F994"/>
          <cell r="G994"/>
          <cell r="H994"/>
          <cell r="I994"/>
          <cell r="J994"/>
          <cell r="K994"/>
          <cell r="L994"/>
          <cell r="M994"/>
          <cell r="N994"/>
          <cell r="O994"/>
          <cell r="P994"/>
          <cell r="Q994"/>
          <cell r="R994"/>
          <cell r="S994"/>
          <cell r="T994"/>
          <cell r="U994"/>
          <cell r="V994"/>
          <cell r="W994"/>
          <cell r="X994"/>
          <cell r="Y994"/>
          <cell r="Z994"/>
          <cell r="AA994"/>
          <cell r="AB994"/>
          <cell r="AC994"/>
          <cell r="AD994"/>
          <cell r="AE994"/>
          <cell r="AF994"/>
        </row>
        <row r="995">
          <cell r="C995"/>
          <cell r="D995"/>
          <cell r="E995"/>
          <cell r="F995"/>
          <cell r="G995"/>
          <cell r="H995"/>
          <cell r="I995"/>
          <cell r="J995"/>
          <cell r="K995"/>
          <cell r="L995"/>
          <cell r="M995"/>
          <cell r="N995"/>
          <cell r="O995"/>
          <cell r="P995"/>
          <cell r="Q995"/>
          <cell r="R995"/>
          <cell r="S995"/>
          <cell r="T995"/>
          <cell r="U995"/>
          <cell r="V995"/>
          <cell r="W995"/>
          <cell r="X995"/>
          <cell r="Y995"/>
          <cell r="Z995"/>
          <cell r="AA995"/>
          <cell r="AB995"/>
          <cell r="AC995"/>
          <cell r="AD995"/>
          <cell r="AE995"/>
          <cell r="AF995"/>
        </row>
        <row r="996">
          <cell r="C996"/>
          <cell r="D996"/>
          <cell r="E996"/>
          <cell r="F996"/>
          <cell r="G996"/>
          <cell r="H996"/>
          <cell r="I996"/>
          <cell r="J996"/>
          <cell r="K996"/>
          <cell r="L996"/>
          <cell r="M996"/>
          <cell r="N996"/>
          <cell r="O996"/>
          <cell r="P996"/>
          <cell r="Q996"/>
          <cell r="R996"/>
          <cell r="S996"/>
          <cell r="T996"/>
          <cell r="U996"/>
          <cell r="V996"/>
          <cell r="W996"/>
          <cell r="X996"/>
          <cell r="Y996"/>
          <cell r="Z996"/>
          <cell r="AA996"/>
          <cell r="AB996"/>
          <cell r="AC996"/>
          <cell r="AD996"/>
          <cell r="AE996"/>
          <cell r="AF996"/>
        </row>
        <row r="997">
          <cell r="C997"/>
          <cell r="D997"/>
          <cell r="E997"/>
          <cell r="F997"/>
          <cell r="G997"/>
          <cell r="H997"/>
          <cell r="I997"/>
          <cell r="J997"/>
          <cell r="K997"/>
          <cell r="L997"/>
          <cell r="M997"/>
          <cell r="N997"/>
          <cell r="O997"/>
          <cell r="P997"/>
          <cell r="Q997"/>
          <cell r="R997"/>
          <cell r="S997"/>
          <cell r="T997"/>
          <cell r="U997"/>
          <cell r="V997"/>
          <cell r="W997"/>
          <cell r="X997"/>
          <cell r="Y997"/>
          <cell r="Z997"/>
          <cell r="AA997"/>
          <cell r="AB997"/>
          <cell r="AC997"/>
          <cell r="AD997"/>
          <cell r="AE997"/>
          <cell r="AF997"/>
        </row>
        <row r="998"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  <cell r="M998"/>
          <cell r="N998"/>
          <cell r="O998"/>
          <cell r="P998"/>
          <cell r="Q998"/>
          <cell r="R998"/>
          <cell r="S998"/>
          <cell r="T998"/>
          <cell r="U998"/>
          <cell r="V998"/>
          <cell r="W998"/>
          <cell r="X998"/>
          <cell r="Y998"/>
          <cell r="Z998"/>
          <cell r="AA998"/>
          <cell r="AB998"/>
          <cell r="AC998"/>
          <cell r="AD998"/>
          <cell r="AE998"/>
          <cell r="AF998"/>
        </row>
        <row r="999">
          <cell r="C999"/>
          <cell r="D999"/>
          <cell r="E999"/>
          <cell r="F999"/>
          <cell r="G999"/>
          <cell r="H999"/>
          <cell r="I999"/>
          <cell r="J999"/>
          <cell r="K999"/>
          <cell r="L999"/>
          <cell r="M999"/>
          <cell r="N999"/>
          <cell r="O999"/>
          <cell r="P999"/>
          <cell r="Q999"/>
          <cell r="R999"/>
          <cell r="S999"/>
          <cell r="T999"/>
          <cell r="U999"/>
          <cell r="V999"/>
          <cell r="W999"/>
          <cell r="X999"/>
          <cell r="Y999"/>
          <cell r="Z999"/>
          <cell r="AA999"/>
          <cell r="AB999"/>
          <cell r="AC999"/>
          <cell r="AD999"/>
          <cell r="AE999"/>
          <cell r="AF999"/>
        </row>
        <row r="1000">
          <cell r="C1000"/>
          <cell r="D1000"/>
          <cell r="E1000"/>
          <cell r="F1000"/>
          <cell r="G1000"/>
          <cell r="H1000"/>
          <cell r="I1000"/>
          <cell r="J1000"/>
          <cell r="K1000"/>
          <cell r="L1000"/>
          <cell r="M1000"/>
          <cell r="N1000"/>
          <cell r="O1000"/>
          <cell r="P1000"/>
          <cell r="Q1000"/>
          <cell r="R1000"/>
          <cell r="S1000"/>
          <cell r="T1000"/>
          <cell r="U1000"/>
          <cell r="V1000"/>
          <cell r="W1000"/>
          <cell r="X1000"/>
          <cell r="Y1000"/>
          <cell r="Z1000"/>
          <cell r="AA1000"/>
          <cell r="AB1000"/>
          <cell r="AC1000"/>
          <cell r="AD1000"/>
          <cell r="AE1000"/>
          <cell r="AF1000"/>
        </row>
        <row r="1001">
          <cell r="C1001"/>
          <cell r="D1001"/>
          <cell r="E1001"/>
          <cell r="F1001"/>
          <cell r="G1001"/>
          <cell r="H1001"/>
          <cell r="I1001"/>
          <cell r="J1001"/>
          <cell r="K1001"/>
          <cell r="L1001"/>
          <cell r="M1001"/>
          <cell r="N1001"/>
          <cell r="O1001"/>
          <cell r="P1001"/>
          <cell r="Q1001"/>
          <cell r="R1001"/>
          <cell r="S1001"/>
          <cell r="T1001"/>
          <cell r="U1001"/>
          <cell r="V1001"/>
          <cell r="W1001"/>
          <cell r="X1001"/>
          <cell r="Y1001"/>
          <cell r="Z1001"/>
          <cell r="AA1001"/>
          <cell r="AB1001"/>
          <cell r="AC1001"/>
          <cell r="AD1001"/>
          <cell r="AE1001"/>
          <cell r="AF1001"/>
        </row>
        <row r="1002">
          <cell r="C1002"/>
          <cell r="D1002"/>
          <cell r="E1002"/>
          <cell r="F1002"/>
          <cell r="G1002"/>
          <cell r="H1002"/>
          <cell r="I1002"/>
          <cell r="J1002"/>
          <cell r="K1002"/>
          <cell r="L1002"/>
          <cell r="M1002"/>
          <cell r="N1002"/>
          <cell r="O1002"/>
          <cell r="P1002"/>
          <cell r="Q1002"/>
          <cell r="R1002"/>
          <cell r="S1002"/>
          <cell r="T1002"/>
          <cell r="U1002"/>
          <cell r="V1002"/>
          <cell r="W1002"/>
          <cell r="X1002"/>
          <cell r="Y1002"/>
          <cell r="Z1002"/>
          <cell r="AA1002"/>
          <cell r="AB1002"/>
          <cell r="AC1002"/>
          <cell r="AD1002"/>
          <cell r="AE1002"/>
          <cell r="AF1002"/>
        </row>
        <row r="1003">
          <cell r="C1003"/>
          <cell r="D1003"/>
          <cell r="E1003"/>
          <cell r="F1003"/>
          <cell r="G1003"/>
          <cell r="H1003"/>
          <cell r="I1003"/>
          <cell r="J1003"/>
          <cell r="K1003"/>
          <cell r="L1003"/>
          <cell r="M1003"/>
          <cell r="N1003"/>
          <cell r="O1003"/>
          <cell r="P1003"/>
          <cell r="Q1003"/>
          <cell r="R1003"/>
          <cell r="S1003"/>
          <cell r="T1003"/>
          <cell r="U1003"/>
          <cell r="V1003"/>
          <cell r="W1003"/>
          <cell r="X1003"/>
          <cell r="Y1003"/>
          <cell r="Z1003"/>
          <cell r="AA1003"/>
          <cell r="AB1003"/>
          <cell r="AC1003"/>
          <cell r="AD1003"/>
          <cell r="AE1003"/>
          <cell r="AF1003"/>
        </row>
        <row r="1004">
          <cell r="C1004"/>
          <cell r="D1004"/>
          <cell r="E1004"/>
          <cell r="F1004"/>
          <cell r="G1004"/>
          <cell r="H1004"/>
          <cell r="I1004"/>
          <cell r="J1004"/>
          <cell r="K1004"/>
          <cell r="L1004"/>
          <cell r="M1004"/>
          <cell r="N1004"/>
          <cell r="O1004"/>
          <cell r="P1004"/>
          <cell r="Q1004"/>
          <cell r="R1004"/>
          <cell r="S1004"/>
          <cell r="T1004"/>
          <cell r="U1004"/>
          <cell r="V1004"/>
          <cell r="W1004"/>
          <cell r="X1004"/>
          <cell r="Y1004"/>
          <cell r="Z1004"/>
          <cell r="AA1004"/>
          <cell r="AB1004"/>
          <cell r="AC1004"/>
          <cell r="AD1004"/>
          <cell r="AE1004"/>
          <cell r="AF1004"/>
        </row>
        <row r="1005">
          <cell r="C1005"/>
          <cell r="D1005"/>
          <cell r="E1005"/>
          <cell r="F1005"/>
          <cell r="G1005"/>
          <cell r="H1005"/>
          <cell r="I1005"/>
          <cell r="J1005"/>
          <cell r="K1005"/>
          <cell r="L1005"/>
          <cell r="M1005"/>
          <cell r="N1005"/>
          <cell r="O1005"/>
          <cell r="P1005"/>
          <cell r="Q1005"/>
          <cell r="R1005"/>
          <cell r="S1005"/>
          <cell r="T1005"/>
          <cell r="U1005"/>
          <cell r="V1005"/>
          <cell r="W1005"/>
          <cell r="X1005"/>
          <cell r="Y1005"/>
          <cell r="Z1005"/>
          <cell r="AA1005"/>
          <cell r="AB1005"/>
          <cell r="AC1005"/>
          <cell r="AD1005"/>
          <cell r="AE1005"/>
          <cell r="AF1005"/>
        </row>
        <row r="1006">
          <cell r="C1006"/>
          <cell r="D1006"/>
          <cell r="E1006"/>
          <cell r="F1006"/>
          <cell r="G1006"/>
          <cell r="H1006"/>
          <cell r="I1006"/>
          <cell r="J1006"/>
          <cell r="K1006"/>
          <cell r="L1006"/>
          <cell r="M1006"/>
          <cell r="N1006"/>
          <cell r="O1006"/>
          <cell r="P1006"/>
          <cell r="Q1006"/>
          <cell r="R1006"/>
          <cell r="S1006"/>
          <cell r="T1006"/>
          <cell r="U1006"/>
          <cell r="V1006"/>
          <cell r="W1006"/>
          <cell r="X1006"/>
          <cell r="Y1006"/>
          <cell r="Z1006"/>
          <cell r="AA1006"/>
          <cell r="AB1006"/>
          <cell r="AC1006"/>
          <cell r="AD1006"/>
          <cell r="AE1006"/>
          <cell r="AF1006"/>
        </row>
        <row r="1007">
          <cell r="C1007"/>
          <cell r="D1007"/>
          <cell r="E1007"/>
          <cell r="F1007"/>
          <cell r="G1007"/>
          <cell r="H1007"/>
          <cell r="I1007"/>
          <cell r="J1007"/>
          <cell r="K1007"/>
          <cell r="L1007"/>
          <cell r="M1007"/>
          <cell r="N1007"/>
          <cell r="O1007"/>
          <cell r="P1007"/>
          <cell r="Q1007"/>
          <cell r="R1007"/>
          <cell r="S1007"/>
          <cell r="T1007"/>
          <cell r="U1007"/>
          <cell r="V1007"/>
          <cell r="W1007"/>
          <cell r="X1007"/>
          <cell r="Y1007"/>
          <cell r="Z1007"/>
          <cell r="AA1007"/>
          <cell r="AB1007"/>
          <cell r="AC1007"/>
          <cell r="AD1007"/>
          <cell r="AE1007"/>
          <cell r="AF1007"/>
        </row>
        <row r="1008">
          <cell r="C1008"/>
          <cell r="D1008"/>
          <cell r="E1008"/>
          <cell r="F1008"/>
          <cell r="G1008"/>
          <cell r="H1008"/>
          <cell r="I1008"/>
          <cell r="J1008"/>
          <cell r="K1008"/>
          <cell r="L1008"/>
          <cell r="M1008"/>
          <cell r="N1008"/>
          <cell r="O1008"/>
          <cell r="P1008"/>
          <cell r="Q1008"/>
          <cell r="R1008"/>
          <cell r="S1008"/>
          <cell r="T1008"/>
          <cell r="U1008"/>
          <cell r="V1008"/>
          <cell r="W1008"/>
          <cell r="X1008"/>
          <cell r="Y1008"/>
          <cell r="Z1008"/>
          <cell r="AA1008"/>
          <cell r="AB1008"/>
          <cell r="AC1008"/>
          <cell r="AD1008"/>
          <cell r="AE1008"/>
          <cell r="AF1008"/>
        </row>
        <row r="1009">
          <cell r="C1009"/>
          <cell r="D1009"/>
          <cell r="E1009"/>
          <cell r="F1009"/>
          <cell r="G1009"/>
          <cell r="H1009"/>
          <cell r="I1009"/>
          <cell r="J1009"/>
          <cell r="K1009"/>
          <cell r="L1009"/>
          <cell r="M1009"/>
          <cell r="N1009"/>
          <cell r="O1009"/>
          <cell r="P1009"/>
          <cell r="Q1009"/>
          <cell r="R1009"/>
          <cell r="S1009"/>
          <cell r="T1009"/>
          <cell r="U1009"/>
          <cell r="V1009"/>
          <cell r="W1009"/>
          <cell r="X1009"/>
          <cell r="Y1009"/>
          <cell r="Z1009"/>
          <cell r="AA1009"/>
          <cell r="AB1009"/>
          <cell r="AC1009"/>
          <cell r="AD1009"/>
          <cell r="AE1009"/>
          <cell r="AF1009"/>
        </row>
        <row r="1010">
          <cell r="C1010"/>
          <cell r="D1010"/>
          <cell r="E1010"/>
          <cell r="F1010"/>
          <cell r="G1010"/>
          <cell r="H1010"/>
          <cell r="I1010"/>
          <cell r="J1010"/>
          <cell r="K1010"/>
          <cell r="L1010"/>
          <cell r="M1010"/>
          <cell r="N1010"/>
          <cell r="O1010"/>
          <cell r="P1010"/>
          <cell r="Q1010"/>
          <cell r="R1010"/>
          <cell r="S1010"/>
          <cell r="T1010"/>
          <cell r="U1010"/>
          <cell r="V1010"/>
          <cell r="W1010"/>
          <cell r="X1010"/>
          <cell r="Y1010"/>
          <cell r="Z1010"/>
          <cell r="AA1010"/>
          <cell r="AB1010"/>
          <cell r="AC1010"/>
          <cell r="AD1010"/>
          <cell r="AE1010"/>
          <cell r="AF1010"/>
        </row>
        <row r="1011">
          <cell r="C1011"/>
          <cell r="D1011"/>
          <cell r="E1011"/>
          <cell r="F1011"/>
          <cell r="G1011"/>
          <cell r="H1011"/>
          <cell r="I1011"/>
          <cell r="J1011"/>
          <cell r="K1011"/>
          <cell r="L1011"/>
          <cell r="M1011"/>
          <cell r="N1011"/>
          <cell r="O1011"/>
          <cell r="P1011"/>
          <cell r="Q1011"/>
          <cell r="R1011"/>
          <cell r="S1011"/>
          <cell r="T1011"/>
          <cell r="U1011"/>
          <cell r="V1011"/>
          <cell r="W1011"/>
          <cell r="X1011"/>
          <cell r="Y1011"/>
          <cell r="Z1011"/>
          <cell r="AA1011"/>
          <cell r="AB1011"/>
          <cell r="AC1011"/>
          <cell r="AD1011"/>
          <cell r="AE1011"/>
          <cell r="AF1011"/>
        </row>
        <row r="1012">
          <cell r="C1012"/>
          <cell r="D1012"/>
          <cell r="E1012"/>
          <cell r="F1012"/>
          <cell r="G1012"/>
          <cell r="H1012"/>
          <cell r="I1012"/>
          <cell r="J1012"/>
          <cell r="K1012"/>
          <cell r="L1012"/>
          <cell r="M1012"/>
          <cell r="N1012"/>
          <cell r="O1012"/>
          <cell r="P1012"/>
          <cell r="Q1012"/>
          <cell r="R1012"/>
          <cell r="S1012"/>
          <cell r="T1012"/>
          <cell r="U1012"/>
          <cell r="V1012"/>
          <cell r="W1012"/>
          <cell r="X1012"/>
          <cell r="Y1012"/>
          <cell r="Z1012"/>
          <cell r="AA1012"/>
          <cell r="AB1012"/>
          <cell r="AC1012"/>
          <cell r="AD1012"/>
          <cell r="AE1012"/>
          <cell r="AF1012"/>
        </row>
        <row r="1013">
          <cell r="C1013"/>
          <cell r="D1013"/>
          <cell r="E1013"/>
          <cell r="F1013"/>
          <cell r="G1013"/>
          <cell r="H1013"/>
          <cell r="I1013"/>
          <cell r="J1013"/>
          <cell r="K1013"/>
          <cell r="L1013"/>
          <cell r="M1013"/>
          <cell r="N1013"/>
          <cell r="O1013"/>
          <cell r="P1013"/>
          <cell r="Q1013"/>
          <cell r="R1013"/>
          <cell r="S1013"/>
          <cell r="T1013"/>
          <cell r="U1013"/>
          <cell r="V1013"/>
          <cell r="W1013"/>
          <cell r="X1013"/>
          <cell r="Y1013"/>
          <cell r="Z1013"/>
          <cell r="AA1013"/>
          <cell r="AB1013"/>
          <cell r="AC1013"/>
          <cell r="AD1013"/>
          <cell r="AE1013"/>
          <cell r="AF1013"/>
        </row>
        <row r="1014">
          <cell r="C1014"/>
          <cell r="D1014"/>
          <cell r="E1014"/>
          <cell r="F1014"/>
          <cell r="G1014"/>
          <cell r="H1014"/>
          <cell r="I1014"/>
          <cell r="J1014"/>
          <cell r="K1014"/>
          <cell r="L1014"/>
          <cell r="M1014"/>
          <cell r="N1014"/>
          <cell r="O1014"/>
          <cell r="P1014"/>
          <cell r="Q1014"/>
          <cell r="R1014"/>
          <cell r="S1014"/>
          <cell r="T1014"/>
          <cell r="U1014"/>
          <cell r="V1014"/>
          <cell r="W1014"/>
          <cell r="X1014"/>
          <cell r="Y1014"/>
          <cell r="Z1014"/>
          <cell r="AA1014"/>
          <cell r="AB1014"/>
          <cell r="AC1014"/>
          <cell r="AD1014"/>
          <cell r="AE1014"/>
          <cell r="AF1014"/>
        </row>
        <row r="1015">
          <cell r="C1015"/>
          <cell r="D1015"/>
          <cell r="E1015"/>
          <cell r="F1015"/>
          <cell r="G1015"/>
          <cell r="H1015"/>
          <cell r="I1015"/>
          <cell r="J1015"/>
          <cell r="K1015"/>
          <cell r="L1015"/>
          <cell r="M1015"/>
          <cell r="N1015"/>
          <cell r="O1015"/>
          <cell r="P1015"/>
          <cell r="Q1015"/>
          <cell r="R1015"/>
          <cell r="S1015"/>
          <cell r="T1015"/>
          <cell r="U1015"/>
          <cell r="V1015"/>
          <cell r="W1015"/>
          <cell r="X1015"/>
          <cell r="Y1015"/>
          <cell r="Z1015"/>
          <cell r="AA1015"/>
          <cell r="AB1015"/>
          <cell r="AC1015"/>
          <cell r="AD1015"/>
          <cell r="AE1015"/>
          <cell r="AF1015"/>
        </row>
        <row r="1016">
          <cell r="C1016"/>
          <cell r="D1016"/>
          <cell r="E1016"/>
          <cell r="F1016"/>
          <cell r="G1016"/>
          <cell r="H1016"/>
          <cell r="I1016"/>
          <cell r="J1016"/>
          <cell r="K1016"/>
          <cell r="L1016"/>
          <cell r="M1016"/>
          <cell r="N1016"/>
          <cell r="O1016"/>
          <cell r="P1016"/>
          <cell r="Q1016"/>
          <cell r="R1016"/>
          <cell r="S1016"/>
          <cell r="T1016"/>
          <cell r="U1016"/>
          <cell r="V1016"/>
          <cell r="W1016"/>
          <cell r="X1016"/>
          <cell r="Y1016"/>
          <cell r="Z1016"/>
          <cell r="AA1016"/>
          <cell r="AB1016"/>
          <cell r="AC1016"/>
          <cell r="AD1016"/>
          <cell r="AE1016"/>
          <cell r="AF1016"/>
        </row>
        <row r="1017">
          <cell r="C1017"/>
          <cell r="D1017"/>
          <cell r="E1017"/>
          <cell r="F1017"/>
          <cell r="G1017"/>
          <cell r="H1017"/>
          <cell r="I1017"/>
          <cell r="J1017"/>
          <cell r="K1017"/>
          <cell r="L1017"/>
          <cell r="M1017"/>
          <cell r="N1017"/>
          <cell r="O1017"/>
          <cell r="P1017"/>
          <cell r="Q1017"/>
          <cell r="R1017"/>
          <cell r="S1017"/>
          <cell r="T1017"/>
          <cell r="U1017"/>
          <cell r="V1017"/>
          <cell r="W1017"/>
          <cell r="X1017"/>
          <cell r="Y1017"/>
          <cell r="Z1017"/>
          <cell r="AA1017"/>
          <cell r="AB1017"/>
          <cell r="AC1017"/>
          <cell r="AD1017"/>
          <cell r="AE1017"/>
          <cell r="AF1017"/>
        </row>
        <row r="1018">
          <cell r="C1018"/>
          <cell r="D1018"/>
          <cell r="E1018"/>
          <cell r="F1018"/>
          <cell r="G1018"/>
          <cell r="H1018"/>
          <cell r="I1018"/>
          <cell r="J1018"/>
          <cell r="K1018"/>
          <cell r="L1018"/>
          <cell r="M1018"/>
          <cell r="N1018"/>
          <cell r="O1018"/>
          <cell r="P1018"/>
          <cell r="Q1018"/>
          <cell r="R1018"/>
          <cell r="S1018"/>
          <cell r="T1018"/>
          <cell r="U1018"/>
          <cell r="V1018"/>
          <cell r="W1018"/>
          <cell r="X1018"/>
          <cell r="Y1018"/>
          <cell r="Z1018"/>
          <cell r="AA1018"/>
          <cell r="AB1018"/>
          <cell r="AC1018"/>
          <cell r="AD1018"/>
          <cell r="AE1018"/>
          <cell r="AF1018"/>
        </row>
        <row r="1019">
          <cell r="C1019"/>
          <cell r="D1019"/>
          <cell r="E1019"/>
          <cell r="F1019"/>
          <cell r="G1019"/>
          <cell r="H1019"/>
          <cell r="I1019"/>
          <cell r="J1019"/>
          <cell r="K1019"/>
          <cell r="L1019"/>
          <cell r="M1019"/>
          <cell r="N1019"/>
          <cell r="O1019"/>
          <cell r="P1019"/>
          <cell r="Q1019"/>
          <cell r="R1019"/>
          <cell r="S1019"/>
          <cell r="T1019"/>
          <cell r="U1019"/>
          <cell r="V1019"/>
          <cell r="W1019"/>
          <cell r="X1019"/>
          <cell r="Y1019"/>
          <cell r="Z1019"/>
          <cell r="AA1019"/>
          <cell r="AB1019"/>
          <cell r="AC1019"/>
          <cell r="AD1019"/>
          <cell r="AE1019"/>
          <cell r="AF1019"/>
        </row>
        <row r="1020">
          <cell r="C1020"/>
          <cell r="D1020"/>
          <cell r="E1020"/>
          <cell r="F1020"/>
          <cell r="G1020"/>
          <cell r="H1020"/>
          <cell r="I1020"/>
          <cell r="J1020"/>
          <cell r="K1020"/>
          <cell r="L1020"/>
          <cell r="M1020"/>
          <cell r="N1020"/>
          <cell r="O1020"/>
          <cell r="P1020"/>
          <cell r="Q1020"/>
          <cell r="R1020"/>
          <cell r="S1020"/>
          <cell r="T1020"/>
          <cell r="U1020"/>
          <cell r="V1020"/>
          <cell r="W1020"/>
          <cell r="X1020"/>
          <cell r="Y1020"/>
          <cell r="Z1020"/>
          <cell r="AA1020"/>
          <cell r="AB1020"/>
          <cell r="AC1020"/>
          <cell r="AD1020"/>
          <cell r="AE1020"/>
          <cell r="AF1020"/>
        </row>
        <row r="1021">
          <cell r="C1021"/>
          <cell r="D1021"/>
          <cell r="E1021"/>
          <cell r="F1021"/>
          <cell r="G1021"/>
          <cell r="H1021"/>
          <cell r="I1021"/>
          <cell r="J1021"/>
          <cell r="K1021"/>
          <cell r="L1021"/>
          <cell r="M1021"/>
          <cell r="N1021"/>
          <cell r="O1021"/>
          <cell r="P1021"/>
          <cell r="Q1021"/>
          <cell r="R1021"/>
          <cell r="S1021"/>
          <cell r="T1021"/>
          <cell r="U1021"/>
          <cell r="V1021"/>
          <cell r="W1021"/>
          <cell r="X1021"/>
          <cell r="Y1021"/>
          <cell r="Z1021"/>
          <cell r="AA1021"/>
          <cell r="AB1021"/>
          <cell r="AC1021"/>
          <cell r="AD1021"/>
          <cell r="AE1021"/>
          <cell r="AF1021"/>
        </row>
        <row r="1022">
          <cell r="C1022"/>
          <cell r="D1022"/>
          <cell r="E1022"/>
          <cell r="F1022"/>
          <cell r="G1022"/>
          <cell r="H1022"/>
          <cell r="I1022"/>
          <cell r="J1022"/>
          <cell r="K1022"/>
          <cell r="L1022"/>
          <cell r="M1022"/>
          <cell r="N1022"/>
          <cell r="O1022"/>
          <cell r="P1022"/>
          <cell r="Q1022"/>
          <cell r="R1022"/>
          <cell r="S1022"/>
          <cell r="T1022"/>
          <cell r="U1022"/>
          <cell r="V1022"/>
          <cell r="W1022"/>
          <cell r="X1022"/>
          <cell r="Y1022"/>
          <cell r="Z1022"/>
          <cell r="AA1022"/>
          <cell r="AB1022"/>
          <cell r="AC1022"/>
          <cell r="AD1022"/>
          <cell r="AE1022"/>
          <cell r="AF1022"/>
        </row>
        <row r="1023">
          <cell r="C1023"/>
          <cell r="D1023"/>
          <cell r="E1023"/>
          <cell r="F1023"/>
          <cell r="G1023"/>
          <cell r="H1023"/>
          <cell r="I1023"/>
          <cell r="J1023"/>
          <cell r="K1023"/>
          <cell r="L1023"/>
          <cell r="M1023"/>
          <cell r="N1023"/>
          <cell r="O1023"/>
          <cell r="P1023"/>
          <cell r="Q1023"/>
          <cell r="R1023"/>
          <cell r="S1023"/>
          <cell r="T1023"/>
          <cell r="U1023"/>
          <cell r="V1023"/>
          <cell r="W1023"/>
          <cell r="X1023"/>
          <cell r="Y1023"/>
          <cell r="Z1023"/>
          <cell r="AA1023"/>
          <cell r="AB1023"/>
          <cell r="AC1023"/>
          <cell r="AD1023"/>
          <cell r="AE1023"/>
          <cell r="AF1023"/>
        </row>
        <row r="1024">
          <cell r="C1024"/>
          <cell r="D1024"/>
          <cell r="E1024"/>
          <cell r="F1024"/>
          <cell r="G1024"/>
          <cell r="H1024"/>
          <cell r="I1024"/>
          <cell r="J1024"/>
          <cell r="K1024"/>
          <cell r="L1024"/>
          <cell r="M1024"/>
          <cell r="N1024"/>
          <cell r="O1024"/>
          <cell r="P1024"/>
          <cell r="Q1024"/>
          <cell r="R1024"/>
          <cell r="S1024"/>
          <cell r="T1024"/>
          <cell r="U1024"/>
          <cell r="V1024"/>
          <cell r="W1024"/>
          <cell r="X1024"/>
          <cell r="Y1024"/>
          <cell r="Z1024"/>
          <cell r="AA1024"/>
          <cell r="AB1024"/>
          <cell r="AC1024"/>
          <cell r="AD1024"/>
          <cell r="AE1024"/>
          <cell r="AF1024"/>
        </row>
        <row r="1025">
          <cell r="C1025"/>
          <cell r="D1025"/>
          <cell r="E1025"/>
          <cell r="F1025"/>
          <cell r="G1025"/>
          <cell r="H1025"/>
          <cell r="I1025"/>
          <cell r="J1025"/>
          <cell r="K1025"/>
          <cell r="L1025"/>
          <cell r="M1025"/>
          <cell r="N1025"/>
          <cell r="O1025"/>
          <cell r="P1025"/>
          <cell r="Q1025"/>
          <cell r="R1025"/>
          <cell r="S1025"/>
          <cell r="T1025"/>
          <cell r="U1025"/>
          <cell r="V1025"/>
          <cell r="W1025"/>
          <cell r="X1025"/>
          <cell r="Y1025"/>
          <cell r="Z1025"/>
          <cell r="AA1025"/>
          <cell r="AB1025"/>
          <cell r="AC1025"/>
          <cell r="AD1025"/>
          <cell r="AE1025"/>
          <cell r="AF1025"/>
        </row>
        <row r="1026">
          <cell r="C1026"/>
          <cell r="D1026"/>
          <cell r="E1026"/>
          <cell r="F1026"/>
          <cell r="G1026"/>
          <cell r="H1026"/>
          <cell r="I1026"/>
          <cell r="J1026"/>
          <cell r="K1026"/>
          <cell r="L1026"/>
          <cell r="M1026"/>
          <cell r="N1026"/>
          <cell r="O1026"/>
          <cell r="P1026"/>
          <cell r="Q1026"/>
          <cell r="R1026"/>
          <cell r="S1026"/>
          <cell r="T1026"/>
          <cell r="U1026"/>
          <cell r="V1026"/>
          <cell r="W1026"/>
          <cell r="X1026"/>
          <cell r="Y1026"/>
          <cell r="Z1026"/>
          <cell r="AA1026"/>
          <cell r="AB1026"/>
          <cell r="AC1026"/>
          <cell r="AD1026"/>
          <cell r="AE1026"/>
          <cell r="AF1026"/>
        </row>
        <row r="1027">
          <cell r="C1027"/>
          <cell r="D1027"/>
          <cell r="E1027"/>
          <cell r="F1027"/>
          <cell r="G1027"/>
          <cell r="H1027"/>
          <cell r="I1027"/>
          <cell r="J1027"/>
          <cell r="K1027"/>
          <cell r="L1027"/>
          <cell r="M1027"/>
          <cell r="N1027"/>
          <cell r="O1027"/>
          <cell r="P1027"/>
          <cell r="Q1027"/>
          <cell r="R1027"/>
          <cell r="S1027"/>
          <cell r="T1027"/>
          <cell r="U1027"/>
          <cell r="V1027"/>
          <cell r="W1027"/>
          <cell r="X1027"/>
          <cell r="Y1027"/>
          <cell r="Z1027"/>
          <cell r="AA1027"/>
          <cell r="AB1027"/>
          <cell r="AC1027"/>
          <cell r="AD1027"/>
          <cell r="AE1027"/>
          <cell r="AF1027"/>
        </row>
        <row r="1028">
          <cell r="C1028"/>
          <cell r="D1028"/>
          <cell r="E1028"/>
          <cell r="F1028"/>
          <cell r="G1028"/>
          <cell r="H1028"/>
          <cell r="I1028"/>
          <cell r="J1028"/>
          <cell r="K1028"/>
          <cell r="L1028"/>
          <cell r="M1028"/>
          <cell r="N1028"/>
          <cell r="O1028"/>
          <cell r="P1028"/>
          <cell r="Q1028"/>
          <cell r="R1028"/>
          <cell r="S1028"/>
          <cell r="T1028"/>
          <cell r="U1028"/>
          <cell r="V1028"/>
          <cell r="W1028"/>
          <cell r="X1028"/>
          <cell r="Y1028"/>
          <cell r="Z1028"/>
          <cell r="AA1028"/>
          <cell r="AB1028"/>
          <cell r="AC1028"/>
          <cell r="AD1028"/>
          <cell r="AE1028"/>
          <cell r="AF1028"/>
        </row>
        <row r="1029">
          <cell r="C1029"/>
          <cell r="D1029"/>
          <cell r="E1029"/>
          <cell r="F1029"/>
          <cell r="G1029"/>
          <cell r="H1029"/>
          <cell r="I1029"/>
          <cell r="J1029"/>
          <cell r="K1029"/>
          <cell r="L1029"/>
          <cell r="M1029"/>
          <cell r="N1029"/>
          <cell r="O1029"/>
          <cell r="P1029"/>
          <cell r="Q1029"/>
          <cell r="R1029"/>
          <cell r="S1029"/>
          <cell r="T1029"/>
          <cell r="U1029"/>
          <cell r="V1029"/>
          <cell r="W1029"/>
          <cell r="X1029"/>
          <cell r="Y1029"/>
          <cell r="Z1029"/>
          <cell r="AA1029"/>
          <cell r="AB1029"/>
          <cell r="AC1029"/>
          <cell r="AD1029"/>
          <cell r="AE1029"/>
          <cell r="AF1029"/>
        </row>
        <row r="1030">
          <cell r="C1030"/>
          <cell r="D1030"/>
          <cell r="E1030"/>
          <cell r="F1030"/>
          <cell r="G1030"/>
          <cell r="H1030"/>
          <cell r="I1030"/>
          <cell r="J1030"/>
          <cell r="K1030"/>
          <cell r="L1030"/>
          <cell r="M1030"/>
          <cell r="N1030"/>
          <cell r="O1030"/>
          <cell r="P1030"/>
          <cell r="Q1030"/>
          <cell r="R1030"/>
          <cell r="S1030"/>
          <cell r="T1030"/>
          <cell r="U1030"/>
          <cell r="V1030"/>
          <cell r="W1030"/>
          <cell r="X1030"/>
          <cell r="Y1030"/>
          <cell r="Z1030"/>
          <cell r="AA1030"/>
          <cell r="AB1030"/>
          <cell r="AC1030"/>
          <cell r="AD1030"/>
          <cell r="AE1030"/>
          <cell r="AF1030"/>
        </row>
        <row r="1031">
          <cell r="C1031"/>
          <cell r="D1031"/>
          <cell r="E1031"/>
          <cell r="F1031"/>
          <cell r="G1031"/>
          <cell r="H1031"/>
          <cell r="I1031"/>
          <cell r="J1031"/>
          <cell r="K1031"/>
          <cell r="L1031"/>
          <cell r="M1031"/>
          <cell r="N1031"/>
          <cell r="O1031"/>
          <cell r="P1031"/>
          <cell r="Q1031"/>
          <cell r="R1031"/>
          <cell r="S1031"/>
          <cell r="T1031"/>
          <cell r="U1031"/>
          <cell r="V1031"/>
          <cell r="W1031"/>
          <cell r="X1031"/>
          <cell r="Y1031"/>
          <cell r="Z1031"/>
          <cell r="AA1031"/>
          <cell r="AB1031"/>
          <cell r="AC1031"/>
          <cell r="AD1031"/>
          <cell r="AE1031"/>
          <cell r="AF1031"/>
        </row>
        <row r="1032">
          <cell r="C1032"/>
          <cell r="D1032"/>
          <cell r="E1032"/>
          <cell r="F1032"/>
          <cell r="G1032"/>
          <cell r="H1032"/>
          <cell r="I1032"/>
          <cell r="J1032"/>
          <cell r="K1032"/>
          <cell r="L1032"/>
          <cell r="M1032"/>
          <cell r="N1032"/>
          <cell r="O1032"/>
          <cell r="P1032"/>
          <cell r="Q1032"/>
          <cell r="R1032"/>
          <cell r="S1032"/>
          <cell r="T1032"/>
          <cell r="U1032"/>
          <cell r="V1032"/>
          <cell r="W1032"/>
          <cell r="X1032"/>
          <cell r="Y1032"/>
          <cell r="Z1032"/>
          <cell r="AA1032"/>
          <cell r="AB1032"/>
          <cell r="AC1032"/>
          <cell r="AD1032"/>
          <cell r="AE1032"/>
          <cell r="AF1032"/>
        </row>
        <row r="1033">
          <cell r="C1033"/>
          <cell r="D1033"/>
          <cell r="E1033"/>
          <cell r="F1033"/>
          <cell r="G1033"/>
          <cell r="H1033"/>
          <cell r="I1033"/>
          <cell r="J1033"/>
          <cell r="K1033"/>
          <cell r="L1033"/>
          <cell r="M1033"/>
          <cell r="N1033"/>
          <cell r="O1033"/>
          <cell r="P1033"/>
          <cell r="Q1033"/>
          <cell r="R1033"/>
          <cell r="S1033"/>
          <cell r="T1033"/>
          <cell r="U1033"/>
          <cell r="V1033"/>
          <cell r="W1033"/>
          <cell r="X1033"/>
          <cell r="Y1033"/>
          <cell r="Z1033"/>
          <cell r="AA1033"/>
          <cell r="AB1033"/>
          <cell r="AC1033"/>
          <cell r="AD1033"/>
          <cell r="AE1033"/>
          <cell r="AF1033"/>
        </row>
        <row r="1034">
          <cell r="C1034"/>
          <cell r="D1034"/>
          <cell r="E1034"/>
          <cell r="F1034"/>
          <cell r="G1034"/>
          <cell r="H1034"/>
          <cell r="I1034"/>
          <cell r="J1034"/>
          <cell r="K1034"/>
          <cell r="L1034"/>
          <cell r="M1034"/>
          <cell r="N1034"/>
          <cell r="O1034"/>
          <cell r="P1034"/>
          <cell r="Q1034"/>
          <cell r="R1034"/>
          <cell r="S1034"/>
          <cell r="T1034"/>
          <cell r="U1034"/>
          <cell r="V1034"/>
          <cell r="W1034"/>
          <cell r="X1034"/>
          <cell r="Y1034"/>
          <cell r="Z1034"/>
          <cell r="AA1034"/>
          <cell r="AB1034"/>
          <cell r="AC1034"/>
          <cell r="AD1034"/>
          <cell r="AE1034"/>
          <cell r="AF1034"/>
        </row>
        <row r="1035">
          <cell r="C1035"/>
          <cell r="D1035"/>
          <cell r="E1035"/>
          <cell r="F1035"/>
          <cell r="G1035"/>
          <cell r="H1035"/>
          <cell r="I1035"/>
          <cell r="J1035"/>
          <cell r="K1035"/>
          <cell r="L1035"/>
          <cell r="M1035"/>
          <cell r="N1035"/>
          <cell r="O1035"/>
          <cell r="P1035"/>
          <cell r="Q1035"/>
          <cell r="R1035"/>
          <cell r="S1035"/>
          <cell r="T1035"/>
          <cell r="U1035"/>
          <cell r="V1035"/>
          <cell r="W1035"/>
          <cell r="X1035"/>
          <cell r="Y1035"/>
          <cell r="Z1035"/>
          <cell r="AA1035"/>
          <cell r="AB1035"/>
          <cell r="AC1035"/>
          <cell r="AD1035"/>
          <cell r="AE1035"/>
          <cell r="AF1035"/>
        </row>
        <row r="1036">
          <cell r="C1036"/>
          <cell r="D1036"/>
          <cell r="E1036"/>
          <cell r="F1036"/>
          <cell r="G1036"/>
          <cell r="H1036"/>
          <cell r="I1036"/>
          <cell r="J1036"/>
          <cell r="K1036"/>
          <cell r="L1036"/>
          <cell r="M1036"/>
          <cell r="N1036"/>
          <cell r="O1036"/>
          <cell r="P1036"/>
          <cell r="Q1036"/>
          <cell r="R1036"/>
          <cell r="S1036"/>
          <cell r="T1036"/>
          <cell r="U1036"/>
          <cell r="V1036"/>
          <cell r="W1036"/>
          <cell r="X1036"/>
          <cell r="Y1036"/>
          <cell r="Z1036"/>
          <cell r="AA1036"/>
          <cell r="AB1036"/>
          <cell r="AC1036"/>
          <cell r="AD1036"/>
          <cell r="AE1036"/>
          <cell r="AF1036"/>
        </row>
        <row r="1037">
          <cell r="C1037"/>
          <cell r="D1037"/>
          <cell r="E1037"/>
          <cell r="F1037"/>
          <cell r="G1037"/>
          <cell r="H1037"/>
          <cell r="I1037"/>
          <cell r="J1037"/>
          <cell r="K1037"/>
          <cell r="L1037"/>
          <cell r="M1037"/>
          <cell r="N1037"/>
          <cell r="O1037"/>
          <cell r="P1037"/>
          <cell r="Q1037"/>
          <cell r="R1037"/>
          <cell r="S1037"/>
          <cell r="T1037"/>
          <cell r="U1037"/>
          <cell r="V1037"/>
          <cell r="W1037"/>
          <cell r="X1037"/>
          <cell r="Y1037"/>
          <cell r="Z1037"/>
          <cell r="AA1037"/>
          <cell r="AB1037"/>
          <cell r="AC1037"/>
          <cell r="AD1037"/>
          <cell r="AE1037"/>
          <cell r="AF1037"/>
        </row>
        <row r="1038">
          <cell r="C1038"/>
          <cell r="D1038"/>
          <cell r="E1038"/>
          <cell r="F1038"/>
          <cell r="G1038"/>
          <cell r="H1038"/>
          <cell r="I1038"/>
          <cell r="J1038"/>
          <cell r="K1038"/>
          <cell r="L1038"/>
          <cell r="M1038"/>
          <cell r="N1038"/>
          <cell r="O1038"/>
          <cell r="P1038"/>
          <cell r="Q1038"/>
          <cell r="R1038"/>
          <cell r="S1038"/>
          <cell r="T1038"/>
          <cell r="U1038"/>
          <cell r="V1038"/>
          <cell r="W1038"/>
          <cell r="X1038"/>
          <cell r="Y1038"/>
          <cell r="Z1038"/>
          <cell r="AA1038"/>
          <cell r="AB1038"/>
          <cell r="AC1038"/>
          <cell r="AD1038"/>
          <cell r="AE1038"/>
          <cell r="AF1038"/>
        </row>
        <row r="1039">
          <cell r="C1039"/>
          <cell r="D1039"/>
          <cell r="E1039"/>
          <cell r="F1039"/>
          <cell r="G1039"/>
          <cell r="H1039"/>
          <cell r="I1039"/>
          <cell r="J1039"/>
          <cell r="K1039"/>
          <cell r="L1039"/>
          <cell r="M1039"/>
          <cell r="N1039"/>
          <cell r="O1039"/>
          <cell r="P1039"/>
          <cell r="Q1039"/>
          <cell r="R1039"/>
          <cell r="S1039"/>
          <cell r="T1039"/>
          <cell r="U1039"/>
          <cell r="V1039"/>
          <cell r="W1039"/>
          <cell r="X1039"/>
          <cell r="Y1039"/>
          <cell r="Z1039"/>
          <cell r="AA1039"/>
          <cell r="AB1039"/>
          <cell r="AC1039"/>
          <cell r="AD1039"/>
          <cell r="AE1039"/>
          <cell r="AF1039"/>
        </row>
        <row r="1040">
          <cell r="C1040"/>
          <cell r="D1040"/>
          <cell r="E1040"/>
          <cell r="F1040"/>
          <cell r="G1040"/>
          <cell r="H1040"/>
          <cell r="I1040"/>
          <cell r="J1040"/>
          <cell r="K1040"/>
          <cell r="L1040"/>
          <cell r="M1040"/>
          <cell r="N1040"/>
          <cell r="O1040"/>
          <cell r="P1040"/>
          <cell r="Q1040"/>
          <cell r="R1040"/>
          <cell r="S1040"/>
          <cell r="T1040"/>
          <cell r="U1040"/>
          <cell r="V1040"/>
          <cell r="W1040"/>
          <cell r="X1040"/>
          <cell r="Y1040"/>
          <cell r="Z1040"/>
          <cell r="AA1040"/>
          <cell r="AB1040"/>
          <cell r="AC1040"/>
          <cell r="AD1040"/>
          <cell r="AE1040"/>
          <cell r="AF1040"/>
        </row>
        <row r="1041">
          <cell r="C1041"/>
          <cell r="D1041"/>
          <cell r="E1041"/>
          <cell r="F1041"/>
          <cell r="G1041"/>
          <cell r="H1041"/>
          <cell r="I1041"/>
          <cell r="J1041"/>
          <cell r="K1041"/>
          <cell r="L1041"/>
          <cell r="M1041"/>
          <cell r="N1041"/>
          <cell r="O1041"/>
          <cell r="P1041"/>
          <cell r="Q1041"/>
          <cell r="R1041"/>
          <cell r="S1041"/>
          <cell r="T1041"/>
          <cell r="U1041"/>
          <cell r="V1041"/>
          <cell r="W1041"/>
          <cell r="X1041"/>
          <cell r="Y1041"/>
          <cell r="Z1041"/>
          <cell r="AA1041"/>
          <cell r="AB1041"/>
          <cell r="AC1041"/>
          <cell r="AD1041"/>
          <cell r="AE1041"/>
          <cell r="AF1041"/>
        </row>
        <row r="1042">
          <cell r="C1042"/>
          <cell r="D1042"/>
          <cell r="E1042"/>
          <cell r="F1042"/>
          <cell r="G1042"/>
          <cell r="H1042"/>
          <cell r="I1042"/>
          <cell r="J1042"/>
          <cell r="K1042"/>
          <cell r="L1042"/>
          <cell r="M1042"/>
          <cell r="N1042"/>
          <cell r="O1042"/>
          <cell r="P1042"/>
          <cell r="Q1042"/>
          <cell r="R1042"/>
          <cell r="S1042"/>
          <cell r="T1042"/>
          <cell r="U1042"/>
          <cell r="V1042"/>
          <cell r="W1042"/>
          <cell r="X1042"/>
          <cell r="Y1042"/>
          <cell r="Z1042"/>
          <cell r="AA1042"/>
          <cell r="AB1042"/>
          <cell r="AC1042"/>
          <cell r="AD1042"/>
          <cell r="AE1042"/>
          <cell r="AF1042"/>
        </row>
        <row r="1043">
          <cell r="C1043"/>
          <cell r="D1043"/>
          <cell r="E1043"/>
          <cell r="F1043"/>
          <cell r="G1043"/>
          <cell r="H1043"/>
          <cell r="I1043"/>
          <cell r="J1043"/>
          <cell r="K1043"/>
          <cell r="L1043"/>
          <cell r="M1043"/>
          <cell r="N1043"/>
          <cell r="O1043"/>
          <cell r="P1043"/>
          <cell r="Q1043"/>
          <cell r="R1043"/>
          <cell r="S1043"/>
          <cell r="T1043"/>
          <cell r="U1043"/>
          <cell r="V1043"/>
          <cell r="W1043"/>
          <cell r="X1043"/>
          <cell r="Y1043"/>
          <cell r="Z1043"/>
          <cell r="AA1043"/>
          <cell r="AB1043"/>
          <cell r="AC1043"/>
          <cell r="AD1043"/>
          <cell r="AE1043"/>
          <cell r="AF1043"/>
        </row>
        <row r="1044">
          <cell r="C1044"/>
          <cell r="D1044"/>
          <cell r="E1044"/>
          <cell r="F1044"/>
          <cell r="G1044"/>
          <cell r="H1044"/>
          <cell r="I1044"/>
          <cell r="J1044"/>
          <cell r="K1044"/>
          <cell r="L1044"/>
          <cell r="M1044"/>
          <cell r="N1044"/>
          <cell r="O1044"/>
          <cell r="P1044"/>
          <cell r="Q1044"/>
          <cell r="R1044"/>
          <cell r="S1044"/>
          <cell r="T1044"/>
          <cell r="U1044"/>
          <cell r="V1044"/>
          <cell r="W1044"/>
          <cell r="X1044"/>
          <cell r="Y1044"/>
          <cell r="Z1044"/>
          <cell r="AA1044"/>
          <cell r="AB1044"/>
          <cell r="AC1044"/>
          <cell r="AD1044"/>
          <cell r="AE1044"/>
          <cell r="AF1044"/>
        </row>
        <row r="1045">
          <cell r="C1045"/>
          <cell r="D1045"/>
          <cell r="E1045"/>
          <cell r="F1045"/>
          <cell r="G1045"/>
          <cell r="H1045"/>
          <cell r="I1045"/>
          <cell r="J1045"/>
          <cell r="K1045"/>
          <cell r="L1045"/>
          <cell r="M1045"/>
          <cell r="N1045"/>
          <cell r="O1045"/>
          <cell r="P1045"/>
          <cell r="Q1045"/>
          <cell r="R1045"/>
          <cell r="S1045"/>
          <cell r="T1045"/>
          <cell r="U1045"/>
          <cell r="V1045"/>
          <cell r="W1045"/>
          <cell r="X1045"/>
          <cell r="Y1045"/>
          <cell r="Z1045"/>
          <cell r="AA1045"/>
          <cell r="AB1045"/>
          <cell r="AC1045"/>
          <cell r="AD1045"/>
          <cell r="AE1045"/>
          <cell r="AF1045"/>
        </row>
        <row r="1046">
          <cell r="C1046"/>
          <cell r="D1046"/>
          <cell r="E1046"/>
          <cell r="F1046"/>
          <cell r="G1046"/>
          <cell r="H1046"/>
          <cell r="I1046"/>
          <cell r="J1046"/>
          <cell r="K1046"/>
          <cell r="L1046"/>
          <cell r="M1046"/>
          <cell r="N1046"/>
          <cell r="O1046"/>
          <cell r="P1046"/>
          <cell r="Q1046"/>
          <cell r="R1046"/>
          <cell r="S1046"/>
          <cell r="T1046"/>
          <cell r="U1046"/>
          <cell r="V1046"/>
          <cell r="W1046"/>
          <cell r="X1046"/>
          <cell r="Y1046"/>
          <cell r="Z1046"/>
          <cell r="AA1046"/>
          <cell r="AB1046"/>
          <cell r="AC1046"/>
          <cell r="AD1046"/>
          <cell r="AE1046"/>
          <cell r="AF1046"/>
        </row>
        <row r="1047">
          <cell r="C1047"/>
          <cell r="D1047"/>
          <cell r="E1047"/>
          <cell r="F1047"/>
          <cell r="G1047"/>
          <cell r="H1047"/>
          <cell r="I1047"/>
          <cell r="J1047"/>
          <cell r="K1047"/>
          <cell r="L1047"/>
          <cell r="M1047"/>
          <cell r="N1047"/>
          <cell r="O1047"/>
          <cell r="P1047"/>
          <cell r="Q1047"/>
          <cell r="R1047"/>
          <cell r="S1047"/>
          <cell r="T1047"/>
          <cell r="U1047"/>
          <cell r="V1047"/>
          <cell r="W1047"/>
          <cell r="X1047"/>
          <cell r="Y1047"/>
          <cell r="Z1047"/>
          <cell r="AA1047"/>
          <cell r="AB1047"/>
          <cell r="AC1047"/>
          <cell r="AD1047"/>
          <cell r="AE1047"/>
          <cell r="AF1047"/>
        </row>
        <row r="1048">
          <cell r="C1048"/>
          <cell r="D1048"/>
          <cell r="E1048"/>
          <cell r="F1048"/>
          <cell r="G1048"/>
          <cell r="H1048"/>
          <cell r="I1048"/>
          <cell r="J1048"/>
          <cell r="K1048"/>
          <cell r="L1048"/>
          <cell r="M1048"/>
          <cell r="N1048"/>
          <cell r="O1048"/>
          <cell r="P1048"/>
          <cell r="Q1048"/>
          <cell r="R1048"/>
          <cell r="S1048"/>
          <cell r="T1048"/>
          <cell r="U1048"/>
          <cell r="V1048"/>
          <cell r="W1048"/>
          <cell r="X1048"/>
          <cell r="Y1048"/>
          <cell r="Z1048"/>
          <cell r="AA1048"/>
          <cell r="AB1048"/>
          <cell r="AC1048"/>
          <cell r="AD1048"/>
          <cell r="AE1048"/>
          <cell r="AF1048"/>
        </row>
        <row r="1049">
          <cell r="C1049"/>
          <cell r="D1049"/>
          <cell r="E1049"/>
          <cell r="F1049"/>
          <cell r="G1049"/>
          <cell r="H1049"/>
          <cell r="I1049"/>
          <cell r="J1049"/>
          <cell r="K1049"/>
          <cell r="L1049"/>
          <cell r="M1049"/>
          <cell r="N1049"/>
          <cell r="O1049"/>
          <cell r="P1049"/>
          <cell r="Q1049"/>
          <cell r="R1049"/>
          <cell r="S1049"/>
          <cell r="T1049"/>
          <cell r="U1049"/>
          <cell r="V1049"/>
          <cell r="W1049"/>
          <cell r="X1049"/>
          <cell r="Y1049"/>
          <cell r="Z1049"/>
          <cell r="AA1049"/>
          <cell r="AB1049"/>
          <cell r="AC1049"/>
          <cell r="AD1049"/>
          <cell r="AE1049"/>
          <cell r="AF1049"/>
        </row>
        <row r="1050">
          <cell r="C1050"/>
          <cell r="D1050"/>
          <cell r="E1050"/>
          <cell r="F1050"/>
          <cell r="G1050"/>
          <cell r="H1050"/>
          <cell r="I1050"/>
          <cell r="J1050"/>
          <cell r="K1050"/>
          <cell r="L1050"/>
          <cell r="M1050"/>
          <cell r="N1050"/>
          <cell r="O1050"/>
          <cell r="P1050"/>
          <cell r="Q1050"/>
          <cell r="R1050"/>
          <cell r="S1050"/>
          <cell r="T1050"/>
          <cell r="U1050"/>
          <cell r="V1050"/>
          <cell r="W1050"/>
          <cell r="X1050"/>
          <cell r="Y1050"/>
          <cell r="Z1050"/>
          <cell r="AA1050"/>
          <cell r="AB1050"/>
          <cell r="AC1050"/>
          <cell r="AD1050"/>
          <cell r="AE1050"/>
          <cell r="AF1050"/>
        </row>
        <row r="1051">
          <cell r="C1051"/>
          <cell r="D1051"/>
          <cell r="E1051"/>
          <cell r="F1051"/>
          <cell r="G1051"/>
          <cell r="H1051"/>
          <cell r="I1051"/>
          <cell r="J1051"/>
          <cell r="K1051"/>
          <cell r="L1051"/>
          <cell r="M1051"/>
          <cell r="N1051"/>
          <cell r="O1051"/>
          <cell r="P1051"/>
          <cell r="Q1051"/>
          <cell r="R1051"/>
          <cell r="S1051"/>
          <cell r="T1051"/>
          <cell r="U1051"/>
          <cell r="V1051"/>
          <cell r="W1051"/>
          <cell r="X1051"/>
          <cell r="Y1051"/>
          <cell r="Z1051"/>
          <cell r="AA1051"/>
          <cell r="AB1051"/>
          <cell r="AC1051"/>
          <cell r="AD1051"/>
          <cell r="AE1051"/>
          <cell r="AF1051"/>
        </row>
        <row r="1052">
          <cell r="C1052"/>
          <cell r="D1052"/>
          <cell r="E1052"/>
          <cell r="F1052"/>
          <cell r="G1052"/>
          <cell r="H1052"/>
          <cell r="I1052"/>
          <cell r="J1052"/>
          <cell r="K1052"/>
          <cell r="L1052"/>
          <cell r="M1052"/>
          <cell r="N1052"/>
          <cell r="O1052"/>
          <cell r="P1052"/>
          <cell r="Q1052"/>
          <cell r="R1052"/>
          <cell r="S1052"/>
          <cell r="T1052"/>
          <cell r="U1052"/>
          <cell r="V1052"/>
          <cell r="W1052"/>
          <cell r="X1052"/>
          <cell r="Y1052"/>
          <cell r="Z1052"/>
          <cell r="AA1052"/>
          <cell r="AB1052"/>
          <cell r="AC1052"/>
          <cell r="AD1052"/>
          <cell r="AE1052"/>
          <cell r="AF1052"/>
        </row>
        <row r="1053">
          <cell r="C1053"/>
          <cell r="D1053"/>
          <cell r="E1053"/>
          <cell r="F1053"/>
          <cell r="G1053"/>
          <cell r="H1053"/>
          <cell r="I1053"/>
          <cell r="J1053"/>
          <cell r="K1053"/>
          <cell r="L1053"/>
          <cell r="M1053"/>
          <cell r="N1053"/>
          <cell r="O1053"/>
          <cell r="P1053"/>
          <cell r="Q1053"/>
          <cell r="R1053"/>
          <cell r="S1053"/>
          <cell r="T1053"/>
          <cell r="U1053"/>
          <cell r="V1053"/>
          <cell r="W1053"/>
          <cell r="X1053"/>
          <cell r="Y1053"/>
          <cell r="Z1053"/>
          <cell r="AA1053"/>
          <cell r="AB1053"/>
          <cell r="AC1053"/>
          <cell r="AD1053"/>
          <cell r="AE1053"/>
          <cell r="AF1053"/>
        </row>
        <row r="1054">
          <cell r="C1054"/>
          <cell r="D1054"/>
          <cell r="E1054"/>
          <cell r="F1054"/>
          <cell r="G1054"/>
          <cell r="H1054"/>
          <cell r="I1054"/>
          <cell r="J1054"/>
          <cell r="K1054"/>
          <cell r="L1054"/>
          <cell r="M1054"/>
          <cell r="N1054"/>
          <cell r="O1054"/>
          <cell r="P1054"/>
          <cell r="Q1054"/>
          <cell r="R1054"/>
          <cell r="S1054"/>
          <cell r="T1054"/>
          <cell r="U1054"/>
          <cell r="V1054"/>
          <cell r="W1054"/>
          <cell r="X1054"/>
          <cell r="Y1054"/>
          <cell r="Z1054"/>
          <cell r="AA1054"/>
          <cell r="AB1054"/>
          <cell r="AC1054"/>
          <cell r="AD1054"/>
          <cell r="AE1054"/>
          <cell r="AF1054"/>
        </row>
        <row r="1055">
          <cell r="C1055"/>
          <cell r="D1055"/>
          <cell r="E1055"/>
          <cell r="F1055"/>
          <cell r="G1055"/>
          <cell r="H1055"/>
          <cell r="I1055"/>
          <cell r="J1055"/>
          <cell r="K1055"/>
          <cell r="L1055"/>
          <cell r="M1055"/>
          <cell r="N1055"/>
          <cell r="O1055"/>
          <cell r="P1055"/>
          <cell r="Q1055"/>
          <cell r="R1055"/>
          <cell r="S1055"/>
          <cell r="T1055"/>
          <cell r="U1055"/>
          <cell r="V1055"/>
          <cell r="W1055"/>
          <cell r="X1055"/>
          <cell r="Y1055"/>
          <cell r="Z1055"/>
          <cell r="AA1055"/>
          <cell r="AB1055"/>
          <cell r="AC1055"/>
          <cell r="AD1055"/>
          <cell r="AE1055"/>
          <cell r="AF1055"/>
        </row>
        <row r="1056">
          <cell r="C1056"/>
          <cell r="D1056"/>
          <cell r="E1056"/>
          <cell r="F1056"/>
          <cell r="G1056"/>
          <cell r="H1056"/>
          <cell r="I1056"/>
          <cell r="J1056"/>
          <cell r="K1056"/>
          <cell r="L1056"/>
          <cell r="M1056"/>
          <cell r="N1056"/>
          <cell r="O1056"/>
          <cell r="P1056"/>
          <cell r="Q1056"/>
          <cell r="R1056"/>
          <cell r="S1056"/>
          <cell r="T1056"/>
          <cell r="U1056"/>
          <cell r="V1056"/>
          <cell r="W1056"/>
          <cell r="X1056"/>
          <cell r="Y1056"/>
          <cell r="Z1056"/>
          <cell r="AA1056"/>
          <cell r="AB1056"/>
          <cell r="AC1056"/>
          <cell r="AD1056"/>
          <cell r="AE1056"/>
          <cell r="AF1056"/>
        </row>
        <row r="1057">
          <cell r="C1057"/>
          <cell r="D1057"/>
          <cell r="E1057"/>
          <cell r="F1057"/>
          <cell r="G1057"/>
          <cell r="H1057"/>
          <cell r="I1057"/>
          <cell r="J1057"/>
          <cell r="K1057"/>
          <cell r="L1057"/>
          <cell r="M1057"/>
          <cell r="N1057"/>
          <cell r="O1057"/>
          <cell r="P1057"/>
          <cell r="Q1057"/>
          <cell r="R1057"/>
          <cell r="S1057"/>
          <cell r="T1057"/>
          <cell r="U1057"/>
          <cell r="V1057"/>
          <cell r="W1057"/>
          <cell r="X1057"/>
          <cell r="Y1057"/>
          <cell r="Z1057"/>
          <cell r="AA1057"/>
          <cell r="AB1057"/>
          <cell r="AC1057"/>
          <cell r="AD1057"/>
          <cell r="AE1057"/>
          <cell r="AF1057"/>
        </row>
        <row r="1058">
          <cell r="C1058"/>
          <cell r="D1058"/>
          <cell r="E1058"/>
          <cell r="F1058"/>
          <cell r="G1058"/>
          <cell r="H1058"/>
          <cell r="I1058"/>
          <cell r="J1058"/>
          <cell r="K1058"/>
          <cell r="L1058"/>
          <cell r="M1058"/>
          <cell r="N1058"/>
          <cell r="O1058"/>
          <cell r="P1058"/>
          <cell r="Q1058"/>
          <cell r="R1058"/>
          <cell r="S1058"/>
          <cell r="T1058"/>
          <cell r="U1058"/>
          <cell r="V1058"/>
          <cell r="W1058"/>
          <cell r="X1058"/>
          <cell r="Y1058"/>
          <cell r="Z1058"/>
          <cell r="AA1058"/>
          <cell r="AB1058"/>
          <cell r="AC1058"/>
          <cell r="AD1058"/>
          <cell r="AE1058"/>
          <cell r="AF1058"/>
        </row>
        <row r="1059">
          <cell r="C1059"/>
          <cell r="D1059"/>
          <cell r="E1059"/>
          <cell r="F1059"/>
          <cell r="G1059"/>
          <cell r="H1059"/>
          <cell r="I1059"/>
          <cell r="J1059"/>
          <cell r="K1059"/>
          <cell r="L1059"/>
          <cell r="M1059"/>
          <cell r="N1059"/>
          <cell r="O1059"/>
          <cell r="P1059"/>
          <cell r="Q1059"/>
          <cell r="R1059"/>
          <cell r="S1059"/>
          <cell r="T1059"/>
          <cell r="U1059"/>
          <cell r="V1059"/>
          <cell r="W1059"/>
          <cell r="X1059"/>
          <cell r="Y1059"/>
          <cell r="Z1059"/>
          <cell r="AA1059"/>
          <cell r="AB1059"/>
          <cell r="AC1059"/>
          <cell r="AD1059"/>
          <cell r="AE1059"/>
          <cell r="AF1059"/>
        </row>
        <row r="1060">
          <cell r="C1060"/>
          <cell r="D1060"/>
          <cell r="E1060"/>
          <cell r="F1060"/>
          <cell r="G1060"/>
          <cell r="H1060"/>
          <cell r="I1060"/>
          <cell r="J1060"/>
          <cell r="K1060"/>
          <cell r="L1060"/>
          <cell r="M1060"/>
          <cell r="N1060"/>
          <cell r="O1060"/>
          <cell r="P1060"/>
          <cell r="Q1060"/>
          <cell r="R1060"/>
          <cell r="S1060"/>
          <cell r="T1060"/>
          <cell r="U1060"/>
          <cell r="V1060"/>
          <cell r="W1060"/>
          <cell r="X1060"/>
          <cell r="Y1060"/>
          <cell r="Z1060"/>
          <cell r="AA1060"/>
          <cell r="AB1060"/>
          <cell r="AC1060"/>
          <cell r="AD1060"/>
          <cell r="AE1060"/>
          <cell r="AF1060"/>
        </row>
        <row r="1061">
          <cell r="C1061"/>
          <cell r="D1061"/>
          <cell r="E1061"/>
          <cell r="F1061"/>
          <cell r="G1061"/>
          <cell r="H1061"/>
          <cell r="I1061"/>
          <cell r="J1061"/>
          <cell r="K1061"/>
          <cell r="L1061"/>
          <cell r="M1061"/>
          <cell r="N1061"/>
          <cell r="O1061"/>
          <cell r="P1061"/>
          <cell r="Q1061"/>
          <cell r="R1061"/>
          <cell r="S1061"/>
          <cell r="T1061"/>
          <cell r="U1061"/>
          <cell r="V1061"/>
          <cell r="W1061"/>
          <cell r="X1061"/>
          <cell r="Y1061"/>
          <cell r="Z1061"/>
          <cell r="AA1061"/>
          <cell r="AB1061"/>
          <cell r="AC1061"/>
          <cell r="AD1061"/>
          <cell r="AE1061"/>
          <cell r="AF1061"/>
        </row>
        <row r="1062">
          <cell r="C1062"/>
          <cell r="D1062"/>
          <cell r="E1062"/>
          <cell r="F1062"/>
          <cell r="G1062"/>
          <cell r="H1062"/>
          <cell r="I1062"/>
          <cell r="J1062"/>
          <cell r="K1062"/>
          <cell r="L1062"/>
          <cell r="M1062"/>
          <cell r="N1062"/>
          <cell r="O1062"/>
          <cell r="P1062"/>
          <cell r="Q1062"/>
          <cell r="R1062"/>
          <cell r="S1062"/>
          <cell r="T1062"/>
          <cell r="U1062"/>
          <cell r="V1062"/>
          <cell r="W1062"/>
          <cell r="X1062"/>
          <cell r="Y1062"/>
          <cell r="Z1062"/>
          <cell r="AA1062"/>
          <cell r="AB1062"/>
          <cell r="AC1062"/>
          <cell r="AD1062"/>
          <cell r="AE1062"/>
          <cell r="AF1062"/>
        </row>
        <row r="1063">
          <cell r="C1063"/>
          <cell r="D1063"/>
          <cell r="E1063"/>
          <cell r="F1063"/>
          <cell r="G1063"/>
          <cell r="H1063"/>
          <cell r="I1063"/>
          <cell r="J1063"/>
          <cell r="K1063"/>
          <cell r="L1063"/>
          <cell r="M1063"/>
          <cell r="N1063"/>
          <cell r="O1063"/>
          <cell r="P1063"/>
          <cell r="Q1063"/>
          <cell r="R1063"/>
          <cell r="S1063"/>
          <cell r="T1063"/>
          <cell r="U1063"/>
          <cell r="V1063"/>
          <cell r="W1063"/>
          <cell r="X1063"/>
          <cell r="Y1063"/>
          <cell r="Z1063"/>
          <cell r="AA1063"/>
          <cell r="AB1063"/>
          <cell r="AC1063"/>
          <cell r="AD1063"/>
          <cell r="AE1063"/>
          <cell r="AF1063"/>
        </row>
        <row r="1064">
          <cell r="C1064"/>
          <cell r="D1064"/>
          <cell r="E1064"/>
          <cell r="F1064"/>
          <cell r="G1064"/>
          <cell r="H1064"/>
          <cell r="I1064"/>
          <cell r="J1064"/>
          <cell r="K1064"/>
          <cell r="L1064"/>
          <cell r="M1064"/>
          <cell r="N1064"/>
          <cell r="O1064"/>
          <cell r="P1064"/>
          <cell r="Q1064"/>
          <cell r="R1064"/>
          <cell r="S1064"/>
          <cell r="T1064"/>
          <cell r="U1064"/>
          <cell r="V1064"/>
          <cell r="W1064"/>
          <cell r="X1064"/>
          <cell r="Y1064"/>
          <cell r="Z1064"/>
          <cell r="AA1064"/>
          <cell r="AB1064"/>
          <cell r="AC1064"/>
          <cell r="AD1064"/>
          <cell r="AE1064"/>
          <cell r="AF1064"/>
        </row>
        <row r="1065">
          <cell r="C1065"/>
          <cell r="D1065"/>
          <cell r="E1065"/>
          <cell r="F1065"/>
          <cell r="G1065"/>
          <cell r="H1065"/>
          <cell r="I1065"/>
          <cell r="J1065"/>
          <cell r="K1065"/>
          <cell r="L1065"/>
          <cell r="M1065"/>
          <cell r="N1065"/>
          <cell r="O1065"/>
          <cell r="P1065"/>
          <cell r="Q1065"/>
          <cell r="R1065"/>
          <cell r="S1065"/>
          <cell r="T1065"/>
          <cell r="U1065"/>
          <cell r="V1065"/>
          <cell r="W1065"/>
          <cell r="X1065"/>
          <cell r="Y1065"/>
          <cell r="Z1065"/>
          <cell r="AA1065"/>
          <cell r="AB1065"/>
          <cell r="AC1065"/>
          <cell r="AD1065"/>
          <cell r="AE1065"/>
          <cell r="AF1065"/>
        </row>
        <row r="1066">
          <cell r="C1066"/>
          <cell r="D1066"/>
          <cell r="E1066"/>
          <cell r="F1066"/>
          <cell r="G1066"/>
          <cell r="H1066"/>
          <cell r="I1066"/>
          <cell r="J1066"/>
          <cell r="K1066"/>
          <cell r="L1066"/>
          <cell r="M1066"/>
          <cell r="N1066"/>
          <cell r="O1066"/>
          <cell r="P1066"/>
          <cell r="Q1066"/>
          <cell r="R1066"/>
          <cell r="S1066"/>
          <cell r="T1066"/>
          <cell r="U1066"/>
          <cell r="V1066"/>
          <cell r="W1066"/>
          <cell r="X1066"/>
          <cell r="Y1066"/>
          <cell r="Z1066"/>
          <cell r="AA1066"/>
          <cell r="AB1066"/>
          <cell r="AC1066"/>
          <cell r="AD1066"/>
          <cell r="AE1066"/>
          <cell r="AF1066"/>
        </row>
        <row r="1067">
          <cell r="C1067"/>
          <cell r="D1067"/>
          <cell r="E1067"/>
          <cell r="F1067"/>
          <cell r="G1067"/>
          <cell r="H1067"/>
          <cell r="I1067"/>
          <cell r="J1067"/>
          <cell r="K1067"/>
          <cell r="L1067"/>
          <cell r="M1067"/>
          <cell r="N1067"/>
          <cell r="O1067"/>
          <cell r="P1067"/>
          <cell r="Q1067"/>
          <cell r="R1067"/>
          <cell r="S1067"/>
          <cell r="T1067"/>
          <cell r="U1067"/>
          <cell r="V1067"/>
          <cell r="W1067"/>
          <cell r="X1067"/>
          <cell r="Y1067"/>
          <cell r="Z1067"/>
          <cell r="AA1067"/>
          <cell r="AB1067"/>
          <cell r="AC1067"/>
          <cell r="AD1067"/>
          <cell r="AE1067"/>
          <cell r="AF1067"/>
        </row>
        <row r="1068">
          <cell r="C1068"/>
          <cell r="D1068"/>
          <cell r="E1068"/>
          <cell r="F1068"/>
          <cell r="G1068"/>
          <cell r="H1068"/>
          <cell r="I1068"/>
          <cell r="J1068"/>
          <cell r="K1068"/>
          <cell r="L1068"/>
          <cell r="M1068"/>
          <cell r="N1068"/>
          <cell r="O1068"/>
          <cell r="P1068"/>
          <cell r="Q1068"/>
          <cell r="R1068"/>
          <cell r="S1068"/>
          <cell r="T1068"/>
          <cell r="U1068"/>
          <cell r="V1068"/>
          <cell r="W1068"/>
          <cell r="X1068"/>
          <cell r="Y1068"/>
          <cell r="Z1068"/>
          <cell r="AA1068"/>
          <cell r="AB1068"/>
          <cell r="AC1068"/>
          <cell r="AD1068"/>
          <cell r="AE1068"/>
          <cell r="AF1068"/>
        </row>
        <row r="1069">
          <cell r="C1069"/>
          <cell r="D1069"/>
          <cell r="E1069"/>
          <cell r="F1069"/>
          <cell r="G1069"/>
          <cell r="H1069"/>
          <cell r="I1069"/>
          <cell r="J1069"/>
          <cell r="K1069"/>
          <cell r="L1069"/>
          <cell r="M1069"/>
          <cell r="N1069"/>
          <cell r="O1069"/>
          <cell r="P1069"/>
          <cell r="Q1069"/>
          <cell r="R1069"/>
          <cell r="S1069"/>
          <cell r="T1069"/>
          <cell r="U1069"/>
          <cell r="V1069"/>
          <cell r="W1069"/>
          <cell r="X1069"/>
          <cell r="Y1069"/>
          <cell r="Z1069"/>
          <cell r="AA1069"/>
          <cell r="AB1069"/>
          <cell r="AC1069"/>
          <cell r="AD1069"/>
          <cell r="AE1069"/>
          <cell r="AF1069"/>
        </row>
        <row r="1070">
          <cell r="C1070"/>
          <cell r="D1070"/>
          <cell r="E1070"/>
          <cell r="F1070"/>
          <cell r="G1070"/>
          <cell r="H1070"/>
          <cell r="I1070"/>
          <cell r="J1070"/>
          <cell r="K1070"/>
          <cell r="L1070"/>
          <cell r="M1070"/>
          <cell r="N1070"/>
          <cell r="O1070"/>
          <cell r="P1070"/>
          <cell r="Q1070"/>
          <cell r="R1070"/>
          <cell r="S1070"/>
          <cell r="T1070"/>
          <cell r="U1070"/>
          <cell r="V1070"/>
          <cell r="W1070"/>
          <cell r="X1070"/>
          <cell r="Y1070"/>
          <cell r="Z1070"/>
          <cell r="AA1070"/>
          <cell r="AB1070"/>
          <cell r="AC1070"/>
          <cell r="AD1070"/>
          <cell r="AE1070"/>
          <cell r="AF1070"/>
        </row>
        <row r="1071">
          <cell r="C1071"/>
          <cell r="D1071"/>
          <cell r="E1071"/>
          <cell r="F1071"/>
          <cell r="G1071"/>
          <cell r="H1071"/>
          <cell r="I1071"/>
          <cell r="J1071"/>
          <cell r="K1071"/>
          <cell r="L1071"/>
          <cell r="M1071"/>
          <cell r="N1071"/>
          <cell r="O1071"/>
          <cell r="P1071"/>
          <cell r="Q1071"/>
          <cell r="R1071"/>
          <cell r="S1071"/>
          <cell r="T1071"/>
          <cell r="U1071"/>
          <cell r="V1071"/>
          <cell r="W1071"/>
          <cell r="X1071"/>
          <cell r="Y1071"/>
          <cell r="Z1071"/>
          <cell r="AA1071"/>
          <cell r="AB1071"/>
          <cell r="AC1071"/>
          <cell r="AD1071"/>
          <cell r="AE1071"/>
          <cell r="AF1071"/>
        </row>
        <row r="1072">
          <cell r="C1072"/>
          <cell r="D1072"/>
          <cell r="E1072"/>
          <cell r="F1072"/>
          <cell r="G1072"/>
          <cell r="H1072"/>
          <cell r="I1072"/>
          <cell r="J1072"/>
          <cell r="K1072"/>
          <cell r="L1072"/>
          <cell r="M1072"/>
          <cell r="N1072"/>
          <cell r="O1072"/>
          <cell r="P1072"/>
          <cell r="Q1072"/>
          <cell r="R1072"/>
          <cell r="S1072"/>
          <cell r="T1072"/>
          <cell r="U1072"/>
          <cell r="V1072"/>
          <cell r="W1072"/>
          <cell r="X1072"/>
          <cell r="Y1072"/>
          <cell r="Z1072"/>
          <cell r="AA1072"/>
          <cell r="AB1072"/>
          <cell r="AC1072"/>
          <cell r="AD1072"/>
          <cell r="AE1072"/>
          <cell r="AF1072"/>
        </row>
        <row r="1073"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  <cell r="M1073"/>
          <cell r="N1073"/>
          <cell r="O1073"/>
          <cell r="P1073"/>
          <cell r="Q1073"/>
          <cell r="R1073"/>
          <cell r="S1073"/>
          <cell r="T1073"/>
          <cell r="U1073"/>
          <cell r="V1073"/>
          <cell r="W1073"/>
          <cell r="X1073"/>
          <cell r="Y1073"/>
          <cell r="Z1073"/>
          <cell r="AA1073"/>
          <cell r="AB1073"/>
          <cell r="AC1073"/>
          <cell r="AD1073"/>
          <cell r="AE1073"/>
          <cell r="AF1073"/>
        </row>
        <row r="1074"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  <cell r="M1074"/>
          <cell r="N1074"/>
          <cell r="O1074"/>
          <cell r="P1074"/>
          <cell r="Q1074"/>
          <cell r="R1074"/>
          <cell r="S1074"/>
          <cell r="T1074"/>
          <cell r="U1074"/>
          <cell r="V1074"/>
          <cell r="W1074"/>
          <cell r="X1074"/>
          <cell r="Y1074"/>
          <cell r="Z1074"/>
          <cell r="AA1074"/>
          <cell r="AB1074"/>
          <cell r="AC1074"/>
          <cell r="AD1074"/>
          <cell r="AE1074"/>
          <cell r="AF1074"/>
        </row>
        <row r="1075"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  <cell r="M1075"/>
          <cell r="N1075"/>
          <cell r="O1075"/>
          <cell r="P1075"/>
          <cell r="Q1075"/>
          <cell r="R1075"/>
          <cell r="S1075"/>
          <cell r="T1075"/>
          <cell r="U1075"/>
          <cell r="V1075"/>
          <cell r="W1075"/>
          <cell r="X1075"/>
          <cell r="Y1075"/>
          <cell r="Z1075"/>
          <cell r="AA1075"/>
          <cell r="AB1075"/>
          <cell r="AC1075"/>
          <cell r="AD1075"/>
          <cell r="AE1075"/>
          <cell r="AF1075"/>
        </row>
        <row r="1076"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  <cell r="M1076"/>
          <cell r="N1076"/>
          <cell r="O1076"/>
          <cell r="P1076"/>
          <cell r="Q1076"/>
          <cell r="R1076"/>
          <cell r="S1076"/>
          <cell r="T1076"/>
          <cell r="U1076"/>
          <cell r="V1076"/>
          <cell r="W1076"/>
          <cell r="X1076"/>
          <cell r="Y1076"/>
          <cell r="Z1076"/>
          <cell r="AA1076"/>
          <cell r="AB1076"/>
          <cell r="AC1076"/>
          <cell r="AD1076"/>
          <cell r="AE1076"/>
          <cell r="AF1076"/>
        </row>
        <row r="1077"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  <cell r="M1077"/>
          <cell r="N1077"/>
          <cell r="O1077"/>
          <cell r="P1077"/>
          <cell r="Q1077"/>
          <cell r="R1077"/>
          <cell r="S1077"/>
          <cell r="T1077"/>
          <cell r="U1077"/>
          <cell r="V1077"/>
          <cell r="W1077"/>
          <cell r="X1077"/>
          <cell r="Y1077"/>
          <cell r="Z1077"/>
          <cell r="AA1077"/>
          <cell r="AB1077"/>
          <cell r="AC1077"/>
          <cell r="AD1077"/>
          <cell r="AE1077"/>
          <cell r="AF1077"/>
        </row>
        <row r="1078"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  <cell r="M1078"/>
          <cell r="N1078"/>
          <cell r="O1078"/>
          <cell r="P1078"/>
          <cell r="Q1078"/>
          <cell r="R1078"/>
          <cell r="S1078"/>
          <cell r="T1078"/>
          <cell r="U1078"/>
          <cell r="V1078"/>
          <cell r="W1078"/>
          <cell r="X1078"/>
          <cell r="Y1078"/>
          <cell r="Z1078"/>
          <cell r="AA1078"/>
          <cell r="AB1078"/>
          <cell r="AC1078"/>
          <cell r="AD1078"/>
          <cell r="AE1078"/>
          <cell r="AF1078"/>
        </row>
        <row r="1079"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  <cell r="M1079"/>
          <cell r="N1079"/>
          <cell r="O1079"/>
          <cell r="P1079"/>
          <cell r="Q1079"/>
          <cell r="R1079"/>
          <cell r="S1079"/>
          <cell r="T1079"/>
          <cell r="U1079"/>
          <cell r="V1079"/>
          <cell r="W1079"/>
          <cell r="X1079"/>
          <cell r="Y1079"/>
          <cell r="Z1079"/>
          <cell r="AA1079"/>
          <cell r="AB1079"/>
          <cell r="AC1079"/>
          <cell r="AD1079"/>
          <cell r="AE1079"/>
          <cell r="AF1079"/>
        </row>
        <row r="1080"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  <cell r="M1080"/>
          <cell r="N1080"/>
          <cell r="O1080"/>
          <cell r="P1080"/>
          <cell r="Q1080"/>
          <cell r="R1080"/>
          <cell r="S1080"/>
          <cell r="T1080"/>
          <cell r="U1080"/>
          <cell r="V1080"/>
          <cell r="W1080"/>
          <cell r="X1080"/>
          <cell r="Y1080"/>
          <cell r="Z1080"/>
          <cell r="AA1080"/>
          <cell r="AB1080"/>
          <cell r="AC1080"/>
          <cell r="AD1080"/>
          <cell r="AE1080"/>
          <cell r="AF1080"/>
        </row>
        <row r="1081"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  <cell r="M1081"/>
          <cell r="N1081"/>
          <cell r="O1081"/>
          <cell r="P1081"/>
          <cell r="Q1081"/>
          <cell r="R1081"/>
          <cell r="S1081"/>
          <cell r="T1081"/>
          <cell r="U1081"/>
          <cell r="V1081"/>
          <cell r="W1081"/>
          <cell r="X1081"/>
          <cell r="Y1081"/>
          <cell r="Z1081"/>
          <cell r="AA1081"/>
          <cell r="AB1081"/>
          <cell r="AC1081"/>
          <cell r="AD1081"/>
          <cell r="AE1081"/>
          <cell r="AF1081"/>
        </row>
        <row r="1082"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  <cell r="N1082"/>
          <cell r="O1082"/>
          <cell r="P1082"/>
          <cell r="Q1082"/>
          <cell r="R1082"/>
          <cell r="S1082"/>
          <cell r="T1082"/>
          <cell r="U1082"/>
          <cell r="V1082"/>
          <cell r="W1082"/>
          <cell r="X1082"/>
          <cell r="Y1082"/>
          <cell r="Z1082"/>
          <cell r="AA1082"/>
          <cell r="AB1082"/>
          <cell r="AC1082"/>
          <cell r="AD1082"/>
          <cell r="AE1082"/>
          <cell r="AF1082"/>
        </row>
        <row r="1083"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  <cell r="N1083"/>
          <cell r="O1083"/>
          <cell r="P1083"/>
          <cell r="Q1083"/>
          <cell r="R1083"/>
          <cell r="S1083"/>
          <cell r="T1083"/>
          <cell r="U1083"/>
          <cell r="V1083"/>
          <cell r="W1083"/>
          <cell r="X1083"/>
          <cell r="Y1083"/>
          <cell r="Z1083"/>
          <cell r="AA1083"/>
          <cell r="AB1083"/>
          <cell r="AC1083"/>
          <cell r="AD1083"/>
          <cell r="AE1083"/>
          <cell r="AF1083"/>
        </row>
        <row r="1084"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  <cell r="N1084"/>
          <cell r="O1084"/>
          <cell r="P1084"/>
          <cell r="Q1084"/>
          <cell r="R1084"/>
          <cell r="S1084"/>
          <cell r="T1084"/>
          <cell r="U1084"/>
          <cell r="V1084"/>
          <cell r="W1084"/>
          <cell r="X1084"/>
          <cell r="Y1084"/>
          <cell r="Z1084"/>
          <cell r="AA1084"/>
          <cell r="AB1084"/>
          <cell r="AC1084"/>
          <cell r="AD1084"/>
          <cell r="AE1084"/>
          <cell r="AF1084"/>
        </row>
        <row r="1085"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  <cell r="N1085"/>
          <cell r="O1085"/>
          <cell r="P1085"/>
          <cell r="Q1085"/>
          <cell r="R1085"/>
          <cell r="S1085"/>
          <cell r="T1085"/>
          <cell r="U1085"/>
          <cell r="V1085"/>
          <cell r="W1085"/>
          <cell r="X1085"/>
          <cell r="Y1085"/>
          <cell r="Z1085"/>
          <cell r="AA1085"/>
          <cell r="AB1085"/>
          <cell r="AC1085"/>
          <cell r="AD1085"/>
          <cell r="AE1085"/>
          <cell r="AF1085"/>
        </row>
        <row r="1086"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  <cell r="N1086"/>
          <cell r="O1086"/>
          <cell r="P1086"/>
          <cell r="Q1086"/>
          <cell r="R1086"/>
          <cell r="S1086"/>
          <cell r="T1086"/>
          <cell r="U1086"/>
          <cell r="V1086"/>
          <cell r="W1086"/>
          <cell r="X1086"/>
          <cell r="Y1086"/>
          <cell r="Z1086"/>
          <cell r="AA1086"/>
          <cell r="AB1086"/>
          <cell r="AC1086"/>
          <cell r="AD1086"/>
          <cell r="AE1086"/>
          <cell r="AF1086"/>
        </row>
        <row r="1087"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  <cell r="N1087"/>
          <cell r="O1087"/>
          <cell r="P1087"/>
          <cell r="Q1087"/>
          <cell r="R1087"/>
          <cell r="S1087"/>
          <cell r="T1087"/>
          <cell r="U1087"/>
          <cell r="V1087"/>
          <cell r="W1087"/>
          <cell r="X1087"/>
          <cell r="Y1087"/>
          <cell r="Z1087"/>
          <cell r="AA1087"/>
          <cell r="AB1087"/>
          <cell r="AC1087"/>
          <cell r="AD1087"/>
          <cell r="AE1087"/>
          <cell r="AF1087"/>
        </row>
        <row r="1088"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  <cell r="N1088"/>
          <cell r="O1088"/>
          <cell r="P1088"/>
          <cell r="Q1088"/>
          <cell r="R1088"/>
          <cell r="S1088"/>
          <cell r="T1088"/>
          <cell r="U1088"/>
          <cell r="V1088"/>
          <cell r="W1088"/>
          <cell r="X1088"/>
          <cell r="Y1088"/>
          <cell r="Z1088"/>
          <cell r="AA1088"/>
          <cell r="AB1088"/>
          <cell r="AC1088"/>
          <cell r="AD1088"/>
          <cell r="AE1088"/>
          <cell r="AF1088"/>
        </row>
        <row r="1089"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  <cell r="N1089"/>
          <cell r="O1089"/>
          <cell r="P1089"/>
          <cell r="Q1089"/>
          <cell r="R1089"/>
          <cell r="S1089"/>
          <cell r="T1089"/>
          <cell r="U1089"/>
          <cell r="V1089"/>
          <cell r="W1089"/>
          <cell r="X1089"/>
          <cell r="Y1089"/>
          <cell r="Z1089"/>
          <cell r="AA1089"/>
          <cell r="AB1089"/>
          <cell r="AC1089"/>
          <cell r="AD1089"/>
          <cell r="AE1089"/>
          <cell r="AF1089"/>
        </row>
        <row r="1090"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  <cell r="N1090"/>
          <cell r="O1090"/>
          <cell r="P1090"/>
          <cell r="Q1090"/>
          <cell r="R1090"/>
          <cell r="S1090"/>
          <cell r="T1090"/>
          <cell r="U1090"/>
          <cell r="V1090"/>
          <cell r="W1090"/>
          <cell r="X1090"/>
          <cell r="Y1090"/>
          <cell r="Z1090"/>
          <cell r="AA1090"/>
          <cell r="AB1090"/>
          <cell r="AC1090"/>
          <cell r="AD1090"/>
          <cell r="AE1090"/>
          <cell r="AF1090"/>
        </row>
        <row r="1091"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  <cell r="N1091"/>
          <cell r="O1091"/>
          <cell r="P1091"/>
          <cell r="Q1091"/>
          <cell r="R1091"/>
          <cell r="S1091"/>
          <cell r="T1091"/>
          <cell r="U1091"/>
          <cell r="V1091"/>
          <cell r="W1091"/>
          <cell r="X1091"/>
          <cell r="Y1091"/>
          <cell r="Z1091"/>
          <cell r="AA1091"/>
          <cell r="AB1091"/>
          <cell r="AC1091"/>
          <cell r="AD1091"/>
          <cell r="AE1091"/>
          <cell r="AF1091"/>
        </row>
        <row r="1092"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  <cell r="N1092"/>
          <cell r="O1092"/>
          <cell r="P1092"/>
          <cell r="Q1092"/>
          <cell r="R1092"/>
          <cell r="S1092"/>
          <cell r="T1092"/>
          <cell r="U1092"/>
          <cell r="V1092"/>
          <cell r="W1092"/>
          <cell r="X1092"/>
          <cell r="Y1092"/>
          <cell r="Z1092"/>
          <cell r="AA1092"/>
          <cell r="AB1092"/>
          <cell r="AC1092"/>
          <cell r="AD1092"/>
          <cell r="AE1092"/>
          <cell r="AF1092"/>
        </row>
        <row r="1093"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  <cell r="N1093"/>
          <cell r="O1093"/>
          <cell r="P1093"/>
          <cell r="Q1093"/>
          <cell r="R1093"/>
          <cell r="S1093"/>
          <cell r="T1093"/>
          <cell r="U1093"/>
          <cell r="V1093"/>
          <cell r="W1093"/>
          <cell r="X1093"/>
          <cell r="Y1093"/>
          <cell r="Z1093"/>
          <cell r="AA1093"/>
          <cell r="AB1093"/>
          <cell r="AC1093"/>
          <cell r="AD1093"/>
          <cell r="AE1093"/>
          <cell r="AF1093"/>
        </row>
        <row r="1094"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  <cell r="N1094"/>
          <cell r="O1094"/>
          <cell r="P1094"/>
          <cell r="Q1094"/>
          <cell r="R1094"/>
          <cell r="S1094"/>
          <cell r="T1094"/>
          <cell r="U1094"/>
          <cell r="V1094"/>
          <cell r="W1094"/>
          <cell r="X1094"/>
          <cell r="Y1094"/>
          <cell r="Z1094"/>
          <cell r="AA1094"/>
          <cell r="AB1094"/>
          <cell r="AC1094"/>
          <cell r="AD1094"/>
          <cell r="AE1094"/>
          <cell r="AF1094"/>
        </row>
        <row r="1095"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  <cell r="N1095"/>
          <cell r="O1095"/>
          <cell r="P1095"/>
          <cell r="Q1095"/>
          <cell r="R1095"/>
          <cell r="S1095"/>
          <cell r="T1095"/>
          <cell r="U1095"/>
          <cell r="V1095"/>
          <cell r="W1095"/>
          <cell r="X1095"/>
          <cell r="Y1095"/>
          <cell r="Z1095"/>
          <cell r="AA1095"/>
          <cell r="AB1095"/>
          <cell r="AC1095"/>
          <cell r="AD1095"/>
          <cell r="AE1095"/>
          <cell r="AF1095"/>
        </row>
        <row r="1096"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  <cell r="N1096"/>
          <cell r="O1096"/>
          <cell r="P1096"/>
          <cell r="Q1096"/>
          <cell r="R1096"/>
          <cell r="S1096"/>
          <cell r="T1096"/>
          <cell r="U1096"/>
          <cell r="V1096"/>
          <cell r="W1096"/>
          <cell r="X1096"/>
          <cell r="Y1096"/>
          <cell r="Z1096"/>
          <cell r="AA1096"/>
          <cell r="AB1096"/>
          <cell r="AC1096"/>
          <cell r="AD1096"/>
          <cell r="AE1096"/>
          <cell r="AF1096"/>
        </row>
        <row r="1097"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  <cell r="N1097"/>
          <cell r="O1097"/>
          <cell r="P1097"/>
          <cell r="Q1097"/>
          <cell r="R1097"/>
          <cell r="S1097"/>
          <cell r="T1097"/>
          <cell r="U1097"/>
          <cell r="V1097"/>
          <cell r="W1097"/>
          <cell r="X1097"/>
          <cell r="Y1097"/>
          <cell r="Z1097"/>
          <cell r="AA1097"/>
          <cell r="AB1097"/>
          <cell r="AC1097"/>
          <cell r="AD1097"/>
          <cell r="AE1097"/>
          <cell r="AF1097"/>
        </row>
        <row r="1098"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  <cell r="N1098"/>
          <cell r="O1098"/>
          <cell r="P1098"/>
          <cell r="Q1098"/>
          <cell r="R1098"/>
          <cell r="S1098"/>
          <cell r="T1098"/>
          <cell r="U1098"/>
          <cell r="V1098"/>
          <cell r="W1098"/>
          <cell r="X1098"/>
          <cell r="Y1098"/>
          <cell r="Z1098"/>
          <cell r="AA1098"/>
          <cell r="AB1098"/>
          <cell r="AC1098"/>
          <cell r="AD1098"/>
          <cell r="AE1098"/>
          <cell r="AF1098"/>
        </row>
        <row r="1099"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  <cell r="N1099"/>
          <cell r="O1099"/>
          <cell r="P1099"/>
          <cell r="Q1099"/>
          <cell r="R1099"/>
          <cell r="S1099"/>
          <cell r="T1099"/>
          <cell r="U1099"/>
          <cell r="V1099"/>
          <cell r="W1099"/>
          <cell r="X1099"/>
          <cell r="Y1099"/>
          <cell r="Z1099"/>
          <cell r="AA1099"/>
          <cell r="AB1099"/>
          <cell r="AC1099"/>
          <cell r="AD1099"/>
          <cell r="AE1099"/>
          <cell r="AF1099"/>
        </row>
        <row r="1100"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  <cell r="N1100"/>
          <cell r="O1100"/>
          <cell r="P1100"/>
          <cell r="Q1100"/>
          <cell r="R1100"/>
          <cell r="S1100"/>
          <cell r="T1100"/>
          <cell r="U1100"/>
          <cell r="V1100"/>
          <cell r="W1100"/>
          <cell r="X1100"/>
          <cell r="Y1100"/>
          <cell r="Z1100"/>
          <cell r="AA1100"/>
          <cell r="AB1100"/>
          <cell r="AC1100"/>
          <cell r="AD1100"/>
          <cell r="AE1100"/>
          <cell r="AF1100"/>
        </row>
        <row r="1101"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  <cell r="N1101"/>
          <cell r="O1101"/>
          <cell r="P1101"/>
          <cell r="Q1101"/>
          <cell r="R1101"/>
          <cell r="S1101"/>
          <cell r="T1101"/>
          <cell r="U1101"/>
          <cell r="V1101"/>
          <cell r="W1101"/>
          <cell r="X1101"/>
          <cell r="Y1101"/>
          <cell r="Z1101"/>
          <cell r="AA1101"/>
          <cell r="AB1101"/>
          <cell r="AC1101"/>
          <cell r="AD1101"/>
          <cell r="AE1101"/>
          <cell r="AF1101"/>
        </row>
        <row r="1102"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  <cell r="N1102"/>
          <cell r="O1102"/>
          <cell r="P1102"/>
          <cell r="Q1102"/>
          <cell r="R1102"/>
          <cell r="S1102"/>
          <cell r="T1102"/>
          <cell r="U1102"/>
          <cell r="V1102"/>
          <cell r="W1102"/>
          <cell r="X1102"/>
          <cell r="Y1102"/>
          <cell r="Z1102"/>
          <cell r="AA1102"/>
          <cell r="AB1102"/>
          <cell r="AC1102"/>
          <cell r="AD1102"/>
          <cell r="AE1102"/>
          <cell r="AF1102"/>
        </row>
        <row r="1103"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  <cell r="N1103"/>
          <cell r="O1103"/>
          <cell r="P1103"/>
          <cell r="Q1103"/>
          <cell r="R1103"/>
          <cell r="S1103"/>
          <cell r="T1103"/>
          <cell r="U1103"/>
          <cell r="V1103"/>
          <cell r="W1103"/>
          <cell r="X1103"/>
          <cell r="Y1103"/>
          <cell r="Z1103"/>
          <cell r="AA1103"/>
          <cell r="AB1103"/>
          <cell r="AC1103"/>
          <cell r="AD1103"/>
          <cell r="AE1103"/>
          <cell r="AF1103"/>
        </row>
        <row r="1104"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  <cell r="N1104"/>
          <cell r="O1104"/>
          <cell r="P1104"/>
          <cell r="Q1104"/>
          <cell r="R1104"/>
          <cell r="S1104"/>
          <cell r="T1104"/>
          <cell r="U1104"/>
          <cell r="V1104"/>
          <cell r="W1104"/>
          <cell r="X1104"/>
          <cell r="Y1104"/>
          <cell r="Z1104"/>
          <cell r="AA1104"/>
          <cell r="AB1104"/>
          <cell r="AC1104"/>
          <cell r="AD1104"/>
          <cell r="AE1104"/>
          <cell r="AF1104"/>
        </row>
        <row r="1105"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  <cell r="N1105"/>
          <cell r="O1105"/>
          <cell r="P1105"/>
          <cell r="Q1105"/>
          <cell r="R1105"/>
          <cell r="S1105"/>
          <cell r="T1105"/>
          <cell r="U1105"/>
          <cell r="V1105"/>
          <cell r="W1105"/>
          <cell r="X1105"/>
          <cell r="Y1105"/>
          <cell r="Z1105"/>
          <cell r="AA1105"/>
          <cell r="AB1105"/>
          <cell r="AC1105"/>
          <cell r="AD1105"/>
          <cell r="AE1105"/>
          <cell r="AF1105"/>
        </row>
        <row r="1106"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  <cell r="N1106"/>
          <cell r="O1106"/>
          <cell r="P1106"/>
          <cell r="Q1106"/>
          <cell r="R1106"/>
          <cell r="S1106"/>
          <cell r="T1106"/>
          <cell r="U1106"/>
          <cell r="V1106"/>
          <cell r="W1106"/>
          <cell r="X1106"/>
          <cell r="Y1106"/>
          <cell r="Z1106"/>
          <cell r="AA1106"/>
          <cell r="AB1106"/>
          <cell r="AC1106"/>
          <cell r="AD1106"/>
          <cell r="AE1106"/>
          <cell r="AF1106"/>
        </row>
        <row r="1107"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  <cell r="N1107"/>
          <cell r="O1107"/>
          <cell r="P1107"/>
          <cell r="Q1107"/>
          <cell r="R1107"/>
          <cell r="S1107"/>
          <cell r="T1107"/>
          <cell r="U1107"/>
          <cell r="V1107"/>
          <cell r="W1107"/>
          <cell r="X1107"/>
          <cell r="Y1107"/>
          <cell r="Z1107"/>
          <cell r="AA1107"/>
          <cell r="AB1107"/>
          <cell r="AC1107"/>
          <cell r="AD1107"/>
          <cell r="AE1107"/>
          <cell r="AF1107"/>
        </row>
        <row r="1108"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  <cell r="N1108"/>
          <cell r="O1108"/>
          <cell r="P1108"/>
          <cell r="Q1108"/>
          <cell r="R1108"/>
          <cell r="S1108"/>
          <cell r="T1108"/>
          <cell r="U1108"/>
          <cell r="V1108"/>
          <cell r="W1108"/>
          <cell r="X1108"/>
          <cell r="Y1108"/>
          <cell r="Z1108"/>
          <cell r="AA1108"/>
          <cell r="AB1108"/>
          <cell r="AC1108"/>
          <cell r="AD1108"/>
          <cell r="AE1108"/>
          <cell r="AF1108"/>
        </row>
        <row r="1109"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  <cell r="N1109"/>
          <cell r="O1109"/>
          <cell r="P1109"/>
          <cell r="Q1109"/>
          <cell r="R1109"/>
          <cell r="S1109"/>
          <cell r="T1109"/>
          <cell r="U1109"/>
          <cell r="V1109"/>
          <cell r="W1109"/>
          <cell r="X1109"/>
          <cell r="Y1109"/>
          <cell r="Z1109"/>
          <cell r="AA1109"/>
          <cell r="AB1109"/>
          <cell r="AC1109"/>
          <cell r="AD1109"/>
          <cell r="AE1109"/>
          <cell r="AF1109"/>
        </row>
        <row r="1110"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  <cell r="N1110"/>
          <cell r="O1110"/>
          <cell r="P1110"/>
          <cell r="Q1110"/>
          <cell r="R1110"/>
          <cell r="S1110"/>
          <cell r="T1110"/>
          <cell r="U1110"/>
          <cell r="V1110"/>
          <cell r="W1110"/>
          <cell r="X1110"/>
          <cell r="Y1110"/>
          <cell r="Z1110"/>
          <cell r="AA1110"/>
          <cell r="AB1110"/>
          <cell r="AC1110"/>
          <cell r="AD1110"/>
          <cell r="AE1110"/>
          <cell r="AF1110"/>
        </row>
        <row r="1111"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  <cell r="N1111"/>
          <cell r="O1111"/>
          <cell r="P1111"/>
          <cell r="Q1111"/>
          <cell r="R1111"/>
          <cell r="S1111"/>
          <cell r="T1111"/>
          <cell r="U1111"/>
          <cell r="V1111"/>
          <cell r="W1111"/>
          <cell r="X1111"/>
          <cell r="Y1111"/>
          <cell r="Z1111"/>
          <cell r="AA1111"/>
          <cell r="AB1111"/>
          <cell r="AC1111"/>
          <cell r="AD1111"/>
          <cell r="AE1111"/>
          <cell r="AF1111"/>
        </row>
        <row r="1112"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  <cell r="N1112"/>
          <cell r="O1112"/>
          <cell r="P1112"/>
          <cell r="Q1112"/>
          <cell r="R1112"/>
          <cell r="S1112"/>
          <cell r="T1112"/>
          <cell r="U1112"/>
          <cell r="V1112"/>
          <cell r="W1112"/>
          <cell r="X1112"/>
          <cell r="Y1112"/>
          <cell r="Z1112"/>
          <cell r="AA1112"/>
          <cell r="AB1112"/>
          <cell r="AC1112"/>
          <cell r="AD1112"/>
          <cell r="AE1112"/>
          <cell r="AF1112"/>
        </row>
        <row r="1113"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  <cell r="N1113"/>
          <cell r="O1113"/>
          <cell r="P1113"/>
          <cell r="Q1113"/>
          <cell r="R1113"/>
          <cell r="S1113"/>
          <cell r="T1113"/>
          <cell r="U1113"/>
          <cell r="V1113"/>
          <cell r="W1113"/>
          <cell r="X1113"/>
          <cell r="Y1113"/>
          <cell r="Z1113"/>
          <cell r="AA1113"/>
          <cell r="AB1113"/>
          <cell r="AC1113"/>
          <cell r="AD1113"/>
          <cell r="AE1113"/>
          <cell r="AF1113"/>
        </row>
        <row r="1114"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  <cell r="N1114"/>
          <cell r="O1114"/>
          <cell r="P1114"/>
          <cell r="Q1114"/>
          <cell r="R1114"/>
          <cell r="S1114"/>
          <cell r="T1114"/>
          <cell r="U1114"/>
          <cell r="V1114"/>
          <cell r="W1114"/>
          <cell r="X1114"/>
          <cell r="Y1114"/>
          <cell r="Z1114"/>
          <cell r="AA1114"/>
          <cell r="AB1114"/>
          <cell r="AC1114"/>
          <cell r="AD1114"/>
          <cell r="AE1114"/>
          <cell r="AF1114"/>
        </row>
        <row r="1115"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  <cell r="N1115"/>
          <cell r="O1115"/>
          <cell r="P1115"/>
          <cell r="Q1115"/>
          <cell r="R1115"/>
          <cell r="S1115"/>
          <cell r="T1115"/>
          <cell r="U1115"/>
          <cell r="V1115"/>
          <cell r="W1115"/>
          <cell r="X1115"/>
          <cell r="Y1115"/>
          <cell r="Z1115"/>
          <cell r="AA1115"/>
          <cell r="AB1115"/>
          <cell r="AC1115"/>
          <cell r="AD1115"/>
          <cell r="AE1115"/>
          <cell r="AF1115"/>
        </row>
        <row r="1116"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  <cell r="N1116"/>
          <cell r="O1116"/>
          <cell r="P1116"/>
          <cell r="Q1116"/>
          <cell r="R1116"/>
          <cell r="S1116"/>
          <cell r="T1116"/>
          <cell r="U1116"/>
          <cell r="V1116"/>
          <cell r="W1116"/>
          <cell r="X1116"/>
          <cell r="Y1116"/>
          <cell r="Z1116"/>
          <cell r="AA1116"/>
          <cell r="AB1116"/>
          <cell r="AC1116"/>
          <cell r="AD1116"/>
          <cell r="AE1116"/>
          <cell r="AF1116"/>
        </row>
        <row r="1117"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  <cell r="N1117"/>
          <cell r="O1117"/>
          <cell r="P1117"/>
          <cell r="Q1117"/>
          <cell r="R1117"/>
          <cell r="S1117"/>
          <cell r="T1117"/>
          <cell r="U1117"/>
          <cell r="V1117"/>
          <cell r="W1117"/>
          <cell r="X1117"/>
          <cell r="Y1117"/>
          <cell r="Z1117"/>
          <cell r="AA1117"/>
          <cell r="AB1117"/>
          <cell r="AC1117"/>
          <cell r="AD1117"/>
          <cell r="AE1117"/>
          <cell r="AF1117"/>
        </row>
        <row r="1118"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  <cell r="N1118"/>
          <cell r="O1118"/>
          <cell r="P1118"/>
          <cell r="Q1118"/>
          <cell r="R1118"/>
          <cell r="S1118"/>
          <cell r="T1118"/>
          <cell r="U1118"/>
          <cell r="V1118"/>
          <cell r="W1118"/>
          <cell r="X1118"/>
          <cell r="Y1118"/>
          <cell r="Z1118"/>
          <cell r="AA1118"/>
          <cell r="AB1118"/>
          <cell r="AC1118"/>
          <cell r="AD1118"/>
          <cell r="AE1118"/>
          <cell r="AF1118"/>
        </row>
        <row r="1119"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  <cell r="N1119"/>
          <cell r="O1119"/>
          <cell r="P1119"/>
          <cell r="Q1119"/>
          <cell r="R1119"/>
          <cell r="S1119"/>
          <cell r="T1119"/>
          <cell r="U1119"/>
          <cell r="V1119"/>
          <cell r="W1119"/>
          <cell r="X1119"/>
          <cell r="Y1119"/>
          <cell r="Z1119"/>
          <cell r="AA1119"/>
          <cell r="AB1119"/>
          <cell r="AC1119"/>
          <cell r="AD1119"/>
          <cell r="AE1119"/>
          <cell r="AF1119"/>
        </row>
        <row r="1120"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  <cell r="N1120"/>
          <cell r="O1120"/>
          <cell r="P1120"/>
          <cell r="Q1120"/>
          <cell r="R1120"/>
          <cell r="S1120"/>
          <cell r="T1120"/>
          <cell r="U1120"/>
          <cell r="V1120"/>
          <cell r="W1120"/>
          <cell r="X1120"/>
          <cell r="Y1120"/>
          <cell r="Z1120"/>
          <cell r="AA1120"/>
          <cell r="AB1120"/>
          <cell r="AC1120"/>
          <cell r="AD1120"/>
          <cell r="AE1120"/>
          <cell r="AF1120"/>
        </row>
        <row r="1121"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  <cell r="N1121"/>
          <cell r="O1121"/>
          <cell r="P1121"/>
          <cell r="Q1121"/>
          <cell r="R1121"/>
          <cell r="S1121"/>
          <cell r="T1121"/>
          <cell r="U1121"/>
          <cell r="V1121"/>
          <cell r="W1121"/>
          <cell r="X1121"/>
          <cell r="Y1121"/>
          <cell r="Z1121"/>
          <cell r="AA1121"/>
          <cell r="AB1121"/>
          <cell r="AC1121"/>
          <cell r="AD1121"/>
          <cell r="AE1121"/>
          <cell r="AF1121"/>
        </row>
        <row r="1122"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  <cell r="N1122"/>
          <cell r="O1122"/>
          <cell r="P1122"/>
          <cell r="Q1122"/>
          <cell r="R1122"/>
          <cell r="S1122"/>
          <cell r="T1122"/>
          <cell r="U1122"/>
          <cell r="V1122"/>
          <cell r="W1122"/>
          <cell r="X1122"/>
          <cell r="Y1122"/>
          <cell r="Z1122"/>
          <cell r="AA1122"/>
          <cell r="AB1122"/>
          <cell r="AC1122"/>
          <cell r="AD1122"/>
          <cell r="AE1122"/>
          <cell r="AF1122"/>
        </row>
        <row r="1123"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  <cell r="N1123"/>
          <cell r="O1123"/>
          <cell r="P1123"/>
          <cell r="Q1123"/>
          <cell r="R1123"/>
          <cell r="S1123"/>
          <cell r="T1123"/>
          <cell r="U1123"/>
          <cell r="V1123"/>
          <cell r="W1123"/>
          <cell r="X1123"/>
          <cell r="Y1123"/>
          <cell r="Z1123"/>
          <cell r="AA1123"/>
          <cell r="AB1123"/>
          <cell r="AC1123"/>
          <cell r="AD1123"/>
          <cell r="AE1123"/>
          <cell r="AF1123"/>
        </row>
        <row r="1124"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  <cell r="N1124"/>
          <cell r="O1124"/>
          <cell r="P1124"/>
          <cell r="Q1124"/>
          <cell r="R1124"/>
          <cell r="S1124"/>
          <cell r="T1124"/>
          <cell r="U1124"/>
          <cell r="V1124"/>
          <cell r="W1124"/>
          <cell r="X1124"/>
          <cell r="Y1124"/>
          <cell r="Z1124"/>
          <cell r="AA1124"/>
          <cell r="AB1124"/>
          <cell r="AC1124"/>
          <cell r="AD1124"/>
          <cell r="AE1124"/>
          <cell r="AF1124"/>
        </row>
        <row r="1125"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  <cell r="N1125"/>
          <cell r="O1125"/>
          <cell r="P1125"/>
          <cell r="Q1125"/>
          <cell r="R1125"/>
          <cell r="S1125"/>
          <cell r="T1125"/>
          <cell r="U1125"/>
          <cell r="V1125"/>
          <cell r="W1125"/>
          <cell r="X1125"/>
          <cell r="Y1125"/>
          <cell r="Z1125"/>
          <cell r="AA1125"/>
          <cell r="AB1125"/>
          <cell r="AC1125"/>
          <cell r="AD1125"/>
          <cell r="AE1125"/>
          <cell r="AF1125"/>
        </row>
        <row r="1126"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  <cell r="N1126"/>
          <cell r="O1126"/>
          <cell r="P1126"/>
          <cell r="Q1126"/>
          <cell r="R1126"/>
          <cell r="S1126"/>
          <cell r="T1126"/>
          <cell r="U1126"/>
          <cell r="V1126"/>
          <cell r="W1126"/>
          <cell r="X1126"/>
          <cell r="Y1126"/>
          <cell r="Z1126"/>
          <cell r="AA1126"/>
          <cell r="AB1126"/>
          <cell r="AC1126"/>
          <cell r="AD1126"/>
          <cell r="AE1126"/>
          <cell r="AF1126"/>
        </row>
        <row r="1127"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  <cell r="N1127"/>
          <cell r="O1127"/>
          <cell r="P1127"/>
          <cell r="Q1127"/>
          <cell r="R1127"/>
          <cell r="S1127"/>
          <cell r="T1127"/>
          <cell r="U1127"/>
          <cell r="V1127"/>
          <cell r="W1127"/>
          <cell r="X1127"/>
          <cell r="Y1127"/>
          <cell r="Z1127"/>
          <cell r="AA1127"/>
          <cell r="AB1127"/>
          <cell r="AC1127"/>
          <cell r="AD1127"/>
          <cell r="AE1127"/>
          <cell r="AF1127"/>
        </row>
        <row r="1128"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  <cell r="N1128"/>
          <cell r="O1128"/>
          <cell r="P1128"/>
          <cell r="Q1128"/>
          <cell r="R1128"/>
          <cell r="S1128"/>
          <cell r="T1128"/>
          <cell r="U1128"/>
          <cell r="V1128"/>
          <cell r="W1128"/>
          <cell r="X1128"/>
          <cell r="Y1128"/>
          <cell r="Z1128"/>
          <cell r="AA1128"/>
          <cell r="AB1128"/>
          <cell r="AC1128"/>
          <cell r="AD1128"/>
          <cell r="AE1128"/>
          <cell r="AF1128"/>
        </row>
        <row r="1129"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  <cell r="N1129"/>
          <cell r="O1129"/>
          <cell r="P1129"/>
          <cell r="Q1129"/>
          <cell r="R1129"/>
          <cell r="S1129"/>
          <cell r="T1129"/>
          <cell r="U1129"/>
          <cell r="V1129"/>
          <cell r="W1129"/>
          <cell r="X1129"/>
          <cell r="Y1129"/>
          <cell r="Z1129"/>
          <cell r="AA1129"/>
          <cell r="AB1129"/>
          <cell r="AC1129"/>
          <cell r="AD1129"/>
          <cell r="AE1129"/>
          <cell r="AF1129"/>
        </row>
        <row r="1130"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  <cell r="N1130"/>
          <cell r="O1130"/>
          <cell r="P1130"/>
          <cell r="Q1130"/>
          <cell r="R1130"/>
          <cell r="S1130"/>
          <cell r="T1130"/>
          <cell r="U1130"/>
          <cell r="V1130"/>
          <cell r="W1130"/>
          <cell r="X1130"/>
          <cell r="Y1130"/>
          <cell r="Z1130"/>
          <cell r="AA1130"/>
          <cell r="AB1130"/>
          <cell r="AC1130"/>
          <cell r="AD1130"/>
          <cell r="AE1130"/>
          <cell r="AF1130"/>
        </row>
        <row r="1131"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  <cell r="N1131"/>
          <cell r="O1131"/>
          <cell r="P1131"/>
          <cell r="Q1131"/>
          <cell r="R1131"/>
          <cell r="S1131"/>
          <cell r="T1131"/>
          <cell r="U1131"/>
          <cell r="V1131"/>
          <cell r="W1131"/>
          <cell r="X1131"/>
          <cell r="Y1131"/>
          <cell r="Z1131"/>
          <cell r="AA1131"/>
          <cell r="AB1131"/>
          <cell r="AC1131"/>
          <cell r="AD1131"/>
          <cell r="AE1131"/>
          <cell r="AF1131"/>
        </row>
        <row r="1132"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  <cell r="N1132"/>
          <cell r="O1132"/>
          <cell r="P1132"/>
          <cell r="Q1132"/>
          <cell r="R1132"/>
          <cell r="S1132"/>
          <cell r="T1132"/>
          <cell r="U1132"/>
          <cell r="V1132"/>
          <cell r="W1132"/>
          <cell r="X1132"/>
          <cell r="Y1132"/>
          <cell r="Z1132"/>
          <cell r="AA1132"/>
          <cell r="AB1132"/>
          <cell r="AC1132"/>
          <cell r="AD1132"/>
          <cell r="AE1132"/>
          <cell r="AF1132"/>
        </row>
        <row r="1133"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  <cell r="N1133"/>
          <cell r="O1133"/>
          <cell r="P1133"/>
          <cell r="Q1133"/>
          <cell r="R1133"/>
          <cell r="S1133"/>
          <cell r="T1133"/>
          <cell r="U1133"/>
          <cell r="V1133"/>
          <cell r="W1133"/>
          <cell r="X1133"/>
          <cell r="Y1133"/>
          <cell r="Z1133"/>
          <cell r="AA1133"/>
          <cell r="AB1133"/>
          <cell r="AC1133"/>
          <cell r="AD1133"/>
          <cell r="AE1133"/>
          <cell r="AF1133"/>
        </row>
        <row r="1134"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  <cell r="N1134"/>
          <cell r="O1134"/>
          <cell r="P1134"/>
          <cell r="Q1134"/>
          <cell r="R1134"/>
          <cell r="S1134"/>
          <cell r="T1134"/>
          <cell r="U1134"/>
          <cell r="V1134"/>
          <cell r="W1134"/>
          <cell r="X1134"/>
          <cell r="Y1134"/>
          <cell r="Z1134"/>
          <cell r="AA1134"/>
          <cell r="AB1134"/>
          <cell r="AC1134"/>
          <cell r="AD1134"/>
          <cell r="AE1134"/>
          <cell r="AF1134"/>
        </row>
        <row r="1135"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  <cell r="N1135"/>
          <cell r="O1135"/>
          <cell r="P1135"/>
          <cell r="Q1135"/>
          <cell r="R1135"/>
          <cell r="S1135"/>
          <cell r="T1135"/>
          <cell r="U1135"/>
          <cell r="V1135"/>
          <cell r="W1135"/>
          <cell r="X1135"/>
          <cell r="Y1135"/>
          <cell r="Z1135"/>
          <cell r="AA1135"/>
          <cell r="AB1135"/>
          <cell r="AC1135"/>
          <cell r="AD1135"/>
          <cell r="AE1135"/>
          <cell r="AF1135"/>
        </row>
        <row r="1136"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  <cell r="N1136"/>
          <cell r="O1136"/>
          <cell r="P1136"/>
          <cell r="Q1136"/>
          <cell r="R1136"/>
          <cell r="S1136"/>
          <cell r="T1136"/>
          <cell r="U1136"/>
          <cell r="V1136"/>
          <cell r="W1136"/>
          <cell r="X1136"/>
          <cell r="Y1136"/>
          <cell r="Z1136"/>
          <cell r="AA1136"/>
          <cell r="AB1136"/>
          <cell r="AC1136"/>
          <cell r="AD1136"/>
          <cell r="AE1136"/>
          <cell r="AF1136"/>
        </row>
        <row r="1137"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  <cell r="N1137"/>
          <cell r="O1137"/>
          <cell r="P1137"/>
          <cell r="Q1137"/>
          <cell r="R1137"/>
          <cell r="S1137"/>
          <cell r="T1137"/>
          <cell r="U1137"/>
          <cell r="V1137"/>
          <cell r="W1137"/>
          <cell r="X1137"/>
          <cell r="Y1137"/>
          <cell r="Z1137"/>
          <cell r="AA1137"/>
          <cell r="AB1137"/>
          <cell r="AC1137"/>
          <cell r="AD1137"/>
          <cell r="AE1137"/>
          <cell r="AF1137"/>
        </row>
        <row r="1138"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  <cell r="N1138"/>
          <cell r="O1138"/>
          <cell r="P1138"/>
          <cell r="Q1138"/>
          <cell r="R1138"/>
          <cell r="S1138"/>
          <cell r="T1138"/>
          <cell r="U1138"/>
          <cell r="V1138"/>
          <cell r="W1138"/>
          <cell r="X1138"/>
          <cell r="Y1138"/>
          <cell r="Z1138"/>
          <cell r="AA1138"/>
          <cell r="AB1138"/>
          <cell r="AC1138"/>
          <cell r="AD1138"/>
          <cell r="AE1138"/>
          <cell r="AF1138"/>
        </row>
        <row r="1139"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  <cell r="N1139"/>
          <cell r="O1139"/>
          <cell r="P1139"/>
          <cell r="Q1139"/>
          <cell r="R1139"/>
          <cell r="S1139"/>
          <cell r="T1139"/>
          <cell r="U1139"/>
          <cell r="V1139"/>
          <cell r="W1139"/>
          <cell r="X1139"/>
          <cell r="Y1139"/>
          <cell r="Z1139"/>
          <cell r="AA1139"/>
          <cell r="AB1139"/>
          <cell r="AC1139"/>
          <cell r="AD1139"/>
          <cell r="AE1139"/>
          <cell r="AF1139"/>
        </row>
        <row r="1140"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  <cell r="N1140"/>
          <cell r="O1140"/>
          <cell r="P1140"/>
          <cell r="Q1140"/>
          <cell r="R1140"/>
          <cell r="S1140"/>
          <cell r="T1140"/>
          <cell r="U1140"/>
          <cell r="V1140"/>
          <cell r="W1140"/>
          <cell r="X1140"/>
          <cell r="Y1140"/>
          <cell r="Z1140"/>
          <cell r="AA1140"/>
          <cell r="AB1140"/>
          <cell r="AC1140"/>
          <cell r="AD1140"/>
          <cell r="AE1140"/>
          <cell r="AF1140"/>
        </row>
        <row r="1141"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  <cell r="N1141"/>
          <cell r="O1141"/>
          <cell r="P1141"/>
          <cell r="Q1141"/>
          <cell r="R1141"/>
          <cell r="S1141"/>
          <cell r="T1141"/>
          <cell r="U1141"/>
          <cell r="V1141"/>
          <cell r="W1141"/>
          <cell r="X1141"/>
          <cell r="Y1141"/>
          <cell r="Z1141"/>
          <cell r="AA1141"/>
          <cell r="AB1141"/>
          <cell r="AC1141"/>
          <cell r="AD1141"/>
          <cell r="AE1141"/>
          <cell r="AF1141"/>
        </row>
        <row r="1142"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  <cell r="N1142"/>
          <cell r="O1142"/>
          <cell r="P1142"/>
          <cell r="Q1142"/>
          <cell r="R1142"/>
          <cell r="S1142"/>
          <cell r="T1142"/>
          <cell r="U1142"/>
          <cell r="V1142"/>
          <cell r="W1142"/>
          <cell r="X1142"/>
          <cell r="Y1142"/>
          <cell r="Z1142"/>
          <cell r="AA1142"/>
          <cell r="AB1142"/>
          <cell r="AC1142"/>
          <cell r="AD1142"/>
          <cell r="AE1142"/>
          <cell r="AF1142"/>
        </row>
        <row r="1143"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  <cell r="N1143"/>
          <cell r="O1143"/>
          <cell r="P1143"/>
          <cell r="Q1143"/>
          <cell r="R1143"/>
          <cell r="S1143"/>
          <cell r="T1143"/>
          <cell r="U1143"/>
          <cell r="V1143"/>
          <cell r="W1143"/>
          <cell r="X1143"/>
          <cell r="Y1143"/>
          <cell r="Z1143"/>
          <cell r="AA1143"/>
          <cell r="AB1143"/>
          <cell r="AC1143"/>
          <cell r="AD1143"/>
          <cell r="AE1143"/>
          <cell r="AF1143"/>
        </row>
        <row r="1144"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  <cell r="N1144"/>
          <cell r="O1144"/>
          <cell r="P1144"/>
          <cell r="Q1144"/>
          <cell r="R1144"/>
          <cell r="S1144"/>
          <cell r="T1144"/>
          <cell r="U1144"/>
          <cell r="V1144"/>
          <cell r="W1144"/>
          <cell r="X1144"/>
          <cell r="Y1144"/>
          <cell r="Z1144"/>
          <cell r="AA1144"/>
          <cell r="AB1144"/>
          <cell r="AC1144"/>
          <cell r="AD1144"/>
          <cell r="AE1144"/>
          <cell r="AF1144"/>
        </row>
        <row r="1145"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  <cell r="N1145"/>
          <cell r="O1145"/>
          <cell r="P1145"/>
          <cell r="Q1145"/>
          <cell r="R1145"/>
          <cell r="S1145"/>
          <cell r="T1145"/>
          <cell r="U1145"/>
          <cell r="V1145"/>
          <cell r="W1145"/>
          <cell r="X1145"/>
          <cell r="Y1145"/>
          <cell r="Z1145"/>
          <cell r="AA1145"/>
          <cell r="AB1145"/>
          <cell r="AC1145"/>
          <cell r="AD1145"/>
          <cell r="AE1145"/>
          <cell r="AF1145"/>
        </row>
        <row r="1146"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  <cell r="N1146"/>
          <cell r="O1146"/>
          <cell r="P1146"/>
          <cell r="Q1146"/>
          <cell r="R1146"/>
          <cell r="S1146"/>
          <cell r="T1146"/>
          <cell r="U1146"/>
          <cell r="V1146"/>
          <cell r="W1146"/>
          <cell r="X1146"/>
          <cell r="Y1146"/>
          <cell r="Z1146"/>
          <cell r="AA1146"/>
          <cell r="AB1146"/>
          <cell r="AC1146"/>
          <cell r="AD1146"/>
          <cell r="AE1146"/>
          <cell r="AF1146"/>
        </row>
        <row r="1147"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  <cell r="N1147"/>
          <cell r="O1147"/>
          <cell r="P1147"/>
          <cell r="Q1147"/>
          <cell r="R1147"/>
          <cell r="S1147"/>
          <cell r="T1147"/>
          <cell r="U1147"/>
          <cell r="V1147"/>
          <cell r="W1147"/>
          <cell r="X1147"/>
          <cell r="Y1147"/>
          <cell r="Z1147"/>
          <cell r="AA1147"/>
          <cell r="AB1147"/>
          <cell r="AC1147"/>
          <cell r="AD1147"/>
          <cell r="AE1147"/>
          <cell r="AF1147"/>
        </row>
        <row r="1148"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  <cell r="N1148"/>
          <cell r="O1148"/>
          <cell r="P1148"/>
          <cell r="Q1148"/>
          <cell r="R1148"/>
          <cell r="S1148"/>
          <cell r="T1148"/>
          <cell r="U1148"/>
          <cell r="V1148"/>
          <cell r="W1148"/>
          <cell r="X1148"/>
          <cell r="Y1148"/>
          <cell r="Z1148"/>
          <cell r="AA1148"/>
          <cell r="AB1148"/>
          <cell r="AC1148"/>
          <cell r="AD1148"/>
          <cell r="AE1148"/>
          <cell r="AF1148"/>
        </row>
        <row r="1149"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  <cell r="N1149"/>
          <cell r="O1149"/>
          <cell r="P1149"/>
          <cell r="Q1149"/>
          <cell r="R1149"/>
          <cell r="S1149"/>
          <cell r="T1149"/>
          <cell r="U1149"/>
          <cell r="V1149"/>
          <cell r="W1149"/>
          <cell r="X1149"/>
          <cell r="Y1149"/>
          <cell r="Z1149"/>
          <cell r="AA1149"/>
          <cell r="AB1149"/>
          <cell r="AC1149"/>
          <cell r="AD1149"/>
          <cell r="AE1149"/>
          <cell r="AF1149"/>
        </row>
        <row r="1150"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  <cell r="N1150"/>
          <cell r="O1150"/>
          <cell r="P1150"/>
          <cell r="Q1150"/>
          <cell r="R1150"/>
          <cell r="S1150"/>
          <cell r="T1150"/>
          <cell r="U1150"/>
          <cell r="V1150"/>
          <cell r="W1150"/>
          <cell r="X1150"/>
          <cell r="Y1150"/>
          <cell r="Z1150"/>
          <cell r="AA1150"/>
          <cell r="AB1150"/>
          <cell r="AC1150"/>
          <cell r="AD1150"/>
          <cell r="AE1150"/>
          <cell r="AF1150"/>
        </row>
        <row r="1151"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  <cell r="N1151"/>
          <cell r="O1151"/>
          <cell r="P1151"/>
          <cell r="Q1151"/>
          <cell r="R1151"/>
          <cell r="S1151"/>
          <cell r="T1151"/>
          <cell r="U1151"/>
          <cell r="V1151"/>
          <cell r="W1151"/>
          <cell r="X1151"/>
          <cell r="Y1151"/>
          <cell r="Z1151"/>
          <cell r="AA1151"/>
          <cell r="AB1151"/>
          <cell r="AC1151"/>
          <cell r="AD1151"/>
          <cell r="AE1151"/>
          <cell r="AF1151"/>
        </row>
        <row r="1152"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  <cell r="N1152"/>
          <cell r="O1152"/>
          <cell r="P1152"/>
          <cell r="Q1152"/>
          <cell r="R1152"/>
          <cell r="S1152"/>
          <cell r="T1152"/>
          <cell r="U1152"/>
          <cell r="V1152"/>
          <cell r="W1152"/>
          <cell r="X1152"/>
          <cell r="Y1152"/>
          <cell r="Z1152"/>
          <cell r="AA1152"/>
          <cell r="AB1152"/>
          <cell r="AC1152"/>
          <cell r="AD1152"/>
          <cell r="AE1152"/>
          <cell r="AF1152"/>
        </row>
        <row r="1153"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  <cell r="N1153"/>
          <cell r="O1153"/>
          <cell r="P1153"/>
          <cell r="Q1153"/>
          <cell r="R1153"/>
          <cell r="S1153"/>
          <cell r="T1153"/>
          <cell r="U1153"/>
          <cell r="V1153"/>
          <cell r="W1153"/>
          <cell r="X1153"/>
          <cell r="Y1153"/>
          <cell r="Z1153"/>
          <cell r="AA1153"/>
          <cell r="AB1153"/>
          <cell r="AC1153"/>
          <cell r="AD1153"/>
          <cell r="AE1153"/>
          <cell r="AF1153"/>
        </row>
        <row r="1154"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  <cell r="N1154"/>
          <cell r="O1154"/>
          <cell r="P1154"/>
          <cell r="Q1154"/>
          <cell r="R1154"/>
          <cell r="S1154"/>
          <cell r="T1154"/>
          <cell r="U1154"/>
          <cell r="V1154"/>
          <cell r="W1154"/>
          <cell r="X1154"/>
          <cell r="Y1154"/>
          <cell r="Z1154"/>
          <cell r="AA1154"/>
          <cell r="AB1154"/>
          <cell r="AC1154"/>
          <cell r="AD1154"/>
          <cell r="AE1154"/>
          <cell r="AF1154"/>
        </row>
        <row r="1155"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  <cell r="N1155"/>
          <cell r="O1155"/>
          <cell r="P1155"/>
          <cell r="Q1155"/>
          <cell r="R1155"/>
          <cell r="S1155"/>
          <cell r="T1155"/>
          <cell r="U1155"/>
          <cell r="V1155"/>
          <cell r="W1155"/>
          <cell r="X1155"/>
          <cell r="Y1155"/>
          <cell r="Z1155"/>
          <cell r="AA1155"/>
          <cell r="AB1155"/>
          <cell r="AC1155"/>
          <cell r="AD1155"/>
          <cell r="AE1155"/>
          <cell r="AF1155"/>
        </row>
        <row r="1156"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  <cell r="N1156"/>
          <cell r="O1156"/>
          <cell r="P1156"/>
          <cell r="Q1156"/>
          <cell r="R1156"/>
          <cell r="S1156"/>
          <cell r="T1156"/>
          <cell r="U1156"/>
          <cell r="V1156"/>
          <cell r="W1156"/>
          <cell r="X1156"/>
          <cell r="Y1156"/>
          <cell r="Z1156"/>
          <cell r="AA1156"/>
          <cell r="AB1156"/>
          <cell r="AC1156"/>
          <cell r="AD1156"/>
          <cell r="AE1156"/>
          <cell r="AF1156"/>
        </row>
        <row r="1157"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  <cell r="N1157"/>
          <cell r="O1157"/>
          <cell r="P1157"/>
          <cell r="Q1157"/>
          <cell r="R1157"/>
          <cell r="S1157"/>
          <cell r="T1157"/>
          <cell r="U1157"/>
          <cell r="V1157"/>
          <cell r="W1157"/>
          <cell r="X1157"/>
          <cell r="Y1157"/>
          <cell r="Z1157"/>
          <cell r="AA1157"/>
          <cell r="AB1157"/>
          <cell r="AC1157"/>
          <cell r="AD1157"/>
          <cell r="AE1157"/>
          <cell r="AF1157"/>
        </row>
        <row r="1158"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  <cell r="N1158"/>
          <cell r="O1158"/>
          <cell r="P1158"/>
          <cell r="Q1158"/>
          <cell r="R1158"/>
          <cell r="S1158"/>
          <cell r="T1158"/>
          <cell r="U1158"/>
          <cell r="V1158"/>
          <cell r="W1158"/>
          <cell r="X1158"/>
          <cell r="Y1158"/>
          <cell r="Z1158"/>
          <cell r="AA1158"/>
          <cell r="AB1158"/>
          <cell r="AC1158"/>
          <cell r="AD1158"/>
          <cell r="AE1158"/>
          <cell r="AF1158"/>
        </row>
        <row r="1159"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  <cell r="N1159"/>
          <cell r="O1159"/>
          <cell r="P1159"/>
          <cell r="Q1159"/>
          <cell r="R1159"/>
          <cell r="S1159"/>
          <cell r="T1159"/>
          <cell r="U1159"/>
          <cell r="V1159"/>
          <cell r="W1159"/>
          <cell r="X1159"/>
          <cell r="Y1159"/>
          <cell r="Z1159"/>
          <cell r="AA1159"/>
          <cell r="AB1159"/>
          <cell r="AC1159"/>
          <cell r="AD1159"/>
          <cell r="AE1159"/>
          <cell r="AF1159"/>
        </row>
        <row r="1160"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  <cell r="N1160"/>
          <cell r="O1160"/>
          <cell r="P1160"/>
          <cell r="Q1160"/>
          <cell r="R1160"/>
          <cell r="S1160"/>
          <cell r="T1160"/>
          <cell r="U1160"/>
          <cell r="V1160"/>
          <cell r="W1160"/>
          <cell r="X1160"/>
          <cell r="Y1160"/>
          <cell r="Z1160"/>
          <cell r="AA1160"/>
          <cell r="AB1160"/>
          <cell r="AC1160"/>
          <cell r="AD1160"/>
          <cell r="AE1160"/>
          <cell r="AF1160"/>
        </row>
        <row r="1161"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  <cell r="N1161"/>
          <cell r="O1161"/>
          <cell r="P1161"/>
          <cell r="Q1161"/>
          <cell r="R1161"/>
          <cell r="S1161"/>
          <cell r="T1161"/>
          <cell r="U1161"/>
          <cell r="V1161"/>
          <cell r="W1161"/>
          <cell r="X1161"/>
          <cell r="Y1161"/>
          <cell r="Z1161"/>
          <cell r="AA1161"/>
          <cell r="AB1161"/>
          <cell r="AC1161"/>
          <cell r="AD1161"/>
          <cell r="AE1161"/>
          <cell r="AF1161"/>
        </row>
        <row r="1162"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  <cell r="N1162"/>
          <cell r="O1162"/>
          <cell r="P1162"/>
          <cell r="Q1162"/>
          <cell r="R1162"/>
          <cell r="S1162"/>
          <cell r="T1162"/>
          <cell r="U1162"/>
          <cell r="V1162"/>
          <cell r="W1162"/>
          <cell r="X1162"/>
          <cell r="Y1162"/>
          <cell r="Z1162"/>
          <cell r="AA1162"/>
          <cell r="AB1162"/>
          <cell r="AC1162"/>
          <cell r="AD1162"/>
          <cell r="AE1162"/>
          <cell r="AF1162"/>
        </row>
        <row r="1163"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  <cell r="N1163"/>
          <cell r="O1163"/>
          <cell r="P1163"/>
          <cell r="Q1163"/>
          <cell r="R1163"/>
          <cell r="S1163"/>
          <cell r="T1163"/>
          <cell r="U1163"/>
          <cell r="V1163"/>
          <cell r="W1163"/>
          <cell r="X1163"/>
          <cell r="Y1163"/>
          <cell r="Z1163"/>
          <cell r="AA1163"/>
          <cell r="AB1163"/>
          <cell r="AC1163"/>
          <cell r="AD1163"/>
          <cell r="AE1163"/>
          <cell r="AF1163"/>
        </row>
        <row r="1164"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  <cell r="N1164"/>
          <cell r="O1164"/>
          <cell r="P1164"/>
          <cell r="Q1164"/>
          <cell r="R1164"/>
          <cell r="S1164"/>
          <cell r="T1164"/>
          <cell r="U1164"/>
          <cell r="V1164"/>
          <cell r="W1164"/>
          <cell r="X1164"/>
          <cell r="Y1164"/>
          <cell r="Z1164"/>
          <cell r="AA1164"/>
          <cell r="AB1164"/>
          <cell r="AC1164"/>
          <cell r="AD1164"/>
          <cell r="AE1164"/>
          <cell r="AF1164"/>
        </row>
        <row r="1165"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  <cell r="N1165"/>
          <cell r="O1165"/>
          <cell r="P1165"/>
          <cell r="Q1165"/>
          <cell r="R1165"/>
          <cell r="S1165"/>
          <cell r="T1165"/>
          <cell r="U1165"/>
          <cell r="V1165"/>
          <cell r="W1165"/>
          <cell r="X1165"/>
          <cell r="Y1165"/>
          <cell r="Z1165"/>
          <cell r="AA1165"/>
          <cell r="AB1165"/>
          <cell r="AC1165"/>
          <cell r="AD1165"/>
          <cell r="AE1165"/>
          <cell r="AF1165"/>
        </row>
        <row r="1166"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  <cell r="N1166"/>
          <cell r="O1166"/>
          <cell r="P1166"/>
          <cell r="Q1166"/>
          <cell r="R1166"/>
          <cell r="S1166"/>
          <cell r="T1166"/>
          <cell r="U1166"/>
          <cell r="V1166"/>
          <cell r="W1166"/>
          <cell r="X1166"/>
          <cell r="Y1166"/>
          <cell r="Z1166"/>
          <cell r="AA1166"/>
          <cell r="AB1166"/>
          <cell r="AC1166"/>
          <cell r="AD1166"/>
          <cell r="AE1166"/>
          <cell r="AF1166"/>
        </row>
        <row r="1167"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  <cell r="N1167"/>
          <cell r="O1167"/>
          <cell r="P1167"/>
          <cell r="Q1167"/>
          <cell r="R1167"/>
          <cell r="S1167"/>
          <cell r="T1167"/>
          <cell r="U1167"/>
          <cell r="V1167"/>
          <cell r="W1167"/>
          <cell r="X1167"/>
          <cell r="Y1167"/>
          <cell r="Z1167"/>
          <cell r="AA1167"/>
          <cell r="AB1167"/>
          <cell r="AC1167"/>
          <cell r="AD1167"/>
          <cell r="AE1167"/>
          <cell r="AF1167"/>
        </row>
        <row r="1168"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  <cell r="N1168"/>
          <cell r="O1168"/>
          <cell r="P1168"/>
          <cell r="Q1168"/>
          <cell r="R1168"/>
          <cell r="S1168"/>
          <cell r="T1168"/>
          <cell r="U1168"/>
          <cell r="V1168"/>
          <cell r="W1168"/>
          <cell r="X1168"/>
          <cell r="Y1168"/>
          <cell r="Z1168"/>
          <cell r="AA1168"/>
          <cell r="AB1168"/>
          <cell r="AC1168"/>
          <cell r="AD1168"/>
          <cell r="AE1168"/>
          <cell r="AF1168"/>
        </row>
        <row r="1169"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  <cell r="N1169"/>
          <cell r="O1169"/>
          <cell r="P1169"/>
          <cell r="Q1169"/>
          <cell r="R1169"/>
          <cell r="S1169"/>
          <cell r="T1169"/>
          <cell r="U1169"/>
          <cell r="V1169"/>
          <cell r="W1169"/>
          <cell r="X1169"/>
          <cell r="Y1169"/>
          <cell r="Z1169"/>
          <cell r="AA1169"/>
          <cell r="AB1169"/>
          <cell r="AC1169"/>
          <cell r="AD1169"/>
          <cell r="AE1169"/>
          <cell r="AF1169"/>
        </row>
        <row r="1170"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  <cell r="N1170"/>
          <cell r="O1170"/>
          <cell r="P1170"/>
          <cell r="Q1170"/>
          <cell r="R1170"/>
          <cell r="S1170"/>
          <cell r="T1170"/>
          <cell r="U1170"/>
          <cell r="V1170"/>
          <cell r="W1170"/>
          <cell r="X1170"/>
          <cell r="Y1170"/>
          <cell r="Z1170"/>
          <cell r="AA1170"/>
          <cell r="AB1170"/>
          <cell r="AC1170"/>
          <cell r="AD1170"/>
          <cell r="AE1170"/>
          <cell r="AF1170"/>
        </row>
        <row r="1171"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  <cell r="N1171"/>
          <cell r="O1171"/>
          <cell r="P1171"/>
          <cell r="Q1171"/>
          <cell r="R1171"/>
          <cell r="S1171"/>
          <cell r="T1171"/>
          <cell r="U1171"/>
          <cell r="V1171"/>
          <cell r="W1171"/>
          <cell r="X1171"/>
          <cell r="Y1171"/>
          <cell r="Z1171"/>
          <cell r="AA1171"/>
          <cell r="AB1171"/>
          <cell r="AC1171"/>
          <cell r="AD1171"/>
          <cell r="AE1171"/>
          <cell r="AF1171"/>
        </row>
        <row r="1172"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  <cell r="N1172"/>
          <cell r="O1172"/>
          <cell r="P1172"/>
          <cell r="Q1172"/>
          <cell r="R1172"/>
          <cell r="S1172"/>
          <cell r="T1172"/>
          <cell r="U1172"/>
          <cell r="V1172"/>
          <cell r="W1172"/>
          <cell r="X1172"/>
          <cell r="Y1172"/>
          <cell r="Z1172"/>
          <cell r="AA1172"/>
          <cell r="AB1172"/>
          <cell r="AC1172"/>
          <cell r="AD1172"/>
          <cell r="AE1172"/>
          <cell r="AF1172"/>
        </row>
        <row r="1173"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  <cell r="N1173"/>
          <cell r="O1173"/>
          <cell r="P1173"/>
          <cell r="Q1173"/>
          <cell r="R1173"/>
          <cell r="S1173"/>
          <cell r="T1173"/>
          <cell r="U1173"/>
          <cell r="V1173"/>
          <cell r="W1173"/>
          <cell r="X1173"/>
          <cell r="Y1173"/>
          <cell r="Z1173"/>
          <cell r="AA1173"/>
          <cell r="AB1173"/>
          <cell r="AC1173"/>
          <cell r="AD1173"/>
          <cell r="AE1173"/>
          <cell r="AF1173"/>
        </row>
        <row r="1174"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  <cell r="N1174"/>
          <cell r="O1174"/>
          <cell r="P1174"/>
          <cell r="Q1174"/>
          <cell r="R1174"/>
          <cell r="S1174"/>
          <cell r="T1174"/>
          <cell r="U1174"/>
          <cell r="V1174"/>
          <cell r="W1174"/>
          <cell r="X1174"/>
          <cell r="Y1174"/>
          <cell r="Z1174"/>
          <cell r="AA1174"/>
          <cell r="AB1174"/>
          <cell r="AC1174"/>
          <cell r="AD1174"/>
          <cell r="AE1174"/>
          <cell r="AF1174"/>
        </row>
        <row r="1175"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  <cell r="N1175"/>
          <cell r="O1175"/>
          <cell r="P1175"/>
          <cell r="Q1175"/>
          <cell r="R1175"/>
          <cell r="S1175"/>
          <cell r="T1175"/>
          <cell r="U1175"/>
          <cell r="V1175"/>
          <cell r="W1175"/>
          <cell r="X1175"/>
          <cell r="Y1175"/>
          <cell r="Z1175"/>
          <cell r="AA1175"/>
          <cell r="AB1175"/>
          <cell r="AC1175"/>
          <cell r="AD1175"/>
          <cell r="AE1175"/>
          <cell r="AF1175"/>
        </row>
        <row r="1176"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  <cell r="N1176"/>
          <cell r="O1176"/>
          <cell r="P1176"/>
          <cell r="Q1176"/>
          <cell r="R1176"/>
          <cell r="S1176"/>
          <cell r="T1176"/>
          <cell r="U1176"/>
          <cell r="V1176"/>
          <cell r="W1176"/>
          <cell r="X1176"/>
          <cell r="Y1176"/>
          <cell r="Z1176"/>
          <cell r="AA1176"/>
          <cell r="AB1176"/>
          <cell r="AC1176"/>
          <cell r="AD1176"/>
          <cell r="AE1176"/>
          <cell r="AF1176"/>
        </row>
        <row r="1177"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  <cell r="N1177"/>
          <cell r="O1177"/>
          <cell r="P1177"/>
          <cell r="Q1177"/>
          <cell r="R1177"/>
          <cell r="S1177"/>
          <cell r="T1177"/>
          <cell r="U1177"/>
          <cell r="V1177"/>
          <cell r="W1177"/>
          <cell r="X1177"/>
          <cell r="Y1177"/>
          <cell r="Z1177"/>
          <cell r="AA1177"/>
          <cell r="AB1177"/>
          <cell r="AC1177"/>
          <cell r="AD1177"/>
          <cell r="AE1177"/>
          <cell r="AF1177"/>
        </row>
        <row r="1178"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  <cell r="N1178"/>
          <cell r="O1178"/>
          <cell r="P1178"/>
          <cell r="Q1178"/>
          <cell r="R1178"/>
          <cell r="S1178"/>
          <cell r="T1178"/>
          <cell r="U1178"/>
          <cell r="V1178"/>
          <cell r="W1178"/>
          <cell r="X1178"/>
          <cell r="Y1178"/>
          <cell r="Z1178"/>
          <cell r="AA1178"/>
          <cell r="AB1178"/>
          <cell r="AC1178"/>
          <cell r="AD1178"/>
          <cell r="AE1178"/>
          <cell r="AF1178"/>
        </row>
        <row r="1179"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  <cell r="N1179"/>
          <cell r="O1179"/>
          <cell r="P1179"/>
          <cell r="Q1179"/>
          <cell r="R1179"/>
          <cell r="S1179"/>
          <cell r="T1179"/>
          <cell r="U1179"/>
          <cell r="V1179"/>
          <cell r="W1179"/>
          <cell r="X1179"/>
          <cell r="Y1179"/>
          <cell r="Z1179"/>
          <cell r="AA1179"/>
          <cell r="AB1179"/>
          <cell r="AC1179"/>
          <cell r="AD1179"/>
          <cell r="AE1179"/>
          <cell r="AF1179"/>
        </row>
        <row r="1180"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  <cell r="N1180"/>
          <cell r="O1180"/>
          <cell r="P1180"/>
          <cell r="Q1180"/>
          <cell r="R1180"/>
          <cell r="S1180"/>
          <cell r="T1180"/>
          <cell r="U1180"/>
          <cell r="V1180"/>
          <cell r="W1180"/>
          <cell r="X1180"/>
          <cell r="Y1180"/>
          <cell r="Z1180"/>
          <cell r="AA1180"/>
          <cell r="AB1180"/>
          <cell r="AC1180"/>
          <cell r="AD1180"/>
          <cell r="AE1180"/>
          <cell r="AF1180"/>
        </row>
        <row r="1181"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  <cell r="N1181"/>
          <cell r="O1181"/>
          <cell r="P1181"/>
          <cell r="Q1181"/>
          <cell r="R1181"/>
          <cell r="S1181"/>
          <cell r="T1181"/>
          <cell r="U1181"/>
          <cell r="V1181"/>
          <cell r="W1181"/>
          <cell r="X1181"/>
          <cell r="Y1181"/>
          <cell r="Z1181"/>
          <cell r="AA1181"/>
          <cell r="AB1181"/>
          <cell r="AC1181"/>
          <cell r="AD1181"/>
          <cell r="AE1181"/>
          <cell r="AF1181"/>
        </row>
        <row r="1182"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  <cell r="N1182"/>
          <cell r="O1182"/>
          <cell r="P1182"/>
          <cell r="Q1182"/>
          <cell r="R1182"/>
          <cell r="S1182"/>
          <cell r="T1182"/>
          <cell r="U1182"/>
          <cell r="V1182"/>
          <cell r="W1182"/>
          <cell r="X1182"/>
          <cell r="Y1182"/>
          <cell r="Z1182"/>
          <cell r="AA1182"/>
          <cell r="AB1182"/>
          <cell r="AC1182"/>
          <cell r="AD1182"/>
          <cell r="AE1182"/>
          <cell r="AF1182"/>
        </row>
        <row r="1183"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  <cell r="N1183"/>
          <cell r="O1183"/>
          <cell r="P1183"/>
          <cell r="Q1183"/>
          <cell r="R1183"/>
          <cell r="S1183"/>
          <cell r="T1183"/>
          <cell r="U1183"/>
          <cell r="V1183"/>
          <cell r="W1183"/>
          <cell r="X1183"/>
          <cell r="Y1183"/>
          <cell r="Z1183"/>
          <cell r="AA1183"/>
          <cell r="AB1183"/>
          <cell r="AC1183"/>
          <cell r="AD1183"/>
          <cell r="AE1183"/>
          <cell r="AF1183"/>
        </row>
        <row r="1184"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  <cell r="N1184"/>
          <cell r="O1184"/>
          <cell r="P1184"/>
          <cell r="Q1184"/>
          <cell r="R1184"/>
          <cell r="S1184"/>
          <cell r="T1184"/>
          <cell r="U1184"/>
          <cell r="V1184"/>
          <cell r="W1184"/>
          <cell r="X1184"/>
          <cell r="Y1184"/>
          <cell r="Z1184"/>
          <cell r="AA1184"/>
          <cell r="AB1184"/>
          <cell r="AC1184"/>
          <cell r="AD1184"/>
          <cell r="AE1184"/>
          <cell r="AF1184"/>
        </row>
        <row r="1185"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  <cell r="N1185"/>
          <cell r="O1185"/>
          <cell r="P1185"/>
          <cell r="Q1185"/>
          <cell r="R1185"/>
          <cell r="S1185"/>
          <cell r="T1185"/>
          <cell r="U1185"/>
          <cell r="V1185"/>
          <cell r="W1185"/>
          <cell r="X1185"/>
          <cell r="Y1185"/>
          <cell r="Z1185"/>
          <cell r="AA1185"/>
          <cell r="AB1185"/>
          <cell r="AC1185"/>
          <cell r="AD1185"/>
          <cell r="AE1185"/>
          <cell r="AF1185"/>
        </row>
        <row r="1186"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  <cell r="N1186"/>
          <cell r="O1186"/>
          <cell r="P1186"/>
          <cell r="Q1186"/>
          <cell r="R1186"/>
          <cell r="S1186"/>
          <cell r="T1186"/>
          <cell r="U1186"/>
          <cell r="V1186"/>
          <cell r="W1186"/>
          <cell r="X1186"/>
          <cell r="Y1186"/>
          <cell r="Z1186"/>
          <cell r="AA1186"/>
          <cell r="AB1186"/>
          <cell r="AC1186"/>
          <cell r="AD1186"/>
          <cell r="AE1186"/>
          <cell r="AF1186"/>
        </row>
        <row r="1187"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  <cell r="N1187"/>
          <cell r="O1187"/>
          <cell r="P1187"/>
          <cell r="Q1187"/>
          <cell r="R1187"/>
          <cell r="S1187"/>
          <cell r="T1187"/>
          <cell r="U1187"/>
          <cell r="V1187"/>
          <cell r="W1187"/>
          <cell r="X1187"/>
          <cell r="Y1187"/>
          <cell r="Z1187"/>
          <cell r="AA1187"/>
          <cell r="AB1187"/>
          <cell r="AC1187"/>
          <cell r="AD1187"/>
          <cell r="AE1187"/>
          <cell r="AF1187"/>
        </row>
        <row r="1188"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  <cell r="N1188"/>
          <cell r="O1188"/>
          <cell r="P1188"/>
          <cell r="Q1188"/>
          <cell r="R1188"/>
          <cell r="S1188"/>
          <cell r="T1188"/>
          <cell r="U1188"/>
          <cell r="V1188"/>
          <cell r="W1188"/>
          <cell r="X1188"/>
          <cell r="Y1188"/>
          <cell r="Z1188"/>
          <cell r="AA1188"/>
          <cell r="AB1188"/>
          <cell r="AC1188"/>
          <cell r="AD1188"/>
          <cell r="AE1188"/>
          <cell r="AF1188"/>
        </row>
        <row r="1189"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  <cell r="N1189"/>
          <cell r="O1189"/>
          <cell r="P1189"/>
          <cell r="Q1189"/>
          <cell r="R1189"/>
          <cell r="S1189"/>
          <cell r="T1189"/>
          <cell r="U1189"/>
          <cell r="V1189"/>
          <cell r="W1189"/>
          <cell r="X1189"/>
          <cell r="Y1189"/>
          <cell r="Z1189"/>
          <cell r="AA1189"/>
          <cell r="AB1189"/>
          <cell r="AC1189"/>
          <cell r="AD1189"/>
          <cell r="AE1189"/>
          <cell r="AF1189"/>
        </row>
        <row r="1190"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  <cell r="N1190"/>
          <cell r="O1190"/>
          <cell r="P1190"/>
          <cell r="Q1190"/>
          <cell r="R1190"/>
          <cell r="S1190"/>
          <cell r="T1190"/>
          <cell r="U1190"/>
          <cell r="V1190"/>
          <cell r="W1190"/>
          <cell r="X1190"/>
          <cell r="Y1190"/>
          <cell r="Z1190"/>
          <cell r="AA1190"/>
          <cell r="AB1190"/>
          <cell r="AC1190"/>
          <cell r="AD1190"/>
          <cell r="AE1190"/>
          <cell r="AF1190"/>
        </row>
        <row r="1191"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  <cell r="N1191"/>
          <cell r="O1191"/>
          <cell r="P1191"/>
          <cell r="Q1191"/>
          <cell r="R1191"/>
          <cell r="S1191"/>
          <cell r="T1191"/>
          <cell r="U1191"/>
          <cell r="V1191"/>
          <cell r="W1191"/>
          <cell r="X1191"/>
          <cell r="Y1191"/>
          <cell r="Z1191"/>
          <cell r="AA1191"/>
          <cell r="AB1191"/>
          <cell r="AC1191"/>
          <cell r="AD1191"/>
          <cell r="AE1191"/>
          <cell r="AF1191"/>
        </row>
        <row r="1192"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  <cell r="N1192"/>
          <cell r="O1192"/>
          <cell r="P1192"/>
          <cell r="Q1192"/>
          <cell r="R1192"/>
          <cell r="S1192"/>
          <cell r="T1192"/>
          <cell r="U1192"/>
          <cell r="V1192"/>
          <cell r="W1192"/>
          <cell r="X1192"/>
          <cell r="Y1192"/>
          <cell r="Z1192"/>
          <cell r="AA1192"/>
          <cell r="AB1192"/>
          <cell r="AC1192"/>
          <cell r="AD1192"/>
          <cell r="AE1192"/>
          <cell r="AF1192"/>
        </row>
        <row r="1193"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  <cell r="N1193"/>
          <cell r="O1193"/>
          <cell r="P1193"/>
          <cell r="Q1193"/>
          <cell r="R1193"/>
          <cell r="S1193"/>
          <cell r="T1193"/>
          <cell r="U1193"/>
          <cell r="V1193"/>
          <cell r="W1193"/>
          <cell r="X1193"/>
          <cell r="Y1193"/>
          <cell r="Z1193"/>
          <cell r="AA1193"/>
          <cell r="AB1193"/>
          <cell r="AC1193"/>
          <cell r="AD1193"/>
          <cell r="AE1193"/>
          <cell r="AF1193"/>
        </row>
        <row r="1194"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  <cell r="N1194"/>
          <cell r="O1194"/>
          <cell r="P1194"/>
          <cell r="Q1194"/>
          <cell r="R1194"/>
          <cell r="S1194"/>
          <cell r="T1194"/>
          <cell r="U1194"/>
          <cell r="V1194"/>
          <cell r="W1194"/>
          <cell r="X1194"/>
          <cell r="Y1194"/>
          <cell r="Z1194"/>
          <cell r="AA1194"/>
          <cell r="AB1194"/>
          <cell r="AC1194"/>
          <cell r="AD1194"/>
          <cell r="AE1194"/>
          <cell r="AF1194"/>
        </row>
        <row r="1195"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  <cell r="N1195"/>
          <cell r="O1195"/>
          <cell r="P1195"/>
          <cell r="Q1195"/>
          <cell r="R1195"/>
          <cell r="S1195"/>
          <cell r="T1195"/>
          <cell r="U1195"/>
          <cell r="V1195"/>
          <cell r="W1195"/>
          <cell r="X1195"/>
          <cell r="Y1195"/>
          <cell r="Z1195"/>
          <cell r="AA1195"/>
          <cell r="AB1195"/>
          <cell r="AC1195"/>
          <cell r="AD1195"/>
          <cell r="AE1195"/>
          <cell r="AF1195"/>
        </row>
        <row r="1196"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  <cell r="N1196"/>
          <cell r="O1196"/>
          <cell r="P1196"/>
          <cell r="Q1196"/>
          <cell r="R1196"/>
          <cell r="S1196"/>
          <cell r="T1196"/>
          <cell r="U1196"/>
          <cell r="V1196"/>
          <cell r="W1196"/>
          <cell r="X1196"/>
          <cell r="Y1196"/>
          <cell r="Z1196"/>
          <cell r="AA1196"/>
          <cell r="AB1196"/>
          <cell r="AC1196"/>
          <cell r="AD1196"/>
          <cell r="AE1196"/>
          <cell r="AF1196"/>
        </row>
        <row r="1197"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  <cell r="N1197"/>
          <cell r="O1197"/>
          <cell r="P1197"/>
          <cell r="Q1197"/>
          <cell r="R1197"/>
          <cell r="S1197"/>
          <cell r="T1197"/>
          <cell r="U1197"/>
          <cell r="V1197"/>
          <cell r="W1197"/>
          <cell r="X1197"/>
          <cell r="Y1197"/>
          <cell r="Z1197"/>
          <cell r="AA1197"/>
          <cell r="AB1197"/>
          <cell r="AC1197"/>
          <cell r="AD1197"/>
          <cell r="AE1197"/>
          <cell r="AF1197"/>
        </row>
        <row r="1198"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  <cell r="N1198"/>
          <cell r="O1198"/>
          <cell r="P1198"/>
          <cell r="Q1198"/>
          <cell r="R1198"/>
          <cell r="S1198"/>
          <cell r="T1198"/>
          <cell r="U1198"/>
          <cell r="V1198"/>
          <cell r="W1198"/>
          <cell r="X1198"/>
          <cell r="Y1198"/>
          <cell r="Z1198"/>
          <cell r="AA1198"/>
          <cell r="AB1198"/>
          <cell r="AC1198"/>
          <cell r="AD1198"/>
          <cell r="AE1198"/>
          <cell r="AF1198"/>
        </row>
        <row r="1199"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  <cell r="N1199"/>
          <cell r="O1199"/>
          <cell r="P1199"/>
          <cell r="Q1199"/>
          <cell r="R1199"/>
          <cell r="S1199"/>
          <cell r="T1199"/>
          <cell r="U1199"/>
          <cell r="V1199"/>
          <cell r="W1199"/>
          <cell r="X1199"/>
          <cell r="Y1199"/>
          <cell r="Z1199"/>
          <cell r="AA1199"/>
          <cell r="AB1199"/>
          <cell r="AC1199"/>
          <cell r="AD1199"/>
          <cell r="AE1199"/>
          <cell r="AF1199"/>
        </row>
        <row r="1200"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  <cell r="N1200"/>
          <cell r="O1200"/>
          <cell r="P1200"/>
          <cell r="Q1200"/>
          <cell r="R1200"/>
          <cell r="S1200"/>
          <cell r="T1200"/>
          <cell r="U1200"/>
          <cell r="V1200"/>
          <cell r="W1200"/>
          <cell r="X1200"/>
          <cell r="Y1200"/>
          <cell r="Z1200"/>
          <cell r="AA1200"/>
          <cell r="AB1200"/>
          <cell r="AC1200"/>
          <cell r="AD1200"/>
          <cell r="AE1200"/>
          <cell r="AF1200"/>
        </row>
        <row r="1201"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  <cell r="N1201"/>
          <cell r="O1201"/>
          <cell r="P1201"/>
          <cell r="Q1201"/>
          <cell r="R1201"/>
          <cell r="S1201"/>
          <cell r="T1201"/>
          <cell r="U1201"/>
          <cell r="V1201"/>
          <cell r="W1201"/>
          <cell r="X1201"/>
          <cell r="Y1201"/>
          <cell r="Z1201"/>
          <cell r="AA1201"/>
          <cell r="AB1201"/>
          <cell r="AC1201"/>
          <cell r="AD1201"/>
          <cell r="AE1201"/>
          <cell r="AF1201"/>
        </row>
        <row r="1202"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  <cell r="N1202"/>
          <cell r="O1202"/>
          <cell r="P1202"/>
          <cell r="Q1202"/>
          <cell r="R1202"/>
          <cell r="S1202"/>
          <cell r="T1202"/>
          <cell r="U1202"/>
          <cell r="V1202"/>
          <cell r="W1202"/>
          <cell r="X1202"/>
          <cell r="Y1202"/>
          <cell r="Z1202"/>
          <cell r="AA1202"/>
          <cell r="AB1202"/>
          <cell r="AC1202"/>
          <cell r="AD1202"/>
          <cell r="AE1202"/>
          <cell r="AF1202"/>
        </row>
        <row r="1203"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  <cell r="N1203"/>
          <cell r="O1203"/>
          <cell r="P1203"/>
          <cell r="Q1203"/>
          <cell r="R1203"/>
          <cell r="S1203"/>
          <cell r="T1203"/>
          <cell r="U1203"/>
          <cell r="V1203"/>
          <cell r="W1203"/>
          <cell r="X1203"/>
          <cell r="Y1203"/>
          <cell r="Z1203"/>
          <cell r="AA1203"/>
          <cell r="AB1203"/>
          <cell r="AC1203"/>
          <cell r="AD1203"/>
          <cell r="AE1203"/>
          <cell r="AF1203"/>
        </row>
        <row r="1204"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  <cell r="N1204"/>
          <cell r="O1204"/>
          <cell r="P1204"/>
          <cell r="Q1204"/>
          <cell r="R1204"/>
          <cell r="S1204"/>
          <cell r="T1204"/>
          <cell r="U1204"/>
          <cell r="V1204"/>
          <cell r="W1204"/>
          <cell r="X1204"/>
          <cell r="Y1204"/>
          <cell r="Z1204"/>
          <cell r="AA1204"/>
          <cell r="AB1204"/>
          <cell r="AC1204"/>
          <cell r="AD1204"/>
          <cell r="AE1204"/>
          <cell r="AF1204"/>
        </row>
        <row r="1205"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  <cell r="N1205"/>
          <cell r="O1205"/>
          <cell r="P1205"/>
          <cell r="Q1205"/>
          <cell r="R1205"/>
          <cell r="S1205"/>
          <cell r="T1205"/>
          <cell r="U1205"/>
          <cell r="V1205"/>
          <cell r="W1205"/>
          <cell r="X1205"/>
          <cell r="Y1205"/>
          <cell r="Z1205"/>
          <cell r="AA1205"/>
          <cell r="AB1205"/>
          <cell r="AC1205"/>
          <cell r="AD1205"/>
          <cell r="AE1205"/>
          <cell r="AF1205"/>
        </row>
        <row r="1206"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  <cell r="N1206"/>
          <cell r="O1206"/>
          <cell r="P1206"/>
          <cell r="Q1206"/>
          <cell r="R1206"/>
          <cell r="S1206"/>
          <cell r="T1206"/>
          <cell r="U1206"/>
          <cell r="V1206"/>
          <cell r="W1206"/>
          <cell r="X1206"/>
          <cell r="Y1206"/>
          <cell r="Z1206"/>
          <cell r="AA1206"/>
          <cell r="AB1206"/>
          <cell r="AC1206"/>
          <cell r="AD1206"/>
          <cell r="AE1206"/>
          <cell r="AF1206"/>
        </row>
        <row r="1207"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  <cell r="N1207"/>
          <cell r="O1207"/>
          <cell r="P1207"/>
          <cell r="Q1207"/>
          <cell r="R1207"/>
          <cell r="S1207"/>
          <cell r="T1207"/>
          <cell r="U1207"/>
          <cell r="V1207"/>
          <cell r="W1207"/>
          <cell r="X1207"/>
          <cell r="Y1207"/>
          <cell r="Z1207"/>
          <cell r="AA1207"/>
          <cell r="AB1207"/>
          <cell r="AC1207"/>
          <cell r="AD1207"/>
          <cell r="AE1207"/>
          <cell r="AF1207"/>
        </row>
        <row r="1208"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  <cell r="N1208"/>
          <cell r="O1208"/>
          <cell r="P1208"/>
          <cell r="Q1208"/>
          <cell r="R1208"/>
          <cell r="S1208"/>
          <cell r="T1208"/>
          <cell r="U1208"/>
          <cell r="V1208"/>
          <cell r="W1208"/>
          <cell r="X1208"/>
          <cell r="Y1208"/>
          <cell r="Z1208"/>
          <cell r="AA1208"/>
          <cell r="AB1208"/>
          <cell r="AC1208"/>
          <cell r="AD1208"/>
          <cell r="AE1208"/>
          <cell r="AF1208"/>
        </row>
        <row r="1209"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  <cell r="N1209"/>
          <cell r="O1209"/>
          <cell r="P1209"/>
          <cell r="Q1209"/>
          <cell r="R1209"/>
          <cell r="S1209"/>
          <cell r="T1209"/>
          <cell r="U1209"/>
          <cell r="V1209"/>
          <cell r="W1209"/>
          <cell r="X1209"/>
          <cell r="Y1209"/>
          <cell r="Z1209"/>
          <cell r="AA1209"/>
          <cell r="AB1209"/>
          <cell r="AC1209"/>
          <cell r="AD1209"/>
          <cell r="AE1209"/>
          <cell r="AF1209"/>
        </row>
        <row r="1210"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  <cell r="N1210"/>
          <cell r="O1210"/>
          <cell r="P1210"/>
          <cell r="Q1210"/>
          <cell r="R1210"/>
          <cell r="S1210"/>
          <cell r="T1210"/>
          <cell r="U1210"/>
          <cell r="V1210"/>
          <cell r="W1210"/>
          <cell r="X1210"/>
          <cell r="Y1210"/>
          <cell r="Z1210"/>
          <cell r="AA1210"/>
          <cell r="AB1210"/>
          <cell r="AC1210"/>
          <cell r="AD1210"/>
          <cell r="AE1210"/>
          <cell r="AF1210"/>
        </row>
        <row r="1211"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  <cell r="N1211"/>
          <cell r="O1211"/>
          <cell r="P1211"/>
          <cell r="Q1211"/>
          <cell r="R1211"/>
          <cell r="S1211"/>
          <cell r="T1211"/>
          <cell r="U1211"/>
          <cell r="V1211"/>
          <cell r="W1211"/>
          <cell r="X1211"/>
          <cell r="Y1211"/>
          <cell r="Z1211"/>
          <cell r="AA1211"/>
          <cell r="AB1211"/>
          <cell r="AC1211"/>
          <cell r="AD1211"/>
          <cell r="AE1211"/>
          <cell r="AF1211"/>
        </row>
        <row r="1212"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  <cell r="N1212"/>
          <cell r="O1212"/>
          <cell r="P1212"/>
          <cell r="Q1212"/>
          <cell r="R1212"/>
          <cell r="S1212"/>
          <cell r="T1212"/>
          <cell r="U1212"/>
          <cell r="V1212"/>
          <cell r="W1212"/>
          <cell r="X1212"/>
          <cell r="Y1212"/>
          <cell r="Z1212"/>
          <cell r="AA1212"/>
          <cell r="AB1212"/>
          <cell r="AC1212"/>
          <cell r="AD1212"/>
          <cell r="AE1212"/>
          <cell r="AF1212"/>
        </row>
        <row r="1213"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  <cell r="N1213"/>
          <cell r="O1213"/>
          <cell r="P1213"/>
          <cell r="Q1213"/>
          <cell r="R1213"/>
          <cell r="S1213"/>
          <cell r="T1213"/>
          <cell r="U1213"/>
          <cell r="V1213"/>
          <cell r="W1213"/>
          <cell r="X1213"/>
          <cell r="Y1213"/>
          <cell r="Z1213"/>
          <cell r="AA1213"/>
          <cell r="AB1213"/>
          <cell r="AC1213"/>
          <cell r="AD1213"/>
          <cell r="AE1213"/>
          <cell r="AF1213"/>
        </row>
        <row r="1214"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  <cell r="N1214"/>
          <cell r="O1214"/>
          <cell r="P1214"/>
          <cell r="Q1214"/>
          <cell r="R1214"/>
          <cell r="S1214"/>
          <cell r="T1214"/>
          <cell r="U1214"/>
          <cell r="V1214"/>
          <cell r="W1214"/>
          <cell r="X1214"/>
          <cell r="Y1214"/>
          <cell r="Z1214"/>
          <cell r="AA1214"/>
          <cell r="AB1214"/>
          <cell r="AC1214"/>
          <cell r="AD1214"/>
          <cell r="AE1214"/>
          <cell r="AF1214"/>
        </row>
        <row r="1215"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  <cell r="N1215"/>
          <cell r="O1215"/>
          <cell r="P1215"/>
          <cell r="Q1215"/>
          <cell r="R1215"/>
          <cell r="S1215"/>
          <cell r="T1215"/>
          <cell r="U1215"/>
          <cell r="V1215"/>
          <cell r="W1215"/>
          <cell r="X1215"/>
          <cell r="Y1215"/>
          <cell r="Z1215"/>
          <cell r="AA1215"/>
          <cell r="AB1215"/>
          <cell r="AC1215"/>
          <cell r="AD1215"/>
          <cell r="AE1215"/>
          <cell r="AF1215"/>
        </row>
        <row r="1216"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  <cell r="N1216"/>
          <cell r="O1216"/>
          <cell r="P1216"/>
          <cell r="Q1216"/>
          <cell r="R1216"/>
          <cell r="S1216"/>
          <cell r="T1216"/>
          <cell r="U1216"/>
          <cell r="V1216"/>
          <cell r="W1216"/>
          <cell r="X1216"/>
          <cell r="Y1216"/>
          <cell r="Z1216"/>
          <cell r="AA1216"/>
          <cell r="AB1216"/>
          <cell r="AC1216"/>
          <cell r="AD1216"/>
          <cell r="AE1216"/>
          <cell r="AF1216"/>
        </row>
        <row r="1217"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  <cell r="N1217"/>
          <cell r="O1217"/>
          <cell r="P1217"/>
          <cell r="Q1217"/>
          <cell r="R1217"/>
          <cell r="S1217"/>
          <cell r="T1217"/>
          <cell r="U1217"/>
          <cell r="V1217"/>
          <cell r="W1217"/>
          <cell r="X1217"/>
          <cell r="Y1217"/>
          <cell r="Z1217"/>
          <cell r="AA1217"/>
          <cell r="AB1217"/>
          <cell r="AC1217"/>
          <cell r="AD1217"/>
          <cell r="AE1217"/>
          <cell r="AF1217"/>
        </row>
        <row r="1218"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  <cell r="N1218"/>
          <cell r="O1218"/>
          <cell r="P1218"/>
          <cell r="Q1218"/>
          <cell r="R1218"/>
          <cell r="S1218"/>
          <cell r="T1218"/>
          <cell r="U1218"/>
          <cell r="V1218"/>
          <cell r="W1218"/>
          <cell r="X1218"/>
          <cell r="Y1218"/>
          <cell r="Z1218"/>
          <cell r="AA1218"/>
          <cell r="AB1218"/>
          <cell r="AC1218"/>
          <cell r="AD1218"/>
          <cell r="AE1218"/>
          <cell r="AF1218"/>
        </row>
        <row r="1219"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  <cell r="N1219"/>
          <cell r="O1219"/>
          <cell r="P1219"/>
          <cell r="Q1219"/>
          <cell r="R1219"/>
          <cell r="S1219"/>
          <cell r="T1219"/>
          <cell r="U1219"/>
          <cell r="V1219"/>
          <cell r="W1219"/>
          <cell r="X1219"/>
          <cell r="Y1219"/>
          <cell r="Z1219"/>
          <cell r="AA1219"/>
          <cell r="AB1219"/>
          <cell r="AC1219"/>
          <cell r="AD1219"/>
          <cell r="AE1219"/>
          <cell r="AF1219"/>
        </row>
        <row r="1220"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  <cell r="N1220"/>
          <cell r="O1220"/>
          <cell r="P1220"/>
          <cell r="Q1220"/>
          <cell r="R1220"/>
          <cell r="S1220"/>
          <cell r="T1220"/>
          <cell r="U1220"/>
          <cell r="V1220"/>
          <cell r="W1220"/>
          <cell r="X1220"/>
          <cell r="Y1220"/>
          <cell r="Z1220"/>
          <cell r="AA1220"/>
          <cell r="AB1220"/>
          <cell r="AC1220"/>
          <cell r="AD1220"/>
          <cell r="AE1220"/>
          <cell r="AF1220"/>
        </row>
        <row r="1221"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  <cell r="N1221"/>
          <cell r="O1221"/>
          <cell r="P1221"/>
          <cell r="Q1221"/>
          <cell r="R1221"/>
          <cell r="S1221"/>
          <cell r="T1221"/>
          <cell r="U1221"/>
          <cell r="V1221"/>
          <cell r="W1221"/>
          <cell r="X1221"/>
          <cell r="Y1221"/>
          <cell r="Z1221"/>
          <cell r="AA1221"/>
          <cell r="AB1221"/>
          <cell r="AC1221"/>
          <cell r="AD1221"/>
          <cell r="AE1221"/>
          <cell r="AF1221"/>
        </row>
        <row r="1222"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  <cell r="N1222"/>
          <cell r="O1222"/>
          <cell r="P1222"/>
          <cell r="Q1222"/>
          <cell r="R1222"/>
          <cell r="S1222"/>
          <cell r="T1222"/>
          <cell r="U1222"/>
          <cell r="V1222"/>
          <cell r="W1222"/>
          <cell r="X1222"/>
          <cell r="Y1222"/>
          <cell r="Z1222"/>
          <cell r="AA1222"/>
          <cell r="AB1222"/>
          <cell r="AC1222"/>
          <cell r="AD1222"/>
          <cell r="AE1222"/>
          <cell r="AF1222"/>
        </row>
        <row r="1223"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  <cell r="N1223"/>
          <cell r="O1223"/>
          <cell r="P1223"/>
          <cell r="Q1223"/>
          <cell r="R1223"/>
          <cell r="S1223"/>
          <cell r="T1223"/>
          <cell r="U1223"/>
          <cell r="V1223"/>
          <cell r="W1223"/>
          <cell r="X1223"/>
          <cell r="Y1223"/>
          <cell r="Z1223"/>
          <cell r="AA1223"/>
          <cell r="AB1223"/>
          <cell r="AC1223"/>
          <cell r="AD1223"/>
          <cell r="AE1223"/>
          <cell r="AF1223"/>
        </row>
        <row r="1224"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  <cell r="N1224"/>
          <cell r="O1224"/>
          <cell r="P1224"/>
          <cell r="Q1224"/>
          <cell r="R1224"/>
          <cell r="S1224"/>
          <cell r="T1224"/>
          <cell r="U1224"/>
          <cell r="V1224"/>
          <cell r="W1224"/>
          <cell r="X1224"/>
          <cell r="Y1224"/>
          <cell r="Z1224"/>
          <cell r="AA1224"/>
          <cell r="AB1224"/>
          <cell r="AC1224"/>
          <cell r="AD1224"/>
          <cell r="AE1224"/>
          <cell r="AF1224"/>
        </row>
        <row r="1225"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  <cell r="N1225"/>
          <cell r="O1225"/>
          <cell r="P1225"/>
          <cell r="Q1225"/>
          <cell r="R1225"/>
          <cell r="S1225"/>
          <cell r="T1225"/>
          <cell r="U1225"/>
          <cell r="V1225"/>
          <cell r="W1225"/>
          <cell r="X1225"/>
          <cell r="Y1225"/>
          <cell r="Z1225"/>
          <cell r="AA1225"/>
          <cell r="AB1225"/>
          <cell r="AC1225"/>
          <cell r="AD1225"/>
          <cell r="AE1225"/>
          <cell r="AF1225"/>
        </row>
        <row r="1226"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  <cell r="N1226"/>
          <cell r="O1226"/>
          <cell r="P1226"/>
          <cell r="Q1226"/>
          <cell r="R1226"/>
          <cell r="S1226"/>
          <cell r="T1226"/>
          <cell r="U1226"/>
          <cell r="V1226"/>
          <cell r="W1226"/>
          <cell r="X1226"/>
          <cell r="Y1226"/>
          <cell r="Z1226"/>
          <cell r="AA1226"/>
          <cell r="AB1226"/>
          <cell r="AC1226"/>
          <cell r="AD1226"/>
          <cell r="AE1226"/>
          <cell r="AF1226"/>
        </row>
        <row r="1227"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  <cell r="N1227"/>
          <cell r="O1227"/>
          <cell r="P1227"/>
          <cell r="Q1227"/>
          <cell r="R1227"/>
          <cell r="S1227"/>
          <cell r="T1227"/>
          <cell r="U1227"/>
          <cell r="V1227"/>
          <cell r="W1227"/>
          <cell r="X1227"/>
          <cell r="Y1227"/>
          <cell r="Z1227"/>
          <cell r="AA1227"/>
          <cell r="AB1227"/>
          <cell r="AC1227"/>
          <cell r="AD1227"/>
          <cell r="AE1227"/>
          <cell r="AF1227"/>
        </row>
        <row r="1228"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  <cell r="N1228"/>
          <cell r="O1228"/>
          <cell r="P1228"/>
          <cell r="Q1228"/>
          <cell r="R1228"/>
          <cell r="S1228"/>
          <cell r="T1228"/>
          <cell r="U1228"/>
          <cell r="V1228"/>
          <cell r="W1228"/>
          <cell r="X1228"/>
          <cell r="Y1228"/>
          <cell r="Z1228"/>
          <cell r="AA1228"/>
          <cell r="AB1228"/>
          <cell r="AC1228"/>
          <cell r="AD1228"/>
          <cell r="AE1228"/>
          <cell r="AF1228"/>
        </row>
        <row r="1229"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  <cell r="N1229"/>
          <cell r="O1229"/>
          <cell r="P1229"/>
          <cell r="Q1229"/>
          <cell r="R1229"/>
          <cell r="S1229"/>
          <cell r="T1229"/>
          <cell r="U1229"/>
          <cell r="V1229"/>
          <cell r="W1229"/>
          <cell r="X1229"/>
          <cell r="Y1229"/>
          <cell r="Z1229"/>
          <cell r="AA1229"/>
          <cell r="AB1229"/>
          <cell r="AC1229"/>
          <cell r="AD1229"/>
          <cell r="AE1229"/>
          <cell r="AF1229"/>
        </row>
        <row r="1230"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  <cell r="N1230"/>
          <cell r="O1230"/>
          <cell r="P1230"/>
          <cell r="Q1230"/>
          <cell r="R1230"/>
          <cell r="S1230"/>
          <cell r="T1230"/>
          <cell r="U1230"/>
          <cell r="V1230"/>
          <cell r="W1230"/>
          <cell r="X1230"/>
          <cell r="Y1230"/>
          <cell r="Z1230"/>
          <cell r="AA1230"/>
          <cell r="AB1230"/>
          <cell r="AC1230"/>
          <cell r="AD1230"/>
          <cell r="AE1230"/>
          <cell r="AF1230"/>
        </row>
        <row r="1231"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  <cell r="N1231"/>
          <cell r="O1231"/>
          <cell r="P1231"/>
          <cell r="Q1231"/>
          <cell r="R1231"/>
          <cell r="S1231"/>
          <cell r="T1231"/>
          <cell r="U1231"/>
          <cell r="V1231"/>
          <cell r="W1231"/>
          <cell r="X1231"/>
          <cell r="Y1231"/>
          <cell r="Z1231"/>
          <cell r="AA1231"/>
          <cell r="AB1231"/>
          <cell r="AC1231"/>
          <cell r="AD1231"/>
          <cell r="AE1231"/>
          <cell r="AF1231"/>
        </row>
        <row r="1232"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  <cell r="N1232"/>
          <cell r="O1232"/>
          <cell r="P1232"/>
          <cell r="Q1232"/>
          <cell r="R1232"/>
          <cell r="S1232"/>
          <cell r="T1232"/>
          <cell r="U1232"/>
          <cell r="V1232"/>
          <cell r="W1232"/>
          <cell r="X1232"/>
          <cell r="Y1232"/>
          <cell r="Z1232"/>
          <cell r="AA1232"/>
          <cell r="AB1232"/>
          <cell r="AC1232"/>
          <cell r="AD1232"/>
          <cell r="AE1232"/>
          <cell r="AF1232"/>
        </row>
        <row r="1233"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  <cell r="N1233"/>
          <cell r="O1233"/>
          <cell r="P1233"/>
          <cell r="Q1233"/>
          <cell r="R1233"/>
          <cell r="S1233"/>
          <cell r="T1233"/>
          <cell r="U1233"/>
          <cell r="V1233"/>
          <cell r="W1233"/>
          <cell r="X1233"/>
          <cell r="Y1233"/>
          <cell r="Z1233"/>
          <cell r="AA1233"/>
          <cell r="AB1233"/>
          <cell r="AC1233"/>
          <cell r="AD1233"/>
          <cell r="AE1233"/>
          <cell r="AF1233"/>
        </row>
        <row r="1234"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  <cell r="N1234"/>
          <cell r="O1234"/>
          <cell r="P1234"/>
          <cell r="Q1234"/>
          <cell r="R1234"/>
          <cell r="S1234"/>
          <cell r="T1234"/>
          <cell r="U1234"/>
          <cell r="V1234"/>
          <cell r="W1234"/>
          <cell r="X1234"/>
          <cell r="Y1234"/>
          <cell r="Z1234"/>
          <cell r="AA1234"/>
          <cell r="AB1234"/>
          <cell r="AC1234"/>
          <cell r="AD1234"/>
          <cell r="AE1234"/>
          <cell r="AF1234"/>
        </row>
        <row r="1235"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  <cell r="N1235"/>
          <cell r="O1235"/>
          <cell r="P1235"/>
          <cell r="Q1235"/>
          <cell r="R1235"/>
          <cell r="S1235"/>
          <cell r="T1235"/>
          <cell r="U1235"/>
          <cell r="V1235"/>
          <cell r="W1235"/>
          <cell r="X1235"/>
          <cell r="Y1235"/>
          <cell r="Z1235"/>
          <cell r="AA1235"/>
          <cell r="AB1235"/>
          <cell r="AC1235"/>
          <cell r="AD1235"/>
          <cell r="AE1235"/>
          <cell r="AF1235"/>
        </row>
        <row r="1236"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  <cell r="N1236"/>
          <cell r="O1236"/>
          <cell r="P1236"/>
          <cell r="Q1236"/>
          <cell r="R1236"/>
          <cell r="S1236"/>
          <cell r="T1236"/>
          <cell r="U1236"/>
          <cell r="V1236"/>
          <cell r="W1236"/>
          <cell r="X1236"/>
          <cell r="Y1236"/>
          <cell r="Z1236"/>
          <cell r="AA1236"/>
          <cell r="AB1236"/>
          <cell r="AC1236"/>
          <cell r="AD1236"/>
          <cell r="AE1236"/>
          <cell r="AF1236"/>
        </row>
        <row r="1237"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  <cell r="N1237"/>
          <cell r="O1237"/>
          <cell r="P1237"/>
          <cell r="Q1237"/>
          <cell r="R1237"/>
          <cell r="S1237"/>
          <cell r="T1237"/>
          <cell r="U1237"/>
          <cell r="V1237"/>
          <cell r="W1237"/>
          <cell r="X1237"/>
          <cell r="Y1237"/>
          <cell r="Z1237"/>
          <cell r="AA1237"/>
          <cell r="AB1237"/>
          <cell r="AC1237"/>
          <cell r="AD1237"/>
          <cell r="AE1237"/>
          <cell r="AF1237"/>
        </row>
        <row r="1238"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  <cell r="N1238"/>
          <cell r="O1238"/>
          <cell r="P1238"/>
          <cell r="Q1238"/>
          <cell r="R1238"/>
          <cell r="S1238"/>
          <cell r="T1238"/>
          <cell r="U1238"/>
          <cell r="V1238"/>
          <cell r="W1238"/>
          <cell r="X1238"/>
          <cell r="Y1238"/>
          <cell r="Z1238"/>
          <cell r="AA1238"/>
          <cell r="AB1238"/>
          <cell r="AC1238"/>
          <cell r="AD1238"/>
          <cell r="AE1238"/>
          <cell r="AF1238"/>
        </row>
        <row r="1239"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  <cell r="N1239"/>
          <cell r="O1239"/>
          <cell r="P1239"/>
          <cell r="Q1239"/>
          <cell r="R1239"/>
          <cell r="S1239"/>
          <cell r="T1239"/>
          <cell r="U1239"/>
          <cell r="V1239"/>
          <cell r="W1239"/>
          <cell r="X1239"/>
          <cell r="Y1239"/>
          <cell r="Z1239"/>
          <cell r="AA1239"/>
          <cell r="AB1239"/>
          <cell r="AC1239"/>
          <cell r="AD1239"/>
          <cell r="AE1239"/>
          <cell r="AF1239"/>
        </row>
        <row r="1240"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  <cell r="N1240"/>
          <cell r="O1240"/>
          <cell r="P1240"/>
          <cell r="Q1240"/>
          <cell r="R1240"/>
          <cell r="S1240"/>
          <cell r="T1240"/>
          <cell r="U1240"/>
          <cell r="V1240"/>
          <cell r="W1240"/>
          <cell r="X1240"/>
          <cell r="Y1240"/>
          <cell r="Z1240"/>
          <cell r="AA1240"/>
          <cell r="AB1240"/>
          <cell r="AC1240"/>
          <cell r="AD1240"/>
          <cell r="AE1240"/>
          <cell r="AF1240"/>
        </row>
        <row r="1241"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  <cell r="N1241"/>
          <cell r="O1241"/>
          <cell r="P1241"/>
          <cell r="Q1241"/>
          <cell r="R1241"/>
          <cell r="S1241"/>
          <cell r="T1241"/>
          <cell r="U1241"/>
          <cell r="V1241"/>
          <cell r="W1241"/>
          <cell r="X1241"/>
          <cell r="Y1241"/>
          <cell r="Z1241"/>
          <cell r="AA1241"/>
          <cell r="AB1241"/>
          <cell r="AC1241"/>
          <cell r="AD1241"/>
          <cell r="AE1241"/>
          <cell r="AF1241"/>
        </row>
        <row r="1242"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  <cell r="N1242"/>
          <cell r="O1242"/>
          <cell r="P1242"/>
          <cell r="Q1242"/>
          <cell r="R1242"/>
          <cell r="S1242"/>
          <cell r="T1242"/>
          <cell r="U1242"/>
          <cell r="V1242"/>
          <cell r="W1242"/>
          <cell r="X1242"/>
          <cell r="Y1242"/>
          <cell r="Z1242"/>
          <cell r="AA1242"/>
          <cell r="AB1242"/>
          <cell r="AC1242"/>
          <cell r="AD1242"/>
          <cell r="AE1242"/>
          <cell r="AF1242"/>
        </row>
        <row r="1243"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  <cell r="N1243"/>
          <cell r="O1243"/>
          <cell r="P1243"/>
          <cell r="Q1243"/>
          <cell r="R1243"/>
          <cell r="S1243"/>
          <cell r="T1243"/>
          <cell r="U1243"/>
          <cell r="V1243"/>
          <cell r="W1243"/>
          <cell r="X1243"/>
          <cell r="Y1243"/>
          <cell r="Z1243"/>
          <cell r="AA1243"/>
          <cell r="AB1243"/>
          <cell r="AC1243"/>
          <cell r="AD1243"/>
          <cell r="AE1243"/>
          <cell r="AF1243"/>
        </row>
        <row r="1244"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  <cell r="N1244"/>
          <cell r="O1244"/>
          <cell r="P1244"/>
          <cell r="Q1244"/>
          <cell r="R1244"/>
          <cell r="S1244"/>
          <cell r="T1244"/>
          <cell r="U1244"/>
          <cell r="V1244"/>
          <cell r="W1244"/>
          <cell r="X1244"/>
          <cell r="Y1244"/>
          <cell r="Z1244"/>
          <cell r="AA1244"/>
          <cell r="AB1244"/>
          <cell r="AC1244"/>
          <cell r="AD1244"/>
          <cell r="AE1244"/>
          <cell r="AF1244"/>
        </row>
        <row r="1245"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  <cell r="N1245"/>
          <cell r="O1245"/>
          <cell r="P1245"/>
          <cell r="Q1245"/>
          <cell r="R1245"/>
          <cell r="S1245"/>
          <cell r="T1245"/>
          <cell r="U1245"/>
          <cell r="V1245"/>
          <cell r="W1245"/>
          <cell r="X1245"/>
          <cell r="Y1245"/>
          <cell r="Z1245"/>
          <cell r="AA1245"/>
          <cell r="AB1245"/>
          <cell r="AC1245"/>
          <cell r="AD1245"/>
          <cell r="AE1245"/>
          <cell r="AF1245"/>
        </row>
        <row r="1246"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  <cell r="N1246"/>
          <cell r="O1246"/>
          <cell r="P1246"/>
          <cell r="Q1246"/>
          <cell r="R1246"/>
          <cell r="S1246"/>
          <cell r="T1246"/>
          <cell r="U1246"/>
          <cell r="V1246"/>
          <cell r="W1246"/>
          <cell r="X1246"/>
          <cell r="Y1246"/>
          <cell r="Z1246"/>
          <cell r="AA1246"/>
          <cell r="AB1246"/>
          <cell r="AC1246"/>
          <cell r="AD1246"/>
          <cell r="AE1246"/>
          <cell r="AF1246"/>
        </row>
        <row r="1247"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  <cell r="N1247"/>
          <cell r="O1247"/>
          <cell r="P1247"/>
          <cell r="Q1247"/>
          <cell r="R1247"/>
          <cell r="S1247"/>
          <cell r="T1247"/>
          <cell r="U1247"/>
          <cell r="V1247"/>
          <cell r="W1247"/>
          <cell r="X1247"/>
          <cell r="Y1247"/>
          <cell r="Z1247"/>
          <cell r="AA1247"/>
          <cell r="AB1247"/>
          <cell r="AC1247"/>
          <cell r="AD1247"/>
          <cell r="AE1247"/>
          <cell r="AF1247"/>
        </row>
        <row r="1248"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  <cell r="N1248"/>
          <cell r="O1248"/>
          <cell r="P1248"/>
          <cell r="Q1248"/>
          <cell r="R1248"/>
          <cell r="S1248"/>
          <cell r="T1248"/>
          <cell r="U1248"/>
          <cell r="V1248"/>
          <cell r="W1248"/>
          <cell r="X1248"/>
          <cell r="Y1248"/>
          <cell r="Z1248"/>
          <cell r="AA1248"/>
          <cell r="AB1248"/>
          <cell r="AC1248"/>
          <cell r="AD1248"/>
          <cell r="AE1248"/>
          <cell r="AF1248"/>
        </row>
        <row r="1249"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  <cell r="N1249"/>
          <cell r="O1249"/>
          <cell r="P1249"/>
          <cell r="Q1249"/>
          <cell r="R1249"/>
          <cell r="S1249"/>
          <cell r="T1249"/>
          <cell r="U1249"/>
          <cell r="V1249"/>
          <cell r="W1249"/>
          <cell r="X1249"/>
          <cell r="Y1249"/>
          <cell r="Z1249"/>
          <cell r="AA1249"/>
          <cell r="AB1249"/>
          <cell r="AC1249"/>
          <cell r="AD1249"/>
          <cell r="AE1249"/>
          <cell r="AF1249"/>
        </row>
        <row r="1250"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  <cell r="N1250"/>
          <cell r="O1250"/>
          <cell r="P1250"/>
          <cell r="Q1250"/>
          <cell r="R1250"/>
          <cell r="S1250"/>
          <cell r="T1250"/>
          <cell r="U1250"/>
          <cell r="V1250"/>
          <cell r="W1250"/>
          <cell r="X1250"/>
          <cell r="Y1250"/>
          <cell r="Z1250"/>
          <cell r="AA1250"/>
          <cell r="AB1250"/>
          <cell r="AC1250"/>
          <cell r="AD1250"/>
          <cell r="AE1250"/>
          <cell r="AF1250"/>
        </row>
        <row r="1251"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  <cell r="N1251"/>
          <cell r="O1251"/>
          <cell r="P1251"/>
          <cell r="Q1251"/>
          <cell r="R1251"/>
          <cell r="S1251"/>
          <cell r="T1251"/>
          <cell r="U1251"/>
          <cell r="V1251"/>
          <cell r="W1251"/>
          <cell r="X1251"/>
          <cell r="Y1251"/>
          <cell r="Z1251"/>
          <cell r="AA1251"/>
          <cell r="AB1251"/>
          <cell r="AC1251"/>
          <cell r="AD1251"/>
          <cell r="AE1251"/>
          <cell r="AF1251"/>
        </row>
        <row r="1252"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  <cell r="N1252"/>
          <cell r="O1252"/>
          <cell r="P1252"/>
          <cell r="Q1252"/>
          <cell r="R1252"/>
          <cell r="S1252"/>
          <cell r="T1252"/>
          <cell r="U1252"/>
          <cell r="V1252"/>
          <cell r="W1252"/>
          <cell r="X1252"/>
          <cell r="Y1252"/>
          <cell r="Z1252"/>
          <cell r="AA1252"/>
          <cell r="AB1252"/>
          <cell r="AC1252"/>
          <cell r="AD1252"/>
          <cell r="AE1252"/>
          <cell r="AF1252"/>
        </row>
        <row r="1253"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  <cell r="N1253"/>
          <cell r="O1253"/>
          <cell r="P1253"/>
          <cell r="Q1253"/>
          <cell r="R1253"/>
          <cell r="S1253"/>
          <cell r="T1253"/>
          <cell r="U1253"/>
          <cell r="V1253"/>
          <cell r="W1253"/>
          <cell r="X1253"/>
          <cell r="Y1253"/>
          <cell r="Z1253"/>
          <cell r="AA1253"/>
          <cell r="AB1253"/>
          <cell r="AC1253"/>
          <cell r="AD1253"/>
          <cell r="AE1253"/>
          <cell r="AF1253"/>
        </row>
        <row r="1254"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  <cell r="N1254"/>
          <cell r="O1254"/>
          <cell r="P1254"/>
          <cell r="Q1254"/>
          <cell r="R1254"/>
          <cell r="S1254"/>
          <cell r="T1254"/>
          <cell r="U1254"/>
          <cell r="V1254"/>
          <cell r="W1254"/>
          <cell r="X1254"/>
          <cell r="Y1254"/>
          <cell r="Z1254"/>
          <cell r="AA1254"/>
          <cell r="AB1254"/>
          <cell r="AC1254"/>
          <cell r="AD1254"/>
          <cell r="AE1254"/>
          <cell r="AF1254"/>
        </row>
        <row r="1255"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  <cell r="N1255"/>
          <cell r="O1255"/>
          <cell r="P1255"/>
          <cell r="Q1255"/>
          <cell r="R1255"/>
          <cell r="S1255"/>
          <cell r="T1255"/>
          <cell r="U1255"/>
          <cell r="V1255"/>
          <cell r="W1255"/>
          <cell r="X1255"/>
          <cell r="Y1255"/>
          <cell r="Z1255"/>
          <cell r="AA1255"/>
          <cell r="AB1255"/>
          <cell r="AC1255"/>
          <cell r="AD1255"/>
          <cell r="AE1255"/>
          <cell r="AF1255"/>
        </row>
        <row r="1256"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  <cell r="N1256"/>
          <cell r="O1256"/>
          <cell r="P1256"/>
          <cell r="Q1256"/>
          <cell r="R1256"/>
          <cell r="S1256"/>
          <cell r="T1256"/>
          <cell r="U1256"/>
          <cell r="V1256"/>
          <cell r="W1256"/>
          <cell r="X1256"/>
          <cell r="Y1256"/>
          <cell r="Z1256"/>
          <cell r="AA1256"/>
          <cell r="AB1256"/>
          <cell r="AC1256"/>
          <cell r="AD1256"/>
          <cell r="AE1256"/>
          <cell r="AF1256"/>
        </row>
        <row r="1257"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  <cell r="N1257"/>
          <cell r="O1257"/>
          <cell r="P1257"/>
          <cell r="Q1257"/>
          <cell r="R1257"/>
          <cell r="S1257"/>
          <cell r="T1257"/>
          <cell r="U1257"/>
          <cell r="V1257"/>
          <cell r="W1257"/>
          <cell r="X1257"/>
          <cell r="Y1257"/>
          <cell r="Z1257"/>
          <cell r="AA1257"/>
          <cell r="AB1257"/>
          <cell r="AC1257"/>
          <cell r="AD1257"/>
          <cell r="AE1257"/>
          <cell r="AF1257"/>
        </row>
        <row r="1258"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  <cell r="N1258"/>
          <cell r="O1258"/>
          <cell r="P1258"/>
          <cell r="Q1258"/>
          <cell r="R1258"/>
          <cell r="S1258"/>
          <cell r="T1258"/>
          <cell r="U1258"/>
          <cell r="V1258"/>
          <cell r="W1258"/>
          <cell r="X1258"/>
          <cell r="Y1258"/>
          <cell r="Z1258"/>
          <cell r="AA1258"/>
          <cell r="AB1258"/>
          <cell r="AC1258"/>
          <cell r="AD1258"/>
          <cell r="AE1258"/>
          <cell r="AF1258"/>
        </row>
        <row r="1259"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  <cell r="N1259"/>
          <cell r="O1259"/>
          <cell r="P1259"/>
          <cell r="Q1259"/>
          <cell r="R1259"/>
          <cell r="S1259"/>
          <cell r="T1259"/>
          <cell r="U1259"/>
          <cell r="V1259"/>
          <cell r="W1259"/>
          <cell r="X1259"/>
          <cell r="Y1259"/>
          <cell r="Z1259"/>
          <cell r="AA1259"/>
          <cell r="AB1259"/>
          <cell r="AC1259"/>
          <cell r="AD1259"/>
          <cell r="AE1259"/>
          <cell r="AF1259"/>
        </row>
        <row r="1260"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  <cell r="N1260"/>
          <cell r="O1260"/>
          <cell r="P1260"/>
          <cell r="Q1260"/>
          <cell r="R1260"/>
          <cell r="S1260"/>
          <cell r="T1260"/>
          <cell r="U1260"/>
          <cell r="V1260"/>
          <cell r="W1260"/>
          <cell r="X1260"/>
          <cell r="Y1260"/>
          <cell r="Z1260"/>
          <cell r="AA1260"/>
          <cell r="AB1260"/>
          <cell r="AC1260"/>
          <cell r="AD1260"/>
          <cell r="AE1260"/>
          <cell r="AF1260"/>
        </row>
        <row r="1261"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  <cell r="N1261"/>
          <cell r="O1261"/>
          <cell r="P1261"/>
          <cell r="Q1261"/>
          <cell r="R1261"/>
          <cell r="S1261"/>
          <cell r="T1261"/>
          <cell r="U1261"/>
          <cell r="V1261"/>
          <cell r="W1261"/>
          <cell r="X1261"/>
          <cell r="Y1261"/>
          <cell r="Z1261"/>
          <cell r="AA1261"/>
          <cell r="AB1261"/>
          <cell r="AC1261"/>
          <cell r="AD1261"/>
          <cell r="AE1261"/>
          <cell r="AF1261"/>
        </row>
        <row r="1262"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  <cell r="N1262"/>
          <cell r="O1262"/>
          <cell r="P1262"/>
          <cell r="Q1262"/>
          <cell r="R1262"/>
          <cell r="S1262"/>
          <cell r="T1262"/>
          <cell r="U1262"/>
          <cell r="V1262"/>
          <cell r="W1262"/>
          <cell r="X1262"/>
          <cell r="Y1262"/>
          <cell r="Z1262"/>
          <cell r="AA1262"/>
          <cell r="AB1262"/>
          <cell r="AC1262"/>
          <cell r="AD1262"/>
          <cell r="AE1262"/>
          <cell r="AF1262"/>
        </row>
        <row r="1263"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  <cell r="N1263"/>
          <cell r="O1263"/>
          <cell r="P1263"/>
          <cell r="Q1263"/>
          <cell r="R1263"/>
          <cell r="S1263"/>
          <cell r="T1263"/>
          <cell r="U1263"/>
          <cell r="V1263"/>
          <cell r="W1263"/>
          <cell r="X1263"/>
          <cell r="Y1263"/>
          <cell r="Z1263"/>
          <cell r="AA1263"/>
          <cell r="AB1263"/>
          <cell r="AC1263"/>
          <cell r="AD1263"/>
          <cell r="AE1263"/>
          <cell r="AF1263"/>
        </row>
        <row r="1264"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  <cell r="N1264"/>
          <cell r="O1264"/>
          <cell r="P1264"/>
          <cell r="Q1264"/>
          <cell r="R1264"/>
          <cell r="S1264"/>
          <cell r="T1264"/>
          <cell r="U1264"/>
          <cell r="V1264"/>
          <cell r="W1264"/>
          <cell r="X1264"/>
          <cell r="Y1264"/>
          <cell r="Z1264"/>
          <cell r="AA1264"/>
          <cell r="AB1264"/>
          <cell r="AC1264"/>
          <cell r="AD1264"/>
          <cell r="AE1264"/>
          <cell r="AF1264"/>
        </row>
        <row r="1265"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  <cell r="N1265"/>
          <cell r="O1265"/>
          <cell r="P1265"/>
          <cell r="Q1265"/>
          <cell r="R1265"/>
          <cell r="S1265"/>
          <cell r="T1265"/>
          <cell r="U1265"/>
          <cell r="V1265"/>
          <cell r="W1265"/>
          <cell r="X1265"/>
          <cell r="Y1265"/>
          <cell r="Z1265"/>
          <cell r="AA1265"/>
          <cell r="AB1265"/>
          <cell r="AC1265"/>
          <cell r="AD1265"/>
          <cell r="AE1265"/>
          <cell r="AF1265"/>
        </row>
        <row r="1266"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  <cell r="N1266"/>
          <cell r="O1266"/>
          <cell r="P1266"/>
          <cell r="Q1266"/>
          <cell r="R1266"/>
          <cell r="S1266"/>
          <cell r="T1266"/>
          <cell r="U1266"/>
          <cell r="V1266"/>
          <cell r="W1266"/>
          <cell r="X1266"/>
          <cell r="Y1266"/>
          <cell r="Z1266"/>
          <cell r="AA1266"/>
          <cell r="AB1266"/>
          <cell r="AC1266"/>
          <cell r="AD1266"/>
          <cell r="AE1266"/>
          <cell r="AF1266"/>
        </row>
        <row r="1267"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  <cell r="N1267"/>
          <cell r="O1267"/>
          <cell r="P1267"/>
          <cell r="Q1267"/>
          <cell r="R1267"/>
          <cell r="S1267"/>
          <cell r="T1267"/>
          <cell r="U1267"/>
          <cell r="V1267"/>
          <cell r="W1267"/>
          <cell r="X1267"/>
          <cell r="Y1267"/>
          <cell r="Z1267"/>
          <cell r="AA1267"/>
          <cell r="AB1267"/>
          <cell r="AC1267"/>
          <cell r="AD1267"/>
          <cell r="AE1267"/>
          <cell r="AF1267"/>
        </row>
        <row r="1268"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  <cell r="N1268"/>
          <cell r="O1268"/>
          <cell r="P1268"/>
          <cell r="Q1268"/>
          <cell r="R1268"/>
          <cell r="S1268"/>
          <cell r="T1268"/>
          <cell r="U1268"/>
          <cell r="V1268"/>
          <cell r="W1268"/>
          <cell r="X1268"/>
          <cell r="Y1268"/>
          <cell r="Z1268"/>
          <cell r="AA1268"/>
          <cell r="AB1268"/>
          <cell r="AC1268"/>
          <cell r="AD1268"/>
          <cell r="AE1268"/>
          <cell r="AF1268"/>
        </row>
        <row r="1269"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  <cell r="N1269"/>
          <cell r="O1269"/>
          <cell r="P1269"/>
          <cell r="Q1269"/>
          <cell r="R1269"/>
          <cell r="S1269"/>
          <cell r="T1269"/>
          <cell r="U1269"/>
          <cell r="V1269"/>
          <cell r="W1269"/>
          <cell r="X1269"/>
          <cell r="Y1269"/>
          <cell r="Z1269"/>
          <cell r="AA1269"/>
          <cell r="AB1269"/>
          <cell r="AC1269"/>
          <cell r="AD1269"/>
          <cell r="AE1269"/>
          <cell r="AF1269"/>
        </row>
        <row r="1270"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  <cell r="N1270"/>
          <cell r="O1270"/>
          <cell r="P1270"/>
          <cell r="Q1270"/>
          <cell r="R1270"/>
          <cell r="S1270"/>
          <cell r="T1270"/>
          <cell r="U1270"/>
          <cell r="V1270"/>
          <cell r="W1270"/>
          <cell r="X1270"/>
          <cell r="Y1270"/>
          <cell r="Z1270"/>
          <cell r="AA1270"/>
          <cell r="AB1270"/>
          <cell r="AC1270"/>
          <cell r="AD1270"/>
          <cell r="AE1270"/>
          <cell r="AF1270"/>
        </row>
        <row r="1271"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  <cell r="N1271"/>
          <cell r="O1271"/>
          <cell r="P1271"/>
          <cell r="Q1271"/>
          <cell r="R1271"/>
          <cell r="S1271"/>
          <cell r="T1271"/>
          <cell r="U1271"/>
          <cell r="V1271"/>
          <cell r="W1271"/>
          <cell r="X1271"/>
          <cell r="Y1271"/>
          <cell r="Z1271"/>
          <cell r="AA1271"/>
          <cell r="AB1271"/>
          <cell r="AC1271"/>
          <cell r="AD1271"/>
          <cell r="AE1271"/>
          <cell r="AF1271"/>
        </row>
        <row r="1272"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  <cell r="N1272"/>
          <cell r="O1272"/>
          <cell r="P1272"/>
          <cell r="Q1272"/>
          <cell r="R1272"/>
          <cell r="S1272"/>
          <cell r="T1272"/>
          <cell r="U1272"/>
          <cell r="V1272"/>
          <cell r="W1272"/>
          <cell r="X1272"/>
          <cell r="Y1272"/>
          <cell r="Z1272"/>
          <cell r="AA1272"/>
          <cell r="AB1272"/>
          <cell r="AC1272"/>
          <cell r="AD1272"/>
          <cell r="AE1272"/>
          <cell r="AF1272"/>
        </row>
        <row r="1273"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  <cell r="N1273"/>
          <cell r="O1273"/>
          <cell r="P1273"/>
          <cell r="Q1273"/>
          <cell r="R1273"/>
          <cell r="S1273"/>
          <cell r="T1273"/>
          <cell r="U1273"/>
          <cell r="V1273"/>
          <cell r="W1273"/>
          <cell r="X1273"/>
          <cell r="Y1273"/>
          <cell r="Z1273"/>
          <cell r="AA1273"/>
          <cell r="AB1273"/>
          <cell r="AC1273"/>
          <cell r="AD1273"/>
          <cell r="AE1273"/>
          <cell r="AF1273"/>
        </row>
        <row r="1274"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  <cell r="N1274"/>
          <cell r="O1274"/>
          <cell r="P1274"/>
          <cell r="Q1274"/>
          <cell r="R1274"/>
          <cell r="S1274"/>
          <cell r="T1274"/>
          <cell r="U1274"/>
          <cell r="V1274"/>
          <cell r="W1274"/>
          <cell r="X1274"/>
          <cell r="Y1274"/>
          <cell r="Z1274"/>
          <cell r="AA1274"/>
          <cell r="AB1274"/>
          <cell r="AC1274"/>
          <cell r="AD1274"/>
          <cell r="AE1274"/>
          <cell r="AF1274"/>
        </row>
        <row r="1275"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  <cell r="N1275"/>
          <cell r="O1275"/>
          <cell r="P1275"/>
          <cell r="Q1275"/>
          <cell r="R1275"/>
          <cell r="S1275"/>
          <cell r="T1275"/>
          <cell r="U1275"/>
          <cell r="V1275"/>
          <cell r="W1275"/>
          <cell r="X1275"/>
          <cell r="Y1275"/>
          <cell r="Z1275"/>
          <cell r="AA1275"/>
          <cell r="AB1275"/>
          <cell r="AC1275"/>
          <cell r="AD1275"/>
          <cell r="AE1275"/>
          <cell r="AF1275"/>
        </row>
        <row r="1276"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  <cell r="N1276"/>
          <cell r="O1276"/>
          <cell r="P1276"/>
          <cell r="Q1276"/>
          <cell r="R1276"/>
          <cell r="S1276"/>
          <cell r="T1276"/>
          <cell r="U1276"/>
          <cell r="V1276"/>
          <cell r="W1276"/>
          <cell r="X1276"/>
          <cell r="Y1276"/>
          <cell r="Z1276"/>
          <cell r="AA1276"/>
          <cell r="AB1276"/>
          <cell r="AC1276"/>
          <cell r="AD1276"/>
          <cell r="AE1276"/>
          <cell r="AF1276"/>
        </row>
        <row r="1277"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  <cell r="N1277"/>
          <cell r="O1277"/>
          <cell r="P1277"/>
          <cell r="Q1277"/>
          <cell r="R1277"/>
          <cell r="S1277"/>
          <cell r="T1277"/>
          <cell r="U1277"/>
          <cell r="V1277"/>
          <cell r="W1277"/>
          <cell r="X1277"/>
          <cell r="Y1277"/>
          <cell r="Z1277"/>
          <cell r="AA1277"/>
          <cell r="AB1277"/>
          <cell r="AC1277"/>
          <cell r="AD1277"/>
          <cell r="AE1277"/>
          <cell r="AF1277"/>
        </row>
        <row r="1278"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  <cell r="N1278"/>
          <cell r="O1278"/>
          <cell r="P1278"/>
          <cell r="Q1278"/>
          <cell r="R1278"/>
          <cell r="S1278"/>
          <cell r="T1278"/>
          <cell r="U1278"/>
          <cell r="V1278"/>
          <cell r="W1278"/>
          <cell r="X1278"/>
          <cell r="Y1278"/>
          <cell r="Z1278"/>
          <cell r="AA1278"/>
          <cell r="AB1278"/>
          <cell r="AC1278"/>
          <cell r="AD1278"/>
          <cell r="AE1278"/>
          <cell r="AF1278"/>
        </row>
        <row r="1279"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  <cell r="N1279"/>
          <cell r="O1279"/>
          <cell r="P1279"/>
          <cell r="Q1279"/>
          <cell r="R1279"/>
          <cell r="S1279"/>
          <cell r="T1279"/>
          <cell r="U1279"/>
          <cell r="V1279"/>
          <cell r="W1279"/>
          <cell r="X1279"/>
          <cell r="Y1279"/>
          <cell r="Z1279"/>
          <cell r="AA1279"/>
          <cell r="AB1279"/>
          <cell r="AC1279"/>
          <cell r="AD1279"/>
          <cell r="AE1279"/>
          <cell r="AF1279"/>
        </row>
        <row r="1280"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  <cell r="N1280"/>
          <cell r="O1280"/>
          <cell r="P1280"/>
          <cell r="Q1280"/>
          <cell r="R1280"/>
          <cell r="S1280"/>
          <cell r="T1280"/>
          <cell r="U1280"/>
          <cell r="V1280"/>
          <cell r="W1280"/>
          <cell r="X1280"/>
          <cell r="Y1280"/>
          <cell r="Z1280"/>
          <cell r="AA1280"/>
          <cell r="AB1280"/>
          <cell r="AC1280"/>
          <cell r="AD1280"/>
          <cell r="AE1280"/>
          <cell r="AF1280"/>
        </row>
        <row r="1281"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  <cell r="N1281"/>
          <cell r="O1281"/>
          <cell r="P1281"/>
          <cell r="Q1281"/>
          <cell r="R1281"/>
          <cell r="S1281"/>
          <cell r="T1281"/>
          <cell r="U1281"/>
          <cell r="V1281"/>
          <cell r="W1281"/>
          <cell r="X1281"/>
          <cell r="Y1281"/>
          <cell r="Z1281"/>
          <cell r="AA1281"/>
          <cell r="AB1281"/>
          <cell r="AC1281"/>
          <cell r="AD1281"/>
          <cell r="AE1281"/>
          <cell r="AF1281"/>
        </row>
        <row r="1282"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  <cell r="N1282"/>
          <cell r="O1282"/>
          <cell r="P1282"/>
          <cell r="Q1282"/>
          <cell r="R1282"/>
          <cell r="S1282"/>
          <cell r="T1282"/>
          <cell r="U1282"/>
          <cell r="V1282"/>
          <cell r="W1282"/>
          <cell r="X1282"/>
          <cell r="Y1282"/>
          <cell r="Z1282"/>
          <cell r="AA1282"/>
          <cell r="AB1282"/>
          <cell r="AC1282"/>
          <cell r="AD1282"/>
          <cell r="AE1282"/>
          <cell r="AF1282"/>
        </row>
        <row r="1283"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  <cell r="N1283"/>
          <cell r="O1283"/>
          <cell r="P1283"/>
          <cell r="Q1283"/>
          <cell r="R1283"/>
          <cell r="S1283"/>
          <cell r="T1283"/>
          <cell r="U1283"/>
          <cell r="V1283"/>
          <cell r="W1283"/>
          <cell r="X1283"/>
          <cell r="Y1283"/>
          <cell r="Z1283"/>
          <cell r="AA1283"/>
          <cell r="AB1283"/>
          <cell r="AC1283"/>
          <cell r="AD1283"/>
          <cell r="AE1283"/>
          <cell r="AF1283"/>
        </row>
        <row r="1284"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  <cell r="N1284"/>
          <cell r="O1284"/>
          <cell r="P1284"/>
          <cell r="Q1284"/>
          <cell r="R1284"/>
          <cell r="S1284"/>
          <cell r="T1284"/>
          <cell r="U1284"/>
          <cell r="V1284"/>
          <cell r="W1284"/>
          <cell r="X1284"/>
          <cell r="Y1284"/>
          <cell r="Z1284"/>
          <cell r="AA1284"/>
          <cell r="AB1284"/>
          <cell r="AC1284"/>
          <cell r="AD1284"/>
          <cell r="AE1284"/>
          <cell r="AF1284"/>
        </row>
        <row r="1285"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  <cell r="N1285"/>
          <cell r="O1285"/>
          <cell r="P1285"/>
          <cell r="Q1285"/>
          <cell r="R1285"/>
          <cell r="S1285"/>
          <cell r="T1285"/>
          <cell r="U1285"/>
          <cell r="V1285"/>
          <cell r="W1285"/>
          <cell r="X1285"/>
          <cell r="Y1285"/>
          <cell r="Z1285"/>
          <cell r="AA1285"/>
          <cell r="AB1285"/>
          <cell r="AC1285"/>
          <cell r="AD1285"/>
          <cell r="AE1285"/>
          <cell r="AF1285"/>
        </row>
        <row r="1286"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  <cell r="N1286"/>
          <cell r="O1286"/>
          <cell r="P1286"/>
          <cell r="Q1286"/>
          <cell r="R1286"/>
          <cell r="S1286"/>
          <cell r="T1286"/>
          <cell r="U1286"/>
          <cell r="V1286"/>
          <cell r="W1286"/>
          <cell r="X1286"/>
          <cell r="Y1286"/>
          <cell r="Z1286"/>
          <cell r="AA1286"/>
          <cell r="AB1286"/>
          <cell r="AC1286"/>
          <cell r="AD1286"/>
          <cell r="AE1286"/>
          <cell r="AF1286"/>
        </row>
        <row r="1287"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  <cell r="N1287"/>
          <cell r="O1287"/>
          <cell r="P1287"/>
          <cell r="Q1287"/>
          <cell r="R1287"/>
          <cell r="S1287"/>
          <cell r="T1287"/>
          <cell r="U1287"/>
          <cell r="V1287"/>
          <cell r="W1287"/>
          <cell r="X1287"/>
          <cell r="Y1287"/>
          <cell r="Z1287"/>
          <cell r="AA1287"/>
          <cell r="AB1287"/>
          <cell r="AC1287"/>
          <cell r="AD1287"/>
          <cell r="AE1287"/>
          <cell r="AF1287"/>
        </row>
        <row r="1288"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  <cell r="N1288"/>
          <cell r="O1288"/>
          <cell r="P1288"/>
          <cell r="Q1288"/>
          <cell r="R1288"/>
          <cell r="S1288"/>
          <cell r="T1288"/>
          <cell r="U1288"/>
          <cell r="V1288"/>
          <cell r="W1288"/>
          <cell r="X1288"/>
          <cell r="Y1288"/>
          <cell r="Z1288"/>
          <cell r="AA1288"/>
          <cell r="AB1288"/>
          <cell r="AC1288"/>
          <cell r="AD1288"/>
          <cell r="AE1288"/>
          <cell r="AF1288"/>
        </row>
        <row r="1289"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  <cell r="N1289"/>
          <cell r="O1289"/>
          <cell r="P1289"/>
          <cell r="Q1289"/>
          <cell r="R1289"/>
          <cell r="S1289"/>
          <cell r="T1289"/>
          <cell r="U1289"/>
          <cell r="V1289"/>
          <cell r="W1289"/>
          <cell r="X1289"/>
          <cell r="Y1289"/>
          <cell r="Z1289"/>
          <cell r="AA1289"/>
          <cell r="AB1289"/>
          <cell r="AC1289"/>
          <cell r="AD1289"/>
          <cell r="AE1289"/>
          <cell r="AF1289"/>
        </row>
        <row r="1290"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  <cell r="N1290"/>
          <cell r="O1290"/>
          <cell r="P1290"/>
          <cell r="Q1290"/>
          <cell r="R1290"/>
          <cell r="S1290"/>
          <cell r="T1290"/>
          <cell r="U1290"/>
          <cell r="V1290"/>
          <cell r="W1290"/>
          <cell r="X1290"/>
          <cell r="Y1290"/>
          <cell r="Z1290"/>
          <cell r="AA1290"/>
          <cell r="AB1290"/>
          <cell r="AC1290"/>
          <cell r="AD1290"/>
          <cell r="AE1290"/>
          <cell r="AF1290"/>
        </row>
        <row r="1291"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  <cell r="N1291"/>
          <cell r="O1291"/>
          <cell r="P1291"/>
          <cell r="Q1291"/>
          <cell r="R1291"/>
          <cell r="S1291"/>
          <cell r="T1291"/>
          <cell r="U1291"/>
          <cell r="V1291"/>
          <cell r="W1291"/>
          <cell r="X1291"/>
          <cell r="Y1291"/>
          <cell r="Z1291"/>
          <cell r="AA1291"/>
          <cell r="AB1291"/>
          <cell r="AC1291"/>
          <cell r="AD1291"/>
          <cell r="AE1291"/>
          <cell r="AF1291"/>
        </row>
        <row r="1292"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  <cell r="N1292"/>
          <cell r="O1292"/>
          <cell r="P1292"/>
          <cell r="Q1292"/>
          <cell r="R1292"/>
          <cell r="S1292"/>
          <cell r="T1292"/>
          <cell r="U1292"/>
          <cell r="V1292"/>
          <cell r="W1292"/>
          <cell r="X1292"/>
          <cell r="Y1292"/>
          <cell r="Z1292"/>
          <cell r="AA1292"/>
          <cell r="AB1292"/>
          <cell r="AC1292"/>
          <cell r="AD1292"/>
          <cell r="AE1292"/>
          <cell r="AF1292"/>
        </row>
        <row r="1293"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  <cell r="N1293"/>
          <cell r="O1293"/>
          <cell r="P1293"/>
          <cell r="Q1293"/>
          <cell r="R1293"/>
          <cell r="S1293"/>
          <cell r="T1293"/>
          <cell r="U1293"/>
          <cell r="V1293"/>
          <cell r="W1293"/>
          <cell r="X1293"/>
          <cell r="Y1293"/>
          <cell r="Z1293"/>
          <cell r="AA1293"/>
          <cell r="AB1293"/>
          <cell r="AC1293"/>
          <cell r="AD1293"/>
          <cell r="AE1293"/>
          <cell r="AF1293"/>
        </row>
        <row r="1294"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  <cell r="N1294"/>
          <cell r="O1294"/>
          <cell r="P1294"/>
          <cell r="Q1294"/>
          <cell r="R1294"/>
          <cell r="S1294"/>
          <cell r="T1294"/>
          <cell r="U1294"/>
          <cell r="V1294"/>
          <cell r="W1294"/>
          <cell r="X1294"/>
          <cell r="Y1294"/>
          <cell r="Z1294"/>
          <cell r="AA1294"/>
          <cell r="AB1294"/>
          <cell r="AC1294"/>
          <cell r="AD1294"/>
          <cell r="AE1294"/>
          <cell r="AF1294"/>
        </row>
        <row r="1295"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  <cell r="N1295"/>
          <cell r="O1295"/>
          <cell r="P1295"/>
          <cell r="Q1295"/>
          <cell r="R1295"/>
          <cell r="S1295"/>
          <cell r="T1295"/>
          <cell r="U1295"/>
          <cell r="V1295"/>
          <cell r="W1295"/>
          <cell r="X1295"/>
          <cell r="Y1295"/>
          <cell r="Z1295"/>
          <cell r="AA1295"/>
          <cell r="AB1295"/>
          <cell r="AC1295"/>
          <cell r="AD1295"/>
          <cell r="AE1295"/>
          <cell r="AF1295"/>
        </row>
        <row r="1296"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  <cell r="N1296"/>
          <cell r="O1296"/>
          <cell r="P1296"/>
          <cell r="Q1296"/>
          <cell r="R1296"/>
          <cell r="S1296"/>
          <cell r="T1296"/>
          <cell r="U1296"/>
          <cell r="V1296"/>
          <cell r="W1296"/>
          <cell r="X1296"/>
          <cell r="Y1296"/>
          <cell r="Z1296"/>
          <cell r="AA1296"/>
          <cell r="AB1296"/>
          <cell r="AC1296"/>
          <cell r="AD1296"/>
          <cell r="AE1296"/>
          <cell r="AF1296"/>
        </row>
        <row r="1297"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  <cell r="N1297"/>
          <cell r="O1297"/>
          <cell r="P1297"/>
          <cell r="Q1297"/>
          <cell r="R1297"/>
          <cell r="S1297"/>
          <cell r="T1297"/>
          <cell r="U1297"/>
          <cell r="V1297"/>
          <cell r="W1297"/>
          <cell r="X1297"/>
          <cell r="Y1297"/>
          <cell r="Z1297"/>
          <cell r="AA1297"/>
          <cell r="AB1297"/>
          <cell r="AC1297"/>
          <cell r="AD1297"/>
          <cell r="AE1297"/>
          <cell r="AF1297"/>
        </row>
        <row r="1298"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  <cell r="N1298"/>
          <cell r="O1298"/>
          <cell r="P1298"/>
          <cell r="Q1298"/>
          <cell r="R1298"/>
          <cell r="S1298"/>
          <cell r="T1298"/>
          <cell r="U1298"/>
          <cell r="V1298"/>
          <cell r="W1298"/>
          <cell r="X1298"/>
          <cell r="Y1298"/>
          <cell r="Z1298"/>
          <cell r="AA1298"/>
          <cell r="AB1298"/>
          <cell r="AC1298"/>
          <cell r="AD1298"/>
          <cell r="AE1298"/>
          <cell r="AF1298"/>
        </row>
        <row r="1299"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  <cell r="N1299"/>
          <cell r="O1299"/>
          <cell r="P1299"/>
          <cell r="Q1299"/>
          <cell r="R1299"/>
          <cell r="S1299"/>
          <cell r="T1299"/>
          <cell r="U1299"/>
          <cell r="V1299"/>
          <cell r="W1299"/>
          <cell r="X1299"/>
          <cell r="Y1299"/>
          <cell r="Z1299"/>
          <cell r="AA1299"/>
          <cell r="AB1299"/>
          <cell r="AC1299"/>
          <cell r="AD1299"/>
          <cell r="AE1299"/>
          <cell r="AF1299"/>
        </row>
        <row r="1300"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  <cell r="N1300"/>
          <cell r="O1300"/>
          <cell r="P1300"/>
          <cell r="Q1300"/>
          <cell r="R1300"/>
          <cell r="S1300"/>
          <cell r="T1300"/>
          <cell r="U1300"/>
          <cell r="V1300"/>
          <cell r="W1300"/>
          <cell r="X1300"/>
          <cell r="Y1300"/>
          <cell r="Z1300"/>
          <cell r="AA1300"/>
          <cell r="AB1300"/>
          <cell r="AC1300"/>
          <cell r="AD1300"/>
          <cell r="AE1300"/>
          <cell r="AF1300"/>
        </row>
        <row r="1301"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  <cell r="N1301"/>
          <cell r="O1301"/>
          <cell r="P1301"/>
          <cell r="Q1301"/>
          <cell r="R1301"/>
          <cell r="S1301"/>
          <cell r="T1301"/>
          <cell r="U1301"/>
          <cell r="V1301"/>
          <cell r="W1301"/>
          <cell r="X1301"/>
          <cell r="Y1301"/>
          <cell r="Z1301"/>
          <cell r="AA1301"/>
          <cell r="AB1301"/>
          <cell r="AC1301"/>
          <cell r="AD1301"/>
          <cell r="AE1301"/>
          <cell r="AF1301"/>
        </row>
        <row r="1302"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  <cell r="N1302"/>
          <cell r="O1302"/>
          <cell r="P1302"/>
          <cell r="Q1302"/>
          <cell r="R1302"/>
          <cell r="S1302"/>
          <cell r="T1302"/>
          <cell r="U1302"/>
          <cell r="V1302"/>
          <cell r="W1302"/>
          <cell r="X1302"/>
          <cell r="Y1302"/>
          <cell r="Z1302"/>
          <cell r="AA1302"/>
          <cell r="AB1302"/>
          <cell r="AC1302"/>
          <cell r="AD1302"/>
          <cell r="AE1302"/>
          <cell r="AF1302"/>
        </row>
        <row r="1303"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  <cell r="N1303"/>
          <cell r="O1303"/>
          <cell r="P1303"/>
          <cell r="Q1303"/>
          <cell r="R1303"/>
          <cell r="S1303"/>
          <cell r="T1303"/>
          <cell r="U1303"/>
          <cell r="V1303"/>
          <cell r="W1303"/>
          <cell r="X1303"/>
          <cell r="Y1303"/>
          <cell r="Z1303"/>
          <cell r="AA1303"/>
          <cell r="AB1303"/>
          <cell r="AC1303"/>
          <cell r="AD1303"/>
          <cell r="AE1303"/>
          <cell r="AF1303"/>
        </row>
        <row r="1304"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  <cell r="N1304"/>
          <cell r="O1304"/>
          <cell r="P1304"/>
          <cell r="Q1304"/>
          <cell r="R1304"/>
          <cell r="S1304"/>
          <cell r="T1304"/>
          <cell r="U1304"/>
          <cell r="V1304"/>
          <cell r="W1304"/>
          <cell r="X1304"/>
          <cell r="Y1304"/>
          <cell r="Z1304"/>
          <cell r="AA1304"/>
          <cell r="AB1304"/>
          <cell r="AC1304"/>
          <cell r="AD1304"/>
          <cell r="AE1304"/>
          <cell r="AF1304"/>
        </row>
        <row r="1305"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  <cell r="N1305"/>
          <cell r="O1305"/>
          <cell r="P1305"/>
          <cell r="Q1305"/>
          <cell r="R1305"/>
          <cell r="S1305"/>
          <cell r="T1305"/>
          <cell r="U1305"/>
          <cell r="V1305"/>
          <cell r="W1305"/>
          <cell r="X1305"/>
          <cell r="Y1305"/>
          <cell r="Z1305"/>
          <cell r="AA1305"/>
          <cell r="AB1305"/>
          <cell r="AC1305"/>
          <cell r="AD1305"/>
          <cell r="AE1305"/>
          <cell r="AF1305"/>
        </row>
        <row r="1306"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  <cell r="N1306"/>
          <cell r="O1306"/>
          <cell r="P1306"/>
          <cell r="Q1306"/>
          <cell r="R1306"/>
          <cell r="S1306"/>
          <cell r="T1306"/>
          <cell r="U1306"/>
          <cell r="V1306"/>
          <cell r="W1306"/>
          <cell r="X1306"/>
          <cell r="Y1306"/>
          <cell r="Z1306"/>
          <cell r="AA1306"/>
          <cell r="AB1306"/>
          <cell r="AC1306"/>
          <cell r="AD1306"/>
          <cell r="AE1306"/>
          <cell r="AF1306"/>
        </row>
        <row r="1307"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  <cell r="N1307"/>
          <cell r="O1307"/>
          <cell r="P1307"/>
          <cell r="Q1307"/>
          <cell r="R1307"/>
          <cell r="S1307"/>
          <cell r="T1307"/>
          <cell r="U1307"/>
          <cell r="V1307"/>
          <cell r="W1307"/>
          <cell r="X1307"/>
          <cell r="Y1307"/>
          <cell r="Z1307"/>
          <cell r="AA1307"/>
          <cell r="AB1307"/>
          <cell r="AC1307"/>
          <cell r="AD1307"/>
          <cell r="AE1307"/>
          <cell r="AF1307"/>
        </row>
        <row r="1308"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  <cell r="N1308"/>
          <cell r="O1308"/>
          <cell r="P1308"/>
          <cell r="Q1308"/>
          <cell r="R1308"/>
          <cell r="S1308"/>
          <cell r="T1308"/>
          <cell r="U1308"/>
          <cell r="V1308"/>
          <cell r="W1308"/>
          <cell r="X1308"/>
          <cell r="Y1308"/>
          <cell r="Z1308"/>
          <cell r="AA1308"/>
          <cell r="AB1308"/>
          <cell r="AC1308"/>
          <cell r="AD1308"/>
          <cell r="AE1308"/>
          <cell r="AF1308"/>
        </row>
        <row r="1309"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  <cell r="N1309"/>
          <cell r="O1309"/>
          <cell r="P1309"/>
          <cell r="Q1309"/>
          <cell r="R1309"/>
          <cell r="S1309"/>
          <cell r="T1309"/>
          <cell r="U1309"/>
          <cell r="V1309"/>
          <cell r="W1309"/>
          <cell r="X1309"/>
          <cell r="Y1309"/>
          <cell r="Z1309"/>
          <cell r="AA1309"/>
          <cell r="AB1309"/>
          <cell r="AC1309"/>
          <cell r="AD1309"/>
          <cell r="AE1309"/>
          <cell r="AF1309"/>
        </row>
        <row r="1310"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  <cell r="N1310"/>
          <cell r="O1310"/>
          <cell r="P1310"/>
          <cell r="Q1310"/>
          <cell r="R1310"/>
          <cell r="S1310"/>
          <cell r="T1310"/>
          <cell r="U1310"/>
          <cell r="V1310"/>
          <cell r="W1310"/>
          <cell r="X1310"/>
          <cell r="Y1310"/>
          <cell r="Z1310"/>
          <cell r="AA1310"/>
          <cell r="AB1310"/>
          <cell r="AC1310"/>
          <cell r="AD1310"/>
          <cell r="AE1310"/>
          <cell r="AF1310"/>
        </row>
        <row r="1311"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  <cell r="N1311"/>
          <cell r="O1311"/>
          <cell r="P1311"/>
          <cell r="Q1311"/>
          <cell r="R1311"/>
          <cell r="S1311"/>
          <cell r="T1311"/>
          <cell r="U1311"/>
          <cell r="V1311"/>
          <cell r="W1311"/>
          <cell r="X1311"/>
          <cell r="Y1311"/>
          <cell r="Z1311"/>
          <cell r="AA1311"/>
          <cell r="AB1311"/>
          <cell r="AC1311"/>
          <cell r="AD1311"/>
          <cell r="AE1311"/>
          <cell r="AF1311"/>
        </row>
        <row r="1312"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  <cell r="N1312"/>
          <cell r="O1312"/>
          <cell r="P1312"/>
          <cell r="Q1312"/>
          <cell r="R1312"/>
          <cell r="S1312"/>
          <cell r="T1312"/>
          <cell r="U1312"/>
          <cell r="V1312"/>
          <cell r="W1312"/>
          <cell r="X1312"/>
          <cell r="Y1312"/>
          <cell r="Z1312"/>
          <cell r="AA1312"/>
          <cell r="AB1312"/>
          <cell r="AC1312"/>
          <cell r="AD1312"/>
          <cell r="AE1312"/>
          <cell r="AF1312"/>
        </row>
        <row r="1313"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  <cell r="N1313"/>
          <cell r="O1313"/>
          <cell r="P1313"/>
          <cell r="Q1313"/>
          <cell r="R1313"/>
          <cell r="S1313"/>
          <cell r="T1313"/>
          <cell r="U1313"/>
          <cell r="V1313"/>
          <cell r="W1313"/>
          <cell r="X1313"/>
          <cell r="Y1313"/>
          <cell r="Z1313"/>
          <cell r="AA1313"/>
          <cell r="AB1313"/>
          <cell r="AC1313"/>
          <cell r="AD1313"/>
          <cell r="AE1313"/>
          <cell r="AF1313"/>
        </row>
        <row r="1314"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  <cell r="N1314"/>
          <cell r="O1314"/>
          <cell r="P1314"/>
          <cell r="Q1314"/>
          <cell r="R1314"/>
          <cell r="S1314"/>
          <cell r="T1314"/>
          <cell r="U1314"/>
          <cell r="V1314"/>
          <cell r="W1314"/>
          <cell r="X1314"/>
          <cell r="Y1314"/>
          <cell r="Z1314"/>
          <cell r="AA1314"/>
          <cell r="AB1314"/>
          <cell r="AC1314"/>
          <cell r="AD1314"/>
          <cell r="AE1314"/>
          <cell r="AF1314"/>
        </row>
        <row r="1315"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  <cell r="N1315"/>
          <cell r="O1315"/>
          <cell r="P1315"/>
          <cell r="Q1315"/>
          <cell r="R1315"/>
          <cell r="S1315"/>
          <cell r="T1315"/>
          <cell r="U1315"/>
          <cell r="V1315"/>
          <cell r="W1315"/>
          <cell r="X1315"/>
          <cell r="Y1315"/>
          <cell r="Z1315"/>
          <cell r="AA1315"/>
          <cell r="AB1315"/>
          <cell r="AC1315"/>
          <cell r="AD1315"/>
          <cell r="AE1315"/>
          <cell r="AF1315"/>
        </row>
        <row r="1316"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  <cell r="N1316"/>
          <cell r="O1316"/>
          <cell r="P1316"/>
          <cell r="Q1316"/>
          <cell r="R1316"/>
          <cell r="S1316"/>
          <cell r="T1316"/>
          <cell r="U1316"/>
          <cell r="V1316"/>
          <cell r="W1316"/>
          <cell r="X1316"/>
          <cell r="Y1316"/>
          <cell r="Z1316"/>
          <cell r="AA1316"/>
          <cell r="AB1316"/>
          <cell r="AC1316"/>
          <cell r="AD1316"/>
          <cell r="AE1316"/>
          <cell r="AF1316"/>
        </row>
        <row r="1317"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  <cell r="N1317"/>
          <cell r="O1317"/>
          <cell r="P1317"/>
          <cell r="Q1317"/>
          <cell r="R1317"/>
          <cell r="S1317"/>
          <cell r="T1317"/>
          <cell r="U1317"/>
          <cell r="V1317"/>
          <cell r="W1317"/>
          <cell r="X1317"/>
          <cell r="Y1317"/>
          <cell r="Z1317"/>
          <cell r="AA1317"/>
          <cell r="AB1317"/>
          <cell r="AC1317"/>
          <cell r="AD1317"/>
          <cell r="AE1317"/>
          <cell r="AF1317"/>
        </row>
        <row r="1318"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  <cell r="N1318"/>
          <cell r="O1318"/>
          <cell r="P1318"/>
          <cell r="Q1318"/>
          <cell r="R1318"/>
          <cell r="S1318"/>
          <cell r="T1318"/>
          <cell r="U1318"/>
          <cell r="V1318"/>
          <cell r="W1318"/>
          <cell r="X1318"/>
          <cell r="Y1318"/>
          <cell r="Z1318"/>
          <cell r="AA1318"/>
          <cell r="AB1318"/>
          <cell r="AC1318"/>
          <cell r="AD1318"/>
          <cell r="AE1318"/>
          <cell r="AF1318"/>
        </row>
        <row r="1319"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  <cell r="N1319"/>
          <cell r="O1319"/>
          <cell r="P1319"/>
          <cell r="Q1319"/>
          <cell r="R1319"/>
          <cell r="S1319"/>
          <cell r="T1319"/>
          <cell r="U1319"/>
          <cell r="V1319"/>
          <cell r="W1319"/>
          <cell r="X1319"/>
          <cell r="Y1319"/>
          <cell r="Z1319"/>
          <cell r="AA1319"/>
          <cell r="AB1319"/>
          <cell r="AC1319"/>
          <cell r="AD1319"/>
          <cell r="AE1319"/>
          <cell r="AF1319"/>
        </row>
        <row r="1320"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  <cell r="N1320"/>
          <cell r="O1320"/>
          <cell r="P1320"/>
          <cell r="Q1320"/>
          <cell r="R1320"/>
          <cell r="S1320"/>
          <cell r="T1320"/>
          <cell r="U1320"/>
          <cell r="V1320"/>
          <cell r="W1320"/>
          <cell r="X1320"/>
          <cell r="Y1320"/>
          <cell r="Z1320"/>
          <cell r="AA1320"/>
          <cell r="AB1320"/>
          <cell r="AC1320"/>
          <cell r="AD1320"/>
          <cell r="AE1320"/>
          <cell r="AF1320"/>
        </row>
        <row r="1321"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  <cell r="N1321"/>
          <cell r="O1321"/>
          <cell r="P1321"/>
          <cell r="Q1321"/>
          <cell r="R1321"/>
          <cell r="S1321"/>
          <cell r="T1321"/>
          <cell r="U1321"/>
          <cell r="V1321"/>
          <cell r="W1321"/>
          <cell r="X1321"/>
          <cell r="Y1321"/>
          <cell r="Z1321"/>
          <cell r="AA1321"/>
          <cell r="AB1321"/>
          <cell r="AC1321"/>
          <cell r="AD1321"/>
          <cell r="AE1321"/>
          <cell r="AF1321"/>
        </row>
        <row r="1322"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  <cell r="N1322"/>
          <cell r="O1322"/>
          <cell r="P1322"/>
          <cell r="Q1322"/>
          <cell r="R1322"/>
          <cell r="S1322"/>
          <cell r="T1322"/>
          <cell r="U1322"/>
          <cell r="V1322"/>
          <cell r="W1322"/>
          <cell r="X1322"/>
          <cell r="Y1322"/>
          <cell r="Z1322"/>
          <cell r="AA1322"/>
          <cell r="AB1322"/>
          <cell r="AC1322"/>
          <cell r="AD1322"/>
          <cell r="AE1322"/>
          <cell r="AF1322"/>
        </row>
        <row r="1323"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  <cell r="N1323"/>
          <cell r="O1323"/>
          <cell r="P1323"/>
          <cell r="Q1323"/>
          <cell r="R1323"/>
          <cell r="S1323"/>
          <cell r="T1323"/>
          <cell r="U1323"/>
          <cell r="V1323"/>
          <cell r="W1323"/>
          <cell r="X1323"/>
          <cell r="Y1323"/>
          <cell r="Z1323"/>
          <cell r="AA1323"/>
          <cell r="AB1323"/>
          <cell r="AC1323"/>
          <cell r="AD1323"/>
          <cell r="AE1323"/>
          <cell r="AF1323"/>
        </row>
        <row r="1324"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  <cell r="N1324"/>
          <cell r="O1324"/>
          <cell r="P1324"/>
          <cell r="Q1324"/>
          <cell r="R1324"/>
          <cell r="S1324"/>
          <cell r="T1324"/>
          <cell r="U1324"/>
          <cell r="V1324"/>
          <cell r="W1324"/>
          <cell r="X1324"/>
          <cell r="Y1324"/>
          <cell r="Z1324"/>
          <cell r="AA1324"/>
          <cell r="AB1324"/>
          <cell r="AC1324"/>
          <cell r="AD1324"/>
          <cell r="AE1324"/>
          <cell r="AF1324"/>
        </row>
        <row r="1325"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  <cell r="N1325"/>
          <cell r="O1325"/>
          <cell r="P1325"/>
          <cell r="Q1325"/>
          <cell r="R1325"/>
          <cell r="S1325"/>
          <cell r="T1325"/>
          <cell r="U1325"/>
          <cell r="V1325"/>
          <cell r="W1325"/>
          <cell r="X1325"/>
          <cell r="Y1325"/>
          <cell r="Z1325"/>
          <cell r="AA1325"/>
          <cell r="AB1325"/>
          <cell r="AC1325"/>
          <cell r="AD1325"/>
          <cell r="AE1325"/>
          <cell r="AF1325"/>
        </row>
        <row r="1326"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  <cell r="N1326"/>
          <cell r="O1326"/>
          <cell r="P1326"/>
          <cell r="Q1326"/>
          <cell r="R1326"/>
          <cell r="S1326"/>
          <cell r="T1326"/>
          <cell r="U1326"/>
          <cell r="V1326"/>
          <cell r="W1326"/>
          <cell r="X1326"/>
          <cell r="Y1326"/>
          <cell r="Z1326"/>
          <cell r="AA1326"/>
          <cell r="AB1326"/>
          <cell r="AC1326"/>
          <cell r="AD1326"/>
          <cell r="AE1326"/>
          <cell r="AF1326"/>
        </row>
        <row r="1327"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  <cell r="N1327"/>
          <cell r="O1327"/>
          <cell r="P1327"/>
          <cell r="Q1327"/>
          <cell r="R1327"/>
          <cell r="S1327"/>
          <cell r="T1327"/>
          <cell r="U1327"/>
          <cell r="V1327"/>
          <cell r="W1327"/>
          <cell r="X1327"/>
          <cell r="Y1327"/>
          <cell r="Z1327"/>
          <cell r="AA1327"/>
          <cell r="AB1327"/>
          <cell r="AC1327"/>
          <cell r="AD1327"/>
          <cell r="AE1327"/>
          <cell r="AF1327"/>
        </row>
        <row r="1328"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  <cell r="N1328"/>
          <cell r="O1328"/>
          <cell r="P1328"/>
          <cell r="Q1328"/>
          <cell r="R1328"/>
          <cell r="S1328"/>
          <cell r="T1328"/>
          <cell r="U1328"/>
          <cell r="V1328"/>
          <cell r="W1328"/>
          <cell r="X1328"/>
          <cell r="Y1328"/>
          <cell r="Z1328"/>
          <cell r="AA1328"/>
          <cell r="AB1328"/>
          <cell r="AC1328"/>
          <cell r="AD1328"/>
          <cell r="AE1328"/>
          <cell r="AF1328"/>
        </row>
        <row r="1329"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  <cell r="N1329"/>
          <cell r="O1329"/>
          <cell r="P1329"/>
          <cell r="Q1329"/>
          <cell r="R1329"/>
          <cell r="S1329"/>
          <cell r="T1329"/>
          <cell r="U1329"/>
          <cell r="V1329"/>
          <cell r="W1329"/>
          <cell r="X1329"/>
          <cell r="Y1329"/>
          <cell r="Z1329"/>
          <cell r="AA1329"/>
          <cell r="AB1329"/>
          <cell r="AC1329"/>
          <cell r="AD1329"/>
          <cell r="AE1329"/>
          <cell r="AF1329"/>
        </row>
        <row r="1330"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  <cell r="N1330"/>
          <cell r="O1330"/>
          <cell r="P1330"/>
          <cell r="Q1330"/>
          <cell r="R1330"/>
          <cell r="S1330"/>
          <cell r="T1330"/>
          <cell r="U1330"/>
          <cell r="V1330"/>
          <cell r="W1330"/>
          <cell r="X1330"/>
          <cell r="Y1330"/>
          <cell r="Z1330"/>
          <cell r="AA1330"/>
          <cell r="AB1330"/>
          <cell r="AC1330"/>
          <cell r="AD1330"/>
          <cell r="AE1330"/>
          <cell r="AF1330"/>
        </row>
        <row r="1331"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  <cell r="N1331"/>
          <cell r="O1331"/>
          <cell r="P1331"/>
          <cell r="Q1331"/>
          <cell r="R1331"/>
          <cell r="S1331"/>
          <cell r="T1331"/>
          <cell r="U1331"/>
          <cell r="V1331"/>
          <cell r="W1331"/>
          <cell r="X1331"/>
          <cell r="Y1331"/>
          <cell r="Z1331"/>
          <cell r="AA1331"/>
          <cell r="AB1331"/>
          <cell r="AC1331"/>
          <cell r="AD1331"/>
          <cell r="AE1331"/>
          <cell r="AF1331"/>
        </row>
        <row r="1332"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  <cell r="N1332"/>
          <cell r="O1332"/>
          <cell r="P1332"/>
          <cell r="Q1332"/>
          <cell r="R1332"/>
          <cell r="S1332"/>
          <cell r="T1332"/>
          <cell r="U1332"/>
          <cell r="V1332"/>
          <cell r="W1332"/>
          <cell r="X1332"/>
          <cell r="Y1332"/>
          <cell r="Z1332"/>
          <cell r="AA1332"/>
          <cell r="AB1332"/>
          <cell r="AC1332"/>
          <cell r="AD1332"/>
          <cell r="AE1332"/>
          <cell r="AF1332"/>
        </row>
        <row r="1333"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  <cell r="N1333"/>
          <cell r="O1333"/>
          <cell r="P1333"/>
          <cell r="Q1333"/>
          <cell r="R1333"/>
          <cell r="S1333"/>
          <cell r="T1333"/>
          <cell r="U1333"/>
          <cell r="V1333"/>
          <cell r="W1333"/>
          <cell r="X1333"/>
          <cell r="Y1333"/>
          <cell r="Z1333"/>
          <cell r="AA1333"/>
          <cell r="AB1333"/>
          <cell r="AC1333"/>
          <cell r="AD1333"/>
          <cell r="AE1333"/>
          <cell r="AF1333"/>
        </row>
        <row r="1334"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  <cell r="N1334"/>
          <cell r="O1334"/>
          <cell r="P1334"/>
          <cell r="Q1334"/>
          <cell r="R1334"/>
          <cell r="S1334"/>
          <cell r="T1334"/>
          <cell r="U1334"/>
          <cell r="V1334"/>
          <cell r="W1334"/>
          <cell r="X1334"/>
          <cell r="Y1334"/>
          <cell r="Z1334"/>
          <cell r="AA1334"/>
          <cell r="AB1334"/>
          <cell r="AC1334"/>
          <cell r="AD1334"/>
          <cell r="AE1334"/>
          <cell r="AF1334"/>
        </row>
        <row r="1335"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  <cell r="N1335"/>
          <cell r="O1335"/>
          <cell r="P1335"/>
          <cell r="Q1335"/>
          <cell r="R1335"/>
          <cell r="S1335"/>
          <cell r="T1335"/>
          <cell r="U1335"/>
          <cell r="V1335"/>
          <cell r="W1335"/>
          <cell r="X1335"/>
          <cell r="Y1335"/>
          <cell r="Z1335"/>
          <cell r="AA1335"/>
          <cell r="AB1335"/>
          <cell r="AC1335"/>
          <cell r="AD1335"/>
          <cell r="AE1335"/>
          <cell r="AF1335"/>
        </row>
        <row r="1336"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  <cell r="N1336"/>
          <cell r="O1336"/>
          <cell r="P1336"/>
          <cell r="Q1336"/>
          <cell r="R1336"/>
          <cell r="S1336"/>
          <cell r="T1336"/>
          <cell r="U1336"/>
          <cell r="V1336"/>
          <cell r="W1336"/>
          <cell r="X1336"/>
          <cell r="Y1336"/>
          <cell r="Z1336"/>
          <cell r="AA1336"/>
          <cell r="AB1336"/>
          <cell r="AC1336"/>
          <cell r="AD1336"/>
          <cell r="AE1336"/>
          <cell r="AF1336"/>
        </row>
        <row r="1337"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  <cell r="N1337"/>
          <cell r="O1337"/>
          <cell r="P1337"/>
          <cell r="Q1337"/>
          <cell r="R1337"/>
          <cell r="S1337"/>
          <cell r="T1337"/>
          <cell r="U1337"/>
          <cell r="V1337"/>
          <cell r="W1337"/>
          <cell r="X1337"/>
          <cell r="Y1337"/>
          <cell r="Z1337"/>
          <cell r="AA1337"/>
          <cell r="AB1337"/>
          <cell r="AC1337"/>
          <cell r="AD1337"/>
          <cell r="AE1337"/>
          <cell r="AF1337"/>
        </row>
        <row r="1338"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  <cell r="N1338"/>
          <cell r="O1338"/>
          <cell r="P1338"/>
          <cell r="Q1338"/>
          <cell r="R1338"/>
          <cell r="S1338"/>
          <cell r="T1338"/>
          <cell r="U1338"/>
          <cell r="V1338"/>
          <cell r="W1338"/>
          <cell r="X1338"/>
          <cell r="Y1338"/>
          <cell r="Z1338"/>
          <cell r="AA1338"/>
          <cell r="AB1338"/>
          <cell r="AC1338"/>
          <cell r="AD1338"/>
          <cell r="AE1338"/>
          <cell r="AF1338"/>
        </row>
        <row r="1339"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  <cell r="N1339"/>
          <cell r="O1339"/>
          <cell r="P1339"/>
          <cell r="Q1339"/>
          <cell r="R1339"/>
          <cell r="S1339"/>
          <cell r="T1339"/>
          <cell r="U1339"/>
          <cell r="V1339"/>
          <cell r="W1339"/>
          <cell r="X1339"/>
          <cell r="Y1339"/>
          <cell r="Z1339"/>
          <cell r="AA1339"/>
          <cell r="AB1339"/>
          <cell r="AC1339"/>
          <cell r="AD1339"/>
          <cell r="AE1339"/>
          <cell r="AF1339"/>
        </row>
        <row r="1340"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  <cell r="N1340"/>
          <cell r="O1340"/>
          <cell r="P1340"/>
          <cell r="Q1340"/>
          <cell r="R1340"/>
          <cell r="S1340"/>
          <cell r="T1340"/>
          <cell r="U1340"/>
          <cell r="V1340"/>
          <cell r="W1340"/>
          <cell r="X1340"/>
          <cell r="Y1340"/>
          <cell r="Z1340"/>
          <cell r="AA1340"/>
          <cell r="AB1340"/>
          <cell r="AC1340"/>
          <cell r="AD1340"/>
          <cell r="AE1340"/>
          <cell r="AF1340"/>
        </row>
        <row r="1341"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  <cell r="N1341"/>
          <cell r="O1341"/>
          <cell r="P1341"/>
          <cell r="Q1341"/>
          <cell r="R1341"/>
          <cell r="S1341"/>
          <cell r="T1341"/>
          <cell r="U1341"/>
          <cell r="V1341"/>
          <cell r="W1341"/>
          <cell r="X1341"/>
          <cell r="Y1341"/>
          <cell r="Z1341"/>
          <cell r="AA1341"/>
          <cell r="AB1341"/>
          <cell r="AC1341"/>
          <cell r="AD1341"/>
          <cell r="AE1341"/>
          <cell r="AF1341"/>
        </row>
        <row r="1342"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  <cell r="N1342"/>
          <cell r="O1342"/>
          <cell r="P1342"/>
          <cell r="Q1342"/>
          <cell r="R1342"/>
          <cell r="S1342"/>
          <cell r="T1342"/>
          <cell r="U1342"/>
          <cell r="V1342"/>
          <cell r="W1342"/>
          <cell r="X1342"/>
          <cell r="Y1342"/>
          <cell r="Z1342"/>
          <cell r="AA1342"/>
          <cell r="AB1342"/>
          <cell r="AC1342"/>
          <cell r="AD1342"/>
          <cell r="AE1342"/>
          <cell r="AF1342"/>
        </row>
        <row r="1343"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  <cell r="N1343"/>
          <cell r="O1343"/>
          <cell r="P1343"/>
          <cell r="Q1343"/>
          <cell r="R1343"/>
          <cell r="S1343"/>
          <cell r="T1343"/>
          <cell r="U1343"/>
          <cell r="V1343"/>
          <cell r="W1343"/>
          <cell r="X1343"/>
          <cell r="Y1343"/>
          <cell r="Z1343"/>
          <cell r="AA1343"/>
          <cell r="AB1343"/>
          <cell r="AC1343"/>
          <cell r="AD1343"/>
          <cell r="AE1343"/>
          <cell r="AF1343"/>
        </row>
        <row r="1344"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  <cell r="N1344"/>
          <cell r="O1344"/>
          <cell r="P1344"/>
          <cell r="Q1344"/>
          <cell r="R1344"/>
          <cell r="S1344"/>
          <cell r="T1344"/>
          <cell r="U1344"/>
          <cell r="V1344"/>
          <cell r="W1344"/>
          <cell r="X1344"/>
          <cell r="Y1344"/>
          <cell r="Z1344"/>
          <cell r="AA1344"/>
          <cell r="AB1344"/>
          <cell r="AC1344"/>
          <cell r="AD1344"/>
          <cell r="AE1344"/>
          <cell r="AF1344"/>
        </row>
        <row r="1345"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  <cell r="N1345"/>
          <cell r="O1345"/>
          <cell r="P1345"/>
          <cell r="Q1345"/>
          <cell r="R1345"/>
          <cell r="S1345"/>
          <cell r="T1345"/>
          <cell r="U1345"/>
          <cell r="V1345"/>
          <cell r="W1345"/>
          <cell r="X1345"/>
          <cell r="Y1345"/>
          <cell r="Z1345"/>
          <cell r="AA1345"/>
          <cell r="AB1345"/>
          <cell r="AC1345"/>
          <cell r="AD1345"/>
          <cell r="AE1345"/>
          <cell r="AF1345"/>
        </row>
        <row r="1346"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  <cell r="N1346"/>
          <cell r="O1346"/>
          <cell r="P1346"/>
          <cell r="Q1346"/>
          <cell r="R1346"/>
          <cell r="S1346"/>
          <cell r="T1346"/>
          <cell r="U1346"/>
          <cell r="V1346"/>
          <cell r="W1346"/>
          <cell r="X1346"/>
          <cell r="Y1346"/>
          <cell r="Z1346"/>
          <cell r="AA1346"/>
          <cell r="AB1346"/>
          <cell r="AC1346"/>
          <cell r="AD1346"/>
          <cell r="AE1346"/>
          <cell r="AF1346"/>
        </row>
        <row r="1347"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  <cell r="N1347"/>
          <cell r="O1347"/>
          <cell r="P1347"/>
          <cell r="Q1347"/>
          <cell r="R1347"/>
          <cell r="S1347"/>
          <cell r="T1347"/>
          <cell r="U1347"/>
          <cell r="V1347"/>
          <cell r="W1347"/>
          <cell r="X1347"/>
          <cell r="Y1347"/>
          <cell r="Z1347"/>
          <cell r="AA1347"/>
          <cell r="AB1347"/>
          <cell r="AC1347"/>
          <cell r="AD1347"/>
          <cell r="AE1347"/>
          <cell r="AF1347"/>
        </row>
        <row r="1348"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  <cell r="N1348"/>
          <cell r="O1348"/>
          <cell r="P1348"/>
          <cell r="Q1348"/>
          <cell r="R1348"/>
          <cell r="S1348"/>
          <cell r="T1348"/>
          <cell r="U1348"/>
          <cell r="V1348"/>
          <cell r="W1348"/>
          <cell r="X1348"/>
          <cell r="Y1348"/>
          <cell r="Z1348"/>
          <cell r="AA1348"/>
          <cell r="AB1348"/>
          <cell r="AC1348"/>
          <cell r="AD1348"/>
          <cell r="AE1348"/>
          <cell r="AF1348"/>
        </row>
        <row r="1349"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  <cell r="N1349"/>
          <cell r="O1349"/>
          <cell r="P1349"/>
          <cell r="Q1349"/>
          <cell r="R1349"/>
          <cell r="S1349"/>
          <cell r="T1349"/>
          <cell r="U1349"/>
          <cell r="V1349"/>
          <cell r="W1349"/>
          <cell r="X1349"/>
          <cell r="Y1349"/>
          <cell r="Z1349"/>
          <cell r="AA1349"/>
          <cell r="AB1349"/>
          <cell r="AC1349"/>
          <cell r="AD1349"/>
          <cell r="AE1349"/>
          <cell r="AF1349"/>
        </row>
        <row r="1350"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  <cell r="N1350"/>
          <cell r="O1350"/>
          <cell r="P1350"/>
          <cell r="Q1350"/>
          <cell r="R1350"/>
          <cell r="S1350"/>
          <cell r="T1350"/>
          <cell r="U1350"/>
          <cell r="V1350"/>
          <cell r="W1350"/>
          <cell r="X1350"/>
          <cell r="Y1350"/>
          <cell r="Z1350"/>
          <cell r="AA1350"/>
          <cell r="AB1350"/>
          <cell r="AC1350"/>
          <cell r="AD1350"/>
          <cell r="AE1350"/>
          <cell r="AF1350"/>
        </row>
        <row r="1351"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  <cell r="N1351"/>
          <cell r="O1351"/>
          <cell r="P1351"/>
          <cell r="Q1351"/>
          <cell r="R1351"/>
          <cell r="S1351"/>
          <cell r="T1351"/>
          <cell r="U1351"/>
          <cell r="V1351"/>
          <cell r="W1351"/>
          <cell r="X1351"/>
          <cell r="Y1351"/>
          <cell r="Z1351"/>
          <cell r="AA1351"/>
          <cell r="AB1351"/>
          <cell r="AC1351"/>
          <cell r="AD1351"/>
          <cell r="AE1351"/>
          <cell r="AF1351"/>
        </row>
        <row r="1352"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  <cell r="N1352"/>
          <cell r="O1352"/>
          <cell r="P1352"/>
          <cell r="Q1352"/>
          <cell r="R1352"/>
          <cell r="S1352"/>
          <cell r="T1352"/>
          <cell r="U1352"/>
          <cell r="V1352"/>
          <cell r="W1352"/>
          <cell r="X1352"/>
          <cell r="Y1352"/>
          <cell r="Z1352"/>
          <cell r="AA1352"/>
          <cell r="AB1352"/>
          <cell r="AC1352"/>
          <cell r="AD1352"/>
          <cell r="AE1352"/>
          <cell r="AF1352"/>
        </row>
        <row r="1353"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  <cell r="N1353"/>
          <cell r="O1353"/>
          <cell r="P1353"/>
          <cell r="Q1353"/>
          <cell r="R1353"/>
          <cell r="S1353"/>
          <cell r="T1353"/>
          <cell r="U1353"/>
          <cell r="V1353"/>
          <cell r="W1353"/>
          <cell r="X1353"/>
          <cell r="Y1353"/>
          <cell r="Z1353"/>
          <cell r="AA1353"/>
          <cell r="AB1353"/>
          <cell r="AC1353"/>
          <cell r="AD1353"/>
          <cell r="AE1353"/>
          <cell r="AF1353"/>
        </row>
        <row r="1354"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  <cell r="N1354"/>
          <cell r="O1354"/>
          <cell r="P1354"/>
          <cell r="Q1354"/>
          <cell r="R1354"/>
          <cell r="S1354"/>
          <cell r="T1354"/>
          <cell r="U1354"/>
          <cell r="V1354"/>
          <cell r="W1354"/>
          <cell r="X1354"/>
          <cell r="Y1354"/>
          <cell r="Z1354"/>
          <cell r="AA1354"/>
          <cell r="AB1354"/>
          <cell r="AC1354"/>
          <cell r="AD1354"/>
          <cell r="AE1354"/>
          <cell r="AF1354"/>
        </row>
        <row r="1355"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  <cell r="N1355"/>
          <cell r="O1355"/>
          <cell r="P1355"/>
          <cell r="Q1355"/>
          <cell r="R1355"/>
          <cell r="S1355"/>
          <cell r="T1355"/>
          <cell r="U1355"/>
          <cell r="V1355"/>
          <cell r="W1355"/>
          <cell r="X1355"/>
          <cell r="Y1355"/>
          <cell r="Z1355"/>
          <cell r="AA1355"/>
          <cell r="AB1355"/>
          <cell r="AC1355"/>
          <cell r="AD1355"/>
          <cell r="AE1355"/>
          <cell r="AF1355"/>
        </row>
        <row r="1356"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  <cell r="N1356"/>
          <cell r="O1356"/>
          <cell r="P1356"/>
          <cell r="Q1356"/>
          <cell r="R1356"/>
          <cell r="S1356"/>
          <cell r="T1356"/>
          <cell r="U1356"/>
          <cell r="V1356"/>
          <cell r="W1356"/>
          <cell r="X1356"/>
          <cell r="Y1356"/>
          <cell r="Z1356"/>
          <cell r="AA1356"/>
          <cell r="AB1356"/>
          <cell r="AC1356"/>
          <cell r="AD1356"/>
          <cell r="AE1356"/>
          <cell r="AF1356"/>
        </row>
        <row r="1357"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  <cell r="N1357"/>
          <cell r="O1357"/>
          <cell r="P1357"/>
          <cell r="Q1357"/>
          <cell r="R1357"/>
          <cell r="S1357"/>
          <cell r="T1357"/>
          <cell r="U1357"/>
          <cell r="V1357"/>
          <cell r="W1357"/>
          <cell r="X1357"/>
          <cell r="Y1357"/>
          <cell r="Z1357"/>
          <cell r="AA1357"/>
          <cell r="AB1357"/>
          <cell r="AC1357"/>
          <cell r="AD1357"/>
          <cell r="AE1357"/>
          <cell r="AF1357"/>
        </row>
        <row r="1358"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  <cell r="N1358"/>
          <cell r="O1358"/>
          <cell r="P1358"/>
          <cell r="Q1358"/>
          <cell r="R1358"/>
          <cell r="S1358"/>
          <cell r="T1358"/>
          <cell r="U1358"/>
          <cell r="V1358"/>
          <cell r="W1358"/>
          <cell r="X1358"/>
          <cell r="Y1358"/>
          <cell r="Z1358"/>
          <cell r="AA1358"/>
          <cell r="AB1358"/>
          <cell r="AC1358"/>
          <cell r="AD1358"/>
          <cell r="AE1358"/>
          <cell r="AF1358"/>
        </row>
        <row r="1359"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  <cell r="N1359"/>
          <cell r="O1359"/>
          <cell r="P1359"/>
          <cell r="Q1359"/>
          <cell r="R1359"/>
          <cell r="S1359"/>
          <cell r="T1359"/>
          <cell r="U1359"/>
          <cell r="V1359"/>
          <cell r="W1359"/>
          <cell r="X1359"/>
          <cell r="Y1359"/>
          <cell r="Z1359"/>
          <cell r="AA1359"/>
          <cell r="AB1359"/>
          <cell r="AC1359"/>
          <cell r="AD1359"/>
          <cell r="AE1359"/>
          <cell r="AF1359"/>
        </row>
        <row r="1360"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  <cell r="N1360"/>
          <cell r="O1360"/>
          <cell r="P1360"/>
          <cell r="Q1360"/>
          <cell r="R1360"/>
          <cell r="S1360"/>
          <cell r="T1360"/>
          <cell r="U1360"/>
          <cell r="V1360"/>
          <cell r="W1360"/>
          <cell r="X1360"/>
          <cell r="Y1360"/>
          <cell r="Z1360"/>
          <cell r="AA1360"/>
          <cell r="AB1360"/>
          <cell r="AC1360"/>
          <cell r="AD1360"/>
          <cell r="AE1360"/>
          <cell r="AF1360"/>
        </row>
        <row r="1361"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  <cell r="N1361"/>
          <cell r="O1361"/>
          <cell r="P1361"/>
          <cell r="Q1361"/>
          <cell r="R1361"/>
          <cell r="S1361"/>
          <cell r="T1361"/>
          <cell r="U1361"/>
          <cell r="V1361"/>
          <cell r="W1361"/>
          <cell r="X1361"/>
          <cell r="Y1361"/>
          <cell r="Z1361"/>
          <cell r="AA1361"/>
          <cell r="AB1361"/>
          <cell r="AC1361"/>
          <cell r="AD1361"/>
          <cell r="AE1361"/>
          <cell r="AF1361"/>
        </row>
        <row r="1362"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  <cell r="N1362"/>
          <cell r="O1362"/>
          <cell r="P1362"/>
          <cell r="Q1362"/>
          <cell r="R1362"/>
          <cell r="S1362"/>
          <cell r="T1362"/>
          <cell r="U1362"/>
          <cell r="V1362"/>
          <cell r="W1362"/>
          <cell r="X1362"/>
          <cell r="Y1362"/>
          <cell r="Z1362"/>
          <cell r="AA1362"/>
          <cell r="AB1362"/>
          <cell r="AC1362"/>
          <cell r="AD1362"/>
          <cell r="AE1362"/>
          <cell r="AF1362"/>
        </row>
        <row r="1363"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  <cell r="N1363"/>
          <cell r="O1363"/>
          <cell r="P1363"/>
          <cell r="Q1363"/>
          <cell r="R1363"/>
          <cell r="S1363"/>
          <cell r="T1363"/>
          <cell r="U1363"/>
          <cell r="V1363"/>
          <cell r="W1363"/>
          <cell r="X1363"/>
          <cell r="Y1363"/>
          <cell r="Z1363"/>
          <cell r="AA1363"/>
          <cell r="AB1363"/>
          <cell r="AC1363"/>
          <cell r="AD1363"/>
          <cell r="AE1363"/>
          <cell r="AF1363"/>
        </row>
        <row r="1364"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  <cell r="N1364"/>
          <cell r="O1364"/>
          <cell r="P1364"/>
          <cell r="Q1364"/>
          <cell r="R1364"/>
          <cell r="S1364"/>
          <cell r="T1364"/>
          <cell r="U1364"/>
          <cell r="V1364"/>
          <cell r="W1364"/>
          <cell r="X1364"/>
          <cell r="Y1364"/>
          <cell r="Z1364"/>
          <cell r="AA1364"/>
          <cell r="AB1364"/>
          <cell r="AC1364"/>
          <cell r="AD1364"/>
          <cell r="AE1364"/>
          <cell r="AF1364"/>
        </row>
        <row r="1365"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  <cell r="N1365"/>
          <cell r="O1365"/>
          <cell r="P1365"/>
          <cell r="Q1365"/>
          <cell r="R1365"/>
          <cell r="S1365"/>
          <cell r="T1365"/>
          <cell r="U1365"/>
          <cell r="V1365"/>
          <cell r="W1365"/>
          <cell r="X1365"/>
          <cell r="Y1365"/>
          <cell r="Z1365"/>
          <cell r="AA1365"/>
          <cell r="AB1365"/>
          <cell r="AC1365"/>
          <cell r="AD1365"/>
          <cell r="AE1365"/>
          <cell r="AF1365"/>
        </row>
        <row r="1366"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  <cell r="N1366"/>
          <cell r="O1366"/>
          <cell r="P1366"/>
          <cell r="Q1366"/>
          <cell r="R1366"/>
          <cell r="S1366"/>
          <cell r="T1366"/>
          <cell r="U1366"/>
          <cell r="V1366"/>
          <cell r="W1366"/>
          <cell r="X1366"/>
          <cell r="Y1366"/>
          <cell r="Z1366"/>
          <cell r="AA1366"/>
          <cell r="AB1366"/>
          <cell r="AC1366"/>
          <cell r="AD1366"/>
          <cell r="AE1366"/>
          <cell r="AF1366"/>
        </row>
        <row r="1367"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  <cell r="N1367"/>
          <cell r="O1367"/>
          <cell r="P1367"/>
          <cell r="Q1367"/>
          <cell r="R1367"/>
          <cell r="S1367"/>
          <cell r="T1367"/>
          <cell r="U1367"/>
          <cell r="V1367"/>
          <cell r="W1367"/>
          <cell r="X1367"/>
          <cell r="Y1367"/>
          <cell r="Z1367"/>
          <cell r="AA1367"/>
          <cell r="AB1367"/>
          <cell r="AC1367"/>
          <cell r="AD1367"/>
          <cell r="AE1367"/>
          <cell r="AF1367"/>
        </row>
        <row r="1368"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  <cell r="N1368"/>
          <cell r="O1368"/>
          <cell r="P1368"/>
          <cell r="Q1368"/>
          <cell r="R1368"/>
          <cell r="S1368"/>
          <cell r="T1368"/>
          <cell r="U1368"/>
          <cell r="V1368"/>
          <cell r="W1368"/>
          <cell r="X1368"/>
          <cell r="Y1368"/>
          <cell r="Z1368"/>
          <cell r="AA1368"/>
          <cell r="AB1368"/>
          <cell r="AC1368"/>
          <cell r="AD1368"/>
          <cell r="AE1368"/>
          <cell r="AF1368"/>
        </row>
        <row r="1369"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  <cell r="N1369"/>
          <cell r="O1369"/>
          <cell r="P1369"/>
          <cell r="Q1369"/>
          <cell r="R1369"/>
          <cell r="S1369"/>
          <cell r="T1369"/>
          <cell r="U1369"/>
          <cell r="V1369"/>
          <cell r="W1369"/>
          <cell r="X1369"/>
          <cell r="Y1369"/>
          <cell r="Z1369"/>
          <cell r="AA1369"/>
          <cell r="AB1369"/>
          <cell r="AC1369"/>
          <cell r="AD1369"/>
          <cell r="AE1369"/>
          <cell r="AF1369"/>
        </row>
        <row r="1370"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  <cell r="N1370"/>
          <cell r="O1370"/>
          <cell r="P1370"/>
          <cell r="Q1370"/>
          <cell r="R1370"/>
          <cell r="S1370"/>
          <cell r="T1370"/>
          <cell r="U1370"/>
          <cell r="V1370"/>
          <cell r="W1370"/>
          <cell r="X1370"/>
          <cell r="Y1370"/>
          <cell r="Z1370"/>
          <cell r="AA1370"/>
          <cell r="AB1370"/>
          <cell r="AC1370"/>
          <cell r="AD1370"/>
          <cell r="AE1370"/>
          <cell r="AF1370"/>
        </row>
        <row r="1371"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  <cell r="N1371"/>
          <cell r="O1371"/>
          <cell r="P1371"/>
          <cell r="Q1371"/>
          <cell r="R1371"/>
          <cell r="S1371"/>
          <cell r="T1371"/>
          <cell r="U1371"/>
          <cell r="V1371"/>
          <cell r="W1371"/>
          <cell r="X1371"/>
          <cell r="Y1371"/>
          <cell r="Z1371"/>
          <cell r="AA1371"/>
          <cell r="AB1371"/>
          <cell r="AC1371"/>
          <cell r="AD1371"/>
          <cell r="AE1371"/>
          <cell r="AF1371"/>
        </row>
        <row r="1372"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  <cell r="N1372"/>
          <cell r="O1372"/>
          <cell r="P1372"/>
          <cell r="Q1372"/>
          <cell r="R1372"/>
          <cell r="S1372"/>
          <cell r="T1372"/>
          <cell r="U1372"/>
          <cell r="V1372"/>
          <cell r="W1372"/>
          <cell r="X1372"/>
          <cell r="Y1372"/>
          <cell r="Z1372"/>
          <cell r="AA1372"/>
          <cell r="AB1372"/>
          <cell r="AC1372"/>
          <cell r="AD1372"/>
          <cell r="AE1372"/>
          <cell r="AF1372"/>
        </row>
        <row r="1373"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  <cell r="N1373"/>
          <cell r="O1373"/>
          <cell r="P1373"/>
          <cell r="Q1373"/>
          <cell r="R1373"/>
          <cell r="S1373"/>
          <cell r="T1373"/>
          <cell r="U1373"/>
          <cell r="V1373"/>
          <cell r="W1373"/>
          <cell r="X1373"/>
          <cell r="Y1373"/>
          <cell r="Z1373"/>
          <cell r="AA1373"/>
          <cell r="AB1373"/>
          <cell r="AC1373"/>
          <cell r="AD1373"/>
          <cell r="AE1373"/>
          <cell r="AF1373"/>
        </row>
        <row r="1374"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  <cell r="N1374"/>
          <cell r="O1374"/>
          <cell r="P1374"/>
          <cell r="Q1374"/>
          <cell r="R1374"/>
          <cell r="S1374"/>
          <cell r="T1374"/>
          <cell r="U1374"/>
          <cell r="V1374"/>
          <cell r="W1374"/>
          <cell r="X1374"/>
          <cell r="Y1374"/>
          <cell r="Z1374"/>
          <cell r="AA1374"/>
          <cell r="AB1374"/>
          <cell r="AC1374"/>
          <cell r="AD1374"/>
          <cell r="AE1374"/>
          <cell r="AF1374"/>
        </row>
        <row r="1375"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  <cell r="N1375"/>
          <cell r="O1375"/>
          <cell r="P1375"/>
          <cell r="Q1375"/>
          <cell r="R1375"/>
          <cell r="S1375"/>
          <cell r="T1375"/>
          <cell r="U1375"/>
          <cell r="V1375"/>
          <cell r="W1375"/>
          <cell r="X1375"/>
          <cell r="Y1375"/>
          <cell r="Z1375"/>
          <cell r="AA1375"/>
          <cell r="AB1375"/>
          <cell r="AC1375"/>
          <cell r="AD1375"/>
          <cell r="AE1375"/>
          <cell r="AF1375"/>
        </row>
        <row r="1376"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  <cell r="N1376"/>
          <cell r="O1376"/>
          <cell r="P1376"/>
          <cell r="Q1376"/>
          <cell r="R1376"/>
          <cell r="S1376"/>
          <cell r="T1376"/>
          <cell r="U1376"/>
          <cell r="V1376"/>
          <cell r="W1376"/>
          <cell r="X1376"/>
          <cell r="Y1376"/>
          <cell r="Z1376"/>
          <cell r="AA1376"/>
          <cell r="AB1376"/>
          <cell r="AC1376"/>
          <cell r="AD1376"/>
          <cell r="AE1376"/>
          <cell r="AF1376"/>
        </row>
        <row r="1377"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  <cell r="N1377"/>
          <cell r="O1377"/>
          <cell r="P1377"/>
          <cell r="Q1377"/>
          <cell r="R1377"/>
          <cell r="S1377"/>
          <cell r="T1377"/>
          <cell r="U1377"/>
          <cell r="V1377"/>
          <cell r="W1377"/>
          <cell r="X1377"/>
          <cell r="Y1377"/>
          <cell r="Z1377"/>
          <cell r="AA1377"/>
          <cell r="AB1377"/>
          <cell r="AC1377"/>
          <cell r="AD1377"/>
          <cell r="AE1377"/>
          <cell r="AF1377"/>
        </row>
        <row r="1378"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  <cell r="N1378"/>
          <cell r="O1378"/>
          <cell r="P1378"/>
          <cell r="Q1378"/>
          <cell r="R1378"/>
          <cell r="S1378"/>
          <cell r="T1378"/>
          <cell r="U1378"/>
          <cell r="V1378"/>
          <cell r="W1378"/>
          <cell r="X1378"/>
          <cell r="Y1378"/>
          <cell r="Z1378"/>
          <cell r="AA1378"/>
          <cell r="AB1378"/>
          <cell r="AC1378"/>
          <cell r="AD1378"/>
          <cell r="AE1378"/>
          <cell r="AF1378"/>
        </row>
        <row r="1379"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  <cell r="N1379"/>
          <cell r="O1379"/>
          <cell r="P1379"/>
          <cell r="Q1379"/>
          <cell r="R1379"/>
          <cell r="S1379"/>
          <cell r="T1379"/>
          <cell r="U1379"/>
          <cell r="V1379"/>
          <cell r="W1379"/>
          <cell r="X1379"/>
          <cell r="Y1379"/>
          <cell r="Z1379"/>
          <cell r="AA1379"/>
          <cell r="AB1379"/>
          <cell r="AC1379"/>
          <cell r="AD1379"/>
          <cell r="AE1379"/>
          <cell r="AF1379"/>
        </row>
        <row r="1380"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  <cell r="N1380"/>
          <cell r="O1380"/>
          <cell r="P1380"/>
          <cell r="Q1380"/>
          <cell r="R1380"/>
          <cell r="S1380"/>
          <cell r="T1380"/>
          <cell r="U1380"/>
          <cell r="V1380"/>
          <cell r="W1380"/>
          <cell r="X1380"/>
          <cell r="Y1380"/>
          <cell r="Z1380"/>
          <cell r="AA1380"/>
          <cell r="AB1380"/>
          <cell r="AC1380"/>
          <cell r="AD1380"/>
          <cell r="AE1380"/>
          <cell r="AF1380"/>
        </row>
        <row r="1381"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  <cell r="N1381"/>
          <cell r="O1381"/>
          <cell r="P1381"/>
          <cell r="Q1381"/>
          <cell r="R1381"/>
          <cell r="S1381"/>
          <cell r="T1381"/>
          <cell r="U1381"/>
          <cell r="V1381"/>
          <cell r="W1381"/>
          <cell r="X1381"/>
          <cell r="Y1381"/>
          <cell r="Z1381"/>
          <cell r="AA1381"/>
          <cell r="AB1381"/>
          <cell r="AC1381"/>
          <cell r="AD1381"/>
          <cell r="AE1381"/>
          <cell r="AF1381"/>
        </row>
        <row r="1382"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  <cell r="N1382"/>
          <cell r="O1382"/>
          <cell r="P1382"/>
          <cell r="Q1382"/>
          <cell r="R1382"/>
          <cell r="S1382"/>
          <cell r="T1382"/>
          <cell r="U1382"/>
          <cell r="V1382"/>
          <cell r="W1382"/>
          <cell r="X1382"/>
          <cell r="Y1382"/>
          <cell r="Z1382"/>
          <cell r="AA1382"/>
          <cell r="AB1382"/>
          <cell r="AC1382"/>
          <cell r="AD1382"/>
          <cell r="AE1382"/>
          <cell r="AF1382"/>
        </row>
        <row r="1383"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  <cell r="N1383"/>
          <cell r="O1383"/>
          <cell r="P1383"/>
          <cell r="Q1383"/>
          <cell r="R1383"/>
          <cell r="S1383"/>
          <cell r="T1383"/>
          <cell r="U1383"/>
          <cell r="V1383"/>
          <cell r="W1383"/>
          <cell r="X1383"/>
          <cell r="Y1383"/>
          <cell r="Z1383"/>
          <cell r="AA1383"/>
          <cell r="AB1383"/>
          <cell r="AC1383"/>
          <cell r="AD1383"/>
          <cell r="AE1383"/>
          <cell r="AF1383"/>
        </row>
        <row r="1384"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  <cell r="N1384"/>
          <cell r="O1384"/>
          <cell r="P1384"/>
          <cell r="Q1384"/>
          <cell r="R1384"/>
          <cell r="S1384"/>
          <cell r="T1384"/>
          <cell r="U1384"/>
          <cell r="V1384"/>
          <cell r="W1384"/>
          <cell r="X1384"/>
          <cell r="Y1384"/>
          <cell r="Z1384"/>
          <cell r="AA1384"/>
          <cell r="AB1384"/>
          <cell r="AC1384"/>
          <cell r="AD1384"/>
          <cell r="AE1384"/>
          <cell r="AF1384"/>
        </row>
        <row r="1385"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  <cell r="N1385"/>
          <cell r="O1385"/>
          <cell r="P1385"/>
          <cell r="Q1385"/>
          <cell r="R1385"/>
          <cell r="S1385"/>
          <cell r="T1385"/>
          <cell r="U1385"/>
          <cell r="V1385"/>
          <cell r="W1385"/>
          <cell r="X1385"/>
          <cell r="Y1385"/>
          <cell r="Z1385"/>
          <cell r="AA1385"/>
          <cell r="AB1385"/>
          <cell r="AC1385"/>
          <cell r="AD1385"/>
          <cell r="AE1385"/>
          <cell r="AF1385"/>
        </row>
        <row r="1386"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  <cell r="N1386"/>
          <cell r="O1386"/>
          <cell r="P1386"/>
          <cell r="Q1386"/>
          <cell r="R1386"/>
          <cell r="S1386"/>
          <cell r="T1386"/>
          <cell r="U1386"/>
          <cell r="V1386"/>
          <cell r="W1386"/>
          <cell r="X1386"/>
          <cell r="Y1386"/>
          <cell r="Z1386"/>
          <cell r="AA1386"/>
          <cell r="AB1386"/>
          <cell r="AC1386"/>
          <cell r="AD1386"/>
          <cell r="AE1386"/>
          <cell r="AF1386"/>
        </row>
        <row r="1387"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  <cell r="N1387"/>
          <cell r="O1387"/>
          <cell r="P1387"/>
          <cell r="Q1387"/>
          <cell r="R1387"/>
          <cell r="S1387"/>
          <cell r="T1387"/>
          <cell r="U1387"/>
          <cell r="V1387"/>
          <cell r="W1387"/>
          <cell r="X1387"/>
          <cell r="Y1387"/>
          <cell r="Z1387"/>
          <cell r="AA1387"/>
          <cell r="AB1387"/>
          <cell r="AC1387"/>
          <cell r="AD1387"/>
          <cell r="AE1387"/>
          <cell r="AF1387"/>
        </row>
        <row r="1388"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  <cell r="N1388"/>
          <cell r="O1388"/>
          <cell r="P1388"/>
          <cell r="Q1388"/>
          <cell r="R1388"/>
          <cell r="S1388"/>
          <cell r="T1388"/>
          <cell r="U1388"/>
          <cell r="V1388"/>
          <cell r="W1388"/>
          <cell r="X1388"/>
          <cell r="Y1388"/>
          <cell r="Z1388"/>
          <cell r="AA1388"/>
          <cell r="AB1388"/>
          <cell r="AC1388"/>
          <cell r="AD1388"/>
          <cell r="AE1388"/>
          <cell r="AF1388"/>
        </row>
        <row r="1389"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  <cell r="N1389"/>
          <cell r="O1389"/>
          <cell r="P1389"/>
          <cell r="Q1389"/>
          <cell r="R1389"/>
          <cell r="S1389"/>
          <cell r="T1389"/>
          <cell r="U1389"/>
          <cell r="V1389"/>
          <cell r="W1389"/>
          <cell r="X1389"/>
          <cell r="Y1389"/>
          <cell r="Z1389"/>
          <cell r="AA1389"/>
          <cell r="AB1389"/>
          <cell r="AC1389"/>
          <cell r="AD1389"/>
          <cell r="AE1389"/>
          <cell r="AF1389"/>
        </row>
        <row r="1390"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  <cell r="N1390"/>
          <cell r="O1390"/>
          <cell r="P1390"/>
          <cell r="Q1390"/>
          <cell r="R1390"/>
          <cell r="S1390"/>
          <cell r="T1390"/>
          <cell r="U1390"/>
          <cell r="V1390"/>
          <cell r="W1390"/>
          <cell r="X1390"/>
          <cell r="Y1390"/>
          <cell r="Z1390"/>
          <cell r="AA1390"/>
          <cell r="AB1390"/>
          <cell r="AC1390"/>
          <cell r="AD1390"/>
          <cell r="AE1390"/>
          <cell r="AF1390"/>
        </row>
        <row r="1391"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  <cell r="N1391"/>
          <cell r="O1391"/>
          <cell r="P1391"/>
          <cell r="Q1391"/>
          <cell r="R1391"/>
          <cell r="S1391"/>
          <cell r="T1391"/>
          <cell r="U1391"/>
          <cell r="V1391"/>
          <cell r="W1391"/>
          <cell r="X1391"/>
          <cell r="Y1391"/>
          <cell r="Z1391"/>
          <cell r="AA1391"/>
          <cell r="AB1391"/>
          <cell r="AC1391"/>
          <cell r="AD1391"/>
          <cell r="AE1391"/>
          <cell r="AF1391"/>
        </row>
        <row r="1392"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  <cell r="N1392"/>
          <cell r="O1392"/>
          <cell r="P1392"/>
          <cell r="Q1392"/>
          <cell r="R1392"/>
          <cell r="S1392"/>
          <cell r="T1392"/>
          <cell r="U1392"/>
          <cell r="V1392"/>
          <cell r="W1392"/>
          <cell r="X1392"/>
          <cell r="Y1392"/>
          <cell r="Z1392"/>
          <cell r="AA1392"/>
          <cell r="AB1392"/>
          <cell r="AC1392"/>
          <cell r="AD1392"/>
          <cell r="AE1392"/>
          <cell r="AF1392"/>
        </row>
        <row r="1393"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  <cell r="N1393"/>
          <cell r="O1393"/>
          <cell r="P1393"/>
          <cell r="Q1393"/>
          <cell r="R1393"/>
          <cell r="S1393"/>
          <cell r="T1393"/>
          <cell r="U1393"/>
          <cell r="V1393"/>
          <cell r="W1393"/>
          <cell r="X1393"/>
          <cell r="Y1393"/>
          <cell r="Z1393"/>
          <cell r="AA1393"/>
          <cell r="AB1393"/>
          <cell r="AC1393"/>
          <cell r="AD1393"/>
          <cell r="AE1393"/>
          <cell r="AF1393"/>
        </row>
        <row r="1394"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  <cell r="N1394"/>
          <cell r="O1394"/>
          <cell r="P1394"/>
          <cell r="Q1394"/>
          <cell r="R1394"/>
          <cell r="S1394"/>
          <cell r="T1394"/>
          <cell r="U1394"/>
          <cell r="V1394"/>
          <cell r="W1394"/>
          <cell r="X1394"/>
          <cell r="Y1394"/>
          <cell r="Z1394"/>
          <cell r="AA1394"/>
          <cell r="AB1394"/>
          <cell r="AC1394"/>
          <cell r="AD1394"/>
          <cell r="AE1394"/>
          <cell r="AF1394"/>
        </row>
        <row r="1395"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  <cell r="N1395"/>
          <cell r="O1395"/>
          <cell r="P1395"/>
          <cell r="Q1395"/>
          <cell r="R1395"/>
          <cell r="S1395"/>
          <cell r="T1395"/>
          <cell r="U1395"/>
          <cell r="V1395"/>
          <cell r="W1395"/>
          <cell r="X1395"/>
          <cell r="Y1395"/>
          <cell r="Z1395"/>
          <cell r="AA1395"/>
          <cell r="AB1395"/>
          <cell r="AC1395"/>
          <cell r="AD1395"/>
          <cell r="AE1395"/>
          <cell r="AF1395"/>
        </row>
        <row r="1396"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  <cell r="N1396"/>
          <cell r="O1396"/>
          <cell r="P1396"/>
          <cell r="Q1396"/>
          <cell r="R1396"/>
          <cell r="S1396"/>
          <cell r="T1396"/>
          <cell r="U1396"/>
          <cell r="V1396"/>
          <cell r="W1396"/>
          <cell r="X1396"/>
          <cell r="Y1396"/>
          <cell r="Z1396"/>
          <cell r="AA1396"/>
          <cell r="AB1396"/>
          <cell r="AC1396"/>
          <cell r="AD1396"/>
          <cell r="AE1396"/>
          <cell r="AF1396"/>
        </row>
        <row r="1397"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  <cell r="N1397"/>
          <cell r="O1397"/>
          <cell r="P1397"/>
          <cell r="Q1397"/>
          <cell r="R1397"/>
          <cell r="S1397"/>
          <cell r="T1397"/>
          <cell r="U1397"/>
          <cell r="V1397"/>
          <cell r="W1397"/>
          <cell r="X1397"/>
          <cell r="Y1397"/>
          <cell r="Z1397"/>
          <cell r="AA1397"/>
          <cell r="AB1397"/>
          <cell r="AC1397"/>
          <cell r="AD1397"/>
          <cell r="AE1397"/>
          <cell r="AF1397"/>
        </row>
        <row r="1398"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  <cell r="N1398"/>
          <cell r="O1398"/>
          <cell r="P1398"/>
          <cell r="Q1398"/>
          <cell r="R1398"/>
          <cell r="S1398"/>
          <cell r="T1398"/>
          <cell r="U1398"/>
          <cell r="V1398"/>
          <cell r="W1398"/>
          <cell r="X1398"/>
          <cell r="Y1398"/>
          <cell r="Z1398"/>
          <cell r="AA1398"/>
          <cell r="AB1398"/>
          <cell r="AC1398"/>
          <cell r="AD1398"/>
          <cell r="AE1398"/>
          <cell r="AF1398"/>
        </row>
        <row r="1399"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  <cell r="N1399"/>
          <cell r="O1399"/>
          <cell r="P1399"/>
          <cell r="Q1399"/>
          <cell r="R1399"/>
          <cell r="S1399"/>
          <cell r="T1399"/>
          <cell r="U1399"/>
          <cell r="V1399"/>
          <cell r="W1399"/>
          <cell r="X1399"/>
          <cell r="Y1399"/>
          <cell r="Z1399"/>
          <cell r="AA1399"/>
          <cell r="AB1399"/>
          <cell r="AC1399"/>
          <cell r="AD1399"/>
          <cell r="AE1399"/>
          <cell r="AF1399"/>
        </row>
        <row r="1400"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  <cell r="N1400"/>
          <cell r="O1400"/>
          <cell r="P1400"/>
          <cell r="Q1400"/>
          <cell r="R1400"/>
          <cell r="S1400"/>
          <cell r="T1400"/>
          <cell r="U1400"/>
          <cell r="V1400"/>
          <cell r="W1400"/>
          <cell r="X1400"/>
          <cell r="Y1400"/>
          <cell r="Z1400"/>
          <cell r="AA1400"/>
          <cell r="AB1400"/>
          <cell r="AC1400"/>
          <cell r="AD1400"/>
          <cell r="AE1400"/>
          <cell r="AF1400"/>
        </row>
        <row r="1401"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  <cell r="N1401"/>
          <cell r="O1401"/>
          <cell r="P1401"/>
          <cell r="Q1401"/>
          <cell r="R1401"/>
          <cell r="S1401"/>
          <cell r="T1401"/>
          <cell r="U1401"/>
          <cell r="V1401"/>
          <cell r="W1401"/>
          <cell r="X1401"/>
          <cell r="Y1401"/>
          <cell r="Z1401"/>
          <cell r="AA1401"/>
          <cell r="AB1401"/>
          <cell r="AC1401"/>
          <cell r="AD1401"/>
          <cell r="AE1401"/>
          <cell r="AF1401"/>
        </row>
        <row r="1402"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  <cell r="N1402"/>
          <cell r="O1402"/>
          <cell r="P1402"/>
          <cell r="Q1402"/>
          <cell r="R1402"/>
          <cell r="S1402"/>
          <cell r="T1402"/>
          <cell r="U1402"/>
          <cell r="V1402"/>
          <cell r="W1402"/>
          <cell r="X1402"/>
          <cell r="Y1402"/>
          <cell r="Z1402"/>
          <cell r="AA1402"/>
          <cell r="AB1402"/>
          <cell r="AC1402"/>
          <cell r="AD1402"/>
          <cell r="AE1402"/>
          <cell r="AF1402"/>
        </row>
        <row r="1403"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  <cell r="N1403"/>
          <cell r="O1403"/>
          <cell r="P1403"/>
          <cell r="Q1403"/>
          <cell r="R1403"/>
          <cell r="S1403"/>
          <cell r="T1403"/>
          <cell r="U1403"/>
          <cell r="V1403"/>
          <cell r="W1403"/>
          <cell r="X1403"/>
          <cell r="Y1403"/>
          <cell r="Z1403"/>
          <cell r="AA1403"/>
          <cell r="AB1403"/>
          <cell r="AC1403"/>
          <cell r="AD1403"/>
          <cell r="AE1403"/>
          <cell r="AF1403"/>
        </row>
        <row r="1404"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  <cell r="N1404"/>
          <cell r="O1404"/>
          <cell r="P1404"/>
          <cell r="Q1404"/>
          <cell r="R1404"/>
          <cell r="S1404"/>
          <cell r="T1404"/>
          <cell r="U1404"/>
          <cell r="V1404"/>
          <cell r="W1404"/>
          <cell r="X1404"/>
          <cell r="Y1404"/>
          <cell r="Z1404"/>
          <cell r="AA1404"/>
          <cell r="AB1404"/>
          <cell r="AC1404"/>
          <cell r="AD1404"/>
          <cell r="AE1404"/>
          <cell r="AF1404"/>
        </row>
        <row r="1405"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  <cell r="N1405"/>
          <cell r="O1405"/>
          <cell r="P1405"/>
          <cell r="Q1405"/>
          <cell r="R1405"/>
          <cell r="S1405"/>
          <cell r="T1405"/>
          <cell r="U1405"/>
          <cell r="V1405"/>
          <cell r="W1405"/>
          <cell r="X1405"/>
          <cell r="Y1405"/>
          <cell r="Z1405"/>
          <cell r="AA1405"/>
          <cell r="AB1405"/>
          <cell r="AC1405"/>
          <cell r="AD1405"/>
          <cell r="AE1405"/>
          <cell r="AF1405"/>
        </row>
        <row r="1406"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  <cell r="N1406"/>
          <cell r="O1406"/>
          <cell r="P1406"/>
          <cell r="Q1406"/>
          <cell r="R1406"/>
          <cell r="S1406"/>
          <cell r="T1406"/>
          <cell r="U1406"/>
          <cell r="V1406"/>
          <cell r="W1406"/>
          <cell r="X1406"/>
          <cell r="Y1406"/>
          <cell r="Z1406"/>
          <cell r="AA1406"/>
          <cell r="AB1406"/>
          <cell r="AC1406"/>
          <cell r="AD1406"/>
          <cell r="AE1406"/>
          <cell r="AF1406"/>
        </row>
        <row r="1407"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  <cell r="N1407"/>
          <cell r="O1407"/>
          <cell r="P1407"/>
          <cell r="Q1407"/>
          <cell r="R1407"/>
          <cell r="S1407"/>
          <cell r="T1407"/>
          <cell r="U1407"/>
          <cell r="V1407"/>
          <cell r="W1407"/>
          <cell r="X1407"/>
          <cell r="Y1407"/>
          <cell r="Z1407"/>
          <cell r="AA1407"/>
          <cell r="AB1407"/>
          <cell r="AC1407"/>
          <cell r="AD1407"/>
          <cell r="AE1407"/>
          <cell r="AF1407"/>
        </row>
        <row r="1408"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  <cell r="N1408"/>
          <cell r="O1408"/>
          <cell r="P1408"/>
          <cell r="Q1408"/>
          <cell r="R1408"/>
          <cell r="S1408"/>
          <cell r="T1408"/>
          <cell r="U1408"/>
          <cell r="V1408"/>
          <cell r="W1408"/>
          <cell r="X1408"/>
          <cell r="Y1408"/>
          <cell r="Z1408"/>
          <cell r="AA1408"/>
          <cell r="AB1408"/>
          <cell r="AC1408"/>
          <cell r="AD1408"/>
          <cell r="AE1408"/>
          <cell r="AF1408"/>
        </row>
        <row r="1409"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  <cell r="N1409"/>
          <cell r="O1409"/>
          <cell r="P1409"/>
          <cell r="Q1409"/>
          <cell r="R1409"/>
          <cell r="S1409"/>
          <cell r="T1409"/>
          <cell r="U1409"/>
          <cell r="V1409"/>
          <cell r="W1409"/>
          <cell r="X1409"/>
          <cell r="Y1409"/>
          <cell r="Z1409"/>
          <cell r="AA1409"/>
          <cell r="AB1409"/>
          <cell r="AC1409"/>
          <cell r="AD1409"/>
          <cell r="AE1409"/>
          <cell r="AF1409"/>
        </row>
        <row r="1410"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  <cell r="N1410"/>
          <cell r="O1410"/>
          <cell r="P1410"/>
          <cell r="Q1410"/>
          <cell r="R1410"/>
          <cell r="S1410"/>
          <cell r="T1410"/>
          <cell r="U1410"/>
          <cell r="V1410"/>
          <cell r="W1410"/>
          <cell r="X1410"/>
          <cell r="Y1410"/>
          <cell r="Z1410"/>
          <cell r="AA1410"/>
          <cell r="AB1410"/>
          <cell r="AC1410"/>
          <cell r="AD1410"/>
          <cell r="AE1410"/>
          <cell r="AF1410"/>
        </row>
        <row r="1411"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  <cell r="N1411"/>
          <cell r="O1411"/>
          <cell r="P1411"/>
          <cell r="Q1411"/>
          <cell r="R1411"/>
          <cell r="S1411"/>
          <cell r="T1411"/>
          <cell r="U1411"/>
          <cell r="V1411"/>
          <cell r="W1411"/>
          <cell r="X1411"/>
          <cell r="Y1411"/>
          <cell r="Z1411"/>
          <cell r="AA1411"/>
          <cell r="AB1411"/>
          <cell r="AC1411"/>
          <cell r="AD1411"/>
          <cell r="AE1411"/>
          <cell r="AF1411"/>
        </row>
        <row r="1412"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  <cell r="N1412"/>
          <cell r="O1412"/>
          <cell r="P1412"/>
          <cell r="Q1412"/>
          <cell r="R1412"/>
          <cell r="S1412"/>
          <cell r="T1412"/>
          <cell r="U1412"/>
          <cell r="V1412"/>
          <cell r="W1412"/>
          <cell r="X1412"/>
          <cell r="Y1412"/>
          <cell r="Z1412"/>
          <cell r="AA1412"/>
          <cell r="AB1412"/>
          <cell r="AC1412"/>
          <cell r="AD1412"/>
          <cell r="AE1412"/>
          <cell r="AF1412"/>
        </row>
        <row r="1413"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  <cell r="N1413"/>
          <cell r="O1413"/>
          <cell r="P1413"/>
          <cell r="Q1413"/>
          <cell r="R1413"/>
          <cell r="S1413"/>
          <cell r="T1413"/>
          <cell r="U1413"/>
          <cell r="V1413"/>
          <cell r="W1413"/>
          <cell r="X1413"/>
          <cell r="Y1413"/>
          <cell r="Z1413"/>
          <cell r="AA1413"/>
          <cell r="AB1413"/>
          <cell r="AC1413"/>
          <cell r="AD1413"/>
          <cell r="AE1413"/>
          <cell r="AF1413"/>
        </row>
        <row r="1414"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  <cell r="N1414"/>
          <cell r="O1414"/>
          <cell r="P1414"/>
          <cell r="Q1414"/>
          <cell r="R1414"/>
          <cell r="S1414"/>
          <cell r="T1414"/>
          <cell r="U1414"/>
          <cell r="V1414"/>
          <cell r="W1414"/>
          <cell r="X1414"/>
          <cell r="Y1414"/>
          <cell r="Z1414"/>
          <cell r="AA1414"/>
          <cell r="AB1414"/>
          <cell r="AC1414"/>
          <cell r="AD1414"/>
          <cell r="AE1414"/>
          <cell r="AF1414"/>
        </row>
        <row r="1415"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  <cell r="N1415"/>
          <cell r="O1415"/>
          <cell r="P1415"/>
          <cell r="Q1415"/>
          <cell r="R1415"/>
          <cell r="S1415"/>
          <cell r="T1415"/>
          <cell r="U1415"/>
          <cell r="V1415"/>
          <cell r="W1415"/>
          <cell r="X1415"/>
          <cell r="Y1415"/>
          <cell r="Z1415"/>
          <cell r="AA1415"/>
          <cell r="AB1415"/>
          <cell r="AC1415"/>
          <cell r="AD1415"/>
          <cell r="AE1415"/>
          <cell r="AF1415"/>
        </row>
        <row r="1416"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  <cell r="N1416"/>
          <cell r="O1416"/>
          <cell r="P1416"/>
          <cell r="Q1416"/>
          <cell r="R1416"/>
          <cell r="S1416"/>
          <cell r="T1416"/>
          <cell r="U1416"/>
          <cell r="V1416"/>
          <cell r="W1416"/>
          <cell r="X1416"/>
          <cell r="Y1416"/>
          <cell r="Z1416"/>
          <cell r="AA1416"/>
          <cell r="AB1416"/>
          <cell r="AC1416"/>
          <cell r="AD1416"/>
          <cell r="AE1416"/>
          <cell r="AF1416"/>
        </row>
        <row r="1417"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  <cell r="N1417"/>
          <cell r="O1417"/>
          <cell r="P1417"/>
          <cell r="Q1417"/>
          <cell r="R1417"/>
          <cell r="S1417"/>
          <cell r="T1417"/>
          <cell r="U1417"/>
          <cell r="V1417"/>
          <cell r="W1417"/>
          <cell r="X1417"/>
          <cell r="Y1417"/>
          <cell r="Z1417"/>
          <cell r="AA1417"/>
          <cell r="AB1417"/>
          <cell r="AC1417"/>
          <cell r="AD1417"/>
          <cell r="AE1417"/>
          <cell r="AF1417"/>
        </row>
        <row r="1418"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  <cell r="N1418"/>
          <cell r="O1418"/>
          <cell r="P1418"/>
          <cell r="Q1418"/>
          <cell r="R1418"/>
          <cell r="S1418"/>
          <cell r="T1418"/>
          <cell r="U1418"/>
          <cell r="V1418"/>
          <cell r="W1418"/>
          <cell r="X1418"/>
          <cell r="Y1418"/>
          <cell r="Z1418"/>
          <cell r="AA1418"/>
          <cell r="AB1418"/>
          <cell r="AC1418"/>
          <cell r="AD1418"/>
          <cell r="AE1418"/>
          <cell r="AF1418"/>
        </row>
        <row r="1419"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  <cell r="N1419"/>
          <cell r="O1419"/>
          <cell r="P1419"/>
          <cell r="Q1419"/>
          <cell r="R1419"/>
          <cell r="S1419"/>
          <cell r="T1419"/>
          <cell r="U1419"/>
          <cell r="V1419"/>
          <cell r="W1419"/>
          <cell r="X1419"/>
          <cell r="Y1419"/>
          <cell r="Z1419"/>
          <cell r="AA1419"/>
          <cell r="AB1419"/>
          <cell r="AC1419"/>
          <cell r="AD1419"/>
          <cell r="AE1419"/>
          <cell r="AF1419"/>
        </row>
        <row r="1420"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  <cell r="N1420"/>
          <cell r="O1420"/>
          <cell r="P1420"/>
          <cell r="Q1420"/>
          <cell r="R1420"/>
          <cell r="S1420"/>
          <cell r="T1420"/>
          <cell r="U1420"/>
          <cell r="V1420"/>
          <cell r="W1420"/>
          <cell r="X1420"/>
          <cell r="Y1420"/>
          <cell r="Z1420"/>
          <cell r="AA1420"/>
          <cell r="AB1420"/>
          <cell r="AC1420"/>
          <cell r="AD1420"/>
          <cell r="AE1420"/>
          <cell r="AF1420"/>
        </row>
        <row r="1421"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  <cell r="N1421"/>
          <cell r="O1421"/>
          <cell r="P1421"/>
          <cell r="Q1421"/>
          <cell r="R1421"/>
          <cell r="S1421"/>
          <cell r="T1421"/>
          <cell r="U1421"/>
          <cell r="V1421"/>
          <cell r="W1421"/>
          <cell r="X1421"/>
          <cell r="Y1421"/>
          <cell r="Z1421"/>
          <cell r="AA1421"/>
          <cell r="AB1421"/>
          <cell r="AC1421"/>
          <cell r="AD1421"/>
          <cell r="AE1421"/>
          <cell r="AF1421"/>
        </row>
        <row r="1422"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  <cell r="N1422"/>
          <cell r="O1422"/>
          <cell r="P1422"/>
          <cell r="Q1422"/>
          <cell r="R1422"/>
          <cell r="S1422"/>
          <cell r="T1422"/>
          <cell r="U1422"/>
          <cell r="V1422"/>
          <cell r="W1422"/>
          <cell r="X1422"/>
          <cell r="Y1422"/>
          <cell r="Z1422"/>
          <cell r="AA1422"/>
          <cell r="AB1422"/>
          <cell r="AC1422"/>
          <cell r="AD1422"/>
          <cell r="AE1422"/>
          <cell r="AF1422"/>
        </row>
        <row r="1423"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  <cell r="N1423"/>
          <cell r="O1423"/>
          <cell r="P1423"/>
          <cell r="Q1423"/>
          <cell r="R1423"/>
          <cell r="S1423"/>
          <cell r="T1423"/>
          <cell r="U1423"/>
          <cell r="V1423"/>
          <cell r="W1423"/>
          <cell r="X1423"/>
          <cell r="Y1423"/>
          <cell r="Z1423"/>
          <cell r="AA1423"/>
          <cell r="AB1423"/>
          <cell r="AC1423"/>
          <cell r="AD1423"/>
          <cell r="AE1423"/>
          <cell r="AF1423"/>
        </row>
        <row r="1424"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  <cell r="N1424"/>
          <cell r="O1424"/>
          <cell r="P1424"/>
          <cell r="Q1424"/>
          <cell r="R1424"/>
          <cell r="S1424"/>
          <cell r="T1424"/>
          <cell r="U1424"/>
          <cell r="V1424"/>
          <cell r="W1424"/>
          <cell r="X1424"/>
          <cell r="Y1424"/>
          <cell r="Z1424"/>
          <cell r="AA1424"/>
          <cell r="AB1424"/>
          <cell r="AC1424"/>
          <cell r="AD1424"/>
          <cell r="AE1424"/>
          <cell r="AF1424"/>
        </row>
        <row r="1425"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  <cell r="N1425"/>
          <cell r="O1425"/>
          <cell r="P1425"/>
          <cell r="Q1425"/>
          <cell r="R1425"/>
          <cell r="S1425"/>
          <cell r="T1425"/>
          <cell r="U1425"/>
          <cell r="V1425"/>
          <cell r="W1425"/>
          <cell r="X1425"/>
          <cell r="Y1425"/>
          <cell r="Z1425"/>
          <cell r="AA1425"/>
          <cell r="AB1425"/>
          <cell r="AC1425"/>
          <cell r="AD1425"/>
          <cell r="AE1425"/>
          <cell r="AF1425"/>
        </row>
        <row r="1426"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  <cell r="N1426"/>
          <cell r="O1426"/>
          <cell r="P1426"/>
          <cell r="Q1426"/>
          <cell r="R1426"/>
          <cell r="S1426"/>
          <cell r="T1426"/>
          <cell r="U1426"/>
          <cell r="V1426"/>
          <cell r="W1426"/>
          <cell r="X1426"/>
          <cell r="Y1426"/>
          <cell r="Z1426"/>
          <cell r="AA1426"/>
          <cell r="AB1426"/>
          <cell r="AC1426"/>
          <cell r="AD1426"/>
          <cell r="AE1426"/>
          <cell r="AF1426"/>
        </row>
        <row r="1427"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  <cell r="N1427"/>
          <cell r="O1427"/>
          <cell r="P1427"/>
          <cell r="Q1427"/>
          <cell r="R1427"/>
          <cell r="S1427"/>
          <cell r="T1427"/>
          <cell r="U1427"/>
          <cell r="V1427"/>
          <cell r="W1427"/>
          <cell r="X1427"/>
          <cell r="Y1427"/>
          <cell r="Z1427"/>
          <cell r="AA1427"/>
          <cell r="AB1427"/>
          <cell r="AC1427"/>
          <cell r="AD1427"/>
          <cell r="AE1427"/>
          <cell r="AF1427"/>
        </row>
        <row r="1428"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  <cell r="N1428"/>
          <cell r="O1428"/>
          <cell r="P1428"/>
          <cell r="Q1428"/>
          <cell r="R1428"/>
          <cell r="S1428"/>
          <cell r="T1428"/>
          <cell r="U1428"/>
          <cell r="V1428"/>
          <cell r="W1428"/>
          <cell r="X1428"/>
          <cell r="Y1428"/>
          <cell r="Z1428"/>
          <cell r="AA1428"/>
          <cell r="AB1428"/>
          <cell r="AC1428"/>
          <cell r="AD1428"/>
          <cell r="AE1428"/>
          <cell r="AF1428"/>
        </row>
        <row r="1429"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  <cell r="N1429"/>
          <cell r="O1429"/>
          <cell r="P1429"/>
          <cell r="Q1429"/>
          <cell r="R1429"/>
          <cell r="S1429"/>
          <cell r="T1429"/>
          <cell r="U1429"/>
          <cell r="V1429"/>
          <cell r="W1429"/>
          <cell r="X1429"/>
          <cell r="Y1429"/>
          <cell r="Z1429"/>
          <cell r="AA1429"/>
          <cell r="AB1429"/>
          <cell r="AC1429"/>
          <cell r="AD1429"/>
          <cell r="AE1429"/>
          <cell r="AF1429"/>
        </row>
        <row r="1430"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  <cell r="N1430"/>
          <cell r="O1430"/>
          <cell r="P1430"/>
          <cell r="Q1430"/>
          <cell r="R1430"/>
          <cell r="S1430"/>
          <cell r="T1430"/>
          <cell r="U1430"/>
          <cell r="V1430"/>
          <cell r="W1430"/>
          <cell r="X1430"/>
          <cell r="Y1430"/>
          <cell r="Z1430"/>
          <cell r="AA1430"/>
          <cell r="AB1430"/>
          <cell r="AC1430"/>
          <cell r="AD1430"/>
          <cell r="AE1430"/>
          <cell r="AF1430"/>
        </row>
        <row r="1431"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  <cell r="N1431"/>
          <cell r="O1431"/>
          <cell r="P1431"/>
          <cell r="Q1431"/>
          <cell r="R1431"/>
          <cell r="S1431"/>
          <cell r="T1431"/>
          <cell r="U1431"/>
          <cell r="V1431"/>
          <cell r="W1431"/>
          <cell r="X1431"/>
          <cell r="Y1431"/>
          <cell r="Z1431"/>
          <cell r="AA1431"/>
          <cell r="AB1431"/>
          <cell r="AC1431"/>
          <cell r="AD1431"/>
          <cell r="AE1431"/>
          <cell r="AF1431"/>
        </row>
        <row r="1432"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  <cell r="N1432"/>
          <cell r="O1432"/>
          <cell r="P1432"/>
          <cell r="Q1432"/>
          <cell r="R1432"/>
          <cell r="S1432"/>
          <cell r="T1432"/>
          <cell r="U1432"/>
          <cell r="V1432"/>
          <cell r="W1432"/>
          <cell r="X1432"/>
          <cell r="Y1432"/>
          <cell r="Z1432"/>
          <cell r="AA1432"/>
          <cell r="AB1432"/>
          <cell r="AC1432"/>
          <cell r="AD1432"/>
          <cell r="AE1432"/>
          <cell r="AF1432"/>
        </row>
        <row r="1433"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  <cell r="N1433"/>
          <cell r="O1433"/>
          <cell r="P1433"/>
          <cell r="Q1433"/>
          <cell r="R1433"/>
          <cell r="S1433"/>
          <cell r="T1433"/>
          <cell r="U1433"/>
          <cell r="V1433"/>
          <cell r="W1433"/>
          <cell r="X1433"/>
          <cell r="Y1433"/>
          <cell r="Z1433"/>
          <cell r="AA1433"/>
          <cell r="AB1433"/>
          <cell r="AC1433"/>
          <cell r="AD1433"/>
          <cell r="AE1433"/>
          <cell r="AF1433"/>
        </row>
        <row r="1434"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  <cell r="N1434"/>
          <cell r="O1434"/>
          <cell r="P1434"/>
          <cell r="Q1434"/>
          <cell r="R1434"/>
          <cell r="S1434"/>
          <cell r="T1434"/>
          <cell r="U1434"/>
          <cell r="V1434"/>
          <cell r="W1434"/>
          <cell r="X1434"/>
          <cell r="Y1434"/>
          <cell r="Z1434"/>
          <cell r="AA1434"/>
          <cell r="AB1434"/>
          <cell r="AC1434"/>
          <cell r="AD1434"/>
          <cell r="AE1434"/>
          <cell r="AF1434"/>
        </row>
        <row r="1435"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  <cell r="N1435"/>
          <cell r="O1435"/>
          <cell r="P1435"/>
          <cell r="Q1435"/>
          <cell r="R1435"/>
          <cell r="S1435"/>
          <cell r="T1435"/>
          <cell r="U1435"/>
          <cell r="V1435"/>
          <cell r="W1435"/>
          <cell r="X1435"/>
          <cell r="Y1435"/>
          <cell r="Z1435"/>
          <cell r="AA1435"/>
          <cell r="AB1435"/>
          <cell r="AC1435"/>
          <cell r="AD1435"/>
          <cell r="AE1435"/>
          <cell r="AF1435"/>
        </row>
        <row r="1436"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  <cell r="N1436"/>
          <cell r="O1436"/>
          <cell r="P1436"/>
          <cell r="Q1436"/>
          <cell r="R1436"/>
          <cell r="S1436"/>
          <cell r="T1436"/>
          <cell r="U1436"/>
          <cell r="V1436"/>
          <cell r="W1436"/>
          <cell r="X1436"/>
          <cell r="Y1436"/>
          <cell r="Z1436"/>
          <cell r="AA1436"/>
          <cell r="AB1436"/>
          <cell r="AC1436"/>
          <cell r="AD1436"/>
          <cell r="AE1436"/>
          <cell r="AF1436"/>
        </row>
        <row r="1437"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  <cell r="N1437"/>
          <cell r="O1437"/>
          <cell r="P1437"/>
          <cell r="Q1437"/>
          <cell r="R1437"/>
          <cell r="S1437"/>
          <cell r="T1437"/>
          <cell r="U1437"/>
          <cell r="V1437"/>
          <cell r="W1437"/>
          <cell r="X1437"/>
          <cell r="Y1437"/>
          <cell r="Z1437"/>
          <cell r="AA1437"/>
          <cell r="AB1437"/>
          <cell r="AC1437"/>
          <cell r="AD1437"/>
          <cell r="AE1437"/>
          <cell r="AF1437"/>
        </row>
        <row r="1438"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  <cell r="N1438"/>
          <cell r="O1438"/>
          <cell r="P1438"/>
          <cell r="Q1438"/>
          <cell r="R1438"/>
          <cell r="S1438"/>
          <cell r="T1438"/>
          <cell r="U1438"/>
          <cell r="V1438"/>
          <cell r="W1438"/>
          <cell r="X1438"/>
          <cell r="Y1438"/>
          <cell r="Z1438"/>
          <cell r="AA1438"/>
          <cell r="AB1438"/>
          <cell r="AC1438"/>
          <cell r="AD1438"/>
          <cell r="AE1438"/>
          <cell r="AF1438"/>
        </row>
        <row r="1439"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  <cell r="N1439"/>
          <cell r="O1439"/>
          <cell r="P1439"/>
          <cell r="Q1439"/>
          <cell r="R1439"/>
          <cell r="S1439"/>
          <cell r="T1439"/>
          <cell r="U1439"/>
          <cell r="V1439"/>
          <cell r="W1439"/>
          <cell r="X1439"/>
          <cell r="Y1439"/>
          <cell r="Z1439"/>
          <cell r="AA1439"/>
          <cell r="AB1439"/>
          <cell r="AC1439"/>
          <cell r="AD1439"/>
          <cell r="AE1439"/>
          <cell r="AF1439"/>
        </row>
        <row r="1440"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  <cell r="N1440"/>
          <cell r="O1440"/>
          <cell r="P1440"/>
          <cell r="Q1440"/>
          <cell r="R1440"/>
          <cell r="S1440"/>
          <cell r="T1440"/>
          <cell r="U1440"/>
          <cell r="V1440"/>
          <cell r="W1440"/>
          <cell r="X1440"/>
          <cell r="Y1440"/>
          <cell r="Z1440"/>
          <cell r="AA1440"/>
          <cell r="AB1440"/>
          <cell r="AC1440"/>
          <cell r="AD1440"/>
          <cell r="AE1440"/>
          <cell r="AF1440"/>
        </row>
        <row r="1441"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  <cell r="N1441"/>
          <cell r="O1441"/>
          <cell r="P1441"/>
          <cell r="Q1441"/>
          <cell r="R1441"/>
          <cell r="S1441"/>
          <cell r="T1441"/>
          <cell r="U1441"/>
          <cell r="V1441"/>
          <cell r="W1441"/>
          <cell r="X1441"/>
          <cell r="Y1441"/>
          <cell r="Z1441"/>
          <cell r="AA1441"/>
          <cell r="AB1441"/>
          <cell r="AC1441"/>
          <cell r="AD1441"/>
          <cell r="AE1441"/>
          <cell r="AF1441"/>
        </row>
        <row r="1442"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  <cell r="N1442"/>
          <cell r="O1442"/>
          <cell r="P1442"/>
          <cell r="Q1442"/>
          <cell r="R1442"/>
          <cell r="S1442"/>
          <cell r="T1442"/>
          <cell r="U1442"/>
          <cell r="V1442"/>
          <cell r="W1442"/>
          <cell r="X1442"/>
          <cell r="Y1442"/>
          <cell r="Z1442"/>
          <cell r="AA1442"/>
          <cell r="AB1442"/>
          <cell r="AC1442"/>
          <cell r="AD1442"/>
          <cell r="AE1442"/>
          <cell r="AF1442"/>
        </row>
        <row r="1443"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  <cell r="N1443"/>
          <cell r="O1443"/>
          <cell r="P1443"/>
          <cell r="Q1443"/>
          <cell r="R1443"/>
          <cell r="S1443"/>
          <cell r="T1443"/>
          <cell r="U1443"/>
          <cell r="V1443"/>
          <cell r="W1443"/>
          <cell r="X1443"/>
          <cell r="Y1443"/>
          <cell r="Z1443"/>
          <cell r="AA1443"/>
          <cell r="AB1443"/>
          <cell r="AC1443"/>
          <cell r="AD1443"/>
          <cell r="AE1443"/>
          <cell r="AF1443"/>
        </row>
        <row r="1444"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  <cell r="N1444"/>
          <cell r="O1444"/>
          <cell r="P1444"/>
          <cell r="Q1444"/>
          <cell r="R1444"/>
          <cell r="S1444"/>
          <cell r="T1444"/>
          <cell r="U1444"/>
          <cell r="V1444"/>
          <cell r="W1444"/>
          <cell r="X1444"/>
          <cell r="Y1444"/>
          <cell r="Z1444"/>
          <cell r="AA1444"/>
          <cell r="AB1444"/>
          <cell r="AC1444"/>
          <cell r="AD1444"/>
          <cell r="AE1444"/>
          <cell r="AF1444"/>
        </row>
        <row r="1445"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  <cell r="N1445"/>
          <cell r="O1445"/>
          <cell r="P1445"/>
          <cell r="Q1445"/>
          <cell r="R1445"/>
          <cell r="S1445"/>
          <cell r="T1445"/>
          <cell r="U1445"/>
          <cell r="V1445"/>
          <cell r="W1445"/>
          <cell r="X1445"/>
          <cell r="Y1445"/>
          <cell r="Z1445"/>
          <cell r="AA1445"/>
          <cell r="AB1445"/>
          <cell r="AC1445"/>
          <cell r="AD1445"/>
          <cell r="AE1445"/>
          <cell r="AF1445"/>
        </row>
        <row r="1446"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  <cell r="N1446"/>
          <cell r="O1446"/>
          <cell r="P1446"/>
          <cell r="Q1446"/>
          <cell r="R1446"/>
          <cell r="S1446"/>
          <cell r="T1446"/>
          <cell r="U1446"/>
          <cell r="V1446"/>
          <cell r="W1446"/>
          <cell r="X1446"/>
          <cell r="Y1446"/>
          <cell r="Z1446"/>
          <cell r="AA1446"/>
          <cell r="AB1446"/>
          <cell r="AC1446"/>
          <cell r="AD1446"/>
          <cell r="AE1446"/>
          <cell r="AF1446"/>
        </row>
        <row r="1447"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  <cell r="N1447"/>
          <cell r="O1447"/>
          <cell r="P1447"/>
          <cell r="Q1447"/>
          <cell r="R1447"/>
          <cell r="S1447"/>
          <cell r="T1447"/>
          <cell r="U1447"/>
          <cell r="V1447"/>
          <cell r="W1447"/>
          <cell r="X1447"/>
          <cell r="Y1447"/>
          <cell r="Z1447"/>
          <cell r="AA1447"/>
          <cell r="AB1447"/>
          <cell r="AC1447"/>
          <cell r="AD1447"/>
          <cell r="AE1447"/>
          <cell r="AF1447"/>
        </row>
        <row r="1448"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  <cell r="N1448"/>
          <cell r="O1448"/>
          <cell r="P1448"/>
          <cell r="Q1448"/>
          <cell r="R1448"/>
          <cell r="S1448"/>
          <cell r="T1448"/>
          <cell r="U1448"/>
          <cell r="V1448"/>
          <cell r="W1448"/>
          <cell r="X1448"/>
          <cell r="Y1448"/>
          <cell r="Z1448"/>
          <cell r="AA1448"/>
          <cell r="AB1448"/>
          <cell r="AC1448"/>
          <cell r="AD1448"/>
          <cell r="AE1448"/>
          <cell r="AF1448"/>
        </row>
        <row r="1449"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  <cell r="N1449"/>
          <cell r="O1449"/>
          <cell r="P1449"/>
          <cell r="Q1449"/>
          <cell r="R1449"/>
          <cell r="S1449"/>
          <cell r="T1449"/>
          <cell r="U1449"/>
          <cell r="V1449"/>
          <cell r="W1449"/>
          <cell r="X1449"/>
          <cell r="Y1449"/>
          <cell r="Z1449"/>
          <cell r="AA1449"/>
          <cell r="AB1449"/>
          <cell r="AC1449"/>
          <cell r="AD1449"/>
          <cell r="AE1449"/>
          <cell r="AF1449"/>
        </row>
        <row r="1450"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  <cell r="N1450"/>
          <cell r="O1450"/>
          <cell r="P1450"/>
          <cell r="Q1450"/>
          <cell r="R1450"/>
          <cell r="S1450"/>
          <cell r="T1450"/>
          <cell r="U1450"/>
          <cell r="V1450"/>
          <cell r="W1450"/>
          <cell r="X1450"/>
          <cell r="Y1450"/>
          <cell r="Z1450"/>
          <cell r="AA1450"/>
          <cell r="AB1450"/>
          <cell r="AC1450"/>
          <cell r="AD1450"/>
          <cell r="AE1450"/>
          <cell r="AF1450"/>
        </row>
        <row r="1451"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  <cell r="N1451"/>
          <cell r="O1451"/>
          <cell r="P1451"/>
          <cell r="Q1451"/>
          <cell r="R1451"/>
          <cell r="S1451"/>
          <cell r="T1451"/>
          <cell r="U1451"/>
          <cell r="V1451"/>
          <cell r="W1451"/>
          <cell r="X1451"/>
          <cell r="Y1451"/>
          <cell r="Z1451"/>
          <cell r="AA1451"/>
          <cell r="AB1451"/>
          <cell r="AC1451"/>
          <cell r="AD1451"/>
          <cell r="AE1451"/>
          <cell r="AF1451"/>
        </row>
        <row r="1452"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  <cell r="N1452"/>
          <cell r="O1452"/>
          <cell r="P1452"/>
          <cell r="Q1452"/>
          <cell r="R1452"/>
          <cell r="S1452"/>
          <cell r="T1452"/>
          <cell r="U1452"/>
          <cell r="V1452"/>
          <cell r="W1452"/>
          <cell r="X1452"/>
          <cell r="Y1452"/>
          <cell r="Z1452"/>
          <cell r="AA1452"/>
          <cell r="AB1452"/>
          <cell r="AC1452"/>
          <cell r="AD1452"/>
          <cell r="AE1452"/>
          <cell r="AF1452"/>
        </row>
        <row r="1453"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  <cell r="N1453"/>
          <cell r="O1453"/>
          <cell r="P1453"/>
          <cell r="Q1453"/>
          <cell r="R1453"/>
          <cell r="S1453"/>
          <cell r="T1453"/>
          <cell r="U1453"/>
          <cell r="V1453"/>
          <cell r="W1453"/>
          <cell r="X1453"/>
          <cell r="Y1453"/>
          <cell r="Z1453"/>
          <cell r="AA1453"/>
          <cell r="AB1453"/>
          <cell r="AC1453"/>
          <cell r="AD1453"/>
          <cell r="AE1453"/>
          <cell r="AF1453"/>
        </row>
        <row r="1454"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  <cell r="N1454"/>
          <cell r="O1454"/>
          <cell r="P1454"/>
          <cell r="Q1454"/>
          <cell r="R1454"/>
          <cell r="S1454"/>
          <cell r="T1454"/>
          <cell r="U1454"/>
          <cell r="V1454"/>
          <cell r="W1454"/>
          <cell r="X1454"/>
          <cell r="Y1454"/>
          <cell r="Z1454"/>
          <cell r="AA1454"/>
          <cell r="AB1454"/>
          <cell r="AC1454"/>
          <cell r="AD1454"/>
          <cell r="AE1454"/>
          <cell r="AF1454"/>
        </row>
        <row r="1455"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  <cell r="N1455"/>
          <cell r="O1455"/>
          <cell r="P1455"/>
          <cell r="Q1455"/>
          <cell r="R1455"/>
          <cell r="S1455"/>
          <cell r="T1455"/>
          <cell r="U1455"/>
          <cell r="V1455"/>
          <cell r="W1455"/>
          <cell r="X1455"/>
          <cell r="Y1455"/>
          <cell r="Z1455"/>
          <cell r="AA1455"/>
          <cell r="AB1455"/>
          <cell r="AC1455"/>
          <cell r="AD1455"/>
          <cell r="AE1455"/>
          <cell r="AF1455"/>
        </row>
        <row r="1456"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  <cell r="N1456"/>
          <cell r="O1456"/>
          <cell r="P1456"/>
          <cell r="Q1456"/>
          <cell r="R1456"/>
          <cell r="S1456"/>
          <cell r="T1456"/>
          <cell r="U1456"/>
          <cell r="V1456"/>
          <cell r="W1456"/>
          <cell r="X1456"/>
          <cell r="Y1456"/>
          <cell r="Z1456"/>
          <cell r="AA1456"/>
          <cell r="AB1456"/>
          <cell r="AC1456"/>
          <cell r="AD1456"/>
          <cell r="AE1456"/>
          <cell r="AF1456"/>
        </row>
        <row r="1457"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  <cell r="N1457"/>
          <cell r="O1457"/>
          <cell r="P1457"/>
          <cell r="Q1457"/>
          <cell r="R1457"/>
          <cell r="S1457"/>
          <cell r="T1457"/>
          <cell r="U1457"/>
          <cell r="V1457"/>
          <cell r="W1457"/>
          <cell r="X1457"/>
          <cell r="Y1457"/>
          <cell r="Z1457"/>
          <cell r="AA1457"/>
          <cell r="AB1457"/>
          <cell r="AC1457"/>
          <cell r="AD1457"/>
          <cell r="AE1457"/>
          <cell r="AF1457"/>
        </row>
        <row r="1458"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  <cell r="N1458"/>
          <cell r="O1458"/>
          <cell r="P1458"/>
          <cell r="Q1458"/>
          <cell r="R1458"/>
          <cell r="S1458"/>
          <cell r="T1458"/>
          <cell r="U1458"/>
          <cell r="V1458"/>
          <cell r="W1458"/>
          <cell r="X1458"/>
          <cell r="Y1458"/>
          <cell r="Z1458"/>
          <cell r="AA1458"/>
          <cell r="AB1458"/>
          <cell r="AC1458"/>
          <cell r="AD1458"/>
          <cell r="AE1458"/>
          <cell r="AF1458"/>
        </row>
        <row r="1459"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  <cell r="N1459"/>
          <cell r="O1459"/>
          <cell r="P1459"/>
          <cell r="Q1459"/>
          <cell r="R1459"/>
          <cell r="S1459"/>
          <cell r="T1459"/>
          <cell r="U1459"/>
          <cell r="V1459"/>
          <cell r="W1459"/>
          <cell r="X1459"/>
          <cell r="Y1459"/>
          <cell r="Z1459"/>
          <cell r="AA1459"/>
          <cell r="AB1459"/>
          <cell r="AC1459"/>
          <cell r="AD1459"/>
          <cell r="AE1459"/>
          <cell r="AF1459"/>
        </row>
        <row r="1460"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  <cell r="N1460"/>
          <cell r="O1460"/>
          <cell r="P1460"/>
          <cell r="Q1460"/>
          <cell r="R1460"/>
          <cell r="S1460"/>
          <cell r="T1460"/>
          <cell r="U1460"/>
          <cell r="V1460"/>
          <cell r="W1460"/>
          <cell r="X1460"/>
          <cell r="Y1460"/>
          <cell r="Z1460"/>
          <cell r="AA1460"/>
          <cell r="AB1460"/>
          <cell r="AC1460"/>
          <cell r="AD1460"/>
          <cell r="AE1460"/>
          <cell r="AF1460"/>
        </row>
        <row r="1461"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  <cell r="N1461"/>
          <cell r="O1461"/>
          <cell r="P1461"/>
          <cell r="Q1461"/>
          <cell r="R1461"/>
          <cell r="S1461"/>
          <cell r="T1461"/>
          <cell r="U1461"/>
          <cell r="V1461"/>
          <cell r="W1461"/>
          <cell r="X1461"/>
          <cell r="Y1461"/>
          <cell r="Z1461"/>
          <cell r="AA1461"/>
          <cell r="AB1461"/>
          <cell r="AC1461"/>
          <cell r="AD1461"/>
          <cell r="AE1461"/>
          <cell r="AF1461"/>
        </row>
        <row r="1462"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  <cell r="N1462"/>
          <cell r="O1462"/>
          <cell r="P1462"/>
          <cell r="Q1462"/>
          <cell r="R1462"/>
          <cell r="S1462"/>
          <cell r="T1462"/>
          <cell r="U1462"/>
          <cell r="V1462"/>
          <cell r="W1462"/>
          <cell r="X1462"/>
          <cell r="Y1462"/>
          <cell r="Z1462"/>
          <cell r="AA1462"/>
          <cell r="AB1462"/>
          <cell r="AC1462"/>
          <cell r="AD1462"/>
          <cell r="AE1462"/>
          <cell r="AF1462"/>
        </row>
        <row r="1463"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  <cell r="N1463"/>
          <cell r="O1463"/>
          <cell r="P1463"/>
          <cell r="Q1463"/>
          <cell r="R1463"/>
          <cell r="S1463"/>
          <cell r="T1463"/>
          <cell r="U1463"/>
          <cell r="V1463"/>
          <cell r="W1463"/>
          <cell r="X1463"/>
          <cell r="Y1463"/>
          <cell r="Z1463"/>
          <cell r="AA1463"/>
          <cell r="AB1463"/>
          <cell r="AC1463"/>
          <cell r="AD1463"/>
          <cell r="AE1463"/>
          <cell r="AF1463"/>
        </row>
        <row r="1464"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  <cell r="N1464"/>
          <cell r="O1464"/>
          <cell r="P1464"/>
          <cell r="Q1464"/>
          <cell r="R1464"/>
          <cell r="S1464"/>
          <cell r="T1464"/>
          <cell r="U1464"/>
          <cell r="V1464"/>
          <cell r="W1464"/>
          <cell r="X1464"/>
          <cell r="Y1464"/>
          <cell r="Z1464"/>
          <cell r="AA1464"/>
          <cell r="AB1464"/>
          <cell r="AC1464"/>
          <cell r="AD1464"/>
          <cell r="AE1464"/>
          <cell r="AF1464"/>
        </row>
        <row r="1465"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  <cell r="N1465"/>
          <cell r="O1465"/>
          <cell r="P1465"/>
          <cell r="Q1465"/>
          <cell r="R1465"/>
          <cell r="S1465"/>
          <cell r="T1465"/>
          <cell r="U1465"/>
          <cell r="V1465"/>
          <cell r="W1465"/>
          <cell r="X1465"/>
          <cell r="Y1465"/>
          <cell r="Z1465"/>
          <cell r="AA1465"/>
          <cell r="AB1465"/>
          <cell r="AC1465"/>
          <cell r="AD1465"/>
          <cell r="AE1465"/>
          <cell r="AF1465"/>
        </row>
        <row r="1466"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  <cell r="N1466"/>
          <cell r="O1466"/>
          <cell r="P1466"/>
          <cell r="Q1466"/>
          <cell r="R1466"/>
          <cell r="S1466"/>
          <cell r="T1466"/>
          <cell r="U1466"/>
          <cell r="V1466"/>
          <cell r="W1466"/>
          <cell r="X1466"/>
          <cell r="Y1466"/>
          <cell r="Z1466"/>
          <cell r="AA1466"/>
          <cell r="AB1466"/>
          <cell r="AC1466"/>
          <cell r="AD1466"/>
          <cell r="AE1466"/>
          <cell r="AF1466"/>
        </row>
        <row r="1467"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  <cell r="N1467"/>
          <cell r="O1467"/>
          <cell r="P1467"/>
          <cell r="Q1467"/>
          <cell r="R1467"/>
          <cell r="S1467"/>
          <cell r="T1467"/>
          <cell r="U1467"/>
          <cell r="V1467"/>
          <cell r="W1467"/>
          <cell r="X1467"/>
          <cell r="Y1467"/>
          <cell r="Z1467"/>
          <cell r="AA1467"/>
          <cell r="AB1467"/>
          <cell r="AC1467"/>
          <cell r="AD1467"/>
          <cell r="AE1467"/>
          <cell r="AF1467"/>
        </row>
        <row r="1468"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  <cell r="N1468"/>
          <cell r="O1468"/>
          <cell r="P1468"/>
          <cell r="Q1468"/>
          <cell r="R1468"/>
          <cell r="S1468"/>
          <cell r="T1468"/>
          <cell r="U1468"/>
          <cell r="V1468"/>
          <cell r="W1468"/>
          <cell r="X1468"/>
          <cell r="Y1468"/>
          <cell r="Z1468"/>
          <cell r="AA1468"/>
          <cell r="AB1468"/>
          <cell r="AC1468"/>
          <cell r="AD1468"/>
          <cell r="AE1468"/>
          <cell r="AF1468"/>
        </row>
        <row r="1469"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  <cell r="N1469"/>
          <cell r="O1469"/>
          <cell r="P1469"/>
          <cell r="Q1469"/>
          <cell r="R1469"/>
          <cell r="S1469"/>
          <cell r="T1469"/>
          <cell r="U1469"/>
          <cell r="V1469"/>
          <cell r="W1469"/>
          <cell r="X1469"/>
          <cell r="Y1469"/>
          <cell r="Z1469"/>
          <cell r="AA1469"/>
          <cell r="AB1469"/>
          <cell r="AC1469"/>
          <cell r="AD1469"/>
          <cell r="AE1469"/>
          <cell r="AF1469"/>
        </row>
        <row r="1470"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  <cell r="N1470"/>
          <cell r="O1470"/>
          <cell r="P1470"/>
          <cell r="Q1470"/>
          <cell r="R1470"/>
          <cell r="S1470"/>
          <cell r="T1470"/>
          <cell r="U1470"/>
          <cell r="V1470"/>
          <cell r="W1470"/>
          <cell r="X1470"/>
          <cell r="Y1470"/>
          <cell r="Z1470"/>
          <cell r="AA1470"/>
          <cell r="AB1470"/>
          <cell r="AC1470"/>
          <cell r="AD1470"/>
          <cell r="AE1470"/>
          <cell r="AF1470"/>
        </row>
        <row r="1471"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  <cell r="N1471"/>
          <cell r="O1471"/>
          <cell r="P1471"/>
          <cell r="Q1471"/>
          <cell r="R1471"/>
          <cell r="S1471"/>
          <cell r="T1471"/>
          <cell r="U1471"/>
          <cell r="V1471"/>
          <cell r="W1471"/>
          <cell r="X1471"/>
          <cell r="Y1471"/>
          <cell r="Z1471"/>
          <cell r="AA1471"/>
          <cell r="AB1471"/>
          <cell r="AC1471"/>
          <cell r="AD1471"/>
          <cell r="AE1471"/>
          <cell r="AF1471"/>
        </row>
        <row r="1472"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  <cell r="N1472"/>
          <cell r="O1472"/>
          <cell r="P1472"/>
          <cell r="Q1472"/>
          <cell r="R1472"/>
          <cell r="S1472"/>
          <cell r="T1472"/>
          <cell r="U1472"/>
          <cell r="V1472"/>
          <cell r="W1472"/>
          <cell r="X1472"/>
          <cell r="Y1472"/>
          <cell r="Z1472"/>
          <cell r="AA1472"/>
          <cell r="AB1472"/>
          <cell r="AC1472"/>
          <cell r="AD1472"/>
          <cell r="AE1472"/>
          <cell r="AF1472"/>
        </row>
        <row r="1473"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  <cell r="N1473"/>
          <cell r="O1473"/>
          <cell r="P1473"/>
          <cell r="Q1473"/>
          <cell r="R1473"/>
          <cell r="S1473"/>
          <cell r="T1473"/>
          <cell r="U1473"/>
          <cell r="V1473"/>
          <cell r="W1473"/>
          <cell r="X1473"/>
          <cell r="Y1473"/>
          <cell r="Z1473"/>
          <cell r="AA1473"/>
          <cell r="AB1473"/>
          <cell r="AC1473"/>
          <cell r="AD1473"/>
          <cell r="AE1473"/>
          <cell r="AF1473"/>
        </row>
        <row r="1474"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  <cell r="N1474"/>
          <cell r="O1474"/>
          <cell r="P1474"/>
          <cell r="Q1474"/>
          <cell r="R1474"/>
          <cell r="S1474"/>
          <cell r="T1474"/>
          <cell r="U1474"/>
          <cell r="V1474"/>
          <cell r="W1474"/>
          <cell r="X1474"/>
          <cell r="Y1474"/>
          <cell r="Z1474"/>
          <cell r="AA1474"/>
          <cell r="AB1474"/>
          <cell r="AC1474"/>
          <cell r="AD1474"/>
          <cell r="AE1474"/>
          <cell r="AF1474"/>
        </row>
        <row r="1475"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  <cell r="N1475"/>
          <cell r="O1475"/>
          <cell r="P1475"/>
          <cell r="Q1475"/>
          <cell r="R1475"/>
          <cell r="S1475"/>
          <cell r="T1475"/>
          <cell r="U1475"/>
          <cell r="V1475"/>
          <cell r="W1475"/>
          <cell r="X1475"/>
          <cell r="Y1475"/>
          <cell r="Z1475"/>
          <cell r="AA1475"/>
          <cell r="AB1475"/>
          <cell r="AC1475"/>
          <cell r="AD1475"/>
          <cell r="AE1475"/>
          <cell r="AF1475"/>
        </row>
        <row r="1476"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  <cell r="N1476"/>
          <cell r="O1476"/>
          <cell r="P1476"/>
          <cell r="Q1476"/>
          <cell r="R1476"/>
          <cell r="S1476"/>
          <cell r="T1476"/>
          <cell r="U1476"/>
          <cell r="V1476"/>
          <cell r="W1476"/>
          <cell r="X1476"/>
          <cell r="Y1476"/>
          <cell r="Z1476"/>
          <cell r="AA1476"/>
          <cell r="AB1476"/>
          <cell r="AC1476"/>
          <cell r="AD1476"/>
          <cell r="AE1476"/>
          <cell r="AF1476"/>
        </row>
        <row r="1477"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  <cell r="N1477"/>
          <cell r="O1477"/>
          <cell r="P1477"/>
          <cell r="Q1477"/>
          <cell r="R1477"/>
          <cell r="S1477"/>
          <cell r="T1477"/>
          <cell r="U1477"/>
          <cell r="V1477"/>
          <cell r="W1477"/>
          <cell r="X1477"/>
          <cell r="Y1477"/>
          <cell r="Z1477"/>
          <cell r="AA1477"/>
          <cell r="AB1477"/>
          <cell r="AC1477"/>
          <cell r="AD1477"/>
          <cell r="AE1477"/>
          <cell r="AF1477"/>
        </row>
        <row r="1478"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  <cell r="N1478"/>
          <cell r="O1478"/>
          <cell r="P1478"/>
          <cell r="Q1478"/>
          <cell r="R1478"/>
          <cell r="S1478"/>
          <cell r="T1478"/>
          <cell r="U1478"/>
          <cell r="V1478"/>
          <cell r="W1478"/>
          <cell r="X1478"/>
          <cell r="Y1478"/>
          <cell r="Z1478"/>
          <cell r="AA1478"/>
          <cell r="AB1478"/>
          <cell r="AC1478"/>
          <cell r="AD1478"/>
          <cell r="AE1478"/>
          <cell r="AF1478"/>
        </row>
        <row r="1479"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  <cell r="N1479"/>
          <cell r="O1479"/>
          <cell r="P1479"/>
          <cell r="Q1479"/>
          <cell r="R1479"/>
          <cell r="S1479"/>
          <cell r="T1479"/>
          <cell r="U1479"/>
          <cell r="V1479"/>
          <cell r="W1479"/>
          <cell r="X1479"/>
          <cell r="Y1479"/>
          <cell r="Z1479"/>
          <cell r="AA1479"/>
          <cell r="AB1479"/>
          <cell r="AC1479"/>
          <cell r="AD1479"/>
          <cell r="AE1479"/>
          <cell r="AF1479"/>
        </row>
        <row r="1480"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  <cell r="N1480"/>
          <cell r="O1480"/>
          <cell r="P1480"/>
          <cell r="Q1480"/>
          <cell r="R1480"/>
          <cell r="S1480"/>
          <cell r="T1480"/>
          <cell r="U1480"/>
          <cell r="V1480"/>
          <cell r="W1480"/>
          <cell r="X1480"/>
          <cell r="Y1480"/>
          <cell r="Z1480"/>
          <cell r="AA1480"/>
          <cell r="AB1480"/>
          <cell r="AC1480"/>
          <cell r="AD1480"/>
          <cell r="AE1480"/>
          <cell r="AF1480"/>
        </row>
        <row r="1481"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  <cell r="N1481"/>
          <cell r="O1481"/>
          <cell r="P1481"/>
          <cell r="Q1481"/>
          <cell r="R1481"/>
          <cell r="S1481"/>
          <cell r="T1481"/>
          <cell r="U1481"/>
          <cell r="V1481"/>
          <cell r="W1481"/>
          <cell r="X1481"/>
          <cell r="Y1481"/>
          <cell r="Z1481"/>
          <cell r="AA1481"/>
          <cell r="AB1481"/>
          <cell r="AC1481"/>
          <cell r="AD1481"/>
          <cell r="AE1481"/>
          <cell r="AF1481"/>
        </row>
        <row r="1482"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  <cell r="N1482"/>
          <cell r="O1482"/>
          <cell r="P1482"/>
          <cell r="Q1482"/>
          <cell r="R1482"/>
          <cell r="S1482"/>
          <cell r="T1482"/>
          <cell r="U1482"/>
          <cell r="V1482"/>
          <cell r="W1482"/>
          <cell r="X1482"/>
          <cell r="Y1482"/>
          <cell r="Z1482"/>
          <cell r="AA1482"/>
          <cell r="AB1482"/>
          <cell r="AC1482"/>
          <cell r="AD1482"/>
          <cell r="AE1482"/>
          <cell r="AF1482"/>
        </row>
        <row r="1483"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  <cell r="N1483"/>
          <cell r="O1483"/>
          <cell r="P1483"/>
          <cell r="Q1483"/>
          <cell r="R1483"/>
          <cell r="S1483"/>
          <cell r="T1483"/>
          <cell r="U1483"/>
          <cell r="V1483"/>
          <cell r="W1483"/>
          <cell r="X1483"/>
          <cell r="Y1483"/>
          <cell r="Z1483"/>
          <cell r="AA1483"/>
          <cell r="AB1483"/>
          <cell r="AC1483"/>
          <cell r="AD1483"/>
          <cell r="AE1483"/>
          <cell r="AF1483"/>
        </row>
        <row r="1484"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  <cell r="N1484"/>
          <cell r="O1484"/>
          <cell r="P1484"/>
          <cell r="Q1484"/>
          <cell r="R1484"/>
          <cell r="S1484"/>
          <cell r="T1484"/>
          <cell r="U1484"/>
          <cell r="V1484"/>
          <cell r="W1484"/>
          <cell r="X1484"/>
          <cell r="Y1484"/>
          <cell r="Z1484"/>
          <cell r="AA1484"/>
          <cell r="AB1484"/>
          <cell r="AC1484"/>
          <cell r="AD1484"/>
          <cell r="AE1484"/>
          <cell r="AF1484"/>
        </row>
        <row r="1485"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  <cell r="N1485"/>
          <cell r="O1485"/>
          <cell r="P1485"/>
          <cell r="Q1485"/>
          <cell r="R1485"/>
          <cell r="S1485"/>
          <cell r="T1485"/>
          <cell r="U1485"/>
          <cell r="V1485"/>
          <cell r="W1485"/>
          <cell r="X1485"/>
          <cell r="Y1485"/>
          <cell r="Z1485"/>
          <cell r="AA1485"/>
          <cell r="AB1485"/>
          <cell r="AC1485"/>
          <cell r="AD1485"/>
          <cell r="AE1485"/>
          <cell r="AF1485"/>
        </row>
        <row r="1486"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  <cell r="N1486"/>
          <cell r="O1486"/>
          <cell r="P1486"/>
          <cell r="Q1486"/>
          <cell r="R1486"/>
          <cell r="S1486"/>
          <cell r="T1486"/>
          <cell r="U1486"/>
          <cell r="V1486"/>
          <cell r="W1486"/>
          <cell r="X1486"/>
          <cell r="Y1486"/>
          <cell r="Z1486"/>
          <cell r="AA1486"/>
          <cell r="AB1486"/>
          <cell r="AC1486"/>
          <cell r="AD1486"/>
          <cell r="AE1486"/>
          <cell r="AF1486"/>
        </row>
        <row r="1487"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  <cell r="N1487"/>
          <cell r="O1487"/>
          <cell r="P1487"/>
          <cell r="Q1487"/>
          <cell r="R1487"/>
          <cell r="S1487"/>
          <cell r="T1487"/>
          <cell r="U1487"/>
          <cell r="V1487"/>
          <cell r="W1487"/>
          <cell r="X1487"/>
          <cell r="Y1487"/>
          <cell r="Z1487"/>
          <cell r="AA1487"/>
          <cell r="AB1487"/>
          <cell r="AC1487"/>
          <cell r="AD1487"/>
          <cell r="AE1487"/>
          <cell r="AF1487"/>
        </row>
        <row r="1488"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  <cell r="N1488"/>
          <cell r="O1488"/>
          <cell r="P1488"/>
          <cell r="Q1488"/>
          <cell r="R1488"/>
          <cell r="S1488"/>
          <cell r="T1488"/>
          <cell r="U1488"/>
          <cell r="V1488"/>
          <cell r="W1488"/>
          <cell r="X1488"/>
          <cell r="Y1488"/>
          <cell r="Z1488"/>
          <cell r="AA1488"/>
          <cell r="AB1488"/>
          <cell r="AC1488"/>
          <cell r="AD1488"/>
          <cell r="AE1488"/>
          <cell r="AF1488"/>
        </row>
        <row r="1489"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  <cell r="N1489"/>
          <cell r="O1489"/>
          <cell r="P1489"/>
          <cell r="Q1489"/>
          <cell r="R1489"/>
          <cell r="S1489"/>
          <cell r="T1489"/>
          <cell r="U1489"/>
          <cell r="V1489"/>
          <cell r="W1489"/>
          <cell r="X1489"/>
          <cell r="Y1489"/>
          <cell r="Z1489"/>
          <cell r="AA1489"/>
          <cell r="AB1489"/>
          <cell r="AC1489"/>
          <cell r="AD1489"/>
          <cell r="AE1489"/>
          <cell r="AF1489"/>
        </row>
        <row r="1490"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  <cell r="N1490"/>
          <cell r="O1490"/>
          <cell r="P1490"/>
          <cell r="Q1490"/>
          <cell r="R1490"/>
          <cell r="S1490"/>
          <cell r="T1490"/>
          <cell r="U1490"/>
          <cell r="V1490"/>
          <cell r="W1490"/>
          <cell r="X1490"/>
          <cell r="Y1490"/>
          <cell r="Z1490"/>
          <cell r="AA1490"/>
          <cell r="AB1490"/>
          <cell r="AC1490"/>
          <cell r="AD1490"/>
          <cell r="AE1490"/>
          <cell r="AF1490"/>
        </row>
        <row r="1491"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  <cell r="N1491"/>
          <cell r="O1491"/>
          <cell r="P1491"/>
          <cell r="Q1491"/>
          <cell r="R1491"/>
          <cell r="S1491"/>
          <cell r="T1491"/>
          <cell r="U1491"/>
          <cell r="V1491"/>
          <cell r="W1491"/>
          <cell r="X1491"/>
          <cell r="Y1491"/>
          <cell r="Z1491"/>
          <cell r="AA1491"/>
          <cell r="AB1491"/>
          <cell r="AC1491"/>
          <cell r="AD1491"/>
          <cell r="AE1491"/>
          <cell r="AF1491"/>
        </row>
        <row r="1492"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  <cell r="N1492"/>
          <cell r="O1492"/>
          <cell r="P1492"/>
          <cell r="Q1492"/>
          <cell r="R1492"/>
          <cell r="S1492"/>
          <cell r="T1492"/>
          <cell r="U1492"/>
          <cell r="V1492"/>
          <cell r="W1492"/>
          <cell r="X1492"/>
          <cell r="Y1492"/>
          <cell r="Z1492"/>
          <cell r="AA1492"/>
          <cell r="AB1492"/>
          <cell r="AC1492"/>
          <cell r="AD1492"/>
          <cell r="AE1492"/>
          <cell r="AF1492"/>
        </row>
        <row r="1493"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  <cell r="N1493"/>
          <cell r="O1493"/>
          <cell r="P1493"/>
          <cell r="Q1493"/>
          <cell r="R1493"/>
          <cell r="S1493"/>
          <cell r="T1493"/>
          <cell r="U1493"/>
          <cell r="V1493"/>
          <cell r="W1493"/>
          <cell r="X1493"/>
          <cell r="Y1493"/>
          <cell r="Z1493"/>
          <cell r="AA1493"/>
          <cell r="AB1493"/>
          <cell r="AC1493"/>
          <cell r="AD1493"/>
          <cell r="AE1493"/>
          <cell r="AF1493"/>
        </row>
        <row r="1494"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  <cell r="N1494"/>
          <cell r="O1494"/>
          <cell r="P1494"/>
          <cell r="Q1494"/>
          <cell r="R1494"/>
          <cell r="S1494"/>
          <cell r="T1494"/>
          <cell r="U1494"/>
          <cell r="V1494"/>
          <cell r="W1494"/>
          <cell r="X1494"/>
          <cell r="Y1494"/>
          <cell r="Z1494"/>
          <cell r="AA1494"/>
          <cell r="AB1494"/>
          <cell r="AC1494"/>
          <cell r="AD1494"/>
          <cell r="AE1494"/>
          <cell r="AF1494"/>
        </row>
        <row r="1495"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  <cell r="N1495"/>
          <cell r="O1495"/>
          <cell r="P1495"/>
          <cell r="Q1495"/>
          <cell r="R1495"/>
          <cell r="S1495"/>
          <cell r="T1495"/>
          <cell r="U1495"/>
          <cell r="V1495"/>
          <cell r="W1495"/>
          <cell r="X1495"/>
          <cell r="Y1495"/>
          <cell r="Z1495"/>
          <cell r="AA1495"/>
          <cell r="AB1495"/>
          <cell r="AC1495"/>
          <cell r="AD1495"/>
          <cell r="AE1495"/>
          <cell r="AF1495"/>
        </row>
        <row r="1496"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  <cell r="N1496"/>
          <cell r="O1496"/>
          <cell r="P1496"/>
          <cell r="Q1496"/>
          <cell r="R1496"/>
          <cell r="S1496"/>
          <cell r="T1496"/>
          <cell r="U1496"/>
          <cell r="V1496"/>
          <cell r="W1496"/>
          <cell r="X1496"/>
          <cell r="Y1496"/>
          <cell r="Z1496"/>
          <cell r="AA1496"/>
          <cell r="AB1496"/>
          <cell r="AC1496"/>
          <cell r="AD1496"/>
          <cell r="AE1496"/>
          <cell r="AF1496"/>
        </row>
        <row r="1497"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  <cell r="N1497"/>
          <cell r="O1497"/>
          <cell r="P1497"/>
          <cell r="Q1497"/>
          <cell r="R1497"/>
          <cell r="S1497"/>
          <cell r="T1497"/>
          <cell r="U1497"/>
          <cell r="V1497"/>
          <cell r="W1497"/>
          <cell r="X1497"/>
          <cell r="Y1497"/>
          <cell r="Z1497"/>
          <cell r="AA1497"/>
          <cell r="AB1497"/>
          <cell r="AC1497"/>
          <cell r="AD1497"/>
          <cell r="AE1497"/>
          <cell r="AF1497"/>
        </row>
        <row r="1498"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  <cell r="N1498"/>
          <cell r="O1498"/>
          <cell r="P1498"/>
          <cell r="Q1498"/>
          <cell r="R1498"/>
          <cell r="S1498"/>
          <cell r="T1498"/>
          <cell r="U1498"/>
          <cell r="V1498"/>
          <cell r="W1498"/>
          <cell r="X1498"/>
          <cell r="Y1498"/>
          <cell r="Z1498"/>
          <cell r="AA1498"/>
          <cell r="AB1498"/>
          <cell r="AC1498"/>
          <cell r="AD1498"/>
          <cell r="AE1498"/>
          <cell r="AF1498"/>
        </row>
        <row r="1499"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  <cell r="N1499"/>
          <cell r="O1499"/>
          <cell r="P1499"/>
          <cell r="Q1499"/>
          <cell r="R1499"/>
          <cell r="S1499"/>
          <cell r="T1499"/>
          <cell r="U1499"/>
          <cell r="V1499"/>
          <cell r="W1499"/>
          <cell r="X1499"/>
          <cell r="Y1499"/>
          <cell r="Z1499"/>
          <cell r="AA1499"/>
          <cell r="AB1499"/>
          <cell r="AC1499"/>
          <cell r="AD1499"/>
          <cell r="AE1499"/>
          <cell r="AF1499"/>
        </row>
        <row r="1500"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  <cell r="N1500"/>
          <cell r="O1500"/>
          <cell r="P1500"/>
          <cell r="Q1500"/>
          <cell r="R1500"/>
          <cell r="S1500"/>
          <cell r="T1500"/>
          <cell r="U1500"/>
          <cell r="V1500"/>
          <cell r="W1500"/>
          <cell r="X1500"/>
          <cell r="Y1500"/>
          <cell r="Z1500"/>
          <cell r="AA1500"/>
          <cell r="AB1500"/>
          <cell r="AC1500"/>
          <cell r="AD1500"/>
          <cell r="AE1500"/>
          <cell r="AF1500"/>
        </row>
        <row r="1501"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  <cell r="N1501"/>
          <cell r="O1501"/>
          <cell r="P1501"/>
          <cell r="Q1501"/>
          <cell r="R1501"/>
          <cell r="S1501"/>
          <cell r="T1501"/>
          <cell r="U1501"/>
          <cell r="V1501"/>
          <cell r="W1501"/>
          <cell r="X1501"/>
          <cell r="Y1501"/>
          <cell r="Z1501"/>
          <cell r="AA1501"/>
          <cell r="AB1501"/>
          <cell r="AC1501"/>
          <cell r="AD1501"/>
          <cell r="AE1501"/>
          <cell r="AF1501"/>
        </row>
        <row r="1502"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  <cell r="N1502"/>
          <cell r="O1502"/>
          <cell r="P1502"/>
          <cell r="Q1502"/>
          <cell r="R1502"/>
          <cell r="S1502"/>
          <cell r="T1502"/>
          <cell r="U1502"/>
          <cell r="V1502"/>
          <cell r="W1502"/>
          <cell r="X1502"/>
          <cell r="Y1502"/>
          <cell r="Z1502"/>
          <cell r="AA1502"/>
          <cell r="AB1502"/>
          <cell r="AC1502"/>
          <cell r="AD1502"/>
          <cell r="AE1502"/>
          <cell r="AF1502"/>
        </row>
        <row r="1503"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  <cell r="N1503"/>
          <cell r="O1503"/>
          <cell r="P1503"/>
          <cell r="Q1503"/>
          <cell r="R1503"/>
          <cell r="S1503"/>
          <cell r="T1503"/>
          <cell r="U1503"/>
          <cell r="V1503"/>
          <cell r="W1503"/>
          <cell r="X1503"/>
          <cell r="Y1503"/>
          <cell r="Z1503"/>
          <cell r="AA1503"/>
          <cell r="AB1503"/>
          <cell r="AC1503"/>
          <cell r="AD1503"/>
          <cell r="AE1503"/>
          <cell r="AF1503"/>
        </row>
        <row r="1504"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  <cell r="N1504"/>
          <cell r="O1504"/>
          <cell r="P1504"/>
          <cell r="Q1504"/>
          <cell r="R1504"/>
          <cell r="S1504"/>
          <cell r="T1504"/>
          <cell r="U1504"/>
          <cell r="V1504"/>
          <cell r="W1504"/>
          <cell r="X1504"/>
          <cell r="Y1504"/>
          <cell r="Z1504"/>
          <cell r="AA1504"/>
          <cell r="AB1504"/>
          <cell r="AC1504"/>
          <cell r="AD1504"/>
          <cell r="AE1504"/>
          <cell r="AF1504"/>
        </row>
        <row r="1505"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  <cell r="N1505"/>
          <cell r="O1505"/>
          <cell r="P1505"/>
          <cell r="Q1505"/>
          <cell r="R1505"/>
          <cell r="S1505"/>
          <cell r="T1505"/>
          <cell r="U1505"/>
          <cell r="V1505"/>
          <cell r="W1505"/>
          <cell r="X1505"/>
          <cell r="Y1505"/>
          <cell r="Z1505"/>
          <cell r="AA1505"/>
          <cell r="AB1505"/>
          <cell r="AC1505"/>
          <cell r="AD1505"/>
          <cell r="AE1505"/>
          <cell r="AF1505"/>
        </row>
        <row r="1506"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  <cell r="N1506"/>
          <cell r="O1506"/>
          <cell r="P1506"/>
          <cell r="Q1506"/>
          <cell r="R1506"/>
          <cell r="S1506"/>
          <cell r="T1506"/>
          <cell r="U1506"/>
          <cell r="V1506"/>
          <cell r="W1506"/>
          <cell r="X1506"/>
          <cell r="Y1506"/>
          <cell r="Z1506"/>
          <cell r="AA1506"/>
          <cell r="AB1506"/>
          <cell r="AC1506"/>
          <cell r="AD1506"/>
          <cell r="AE1506"/>
          <cell r="AF1506"/>
        </row>
        <row r="1507"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  <cell r="N1507"/>
          <cell r="O1507"/>
          <cell r="P1507"/>
          <cell r="Q1507"/>
          <cell r="R1507"/>
          <cell r="S1507"/>
          <cell r="T1507"/>
          <cell r="U1507"/>
          <cell r="V1507"/>
          <cell r="W1507"/>
          <cell r="X1507"/>
          <cell r="Y1507"/>
          <cell r="Z1507"/>
          <cell r="AA1507"/>
          <cell r="AB1507"/>
          <cell r="AC1507"/>
          <cell r="AD1507"/>
          <cell r="AE1507"/>
          <cell r="AF1507"/>
        </row>
        <row r="1508"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  <cell r="N1508"/>
          <cell r="O1508"/>
          <cell r="P1508"/>
          <cell r="Q1508"/>
          <cell r="R1508"/>
          <cell r="S1508"/>
          <cell r="T1508"/>
          <cell r="U1508"/>
          <cell r="V1508"/>
          <cell r="W1508"/>
          <cell r="X1508"/>
          <cell r="Y1508"/>
          <cell r="Z1508"/>
          <cell r="AA1508"/>
          <cell r="AB1508"/>
          <cell r="AC1508"/>
          <cell r="AD1508"/>
          <cell r="AE1508"/>
          <cell r="AF1508"/>
        </row>
        <row r="1509"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  <cell r="N1509"/>
          <cell r="O1509"/>
          <cell r="P1509"/>
          <cell r="Q1509"/>
          <cell r="R1509"/>
          <cell r="S1509"/>
          <cell r="T1509"/>
          <cell r="U1509"/>
          <cell r="V1509"/>
          <cell r="W1509"/>
          <cell r="X1509"/>
          <cell r="Y1509"/>
          <cell r="Z1509"/>
          <cell r="AA1509"/>
          <cell r="AB1509"/>
          <cell r="AC1509"/>
          <cell r="AD1509"/>
          <cell r="AE1509"/>
          <cell r="AF1509"/>
        </row>
        <row r="1510"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  <cell r="N1510"/>
          <cell r="O1510"/>
          <cell r="P1510"/>
          <cell r="Q1510"/>
          <cell r="R1510"/>
          <cell r="S1510"/>
          <cell r="T1510"/>
          <cell r="U1510"/>
          <cell r="V1510"/>
          <cell r="W1510"/>
          <cell r="X1510"/>
          <cell r="Y1510"/>
          <cell r="Z1510"/>
          <cell r="AA1510"/>
          <cell r="AB1510"/>
          <cell r="AC1510"/>
          <cell r="AD1510"/>
          <cell r="AE1510"/>
          <cell r="AF1510"/>
        </row>
        <row r="1511"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  <cell r="N1511"/>
          <cell r="O1511"/>
          <cell r="P1511"/>
          <cell r="Q1511"/>
          <cell r="R1511"/>
          <cell r="S1511"/>
          <cell r="T1511"/>
          <cell r="U1511"/>
          <cell r="V1511"/>
          <cell r="W1511"/>
          <cell r="X1511"/>
          <cell r="Y1511"/>
          <cell r="Z1511"/>
          <cell r="AA1511"/>
          <cell r="AB1511"/>
          <cell r="AC1511"/>
          <cell r="AD1511"/>
          <cell r="AE1511"/>
          <cell r="AF1511"/>
        </row>
        <row r="1512"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  <cell r="N1512"/>
          <cell r="O1512"/>
          <cell r="P1512"/>
          <cell r="Q1512"/>
          <cell r="R1512"/>
          <cell r="S1512"/>
          <cell r="T1512"/>
          <cell r="U1512"/>
          <cell r="V1512"/>
          <cell r="W1512"/>
          <cell r="X1512"/>
          <cell r="Y1512"/>
          <cell r="Z1512"/>
          <cell r="AA1512"/>
          <cell r="AB1512"/>
          <cell r="AC1512"/>
          <cell r="AD1512"/>
          <cell r="AE1512"/>
          <cell r="AF1512"/>
        </row>
        <row r="1513"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  <cell r="N1513"/>
          <cell r="O1513"/>
          <cell r="P1513"/>
          <cell r="Q1513"/>
          <cell r="R1513"/>
          <cell r="S1513"/>
          <cell r="T1513"/>
          <cell r="U1513"/>
          <cell r="V1513"/>
          <cell r="W1513"/>
          <cell r="X1513"/>
          <cell r="Y1513"/>
          <cell r="Z1513"/>
          <cell r="AA1513"/>
          <cell r="AB1513"/>
          <cell r="AC1513"/>
          <cell r="AD1513"/>
          <cell r="AE1513"/>
          <cell r="AF1513"/>
        </row>
        <row r="1514"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  <cell r="N1514"/>
          <cell r="O1514"/>
          <cell r="P1514"/>
          <cell r="Q1514"/>
          <cell r="R1514"/>
          <cell r="S1514"/>
          <cell r="T1514"/>
          <cell r="U1514"/>
          <cell r="V1514"/>
          <cell r="W1514"/>
          <cell r="X1514"/>
          <cell r="Y1514"/>
          <cell r="Z1514"/>
          <cell r="AA1514"/>
          <cell r="AB1514"/>
          <cell r="AC1514"/>
          <cell r="AD1514"/>
          <cell r="AE1514"/>
          <cell r="AF1514"/>
        </row>
        <row r="1515"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  <cell r="N1515"/>
          <cell r="O1515"/>
          <cell r="P1515"/>
          <cell r="Q1515"/>
          <cell r="R1515"/>
          <cell r="S1515"/>
          <cell r="T1515"/>
          <cell r="U1515"/>
          <cell r="V1515"/>
          <cell r="W1515"/>
          <cell r="X1515"/>
          <cell r="Y1515"/>
          <cell r="Z1515"/>
          <cell r="AA1515"/>
          <cell r="AB1515"/>
          <cell r="AC1515"/>
          <cell r="AD1515"/>
          <cell r="AE1515"/>
          <cell r="AF1515"/>
        </row>
        <row r="1516"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  <cell r="N1516"/>
          <cell r="O1516"/>
          <cell r="P1516"/>
          <cell r="Q1516"/>
          <cell r="R1516"/>
          <cell r="S1516"/>
          <cell r="T1516"/>
          <cell r="U1516"/>
          <cell r="V1516"/>
          <cell r="W1516"/>
          <cell r="X1516"/>
          <cell r="Y1516"/>
          <cell r="Z1516"/>
          <cell r="AA1516"/>
          <cell r="AB1516"/>
          <cell r="AC1516"/>
          <cell r="AD1516"/>
          <cell r="AE1516"/>
          <cell r="AF1516"/>
        </row>
        <row r="1517"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  <cell r="N1517"/>
          <cell r="O1517"/>
          <cell r="P1517"/>
          <cell r="Q1517"/>
          <cell r="R1517"/>
          <cell r="S1517"/>
          <cell r="T1517"/>
          <cell r="U1517"/>
          <cell r="V1517"/>
          <cell r="W1517"/>
          <cell r="X1517"/>
          <cell r="Y1517"/>
          <cell r="Z1517"/>
          <cell r="AA1517"/>
          <cell r="AB1517"/>
          <cell r="AC1517"/>
          <cell r="AD1517"/>
          <cell r="AE1517"/>
          <cell r="AF1517"/>
        </row>
        <row r="1518"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  <cell r="N1518"/>
          <cell r="O1518"/>
          <cell r="P1518"/>
          <cell r="Q1518"/>
          <cell r="R1518"/>
          <cell r="S1518"/>
          <cell r="T1518"/>
          <cell r="U1518"/>
          <cell r="V1518"/>
          <cell r="W1518"/>
          <cell r="X1518"/>
          <cell r="Y1518"/>
          <cell r="Z1518"/>
          <cell r="AA1518"/>
          <cell r="AB1518"/>
          <cell r="AC1518"/>
          <cell r="AD1518"/>
          <cell r="AE1518"/>
          <cell r="AF1518"/>
        </row>
        <row r="1519"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  <cell r="N1519"/>
          <cell r="O1519"/>
          <cell r="P1519"/>
          <cell r="Q1519"/>
          <cell r="R1519"/>
          <cell r="S1519"/>
          <cell r="T1519"/>
          <cell r="U1519"/>
          <cell r="V1519"/>
          <cell r="W1519"/>
          <cell r="X1519"/>
          <cell r="Y1519"/>
          <cell r="Z1519"/>
          <cell r="AA1519"/>
          <cell r="AB1519"/>
          <cell r="AC1519"/>
          <cell r="AD1519"/>
          <cell r="AE1519"/>
          <cell r="AF1519"/>
        </row>
        <row r="1520"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  <cell r="N1520"/>
          <cell r="O1520"/>
          <cell r="P1520"/>
          <cell r="Q1520"/>
          <cell r="R1520"/>
          <cell r="S1520"/>
          <cell r="T1520"/>
          <cell r="U1520"/>
          <cell r="V1520"/>
          <cell r="W1520"/>
          <cell r="X1520"/>
          <cell r="Y1520"/>
          <cell r="Z1520"/>
          <cell r="AA1520"/>
          <cell r="AB1520"/>
          <cell r="AC1520"/>
          <cell r="AD1520"/>
          <cell r="AE1520"/>
          <cell r="AF1520"/>
        </row>
        <row r="1521"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  <cell r="N1521"/>
          <cell r="O1521"/>
          <cell r="P1521"/>
          <cell r="Q1521"/>
          <cell r="R1521"/>
          <cell r="S1521"/>
          <cell r="T1521"/>
          <cell r="U1521"/>
          <cell r="V1521"/>
          <cell r="W1521"/>
          <cell r="X1521"/>
          <cell r="Y1521"/>
          <cell r="Z1521"/>
          <cell r="AA1521"/>
          <cell r="AB1521"/>
          <cell r="AC1521"/>
          <cell r="AD1521"/>
          <cell r="AE1521"/>
          <cell r="AF1521"/>
        </row>
        <row r="1522"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  <cell r="N1522"/>
          <cell r="O1522"/>
          <cell r="P1522"/>
          <cell r="Q1522"/>
          <cell r="R1522"/>
          <cell r="S1522"/>
          <cell r="T1522"/>
          <cell r="U1522"/>
          <cell r="V1522"/>
          <cell r="W1522"/>
          <cell r="X1522"/>
          <cell r="Y1522"/>
          <cell r="Z1522"/>
          <cell r="AA1522"/>
          <cell r="AB1522"/>
          <cell r="AC1522"/>
          <cell r="AD1522"/>
          <cell r="AE1522"/>
          <cell r="AF1522"/>
        </row>
        <row r="1523"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  <cell r="N1523"/>
          <cell r="O1523"/>
          <cell r="P1523"/>
          <cell r="Q1523"/>
          <cell r="R1523"/>
          <cell r="S1523"/>
          <cell r="T1523"/>
          <cell r="U1523"/>
          <cell r="V1523"/>
          <cell r="W1523"/>
          <cell r="X1523"/>
          <cell r="Y1523"/>
          <cell r="Z1523"/>
          <cell r="AA1523"/>
          <cell r="AB1523"/>
          <cell r="AC1523"/>
          <cell r="AD1523"/>
          <cell r="AE1523"/>
          <cell r="AF1523"/>
        </row>
        <row r="1524"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  <cell r="N1524"/>
          <cell r="O1524"/>
          <cell r="P1524"/>
          <cell r="Q1524"/>
          <cell r="R1524"/>
          <cell r="S1524"/>
          <cell r="T1524"/>
          <cell r="U1524"/>
          <cell r="V1524"/>
          <cell r="W1524"/>
          <cell r="X1524"/>
          <cell r="Y1524"/>
          <cell r="Z1524"/>
          <cell r="AA1524"/>
          <cell r="AB1524"/>
          <cell r="AC1524"/>
          <cell r="AD1524"/>
          <cell r="AE1524"/>
          <cell r="AF1524"/>
        </row>
        <row r="1525"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  <cell r="N1525"/>
          <cell r="O1525"/>
          <cell r="P1525"/>
          <cell r="Q1525"/>
          <cell r="R1525"/>
          <cell r="S1525"/>
          <cell r="T1525"/>
          <cell r="U1525"/>
          <cell r="V1525"/>
          <cell r="W1525"/>
          <cell r="X1525"/>
          <cell r="Y1525"/>
          <cell r="Z1525"/>
          <cell r="AA1525"/>
          <cell r="AB1525"/>
          <cell r="AC1525"/>
          <cell r="AD1525"/>
          <cell r="AE1525"/>
          <cell r="AF1525"/>
        </row>
        <row r="1526"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  <cell r="N1526"/>
          <cell r="O1526"/>
          <cell r="P1526"/>
          <cell r="Q1526"/>
          <cell r="R1526"/>
          <cell r="S1526"/>
          <cell r="T1526"/>
          <cell r="U1526"/>
          <cell r="V1526"/>
          <cell r="W1526"/>
          <cell r="X1526"/>
          <cell r="Y1526"/>
          <cell r="Z1526"/>
          <cell r="AA1526"/>
          <cell r="AB1526"/>
          <cell r="AC1526"/>
          <cell r="AD1526"/>
          <cell r="AE1526"/>
          <cell r="AF1526"/>
        </row>
        <row r="1527"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  <cell r="N1527"/>
          <cell r="O1527"/>
          <cell r="P1527"/>
          <cell r="Q1527"/>
          <cell r="R1527"/>
          <cell r="S1527"/>
          <cell r="T1527"/>
          <cell r="U1527"/>
          <cell r="V1527"/>
          <cell r="W1527"/>
          <cell r="X1527"/>
          <cell r="Y1527"/>
          <cell r="Z1527"/>
          <cell r="AA1527"/>
          <cell r="AB1527"/>
          <cell r="AC1527"/>
          <cell r="AD1527"/>
          <cell r="AE1527"/>
          <cell r="AF1527"/>
        </row>
        <row r="1528"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  <cell r="N1528"/>
          <cell r="O1528"/>
          <cell r="P1528"/>
          <cell r="Q1528"/>
          <cell r="R1528"/>
          <cell r="S1528"/>
          <cell r="T1528"/>
          <cell r="U1528"/>
          <cell r="V1528"/>
          <cell r="W1528"/>
          <cell r="X1528"/>
          <cell r="Y1528"/>
          <cell r="Z1528"/>
          <cell r="AA1528"/>
          <cell r="AB1528"/>
          <cell r="AC1528"/>
          <cell r="AD1528"/>
          <cell r="AE1528"/>
          <cell r="AF1528"/>
        </row>
        <row r="1529"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  <cell r="N1529"/>
          <cell r="O1529"/>
          <cell r="P1529"/>
          <cell r="Q1529"/>
          <cell r="R1529"/>
          <cell r="S1529"/>
          <cell r="T1529"/>
          <cell r="U1529"/>
          <cell r="V1529"/>
          <cell r="W1529"/>
          <cell r="X1529"/>
          <cell r="Y1529"/>
          <cell r="Z1529"/>
          <cell r="AA1529"/>
          <cell r="AB1529"/>
          <cell r="AC1529"/>
          <cell r="AD1529"/>
          <cell r="AE1529"/>
          <cell r="AF1529"/>
        </row>
        <row r="1530"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  <cell r="N1530"/>
          <cell r="O1530"/>
          <cell r="P1530"/>
          <cell r="Q1530"/>
          <cell r="R1530"/>
          <cell r="S1530"/>
          <cell r="T1530"/>
          <cell r="U1530"/>
          <cell r="V1530"/>
          <cell r="W1530"/>
          <cell r="X1530"/>
          <cell r="Y1530"/>
          <cell r="Z1530"/>
          <cell r="AA1530"/>
          <cell r="AB1530"/>
          <cell r="AC1530"/>
          <cell r="AD1530"/>
          <cell r="AE1530"/>
          <cell r="AF1530"/>
        </row>
        <row r="1531"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  <cell r="N1531"/>
          <cell r="O1531"/>
          <cell r="P1531"/>
          <cell r="Q1531"/>
          <cell r="R1531"/>
          <cell r="S1531"/>
          <cell r="T1531"/>
          <cell r="U1531"/>
          <cell r="V1531"/>
          <cell r="W1531"/>
          <cell r="X1531"/>
          <cell r="Y1531"/>
          <cell r="Z1531"/>
          <cell r="AA1531"/>
          <cell r="AB1531"/>
          <cell r="AC1531"/>
          <cell r="AD1531"/>
          <cell r="AE1531"/>
          <cell r="AF1531"/>
        </row>
        <row r="1532"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  <cell r="N1532"/>
          <cell r="O1532"/>
          <cell r="P1532"/>
          <cell r="Q1532"/>
          <cell r="R1532"/>
          <cell r="S1532"/>
          <cell r="T1532"/>
          <cell r="U1532"/>
          <cell r="V1532"/>
          <cell r="W1532"/>
          <cell r="X1532"/>
          <cell r="Y1532"/>
          <cell r="Z1532"/>
          <cell r="AA1532"/>
          <cell r="AB1532"/>
          <cell r="AC1532"/>
          <cell r="AD1532"/>
          <cell r="AE1532"/>
          <cell r="AF1532"/>
        </row>
        <row r="1533"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  <cell r="N1533"/>
          <cell r="O1533"/>
          <cell r="P1533"/>
          <cell r="Q1533"/>
          <cell r="R1533"/>
          <cell r="S1533"/>
          <cell r="T1533"/>
          <cell r="U1533"/>
          <cell r="V1533"/>
          <cell r="W1533"/>
          <cell r="X1533"/>
          <cell r="Y1533"/>
          <cell r="Z1533"/>
          <cell r="AA1533"/>
          <cell r="AB1533"/>
          <cell r="AC1533"/>
          <cell r="AD1533"/>
          <cell r="AE1533"/>
          <cell r="AF1533"/>
        </row>
        <row r="1534"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  <cell r="N1534"/>
          <cell r="O1534"/>
          <cell r="P1534"/>
          <cell r="Q1534"/>
          <cell r="R1534"/>
          <cell r="S1534"/>
          <cell r="T1534"/>
          <cell r="U1534"/>
          <cell r="V1534"/>
          <cell r="W1534"/>
          <cell r="X1534"/>
          <cell r="Y1534"/>
          <cell r="Z1534"/>
          <cell r="AA1534"/>
          <cell r="AB1534"/>
          <cell r="AC1534"/>
          <cell r="AD1534"/>
          <cell r="AE1534"/>
          <cell r="AF1534"/>
        </row>
        <row r="1535"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  <cell r="N1535"/>
          <cell r="O1535"/>
          <cell r="P1535"/>
          <cell r="Q1535"/>
          <cell r="R1535"/>
          <cell r="S1535"/>
          <cell r="T1535"/>
          <cell r="U1535"/>
          <cell r="V1535"/>
          <cell r="W1535"/>
          <cell r="X1535"/>
          <cell r="Y1535"/>
          <cell r="Z1535"/>
          <cell r="AA1535"/>
          <cell r="AB1535"/>
          <cell r="AC1535"/>
          <cell r="AD1535"/>
          <cell r="AE1535"/>
          <cell r="AF1535"/>
        </row>
        <row r="1536"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  <cell r="N1536"/>
          <cell r="O1536"/>
          <cell r="P1536"/>
          <cell r="Q1536"/>
          <cell r="R1536"/>
          <cell r="S1536"/>
          <cell r="T1536"/>
          <cell r="U1536"/>
          <cell r="V1536"/>
          <cell r="W1536"/>
          <cell r="X1536"/>
          <cell r="Y1536"/>
          <cell r="Z1536"/>
          <cell r="AA1536"/>
          <cell r="AB1536"/>
          <cell r="AC1536"/>
          <cell r="AD1536"/>
          <cell r="AE1536"/>
          <cell r="AF1536"/>
        </row>
        <row r="1537"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  <cell r="N1537"/>
          <cell r="O1537"/>
          <cell r="P1537"/>
          <cell r="Q1537"/>
          <cell r="R1537"/>
          <cell r="S1537"/>
          <cell r="T1537"/>
          <cell r="U1537"/>
          <cell r="V1537"/>
          <cell r="W1537"/>
          <cell r="X1537"/>
          <cell r="Y1537"/>
          <cell r="Z1537"/>
          <cell r="AA1537"/>
          <cell r="AB1537"/>
          <cell r="AC1537"/>
          <cell r="AD1537"/>
          <cell r="AE1537"/>
          <cell r="AF1537"/>
        </row>
        <row r="1538"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  <cell r="N1538"/>
          <cell r="O1538"/>
          <cell r="P1538"/>
          <cell r="Q1538"/>
          <cell r="R1538"/>
          <cell r="S1538"/>
          <cell r="T1538"/>
          <cell r="U1538"/>
          <cell r="V1538"/>
          <cell r="W1538"/>
          <cell r="X1538"/>
          <cell r="Y1538"/>
          <cell r="Z1538"/>
          <cell r="AA1538"/>
          <cell r="AB1538"/>
          <cell r="AC1538"/>
          <cell r="AD1538"/>
          <cell r="AE1538"/>
          <cell r="AF1538"/>
        </row>
        <row r="1539"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  <cell r="N1539"/>
          <cell r="O1539"/>
          <cell r="P1539"/>
          <cell r="Q1539"/>
          <cell r="R1539"/>
          <cell r="S1539"/>
          <cell r="T1539"/>
          <cell r="U1539"/>
          <cell r="V1539"/>
          <cell r="W1539"/>
          <cell r="X1539"/>
          <cell r="Y1539"/>
          <cell r="Z1539"/>
          <cell r="AA1539"/>
          <cell r="AB1539"/>
          <cell r="AC1539"/>
          <cell r="AD1539"/>
          <cell r="AE1539"/>
          <cell r="AF1539"/>
        </row>
        <row r="1540"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  <cell r="N1540"/>
          <cell r="O1540"/>
          <cell r="P1540"/>
          <cell r="Q1540"/>
          <cell r="R1540"/>
          <cell r="S1540"/>
          <cell r="T1540"/>
          <cell r="U1540"/>
          <cell r="V1540"/>
          <cell r="W1540"/>
          <cell r="X1540"/>
          <cell r="Y1540"/>
          <cell r="Z1540"/>
          <cell r="AA1540"/>
          <cell r="AB1540"/>
          <cell r="AC1540"/>
          <cell r="AD1540"/>
          <cell r="AE1540"/>
          <cell r="AF1540"/>
        </row>
        <row r="1541"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  <cell r="N1541"/>
          <cell r="O1541"/>
          <cell r="P1541"/>
          <cell r="Q1541"/>
          <cell r="R1541"/>
          <cell r="S1541"/>
          <cell r="T1541"/>
          <cell r="U1541"/>
          <cell r="V1541"/>
          <cell r="W1541"/>
          <cell r="X1541"/>
          <cell r="Y1541"/>
          <cell r="Z1541"/>
          <cell r="AA1541"/>
          <cell r="AB1541"/>
          <cell r="AC1541"/>
          <cell r="AD1541"/>
          <cell r="AE1541"/>
          <cell r="AF1541"/>
        </row>
        <row r="1542"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  <cell r="N1542"/>
          <cell r="O1542"/>
          <cell r="P1542"/>
          <cell r="Q1542"/>
          <cell r="R1542"/>
          <cell r="S1542"/>
          <cell r="T1542"/>
          <cell r="U1542"/>
          <cell r="V1542"/>
          <cell r="W1542"/>
          <cell r="X1542"/>
          <cell r="Y1542"/>
          <cell r="Z1542"/>
          <cell r="AA1542"/>
          <cell r="AB1542"/>
          <cell r="AC1542"/>
          <cell r="AD1542"/>
          <cell r="AE1542"/>
          <cell r="AF1542"/>
        </row>
        <row r="1543"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  <cell r="N1543"/>
          <cell r="O1543"/>
          <cell r="P1543"/>
          <cell r="Q1543"/>
          <cell r="R1543"/>
          <cell r="S1543"/>
          <cell r="T1543"/>
          <cell r="U1543"/>
          <cell r="V1543"/>
          <cell r="W1543"/>
          <cell r="X1543"/>
          <cell r="Y1543"/>
          <cell r="Z1543"/>
          <cell r="AA1543"/>
          <cell r="AB1543"/>
          <cell r="AC1543"/>
          <cell r="AD1543"/>
          <cell r="AE1543"/>
          <cell r="AF1543"/>
        </row>
        <row r="1544"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  <cell r="N1544"/>
          <cell r="O1544"/>
          <cell r="P1544"/>
          <cell r="Q1544"/>
          <cell r="R1544"/>
          <cell r="S1544"/>
          <cell r="T1544"/>
          <cell r="U1544"/>
          <cell r="V1544"/>
          <cell r="W1544"/>
          <cell r="X1544"/>
          <cell r="Y1544"/>
          <cell r="Z1544"/>
          <cell r="AA1544"/>
          <cell r="AB1544"/>
          <cell r="AC1544"/>
          <cell r="AD1544"/>
          <cell r="AE1544"/>
          <cell r="AF1544"/>
        </row>
      </sheetData>
      <sheetData sheetId="1">
        <row r="2">
          <cell r="J2">
            <v>659.08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es"/>
      <sheetName val="Portfolios"/>
      <sheetName val="Rectangulos"/>
      <sheetName val="SerieVol"/>
    </sheetNames>
    <sheetDataSet>
      <sheetData sheetId="0"/>
      <sheetData sheetId="1"/>
      <sheetData sheetId="2">
        <row r="1">
          <cell r="B1" t="str">
            <v>MACRO 1.5</v>
          </cell>
          <cell r="C1" t="str">
            <v>MACRO CLP3</v>
          </cell>
          <cell r="D1" t="str">
            <v>RENTA</v>
          </cell>
          <cell r="E1" t="str">
            <v>IMT E-PLUS</v>
          </cell>
        </row>
        <row r="2">
          <cell r="A2" t="str">
            <v>Banco Santander</v>
          </cell>
          <cell r="B2"/>
          <cell r="C2"/>
          <cell r="D2"/>
          <cell r="E2"/>
        </row>
        <row r="3">
          <cell r="A3" t="str">
            <v>Banco BBVA</v>
          </cell>
          <cell r="B3"/>
          <cell r="C3"/>
          <cell r="D3"/>
          <cell r="E3"/>
        </row>
        <row r="4">
          <cell r="A4" t="str">
            <v>Caja</v>
          </cell>
          <cell r="B4"/>
          <cell r="C4"/>
          <cell r="D4"/>
          <cell r="E4"/>
        </row>
        <row r="5">
          <cell r="A5" t="str">
            <v>Republica Federativa do Brasil</v>
          </cell>
          <cell r="B5"/>
          <cell r="C5"/>
          <cell r="D5"/>
          <cell r="E5"/>
        </row>
        <row r="6">
          <cell r="A6" t="str">
            <v>BCI</v>
          </cell>
          <cell r="B6"/>
          <cell r="C6"/>
          <cell r="D6"/>
          <cell r="E6"/>
        </row>
        <row r="7">
          <cell r="A7" t="str">
            <v>BICE</v>
          </cell>
          <cell r="B7"/>
          <cell r="C7"/>
          <cell r="D7"/>
          <cell r="E7"/>
        </row>
        <row r="8">
          <cell r="A8" t="str">
            <v>Banco Falabella</v>
          </cell>
          <cell r="B8"/>
          <cell r="C8"/>
          <cell r="D8"/>
          <cell r="E8"/>
        </row>
        <row r="9">
          <cell r="A9" t="str">
            <v>Banco Internacional</v>
          </cell>
          <cell r="B9"/>
          <cell r="C9"/>
          <cell r="D9"/>
          <cell r="E9"/>
        </row>
        <row r="10">
          <cell r="A10" t="str">
            <v>Itau/Corpbanca</v>
          </cell>
          <cell r="B10"/>
          <cell r="C10"/>
          <cell r="D10"/>
          <cell r="E10"/>
        </row>
        <row r="11">
          <cell r="A11" t="str">
            <v>Banco Ripley</v>
          </cell>
          <cell r="B11"/>
          <cell r="C11"/>
          <cell r="D11"/>
          <cell r="E11"/>
        </row>
        <row r="12">
          <cell r="A12" t="str">
            <v>Scotiabank</v>
          </cell>
          <cell r="B12"/>
          <cell r="C12"/>
          <cell r="D12"/>
          <cell r="E12"/>
        </row>
        <row r="13">
          <cell r="A13" t="str">
            <v>Banco Security</v>
          </cell>
          <cell r="B13"/>
          <cell r="C13"/>
          <cell r="D13"/>
          <cell r="E13"/>
        </row>
        <row r="14">
          <cell r="A14" t="str">
            <v>CMR</v>
          </cell>
          <cell r="B14"/>
          <cell r="C14"/>
          <cell r="D14"/>
          <cell r="E14"/>
        </row>
        <row r="15">
          <cell r="A15" t="str">
            <v>Banco de Chile</v>
          </cell>
          <cell r="B15"/>
          <cell r="C15"/>
          <cell r="D15"/>
          <cell r="E15"/>
        </row>
        <row r="16">
          <cell r="A16" t="str">
            <v>Banco Consorcio</v>
          </cell>
          <cell r="B16"/>
          <cell r="C16"/>
          <cell r="D16"/>
          <cell r="E16"/>
        </row>
        <row r="17">
          <cell r="A17" t="str">
            <v>Banco Estado</v>
          </cell>
          <cell r="B17"/>
          <cell r="C17"/>
          <cell r="D17"/>
          <cell r="E17"/>
        </row>
        <row r="18">
          <cell r="A18" t="str">
            <v>Gobierno de Mexico</v>
          </cell>
          <cell r="B18"/>
          <cell r="C18"/>
          <cell r="D18"/>
          <cell r="E18"/>
        </row>
        <row r="19">
          <cell r="A19" t="str">
            <v>Gobierno del Peru</v>
          </cell>
          <cell r="B19"/>
          <cell r="C19"/>
          <cell r="D19"/>
          <cell r="E19"/>
        </row>
        <row r="20">
          <cell r="A20" t="str">
            <v>EF Securitizadora S.A.</v>
          </cell>
          <cell r="B20"/>
          <cell r="C20"/>
          <cell r="D20"/>
          <cell r="E20"/>
        </row>
        <row r="21">
          <cell r="A21" t="str">
            <v>Banco Central de Chile</v>
          </cell>
          <cell r="B21"/>
          <cell r="C21"/>
          <cell r="D21"/>
          <cell r="E21"/>
        </row>
        <row r="22">
          <cell r="A22" t="str">
            <v>Ministerio VYU</v>
          </cell>
          <cell r="B22"/>
          <cell r="C22"/>
          <cell r="D22"/>
          <cell r="E22"/>
        </row>
        <row r="23">
          <cell r="A23" t="str">
            <v>BICECORP</v>
          </cell>
          <cell r="B23"/>
          <cell r="C23"/>
          <cell r="D23"/>
          <cell r="E23"/>
        </row>
        <row r="24">
          <cell r="A24" t="str">
            <v>COOPEUCH</v>
          </cell>
          <cell r="B24"/>
          <cell r="C24"/>
          <cell r="D24"/>
          <cell r="E24"/>
        </row>
        <row r="25">
          <cell r="A25" t="str">
            <v>Caja de Compensación Gabriela Mistral</v>
          </cell>
          <cell r="B25"/>
          <cell r="C25"/>
          <cell r="D25"/>
          <cell r="E25"/>
        </row>
        <row r="26">
          <cell r="A26" t="str">
            <v>La Polar S.A.</v>
          </cell>
          <cell r="B26"/>
          <cell r="C26"/>
          <cell r="D26"/>
          <cell r="E26"/>
        </row>
        <row r="27">
          <cell r="A27" t="str">
            <v>AES Gener S.A.</v>
          </cell>
          <cell r="B27"/>
          <cell r="C27"/>
          <cell r="D27"/>
          <cell r="E27"/>
        </row>
        <row r="28">
          <cell r="A28" t="str">
            <v>Alpek S.A.B.</v>
          </cell>
          <cell r="B28"/>
          <cell r="C28"/>
          <cell r="D28"/>
          <cell r="E28"/>
        </row>
        <row r="29">
          <cell r="A29" t="str">
            <v>Banco de Credito del Peru</v>
          </cell>
          <cell r="B29"/>
          <cell r="C29"/>
          <cell r="D29"/>
          <cell r="E29"/>
        </row>
        <row r="30">
          <cell r="A30" t="str">
            <v>BANCOLOMBIA</v>
          </cell>
          <cell r="B30"/>
          <cell r="C30"/>
          <cell r="D30"/>
          <cell r="E30"/>
        </row>
        <row r="31">
          <cell r="A31" t="str">
            <v>Banco BBVA Bancomer</v>
          </cell>
          <cell r="B31"/>
          <cell r="C31"/>
          <cell r="D31"/>
          <cell r="E31"/>
        </row>
        <row r="32">
          <cell r="A32" t="str">
            <v>Banco BBVA Colombia</v>
          </cell>
          <cell r="B32"/>
          <cell r="C32"/>
          <cell r="D32"/>
          <cell r="E32"/>
        </row>
        <row r="33">
          <cell r="A33" t="str">
            <v>Banco Inbursa</v>
          </cell>
          <cell r="B33"/>
          <cell r="C33"/>
          <cell r="D33"/>
          <cell r="E33"/>
        </row>
        <row r="34">
          <cell r="A34" t="str">
            <v>Banco Internacional del Peru</v>
          </cell>
          <cell r="B34"/>
          <cell r="C34"/>
          <cell r="D34"/>
          <cell r="E34"/>
        </row>
        <row r="35">
          <cell r="A35" t="str">
            <v>BRF Brasil</v>
          </cell>
          <cell r="B35"/>
          <cell r="C35"/>
          <cell r="D35"/>
          <cell r="E35"/>
        </row>
        <row r="36">
          <cell r="A36" t="str">
            <v>Celeo Redes Chile</v>
          </cell>
          <cell r="B36"/>
          <cell r="C36"/>
          <cell r="D36"/>
          <cell r="E36"/>
        </row>
        <row r="37">
          <cell r="A37" t="str">
            <v>Cencosud S.A.</v>
          </cell>
          <cell r="B37"/>
          <cell r="C37"/>
          <cell r="D37"/>
          <cell r="E37"/>
        </row>
        <row r="38">
          <cell r="A38" t="str">
            <v>Empresas CMPC S.A.</v>
          </cell>
          <cell r="B38"/>
          <cell r="C38"/>
          <cell r="D38"/>
          <cell r="E38"/>
        </row>
        <row r="39">
          <cell r="A39" t="str">
            <v>Codelco</v>
          </cell>
          <cell r="B39"/>
          <cell r="C39"/>
          <cell r="D39"/>
          <cell r="E39"/>
        </row>
        <row r="40">
          <cell r="A40" t="str">
            <v>Comision Federal de Electricidad</v>
          </cell>
          <cell r="B40"/>
          <cell r="C40"/>
          <cell r="D40"/>
          <cell r="E40"/>
        </row>
        <row r="41">
          <cell r="A41" t="str">
            <v>Corporación Lindley S.A.</v>
          </cell>
          <cell r="B41"/>
          <cell r="C41"/>
          <cell r="D41"/>
          <cell r="E41"/>
        </row>
        <row r="42">
          <cell r="A42" t="str">
            <v>Banco Davivienda S.A.</v>
          </cell>
          <cell r="B42"/>
          <cell r="C42"/>
          <cell r="D42"/>
          <cell r="E42"/>
        </row>
        <row r="43">
          <cell r="A43" t="str">
            <v>Ecopetrol S.A.</v>
          </cell>
          <cell r="B43"/>
          <cell r="C43"/>
          <cell r="D43"/>
          <cell r="E43"/>
        </row>
        <row r="44">
          <cell r="A44" t="str">
            <v>Embraer S.A.</v>
          </cell>
          <cell r="B44"/>
          <cell r="C44"/>
          <cell r="D44"/>
          <cell r="E44"/>
        </row>
        <row r="45">
          <cell r="A45" t="str">
            <v>ENAP</v>
          </cell>
          <cell r="B45"/>
          <cell r="C45"/>
          <cell r="D45"/>
          <cell r="E45"/>
        </row>
        <row r="46">
          <cell r="A46" t="str">
            <v>Enersis Americas S.A.</v>
          </cell>
          <cell r="B46"/>
          <cell r="C46"/>
          <cell r="D46"/>
          <cell r="E46"/>
        </row>
        <row r="47">
          <cell r="A47" t="str">
            <v>Engie</v>
          </cell>
          <cell r="B47"/>
          <cell r="C47"/>
          <cell r="D47"/>
          <cell r="E47"/>
        </row>
        <row r="48">
          <cell r="A48" t="str">
            <v>ENTEL</v>
          </cell>
          <cell r="B48"/>
          <cell r="C48"/>
          <cell r="D48"/>
          <cell r="E48"/>
        </row>
        <row r="49">
          <cell r="A49" t="str">
            <v>Fermaca Global</v>
          </cell>
          <cell r="B49"/>
          <cell r="C49"/>
          <cell r="D49"/>
          <cell r="E49"/>
        </row>
        <row r="50">
          <cell r="A50" t="str">
            <v>Bono Fibria Celulosa</v>
          </cell>
          <cell r="B50"/>
          <cell r="C50"/>
          <cell r="D50"/>
          <cell r="E50"/>
        </row>
        <row r="51">
          <cell r="A51" t="str">
            <v>Gas Natural de Lima y Callao S.A</v>
          </cell>
          <cell r="B51"/>
          <cell r="C51"/>
          <cell r="D51"/>
          <cell r="E51"/>
        </row>
        <row r="52">
          <cell r="A52" t="str">
            <v>Gerdau Holdings</v>
          </cell>
          <cell r="B52"/>
          <cell r="C52"/>
          <cell r="D52"/>
          <cell r="E52"/>
        </row>
        <row r="53">
          <cell r="A53" t="str">
            <v>Global Bank</v>
          </cell>
          <cell r="B53"/>
          <cell r="C53"/>
          <cell r="D53"/>
          <cell r="E53"/>
        </row>
        <row r="54">
          <cell r="A54" t="str">
            <v>Mexico Generadora de Energia</v>
          </cell>
          <cell r="B54"/>
          <cell r="C54"/>
          <cell r="D54"/>
          <cell r="E54"/>
        </row>
        <row r="55">
          <cell r="A55" t="str">
            <v>GNL Quintero S.A.</v>
          </cell>
          <cell r="B55"/>
          <cell r="C55"/>
          <cell r="D55"/>
          <cell r="E55"/>
        </row>
        <row r="56">
          <cell r="A56" t="str">
            <v>Gruma S.A.B</v>
          </cell>
          <cell r="B56"/>
          <cell r="C56"/>
          <cell r="D56"/>
          <cell r="E56"/>
        </row>
        <row r="57">
          <cell r="A57" t="str">
            <v>Grupo SURA</v>
          </cell>
          <cell r="B57"/>
          <cell r="C57"/>
          <cell r="D57"/>
          <cell r="E57"/>
        </row>
        <row r="58">
          <cell r="A58" t="str">
            <v>Kallpa Generacion S.A.</v>
          </cell>
          <cell r="B58"/>
          <cell r="C58"/>
          <cell r="D58"/>
          <cell r="E58"/>
        </row>
        <row r="59">
          <cell r="A59" t="str">
            <v>LATAM</v>
          </cell>
          <cell r="B59"/>
          <cell r="C59"/>
          <cell r="D59"/>
          <cell r="E59"/>
        </row>
        <row r="60">
          <cell r="A60" t="str">
            <v>El Puerto de Liverpool</v>
          </cell>
          <cell r="B60"/>
          <cell r="C60"/>
          <cell r="D60"/>
          <cell r="E60"/>
        </row>
        <row r="61">
          <cell r="A61" t="str">
            <v>Mexichem</v>
          </cell>
          <cell r="B61"/>
          <cell r="C61"/>
          <cell r="D61"/>
          <cell r="E61"/>
        </row>
        <row r="62">
          <cell r="A62" t="str">
            <v>Mexico City International Airport</v>
          </cell>
          <cell r="B62"/>
          <cell r="C62"/>
          <cell r="D62"/>
          <cell r="E62"/>
        </row>
        <row r="63">
          <cell r="A63" t="str">
            <v>Fondo Mivivienda S.A.</v>
          </cell>
          <cell r="B63"/>
          <cell r="C63"/>
          <cell r="D63"/>
          <cell r="E63"/>
        </row>
        <row r="64">
          <cell r="A64" t="str">
            <v>Oleoducto Central S.A.</v>
          </cell>
          <cell r="B64"/>
          <cell r="C64"/>
          <cell r="D64"/>
          <cell r="E64"/>
        </row>
        <row r="65">
          <cell r="A65" t="str">
            <v>Globo</v>
          </cell>
          <cell r="B65"/>
          <cell r="C65"/>
          <cell r="D65"/>
          <cell r="E65"/>
        </row>
        <row r="66">
          <cell r="A66" t="str">
            <v>Raizen</v>
          </cell>
          <cell r="B66"/>
          <cell r="C66"/>
          <cell r="D66"/>
          <cell r="E66"/>
        </row>
        <row r="67">
          <cell r="A67" t="str">
            <v>Autopista Ruta del Maipo</v>
          </cell>
          <cell r="B67"/>
          <cell r="C67"/>
          <cell r="D67"/>
          <cell r="E67"/>
        </row>
        <row r="68">
          <cell r="A68" t="str">
            <v>Sigma Alimentos S.A.</v>
          </cell>
          <cell r="B68"/>
          <cell r="C68"/>
          <cell r="D68"/>
          <cell r="E68"/>
        </row>
        <row r="69">
          <cell r="A69" t="str">
            <v>SMU S.A.</v>
          </cell>
          <cell r="B69"/>
          <cell r="C69"/>
          <cell r="D69"/>
          <cell r="E69"/>
        </row>
        <row r="70">
          <cell r="A70" t="str">
            <v>Southern Copper Corporation</v>
          </cell>
          <cell r="B70"/>
          <cell r="C70"/>
          <cell r="D70"/>
          <cell r="E70"/>
        </row>
        <row r="71">
          <cell r="A71" t="str">
            <v>Sura Asset Management</v>
          </cell>
          <cell r="B71"/>
          <cell r="C71"/>
          <cell r="D71"/>
          <cell r="E71"/>
        </row>
        <row r="72">
          <cell r="A72" t="str">
            <v>Tanner</v>
          </cell>
          <cell r="B72"/>
          <cell r="C72"/>
          <cell r="D72"/>
          <cell r="E72"/>
        </row>
        <row r="73">
          <cell r="A73" t="str">
            <v>Consorcio Transmantaro S.A.</v>
          </cell>
          <cell r="B73"/>
          <cell r="C73"/>
          <cell r="D73"/>
          <cell r="E73"/>
        </row>
        <row r="74">
          <cell r="A74" t="str">
            <v>TGI S.A.</v>
          </cell>
          <cell r="B74"/>
          <cell r="C74"/>
          <cell r="D74"/>
          <cell r="E74"/>
        </row>
        <row r="75">
          <cell r="A75" t="str">
            <v>Fibra UNO</v>
          </cell>
          <cell r="B75"/>
          <cell r="C75"/>
          <cell r="D75"/>
          <cell r="E75"/>
        </row>
        <row r="76">
          <cell r="A76" t="str">
            <v>VTR</v>
          </cell>
          <cell r="B76"/>
          <cell r="C76"/>
          <cell r="D76"/>
          <cell r="E76"/>
        </row>
        <row r="77">
          <cell r="A77" t="str">
            <v>Caja Los Andes</v>
          </cell>
          <cell r="B77"/>
          <cell r="C77"/>
          <cell r="D77"/>
          <cell r="E77"/>
        </row>
        <row r="78">
          <cell r="A78" t="str">
            <v>Sigdo Koppers S.A.</v>
          </cell>
          <cell r="B78"/>
          <cell r="C78"/>
          <cell r="D78"/>
          <cell r="E78"/>
        </row>
        <row r="79">
          <cell r="A79" t="str">
            <v>Factorline S.A.</v>
          </cell>
          <cell r="B79"/>
          <cell r="C79"/>
          <cell r="D79"/>
          <cell r="E79"/>
        </row>
        <row r="80">
          <cell r="A80" t="str">
            <v>CAP</v>
          </cell>
          <cell r="B80"/>
          <cell r="C80"/>
          <cell r="D80"/>
          <cell r="E80"/>
        </row>
        <row r="81">
          <cell r="A81" t="str">
            <v>Gasco</v>
          </cell>
          <cell r="B81"/>
          <cell r="C81"/>
          <cell r="D81"/>
          <cell r="E81"/>
        </row>
        <row r="82">
          <cell r="A82" t="str">
            <v>Ripley Chile S.A.</v>
          </cell>
          <cell r="B82"/>
          <cell r="C82"/>
          <cell r="D82"/>
          <cell r="E82"/>
        </row>
        <row r="83">
          <cell r="A83" t="str">
            <v>Soc. Conc. Vespucio Norte Express S.A.</v>
          </cell>
          <cell r="B83"/>
          <cell r="C83"/>
          <cell r="D83"/>
          <cell r="E83"/>
        </row>
        <row r="84">
          <cell r="A84" t="str">
            <v>Colbún S.A.</v>
          </cell>
          <cell r="B84"/>
          <cell r="C84"/>
          <cell r="D84"/>
          <cell r="E84"/>
        </row>
        <row r="85">
          <cell r="A85" t="str">
            <v>Empresas Carozzi S.A.</v>
          </cell>
          <cell r="B85"/>
          <cell r="C85"/>
          <cell r="D85"/>
          <cell r="E85"/>
        </row>
        <row r="86">
          <cell r="A86" t="str">
            <v>Santa Rita S.A.</v>
          </cell>
          <cell r="B86"/>
          <cell r="C86"/>
          <cell r="D86"/>
          <cell r="E86"/>
        </row>
        <row r="87">
          <cell r="A87" t="str">
            <v>SQM S.A.</v>
          </cell>
          <cell r="B87"/>
          <cell r="C87"/>
          <cell r="D87"/>
          <cell r="E87"/>
        </row>
        <row r="88">
          <cell r="A88" t="str">
            <v>LAS CONDES</v>
          </cell>
          <cell r="B88"/>
          <cell r="C88"/>
          <cell r="D88"/>
          <cell r="E88"/>
        </row>
        <row r="89">
          <cell r="A89" t="str">
            <v>MOLYMET</v>
          </cell>
          <cell r="B89"/>
          <cell r="C89"/>
          <cell r="D89"/>
          <cell r="E89"/>
        </row>
        <row r="90">
          <cell r="A90" t="str">
            <v>Sociedad de Rentas Comerciales S.A.</v>
          </cell>
          <cell r="B90"/>
          <cell r="C90"/>
          <cell r="D90"/>
          <cell r="E90"/>
        </row>
        <row r="91">
          <cell r="A91" t="str">
            <v>Security Holdings S.A.</v>
          </cell>
          <cell r="B91"/>
          <cell r="C91"/>
          <cell r="D91"/>
          <cell r="E91"/>
        </row>
        <row r="92">
          <cell r="A92" t="str">
            <v>Inversiones Southwater Ltda</v>
          </cell>
          <cell r="B92"/>
          <cell r="C92"/>
          <cell r="D92"/>
          <cell r="E92"/>
        </row>
        <row r="93">
          <cell r="A93" t="str">
            <v>Watts</v>
          </cell>
          <cell r="B93"/>
          <cell r="C93"/>
          <cell r="D93"/>
          <cell r="E93"/>
        </row>
        <row r="94">
          <cell r="A94" t="str">
            <v>Agrosuper</v>
          </cell>
          <cell r="B94"/>
          <cell r="C94"/>
          <cell r="D94"/>
          <cell r="E94"/>
        </row>
        <row r="95">
          <cell r="A95" t="str">
            <v>Concha y Toro</v>
          </cell>
          <cell r="B95"/>
          <cell r="C95"/>
          <cell r="D95"/>
          <cell r="E95"/>
        </row>
        <row r="96">
          <cell r="A96" t="str">
            <v>Consorcio Financiera</v>
          </cell>
          <cell r="B96"/>
          <cell r="C96"/>
          <cell r="D96"/>
          <cell r="E96"/>
        </row>
        <row r="97">
          <cell r="A97" t="str">
            <v>Embotelladoras Coca-Cola Polar S.A.</v>
          </cell>
          <cell r="B97"/>
          <cell r="C97"/>
          <cell r="D97"/>
          <cell r="E97"/>
        </row>
        <row r="98">
          <cell r="A98" t="str">
            <v>Forum Servicios Financieros S.A.</v>
          </cell>
          <cell r="B98"/>
          <cell r="C98"/>
          <cell r="D98"/>
          <cell r="E98"/>
        </row>
        <row r="99">
          <cell r="A99" t="str">
            <v>Sodimac</v>
          </cell>
          <cell r="B99"/>
          <cell r="C99"/>
          <cell r="D99"/>
          <cell r="E99"/>
        </row>
        <row r="100">
          <cell r="A100" t="str">
            <v>Banco Edwards Citi</v>
          </cell>
          <cell r="B100"/>
          <cell r="C100"/>
          <cell r="D100"/>
          <cell r="E100"/>
        </row>
        <row r="101">
          <cell r="A101" t="str">
            <v>San José Tecnocontrol</v>
          </cell>
          <cell r="B101"/>
          <cell r="C101"/>
          <cell r="D101"/>
          <cell r="E101"/>
        </row>
        <row r="102">
          <cell r="A102" t="str">
            <v>Aguas Andina S.A.</v>
          </cell>
          <cell r="B102"/>
          <cell r="C102"/>
          <cell r="D102"/>
          <cell r="E102"/>
        </row>
        <row r="103">
          <cell r="A103" t="str">
            <v>Celulosa Arauco y Constitución</v>
          </cell>
          <cell r="B103"/>
          <cell r="C103"/>
          <cell r="D103"/>
          <cell r="E103"/>
        </row>
        <row r="104">
          <cell r="A104" t="str">
            <v>Coca Cola Embonor S.A.</v>
          </cell>
          <cell r="B104"/>
          <cell r="C104"/>
          <cell r="D104"/>
          <cell r="E104"/>
        </row>
        <row r="105">
          <cell r="A105" t="str">
            <v>Frontel</v>
          </cell>
          <cell r="B105"/>
          <cell r="C105"/>
          <cell r="D105"/>
          <cell r="E105"/>
        </row>
        <row r="106">
          <cell r="A106" t="str">
            <v>Parque Arauco S.A.</v>
          </cell>
          <cell r="B106"/>
          <cell r="C106"/>
          <cell r="D106"/>
          <cell r="E106"/>
        </row>
        <row r="107">
          <cell r="A107" t="str">
            <v>Plaza S.A.</v>
          </cell>
          <cell r="B107"/>
          <cell r="C107"/>
          <cell r="D107"/>
          <cell r="E107"/>
        </row>
        <row r="108">
          <cell r="A108" t="str">
            <v>Quiñenco S.A.</v>
          </cell>
          <cell r="B108"/>
          <cell r="C108"/>
          <cell r="D108"/>
          <cell r="E108"/>
        </row>
        <row r="109">
          <cell r="A109" t="str">
            <v>Soc. Conc. Autopista Central S.A.</v>
          </cell>
          <cell r="B109"/>
          <cell r="C109"/>
          <cell r="D109"/>
          <cell r="E109"/>
        </row>
        <row r="110">
          <cell r="A110" t="str">
            <v>Banmedica</v>
          </cell>
          <cell r="B110"/>
          <cell r="C110"/>
          <cell r="D110"/>
          <cell r="E110"/>
        </row>
        <row r="111">
          <cell r="A111" t="str">
            <v>Fondo de Inversion Independencia Rentas Inmobiliarias</v>
          </cell>
          <cell r="B111"/>
          <cell r="C111"/>
          <cell r="D111"/>
          <cell r="E111"/>
        </row>
        <row r="112">
          <cell r="A112" t="str">
            <v>ENLASA S.A.</v>
          </cell>
          <cell r="B112"/>
          <cell r="C112"/>
          <cell r="D112"/>
          <cell r="E112"/>
        </row>
        <row r="113">
          <cell r="A113" t="str">
            <v>Empresa de Servicios Sanitarios de Los Lagos</v>
          </cell>
          <cell r="B113"/>
          <cell r="C113"/>
          <cell r="D113"/>
          <cell r="E113"/>
        </row>
        <row r="114">
          <cell r="A114" t="str">
            <v>ESVAL</v>
          </cell>
          <cell r="B114"/>
          <cell r="C114"/>
          <cell r="D114"/>
          <cell r="E114"/>
        </row>
        <row r="115">
          <cell r="A115" t="str">
            <v>Metrogas</v>
          </cell>
          <cell r="B115"/>
          <cell r="C115"/>
          <cell r="D115"/>
          <cell r="E115"/>
        </row>
        <row r="116">
          <cell r="A116" t="str">
            <v>Movistar</v>
          </cell>
          <cell r="B116"/>
          <cell r="C116"/>
          <cell r="D116"/>
          <cell r="E116"/>
        </row>
        <row r="117">
          <cell r="A117" t="str">
            <v>Aguas Nuevo Sur</v>
          </cell>
          <cell r="B117"/>
          <cell r="C117"/>
          <cell r="D117"/>
          <cell r="E117"/>
        </row>
        <row r="118">
          <cell r="A118" t="str">
            <v>INVERSIONES AYS TRES</v>
          </cell>
          <cell r="B118"/>
          <cell r="C118"/>
          <cell r="D118"/>
          <cell r="E118"/>
        </row>
        <row r="119">
          <cell r="A119" t="str">
            <v>Corpgroup Vida Chile</v>
          </cell>
          <cell r="B119"/>
          <cell r="C119"/>
          <cell r="D119"/>
          <cell r="E119"/>
        </row>
        <row r="120">
          <cell r="A120" t="str">
            <v>Empresas Copec S.A.</v>
          </cell>
          <cell r="B120"/>
          <cell r="C120"/>
          <cell r="D120"/>
          <cell r="E120"/>
        </row>
        <row r="121">
          <cell r="A121" t="str">
            <v>Distribuidora de Electrividad del Sur</v>
          </cell>
          <cell r="B121"/>
          <cell r="C121"/>
          <cell r="D121"/>
          <cell r="E121"/>
        </row>
        <row r="122">
          <cell r="A122" t="str">
            <v>Cía. General de Electricidad S.A.</v>
          </cell>
          <cell r="B122"/>
          <cell r="C122"/>
          <cell r="D122"/>
          <cell r="E122"/>
        </row>
        <row r="123">
          <cell r="A123" t="str">
            <v>ENAEX</v>
          </cell>
          <cell r="B123"/>
          <cell r="C123"/>
          <cell r="D123"/>
          <cell r="E123"/>
        </row>
        <row r="124">
          <cell r="A124" t="str">
            <v>ENDESA S.A.</v>
          </cell>
          <cell r="B124"/>
          <cell r="C124"/>
          <cell r="D124"/>
          <cell r="E124"/>
        </row>
        <row r="125">
          <cell r="A125" t="str">
            <v>LQ Inversiones Financieras</v>
          </cell>
          <cell r="B125"/>
          <cell r="C125"/>
          <cell r="D125"/>
          <cell r="E125"/>
        </row>
        <row r="126">
          <cell r="A126" t="str">
            <v>Transelec S.A.</v>
          </cell>
          <cell r="B126"/>
          <cell r="C126"/>
          <cell r="D126"/>
          <cell r="E126"/>
        </row>
        <row r="127">
          <cell r="A127" t="str">
            <v>Sociedad Matriz SAAM S.A.</v>
          </cell>
          <cell r="B127"/>
          <cell r="C127"/>
          <cell r="D127"/>
          <cell r="E127"/>
        </row>
        <row r="128">
          <cell r="A128" t="str">
            <v>Sonda S.A.</v>
          </cell>
          <cell r="B128"/>
          <cell r="C128"/>
          <cell r="D128"/>
          <cell r="E128"/>
        </row>
        <row r="129">
          <cell r="A129" t="str">
            <v>Santander Consumer Finance</v>
          </cell>
          <cell r="B129"/>
          <cell r="C129"/>
          <cell r="D129"/>
          <cell r="E129"/>
        </row>
        <row r="130">
          <cell r="A130" t="str">
            <v>BCI Securitizadora</v>
          </cell>
          <cell r="B130"/>
          <cell r="C130"/>
          <cell r="D130"/>
          <cell r="E130"/>
        </row>
        <row r="131">
          <cell r="A131" t="str">
            <v>Soc. Nac. Oleoductos</v>
          </cell>
          <cell r="B131"/>
          <cell r="C131"/>
          <cell r="D131"/>
          <cell r="E131"/>
        </row>
        <row r="132">
          <cell r="A132" t="str">
            <v>CTC S.A.</v>
          </cell>
          <cell r="B132"/>
          <cell r="C132"/>
          <cell r="D132"/>
          <cell r="E132"/>
        </row>
        <row r="133">
          <cell r="A133" t="str">
            <v>Banchile Securitizadora</v>
          </cell>
          <cell r="B133"/>
          <cell r="C133"/>
          <cell r="D133"/>
          <cell r="E133"/>
        </row>
        <row r="134">
          <cell r="A134" t="str">
            <v>Caja La Araucana</v>
          </cell>
          <cell r="B134"/>
          <cell r="C134"/>
          <cell r="D134"/>
          <cell r="E134"/>
        </row>
        <row r="135">
          <cell r="A135" t="str">
            <v>Caja Los Héroes</v>
          </cell>
          <cell r="B135"/>
          <cell r="C135"/>
          <cell r="D135"/>
          <cell r="E135"/>
        </row>
        <row r="136">
          <cell r="A136" t="str">
            <v>Salfa Corp.</v>
          </cell>
          <cell r="B136"/>
          <cell r="C136"/>
          <cell r="D136"/>
          <cell r="E136"/>
        </row>
        <row r="137">
          <cell r="A137" t="str">
            <v>Soc. Concesionaria Melipilla S.A.</v>
          </cell>
          <cell r="B137"/>
          <cell r="C137"/>
          <cell r="D137"/>
          <cell r="E137"/>
        </row>
        <row r="138">
          <cell r="A138" t="str">
            <v>Empresas Navieras S.A.</v>
          </cell>
          <cell r="B138"/>
          <cell r="C138"/>
          <cell r="D138"/>
          <cell r="E138"/>
        </row>
        <row r="139">
          <cell r="A139" t="str">
            <v>Universidad de Concepción</v>
          </cell>
          <cell r="B139"/>
          <cell r="C139"/>
          <cell r="D139"/>
          <cell r="E139"/>
        </row>
        <row r="140">
          <cell r="A140" t="str">
            <v>Tesorería General de la República</v>
          </cell>
          <cell r="B140"/>
          <cell r="C140"/>
          <cell r="D140"/>
          <cell r="E140"/>
        </row>
        <row r="141">
          <cell r="A141" t="str">
            <v>Cia Siderurgica Huachipato</v>
          </cell>
          <cell r="B141"/>
          <cell r="C141"/>
          <cell r="D141"/>
          <cell r="E141"/>
        </row>
        <row r="142">
          <cell r="A142" t="str">
            <v>Aguas Araucania</v>
          </cell>
          <cell r="B142"/>
          <cell r="C142"/>
          <cell r="D142"/>
          <cell r="E142"/>
        </row>
        <row r="143">
          <cell r="A143" t="str">
            <v>Easy</v>
          </cell>
          <cell r="B143"/>
          <cell r="C143"/>
          <cell r="D143"/>
          <cell r="E143"/>
        </row>
        <row r="144">
          <cell r="A144" t="str">
            <v>EUROCAP</v>
          </cell>
          <cell r="B144"/>
          <cell r="C144"/>
          <cell r="D144"/>
          <cell r="E144"/>
        </row>
        <row r="145">
          <cell r="A145" t="str">
            <v>Servicios Agroindustriales Subsole</v>
          </cell>
          <cell r="B145"/>
          <cell r="C145"/>
          <cell r="D145"/>
          <cell r="E145"/>
        </row>
        <row r="146">
          <cell r="A146" t="str">
            <v>Transa Securitizadora S.A.</v>
          </cell>
          <cell r="B146"/>
          <cell r="C146"/>
          <cell r="D146"/>
          <cell r="E146"/>
        </row>
        <row r="147">
          <cell r="A147" t="str">
            <v>SAESA S.A.</v>
          </cell>
          <cell r="B147"/>
          <cell r="C147"/>
          <cell r="D147"/>
          <cell r="E147"/>
        </row>
        <row r="148">
          <cell r="A148" t="str">
            <v>Embotelladora Andina S.A.</v>
          </cell>
          <cell r="B148"/>
          <cell r="C148"/>
          <cell r="D148"/>
          <cell r="E148"/>
        </row>
        <row r="149">
          <cell r="A149" t="str">
            <v>Emp. de Transporte de Pasajeros Metro S.A.</v>
          </cell>
          <cell r="B149"/>
          <cell r="C149"/>
          <cell r="D149"/>
          <cell r="E149"/>
        </row>
        <row r="150">
          <cell r="A150" t="str">
            <v>Inversiones Security Securitizadora</v>
          </cell>
          <cell r="B150"/>
          <cell r="C150"/>
          <cell r="D150"/>
          <cell r="E150"/>
        </row>
        <row r="151">
          <cell r="A151" t="str">
            <v>FALABELLA SACI</v>
          </cell>
          <cell r="B151"/>
          <cell r="C151"/>
          <cell r="D151"/>
          <cell r="E151"/>
        </row>
        <row r="152">
          <cell r="A152" t="str">
            <v>Minera Escondida</v>
          </cell>
          <cell r="B152"/>
          <cell r="C152"/>
          <cell r="D152"/>
          <cell r="E152"/>
        </row>
      </sheetData>
      <sheetData sheetId="3">
        <row r="1">
          <cell r="B1"/>
          <cell r="C1"/>
          <cell r="D1"/>
          <cell r="E1"/>
          <cell r="F1"/>
          <cell r="G1"/>
          <cell r="H1"/>
          <cell r="I1"/>
          <cell r="J1"/>
          <cell r="K1"/>
          <cell r="L1"/>
          <cell r="M1"/>
          <cell r="N1"/>
          <cell r="O1"/>
          <cell r="P1"/>
          <cell r="Q1"/>
          <cell r="R1"/>
          <cell r="S1"/>
          <cell r="T1"/>
          <cell r="U1"/>
        </row>
        <row r="2">
          <cell r="B2"/>
          <cell r="C2"/>
          <cell r="D2"/>
          <cell r="E2"/>
          <cell r="F2"/>
          <cell r="G2"/>
          <cell r="H2"/>
          <cell r="I2"/>
          <cell r="J2"/>
          <cell r="K2"/>
          <cell r="L2"/>
          <cell r="M2"/>
          <cell r="N2"/>
          <cell r="O2"/>
          <cell r="P2"/>
          <cell r="Q2"/>
          <cell r="R2"/>
          <cell r="S2"/>
          <cell r="T2"/>
          <cell r="U2"/>
        </row>
        <row r="3">
          <cell r="B3"/>
          <cell r="C3"/>
          <cell r="D3"/>
          <cell r="E3"/>
          <cell r="F3"/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</row>
        <row r="4">
          <cell r="B4"/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</row>
        <row r="5">
          <cell r="B5"/>
          <cell r="C5"/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</row>
        <row r="6">
          <cell r="B6"/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</row>
        <row r="7"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</row>
        <row r="8">
          <cell r="B8"/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</row>
        <row r="9">
          <cell r="B9"/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</row>
        <row r="12">
          <cell r="B12"/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</row>
        <row r="13">
          <cell r="B13"/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</row>
        <row r="14">
          <cell r="B14"/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</row>
        <row r="16">
          <cell r="B16"/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</row>
        <row r="18">
          <cell r="B18"/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</row>
        <row r="19">
          <cell r="B19"/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</row>
        <row r="22">
          <cell r="B22"/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</row>
        <row r="23">
          <cell r="B23"/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</row>
        <row r="24">
          <cell r="B24"/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</row>
        <row r="25"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</row>
        <row r="26">
          <cell r="B26"/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</row>
        <row r="29">
          <cell r="B29"/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</row>
        <row r="32">
          <cell r="B32"/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</row>
        <row r="33">
          <cell r="B33"/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</row>
        <row r="34">
          <cell r="B34"/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</row>
        <row r="35">
          <cell r="B35"/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</row>
        <row r="36">
          <cell r="B36"/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</row>
        <row r="37">
          <cell r="B37"/>
          <cell r="C37"/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</row>
        <row r="39"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Interpolation"/>
    </sheetNames>
    <definedNames>
      <definedName name="CERCHA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Suarez B." refreshedDate="43059.714019328705" createdVersion="6" refreshedVersion="6" minRefreshableVersion="3" recordCount="1815" xr:uid="{00000000-000A-0000-FFFF-FFFF08000000}">
  <cacheSource type="worksheet">
    <worksheetSource ref="A1:U1048576" sheet="BaseCompleta"/>
  </cacheSource>
  <cacheFields count="21">
    <cacheField name="Fecha" numFmtId="0">
      <sharedItems containsBlank="1"/>
    </cacheField>
    <cacheField name="Fondo" numFmtId="0">
      <sharedItems containsBlank="1" count="10">
        <s v="DEUDA 360"/>
        <s v="DEUDA CORP"/>
        <s v="IMT E-PLUS"/>
        <s v="LIQUIDEZ"/>
        <s v="M_MARKET"/>
        <s v="MACRO 1.5"/>
        <s v="MACRO CLP3"/>
        <s v="RENTA"/>
        <s v="SPREADCORP"/>
        <m/>
      </sharedItems>
    </cacheField>
    <cacheField name="Instrumento" numFmtId="0">
      <sharedItems containsBlank="1"/>
    </cacheField>
    <cacheField name="Emisor" numFmtId="0">
      <sharedItems containsBlank="1"/>
    </cacheField>
    <cacheField name="Valor_Presente" numFmtId="0">
      <sharedItems containsString="0" containsBlank="1" containsNumber="1" minValue="670.12810000000002" maxValue="11303125633.584101"/>
    </cacheField>
    <cacheField name="Nominal" numFmtId="0">
      <sharedItems containsString="0" containsBlank="1" containsNumber="1" minValue="0.48" maxValue="10005000000"/>
    </cacheField>
    <cacheField name="porc" numFmtId="0">
      <sharedItems containsString="0" containsBlank="1" containsNumber="1" minValue="0" maxValue="0.48696200000000001"/>
    </cacheField>
    <cacheField name="Tasa" numFmtId="0">
      <sharedItems containsString="0" containsBlank="1" containsNumber="1" minValue="-2.78" maxValue="309.26"/>
    </cacheField>
    <cacheField name="Vencimiento" numFmtId="0">
      <sharedItems containsBlank="1"/>
    </cacheField>
    <cacheField name="Dias_venc" numFmtId="0">
      <sharedItems containsString="0" containsBlank="1" containsNumber="1" containsInteger="1" minValue="-43057" maxValue="11013"/>
    </cacheField>
    <cacheField name="Duracion" numFmtId="0">
      <sharedItems containsString="0" containsBlank="1" containsNumber="1" minValue="0" maxValue="18.63"/>
    </cacheField>
    <cacheField name="precio" numFmtId="0">
      <sharedItems containsString="0" containsBlank="1" containsNumber="1" minValue="0.158225" maxValue="1068.9784"/>
    </cacheField>
    <cacheField name="Moneda" numFmtId="0">
      <sharedItems containsBlank="1"/>
    </cacheField>
    <cacheField name="Tipo_Instrumento" numFmtId="0">
      <sharedItems containsBlank="1"/>
    </cacheField>
    <cacheField name="Sector" numFmtId="0">
      <sharedItems containsBlank="1"/>
    </cacheField>
    <cacheField name="Riesgo" numFmtId="0">
      <sharedItems containsBlank="1"/>
    </cacheField>
    <cacheField name="Nombre_Emisor" numFmtId="0">
      <sharedItems containsBlank="1" count="201">
        <s v="Banco BBVA"/>
        <s v="Banco Ripley"/>
        <s v="BICE"/>
        <s v="Banco Estado"/>
        <s v="Sodimac"/>
        <s v="Banco Consorcio"/>
        <s v="Factoring Security S.A."/>
        <s v="Banco Security"/>
        <s v="Scotiabank"/>
        <s v="BCI"/>
        <s v="Banco Santander"/>
        <s v="Itau/Corpbanca"/>
        <s v="Banco Internacional"/>
        <s v="BICECORP"/>
        <s v="Cencosud S.A."/>
        <s v="Plaza S.A."/>
        <s v="Banco de Chile"/>
        <s v="Quiñenco S.A."/>
        <s v="Caja Los Andes"/>
        <s v="Sigdo Koppers S.A."/>
        <s v="Concha y Toro"/>
        <s v="Aguas Andina S.A."/>
        <s v="Santander Consumer Finance"/>
        <s v="ENAP"/>
        <s v="Banmedica"/>
        <s v="Emp. de Transporte de Pasajeros Metro S.A."/>
        <s v="Banco Edwards Citi"/>
        <s v="Embotelladora Andina S.A."/>
        <s v="Coca Cola Embonor S.A."/>
        <s v="Factorline S.A."/>
        <s v="Celulosa Arauco y Constitución"/>
        <s v="Frontel"/>
        <s v="San José Tecnocontrol"/>
        <s v="Forum Servicios Financieros S.A."/>
        <s v="Movistar"/>
        <s v="Gobierno de Chile"/>
        <s v="ENLASA S.A."/>
        <s v="Metrogas"/>
        <s v="FALABELLA SACI"/>
        <s v="BCI Securitizadora"/>
        <s v="CTC S.A."/>
        <s v="Sonda S.A."/>
        <s v="Soc. Nac. Oleoductos"/>
        <s v="Parque Arauco S.A."/>
        <s v="Banco Falabella"/>
        <s v="Tanner"/>
        <s v="Banchile Securitizadora"/>
        <s v="CAP"/>
        <s v="Fondo de Inversion Independencia Rentas Inmobiliarias"/>
        <s v="Soc. Conc. Costanera Norte S.A."/>
        <s v="Empresas Copec S.A."/>
        <s v="Consorcio Financiera"/>
        <s v="Soc. Conc. Autopista Central S.A."/>
        <s v="ESVAL"/>
        <s v="Empresa de Servicios Sanitarios de Los Lagos"/>
        <s v="Aguas Nuevo Sur"/>
        <s v="Distribuidora de Electrividad del Sur"/>
        <s v="ENDESA S.A."/>
        <s v="SQM S.A."/>
        <s v="ENAEX"/>
        <s v="Corpgroup Vida Chile"/>
        <s v="COOPEUCH"/>
        <s v="Embotelladoras Coca-Cola Polar S.A."/>
        <s v="Cía. General de Electricidad S.A."/>
        <s v="INVERSIONES AYS TRES"/>
        <s v="Empresas CMPC S.A."/>
        <s v="Sociedad Matriz SAAM S.A."/>
        <s v="Agrosuper"/>
        <s v="Transelec S.A."/>
        <s v="GNL Quintero S.A."/>
        <s v="Caja de Compensación Gabriela Mistral"/>
        <s v="La Polar S.A."/>
        <s v="Contempora"/>
        <s v="Servicios Agroindustriales Subsole"/>
        <s v="Minera Escondida"/>
        <s v="Caja Los Héroes"/>
        <s v="Compañía Siderúrgica Huachipato"/>
        <s v="Multiexport"/>
        <s v="Caja La Araucana"/>
        <s v="Banco Davivienda S.A."/>
        <s v="Empresas Carozzi S.A."/>
        <s v="Masisa"/>
        <s v="Salfa Corp."/>
        <s v="Ecopetrol S.A."/>
        <s v="SMU S.A."/>
        <s v="Mexichem"/>
        <s v="Global Bank"/>
        <s v="LATAM"/>
        <s v="Gobierno de Peru"/>
        <s v="Universidad de Concepción"/>
        <s v="Enjoy"/>
        <s v="BANCOLOMBIA"/>
        <s v="Oleoducto Central S.A."/>
        <s v="Corporación Lindley S.A."/>
        <s v="Autopista Ruta del Maipo"/>
        <s v="Empresas Navieras S.A."/>
        <s v="Soc. Concesionaria Melipilla S.A."/>
        <s v="Ripley Chile S.A."/>
        <s v="TGI S.A."/>
        <s v="Gasco"/>
        <s v="Banco BBVA Bancomer"/>
        <s v="Red Salud"/>
        <s v="Banitsmo SA"/>
        <s v="Terrafina"/>
        <s v="U.S. Government National"/>
        <s v="Multibank"/>
        <s v="Braskem Finance Ltd."/>
        <s v="Gas Natural de Lima y Callao S.A"/>
        <s v="Consorcio Transmantaro S.A."/>
        <s v="VTR"/>
        <s v="Gobierno de Mexico"/>
        <s v="Fresnillo PLC"/>
        <s v="MINSUR 6 1/4 02/07/24"/>
        <s v="Sura Asset Management"/>
        <s v="GeoPark"/>
        <s v="Soc. Conc. Vespucio Norte Express S.A."/>
        <s v="Ruta del Maipo Soc. Conc."/>
        <s v="Fibra UNO"/>
        <s v="ENTEL"/>
        <s v="Engie"/>
        <s v="Banco BBVA Colombia"/>
        <s v="Santa Rita S.A."/>
        <s v="Suzano Trading Ltd"/>
        <s v="VALEBZ 6 1/4 08/10/26"/>
        <s v="Grupo SURA"/>
        <s v="Kallpa Generacion S.A."/>
        <s v="Bono Fibria Celulosa"/>
        <s v="Petroleos Mexicanos"/>
        <s v="Sigma Alimentos S.A."/>
        <s v="Raizen"/>
        <s v="Embraer S.A."/>
        <s v="BRF Brasil"/>
        <s v="Globo"/>
        <s v="El Puerto de Liverpool"/>
        <s v="Comision Federal de Electricidad"/>
        <s v="Enersis Americas S.A."/>
        <s v="Banco Inbursa"/>
        <s v="Banco de Bogota"/>
        <s v="Gerdau Holdings"/>
        <s v="Banco General"/>
        <s v="Fenix Power Peru"/>
        <s v="Intercorp Financial Services Inc"/>
        <s v="Colbún S.A."/>
        <s v="MOLYMET"/>
        <s v="Transporte de Gas Peru"/>
        <s v="Mexico City International Airport"/>
        <s v="LAS CONDES"/>
        <s v="Sociedad de Rentas Comerciales S.A."/>
        <s v="Mexico Generadora de Energia"/>
        <s v="Security Holdings S.A."/>
        <s v="Metro de Lima"/>
        <s v="Watts"/>
        <s v="Fermaca Global"/>
        <s v="Inversiones Southwater Ltda"/>
        <s v="Celeo Redes Chile"/>
        <s v="Grupo Televisa SAB"/>
        <s v="America Movil"/>
        <s v="Banco Central de Chile"/>
        <s v="China Construction Bank"/>
        <s v="HSBC"/>
        <s v="Gobierno de Argentina"/>
        <s v="EF Securitizadora S.A."/>
        <s v="Ministerio VYU"/>
        <s v="SAESA S.A."/>
        <s v="Inversiones Security Securitizadora"/>
        <m/>
        <s v="Minera Cerro Colorado" u="1"/>
        <s v="Alpek S.A.B." u="1"/>
        <s v="SCCO 7 1/2 07/27/35" u="1"/>
        <s v="Codelco" u="1"/>
        <s v="Banco de Credito del Peru" u="1"/>
        <s v="Aguas Araucania" u="1"/>
        <s v="ESSBIO S.A." u="1"/>
        <s v="Petroleos del Peru S.A." u="1"/>
        <s v="Dólar Estados Unidos" u="1"/>
        <s v="Tesorería General de la República" u="1"/>
        <s v="Angloamerican" u="1"/>
        <s v="Sacyr" u="1"/>
        <s v="AlFA S.A.B" u="1"/>
        <s v="AES Gener S.A." u="1"/>
        <s v="Empresa de Servicios Sanitarios del Bio-Bio" u="1"/>
        <s v="Credicorp Capital" u="1"/>
        <s v="Ministerio de Obras Publicas" u="1"/>
        <s v="LQ Inversiones Financieras" u="1"/>
        <s v="Easy" u="1"/>
        <s v="BSANTM 4 1/8 11/09/22" u="1"/>
        <s v="Republica Federativa do Brasil" u="1"/>
        <s v="Fondo Mivivienda S.A." u="1"/>
        <s v="Sumitomo Mitsui" u="1"/>
        <s v="Southern Copper Corporation" u="1"/>
        <s v="Transa Securitizadora S.A." u="1"/>
        <s v="Gruma S.A.B" u="1"/>
        <s v="CMR" u="1"/>
        <s v="Nafinsa" u="1"/>
        <s v="Cia Siderurgica Huachipato" u="1"/>
        <s v="Corporacion Financiera de Desarrollo" u="1"/>
        <s v="Lomas Bayas" u="1"/>
        <s v="Gobierno del Peru" u="1"/>
        <s v="EUROCAP" u="1"/>
        <s v="Camara de Comercio de Colombia" u="1"/>
        <s v="Banco Internacional del Peru" u="1"/>
      </sharedItems>
    </cacheField>
    <cacheField name="Nombre_Instrumento" numFmtId="0">
      <sharedItems containsBlank="1"/>
    </cacheField>
    <cacheField name="0" numFmtId="0">
      <sharedItems containsString="0" containsBlank="1" containsNumber="1" minValue="0" maxValue="60118824226.568878"/>
    </cacheField>
    <cacheField name="Retorno" numFmtId="188">
      <sharedItems containsString="0" containsBlank="1" containsNumber="1" minValue="-2.1791996229185087E-4" maxValue="3.3928248784929476E-4"/>
    </cacheField>
    <cacheField name="Spread (bps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5">
  <r>
    <s v="2017-11-19"/>
    <x v="0"/>
    <s v="PAGARE NR"/>
    <s v="BBVA"/>
    <n v="299916024"/>
    <n v="300000000"/>
    <n v="1.4305999999999999E-2"/>
    <n v="2.52"/>
    <s v="2017-11-23"/>
    <n v="3"/>
    <n v="0.01"/>
    <n v="99.972008000000002"/>
    <s v="$"/>
    <s v="Deposito"/>
    <s v="Financieras"/>
    <s v="N-1+"/>
    <x v="0"/>
    <s v="Deposito Banco BBVA"/>
    <n v="2999160.24"/>
    <n v="0"/>
    <s v=""/>
  </r>
  <r>
    <s v="2017-11-19"/>
    <x v="0"/>
    <s v="PAGARE NR"/>
    <s v="RIPLEY"/>
    <n v="29989504"/>
    <n v="30000000"/>
    <n v="1.4300000000000001E-3"/>
    <n v="2.52"/>
    <s v="2017-11-24"/>
    <n v="4"/>
    <n v="0.01"/>
    <n v="99.965012999999999"/>
    <s v="$"/>
    <s v="Deposito"/>
    <s v="Financieras"/>
    <s v="N-1+"/>
    <x v="1"/>
    <s v="Deposito Banco Ripley"/>
    <n v="299895.03999999998"/>
    <n v="0"/>
    <s v=""/>
  </r>
  <r>
    <s v="2017-11-19"/>
    <x v="0"/>
    <s v="PAGARE NR"/>
    <s v="BICE"/>
    <n v="219846108"/>
    <n v="220000000"/>
    <n v="1.0487E-2"/>
    <n v="2.52"/>
    <s v="2017-11-29"/>
    <n v="9"/>
    <n v="0.03"/>
    <n v="99.930048999999997"/>
    <s v="$"/>
    <s v="Deposito"/>
    <s v="Financieras"/>
    <s v="N-1+"/>
    <x v="2"/>
    <s v="Deposito Banco Bice"/>
    <n v="6595383.2399999993"/>
    <n v="0"/>
    <s v=""/>
  </r>
  <r>
    <s v="2017-11-19"/>
    <x v="0"/>
    <s v="BEST-H1207"/>
    <s v="BBESTADO"/>
    <n v="68005230"/>
    <n v="2500"/>
    <n v="3.2439999999999999E-3"/>
    <n v="-0.08"/>
    <s v="2017-12-01"/>
    <n v="11"/>
    <n v="0.03"/>
    <n v="100.12"/>
    <s v="UF"/>
    <s v="Bono Corporativo"/>
    <s v="Financieras"/>
    <s v="AAA"/>
    <x v="3"/>
    <s v="Bono Banco Estado"/>
    <n v="2040156.9"/>
    <n v="0"/>
    <s v=""/>
  </r>
  <r>
    <s v="2017-11-19"/>
    <x v="0"/>
    <s v="BSODI-H"/>
    <s v="SODIMAC"/>
    <n v="149090863"/>
    <n v="5500"/>
    <n v="7.1120000000000003E-3"/>
    <n v="1.5"/>
    <s v="2017-12-03"/>
    <n v="13"/>
    <n v="0.04"/>
    <n v="100.06"/>
    <s v="UF"/>
    <s v="Bono Corporativo"/>
    <s v="Consumo"/>
    <s v="AA"/>
    <x v="4"/>
    <s v="Bono Sodimac"/>
    <n v="5963634.5200000005"/>
    <n v="-5.631145205479461E-6"/>
    <s v=""/>
  </r>
  <r>
    <s v="2017-11-19"/>
    <x v="0"/>
    <s v="PAGARE NR"/>
    <s v="CONSORCIO"/>
    <n v="19976561"/>
    <n v="20000000"/>
    <n v="9.5200000000000005E-4"/>
    <n v="2.64"/>
    <s v="2017-12-05"/>
    <n v="15"/>
    <n v="0.04"/>
    <n v="99.882805000000005"/>
    <s v="$"/>
    <s v="Deposito"/>
    <s v="Financieras"/>
    <s v="N-1+"/>
    <x v="5"/>
    <s v="Deposito Banco Consorcio"/>
    <n v="799062.44000000006"/>
    <n v="0"/>
    <s v=""/>
  </r>
  <r>
    <s v="2017-11-19"/>
    <x v="0"/>
    <s v="BFSEC-A"/>
    <s v="FACSECU"/>
    <n v="545472021"/>
    <n v="20000"/>
    <n v="2.6020000000000001E-2"/>
    <n v="-2.08"/>
    <s v="2017-12-15"/>
    <n v="25"/>
    <n v="7.0000000000000007E-2"/>
    <n v="100.43"/>
    <s v="UF"/>
    <s v="Bono Corporativo"/>
    <s v="Financieras"/>
    <s v="A+"/>
    <x v="6"/>
    <s v="Bono Factoring Security"/>
    <n v="38183041.470000006"/>
    <n v="0"/>
    <e v="#N/A"/>
  </r>
  <r>
    <s v="2017-11-19"/>
    <x v="0"/>
    <s v="BSECK10108"/>
    <s v="BBSECURITY"/>
    <n v="148780736"/>
    <n v="5500"/>
    <n v="7.097E-3"/>
    <n v="0.66"/>
    <s v="2018-01-01"/>
    <n v="42"/>
    <n v="0.12"/>
    <n v="100.26"/>
    <s v="UF"/>
    <s v="Bono Corporativo"/>
    <s v="Financieras"/>
    <s v="AA-"/>
    <x v="7"/>
    <s v="Bono Banco Security"/>
    <n v="17853688.32"/>
    <n v="-1.2249616438356087E-7"/>
    <s v=""/>
  </r>
  <r>
    <s v="2017-11-19"/>
    <x v="0"/>
    <s v="PAGARE NR"/>
    <s v="BBVA"/>
    <n v="99640960"/>
    <n v="100000000"/>
    <n v="4.7530000000000003E-3"/>
    <n v="2.76"/>
    <s v="2018-01-05"/>
    <n v="46"/>
    <n v="0.13"/>
    <n v="99.640960000000007"/>
    <s v="$"/>
    <s v="Deposito"/>
    <s v="Financieras"/>
    <s v="N-1+"/>
    <x v="0"/>
    <s v="Deposito Banco BBVA"/>
    <n v="12953324.800000001"/>
    <n v="0"/>
    <s v=""/>
  </r>
  <r>
    <s v="2017-11-19"/>
    <x v="0"/>
    <s v="PAGARE NR"/>
    <s v="SCOTIABANK"/>
    <n v="99618130"/>
    <n v="100000000"/>
    <n v="4.7520000000000001E-3"/>
    <n v="2.76"/>
    <s v="2018-01-08"/>
    <n v="49"/>
    <n v="0.14000000000000001"/>
    <n v="99.618129999999994"/>
    <s v="$"/>
    <s v="Deposito"/>
    <s v="Financieras"/>
    <s v="N-1+"/>
    <x v="8"/>
    <s v="Deposito Banco Scotiabank"/>
    <n v="13946538.200000001"/>
    <n v="0"/>
    <s v=""/>
  </r>
  <r>
    <s v="2017-11-19"/>
    <x v="0"/>
    <s v="PAGARE NR"/>
    <s v="SCOTIABANK"/>
    <n v="19922105"/>
    <n v="20000000"/>
    <n v="9.5E-4"/>
    <n v="2.76"/>
    <s v="2018-01-09"/>
    <n v="50"/>
    <n v="0.14000000000000001"/>
    <n v="99.610524999999996"/>
    <s v="$"/>
    <s v="Deposito"/>
    <s v="Financieras"/>
    <s v="N-1+"/>
    <x v="8"/>
    <s v="Deposito Banco Scotiabank"/>
    <n v="2789094.7"/>
    <n v="0"/>
    <s v=""/>
  </r>
  <r>
    <s v="2017-11-19"/>
    <x v="0"/>
    <s v="PAGARE NR"/>
    <s v="BBVA"/>
    <n v="29883157"/>
    <n v="30000000"/>
    <n v="1.4250000000000001E-3"/>
    <n v="2.76"/>
    <s v="2018-01-09"/>
    <n v="50"/>
    <n v="0.14000000000000001"/>
    <n v="99.610523000000001"/>
    <s v="$"/>
    <s v="Deposito"/>
    <s v="Financieras"/>
    <s v="N-1+"/>
    <x v="0"/>
    <s v="Deposito Banco BBVA"/>
    <n v="4183641.9800000004"/>
    <n v="0"/>
    <s v=""/>
  </r>
  <r>
    <s v="2017-11-19"/>
    <x v="0"/>
    <s v="PAGARE NR"/>
    <s v="BCI"/>
    <n v="199221046"/>
    <n v="200000000"/>
    <n v="9.5029999999999993E-3"/>
    <n v="2.76"/>
    <s v="2018-01-09"/>
    <n v="50"/>
    <n v="0.14000000000000001"/>
    <n v="99.610523000000001"/>
    <s v="$"/>
    <s v="Deposito"/>
    <s v="Financieras"/>
    <s v="N-1+"/>
    <x v="9"/>
    <s v="Deposito Banco BCI"/>
    <n v="27890946.440000001"/>
    <n v="0"/>
    <s v=""/>
  </r>
  <r>
    <s v="2017-11-19"/>
    <x v="0"/>
    <s v="PAGARE NR"/>
    <s v="BICE"/>
    <n v="199221046"/>
    <n v="200000000"/>
    <n v="9.5029999999999993E-3"/>
    <n v="2.76"/>
    <s v="2018-01-09"/>
    <n v="50"/>
    <n v="0.14000000000000001"/>
    <n v="99.610523000000001"/>
    <s v="$"/>
    <s v="Deposito"/>
    <s v="Financieras"/>
    <s v="N-1+"/>
    <x v="2"/>
    <s v="Deposito Banco Bice"/>
    <n v="27890946.440000001"/>
    <n v="0"/>
    <s v=""/>
  </r>
  <r>
    <s v="2017-11-19"/>
    <x v="0"/>
    <s v="PAGARE NR"/>
    <s v="BICE"/>
    <n v="59772069"/>
    <n v="60000000"/>
    <n v="2.8509999999999998E-3"/>
    <n v="2.64"/>
    <s v="2018-01-10"/>
    <n v="51"/>
    <n v="0.14000000000000001"/>
    <n v="99.620114999999998"/>
    <s v="$"/>
    <s v="Deposito"/>
    <s v="Financieras"/>
    <s v="N-1+"/>
    <x v="2"/>
    <s v="Deposito Banco Bice"/>
    <n v="8368089.6600000011"/>
    <n v="0"/>
    <s v=""/>
  </r>
  <r>
    <s v="2017-11-19"/>
    <x v="0"/>
    <s v="PAGARE NR"/>
    <s v="ESTADO"/>
    <n v="199205832"/>
    <n v="200000000"/>
    <n v="9.502E-3"/>
    <n v="2.76"/>
    <s v="2018-01-10"/>
    <n v="51"/>
    <n v="0.14000000000000001"/>
    <n v="99.602915999999993"/>
    <s v="$"/>
    <s v="Deposito"/>
    <s v="Financieras"/>
    <s v="N-1+"/>
    <x v="3"/>
    <s v="Deposito Banco Estado"/>
    <n v="27888816.480000004"/>
    <n v="0"/>
    <s v=""/>
  </r>
  <r>
    <s v="2017-11-19"/>
    <x v="0"/>
    <s v="PAGARE NR"/>
    <s v="ESTADO"/>
    <n v="869858926"/>
    <n v="873393453"/>
    <n v="4.1494000000000003E-2"/>
    <n v="2.76"/>
    <s v="2018-01-11"/>
    <n v="52"/>
    <n v="0.15"/>
    <n v="99.595310999999995"/>
    <s v="$"/>
    <s v="Deposito"/>
    <s v="Financieras"/>
    <s v="N-1+"/>
    <x v="3"/>
    <s v="Deposito Banco Estado"/>
    <n v="130478838.89999999"/>
    <n v="0"/>
    <s v=""/>
  </r>
  <r>
    <s v="2017-11-19"/>
    <x v="0"/>
    <s v="PAGARE NR"/>
    <s v="SANTANDER"/>
    <n v="47950457"/>
    <n v="48160000"/>
    <n v="2.287E-3"/>
    <n v="2.76"/>
    <s v="2018-01-15"/>
    <n v="56"/>
    <n v="0.16"/>
    <n v="99.564902000000004"/>
    <s v="$"/>
    <s v="Deposito"/>
    <s v="Financieras"/>
    <s v="N-1+"/>
    <x v="10"/>
    <s v="Deposito Banco Santander"/>
    <n v="7672073.1200000001"/>
    <n v="0"/>
    <s v=""/>
  </r>
  <r>
    <s v="2017-11-19"/>
    <x v="0"/>
    <s v="PAGARE NR"/>
    <s v="SECURITY"/>
    <n v="298512413"/>
    <n v="300000000"/>
    <n v="1.4239E-2"/>
    <n v="2.76"/>
    <s v="2018-01-23"/>
    <n v="64"/>
    <n v="0.18"/>
    <n v="99.504137"/>
    <s v="$"/>
    <s v="Deposito"/>
    <s v="Financieras"/>
    <s v="N-1+"/>
    <x v="7"/>
    <s v="Deposito Banco Security"/>
    <n v="53732234.339999996"/>
    <n v="0"/>
    <s v=""/>
  </r>
  <r>
    <s v="2017-11-19"/>
    <x v="0"/>
    <s v="PAGARE NR"/>
    <s v="SCOTIABANK"/>
    <n v="497406852"/>
    <n v="500000000"/>
    <n v="2.3727000000000002E-2"/>
    <n v="2.76"/>
    <s v="2018-01-26"/>
    <n v="67"/>
    <n v="0.19"/>
    <n v="99.481369999999998"/>
    <s v="$"/>
    <s v="Deposito"/>
    <s v="Financieras"/>
    <s v="N-1+"/>
    <x v="8"/>
    <s v="Deposito Banco Scotiabank"/>
    <n v="94507301.879999995"/>
    <n v="0"/>
    <s v=""/>
  </r>
  <r>
    <s v="2017-11-19"/>
    <x v="0"/>
    <s v="PAGARE NR"/>
    <s v="SCOTIABANK"/>
    <n v="169079643"/>
    <n v="170000000"/>
    <n v="8.0649999999999993E-3"/>
    <n v="2.76"/>
    <s v="2018-01-29"/>
    <n v="70"/>
    <n v="0.19"/>
    <n v="99.458613"/>
    <s v="$"/>
    <s v="Deposito"/>
    <s v="Financieras"/>
    <s v="N-1+"/>
    <x v="8"/>
    <s v="Deposito Banco Scotiabank"/>
    <n v="32125132.170000002"/>
    <n v="0"/>
    <s v=""/>
  </r>
  <r>
    <s v="2017-11-19"/>
    <x v="0"/>
    <s v="BSTDY30208"/>
    <s v="BBSANT-CHI"/>
    <n v="108499997"/>
    <n v="4000"/>
    <n v="5.1749999999999999E-3"/>
    <n v="1"/>
    <s v="2018-02-01"/>
    <n v="73"/>
    <n v="0.2"/>
    <n v="100.54"/>
    <s v="UF"/>
    <s v="Bono Corporativo"/>
    <s v="Financieras"/>
    <s v="AAA"/>
    <x v="10"/>
    <s v="Bono Banco Santander"/>
    <n v="21699999.400000002"/>
    <n v="-5.1976849315068017E-6"/>
    <s v=""/>
  </r>
  <r>
    <s v="2017-11-19"/>
    <x v="0"/>
    <s v="PAGARE NR"/>
    <s v="BBVA"/>
    <n v="397531330"/>
    <n v="400000000"/>
    <n v="1.8963000000000001E-2"/>
    <n v="2.76"/>
    <s v="2018-02-08"/>
    <n v="80"/>
    <n v="0.22"/>
    <n v="99.382831999999993"/>
    <s v="$"/>
    <s v="Deposito"/>
    <s v="Financieras"/>
    <s v="N-1+"/>
    <x v="0"/>
    <s v="Deposito Banco BBVA"/>
    <n v="87456892.599999994"/>
    <n v="0"/>
    <s v=""/>
  </r>
  <r>
    <s v="2017-11-19"/>
    <x v="0"/>
    <s v="PAGARE NR"/>
    <s v="SCOTIABANK"/>
    <n v="397045978"/>
    <n v="400000000"/>
    <n v="1.8939999999999999E-2"/>
    <n v="2.88"/>
    <s v="2018-02-20"/>
    <n v="92"/>
    <n v="0.25"/>
    <n v="99.261493999999999"/>
    <s v="$"/>
    <s v="Deposito"/>
    <s v="Financieras"/>
    <s v="N-1+"/>
    <x v="8"/>
    <s v="Deposito Banco Scotiabank"/>
    <n v="99261494.5"/>
    <n v="0"/>
    <s v=""/>
  </r>
  <r>
    <s v="2017-11-19"/>
    <x v="0"/>
    <s v="PAGARE NR"/>
    <s v="ITAUCORP"/>
    <n v="158742757"/>
    <n v="160000000"/>
    <n v="7.5719999999999997E-3"/>
    <n v="2.88"/>
    <s v="2018-02-26"/>
    <n v="98"/>
    <n v="0.27"/>
    <n v="99.214223000000004"/>
    <s v="$"/>
    <s v="Deposito"/>
    <s v="Financieras"/>
    <s v="N-1+"/>
    <x v="11"/>
    <s v="Deposito Banco Itaucorp"/>
    <n v="42860544.390000001"/>
    <n v="0"/>
    <s v=""/>
  </r>
  <r>
    <s v="2017-11-19"/>
    <x v="0"/>
    <s v="PAGARE NR"/>
    <s v="SECURITY"/>
    <n v="99198476"/>
    <n v="100000000"/>
    <n v="4.7320000000000001E-3"/>
    <n v="2.88"/>
    <s v="2018-02-28"/>
    <n v="100"/>
    <n v="0.28000000000000003"/>
    <n v="99.198475999999999"/>
    <s v="$"/>
    <s v="Deposito"/>
    <s v="Financieras"/>
    <s v="N-1+"/>
    <x v="7"/>
    <s v="Deposito Banco Security"/>
    <n v="27775573.280000001"/>
    <n v="0"/>
    <s v=""/>
  </r>
  <r>
    <s v="2017-11-19"/>
    <x v="0"/>
    <s v="PAGARE NR"/>
    <s v="BCI"/>
    <n v="495953023"/>
    <n v="500000000"/>
    <n v="2.3657999999999998E-2"/>
    <n v="2.88"/>
    <s v="2018-03-01"/>
    <n v="101"/>
    <n v="0.28000000000000003"/>
    <n v="99.190603999999993"/>
    <s v="$"/>
    <s v="Deposito"/>
    <s v="Financieras"/>
    <s v="N-1+"/>
    <x v="9"/>
    <s v="Deposito Banco BCI"/>
    <n v="138866846.44000003"/>
    <n v="0"/>
    <s v=""/>
  </r>
  <r>
    <s v="2017-11-19"/>
    <x v="0"/>
    <s v="PAGARE NR"/>
    <s v="BICE"/>
    <n v="247976512"/>
    <n v="250000000"/>
    <n v="1.1828999999999999E-2"/>
    <n v="2.88"/>
    <s v="2018-03-01"/>
    <n v="101"/>
    <n v="0.28000000000000003"/>
    <n v="99.190603999999993"/>
    <s v="$"/>
    <s v="Deposito"/>
    <s v="Financieras"/>
    <s v="N-1+"/>
    <x v="2"/>
    <s v="Deposito Banco Bice"/>
    <n v="69433423.359999999"/>
    <n v="0"/>
    <s v=""/>
  </r>
  <r>
    <s v="2017-11-19"/>
    <x v="0"/>
    <s v="PAGARE NR"/>
    <s v="BCI"/>
    <n v="198271076"/>
    <n v="200000000"/>
    <n v="9.4579999999999994E-3"/>
    <n v="2.88"/>
    <s v="2018-03-08"/>
    <n v="108"/>
    <n v="0.3"/>
    <n v="99.135537999999997"/>
    <s v="$"/>
    <s v="Deposito"/>
    <s v="Financieras"/>
    <s v="N-1+"/>
    <x v="9"/>
    <s v="Deposito Banco BCI"/>
    <n v="59481322.799999997"/>
    <n v="0"/>
    <s v=""/>
  </r>
  <r>
    <s v="2017-11-19"/>
    <x v="0"/>
    <s v="PAGARE NR"/>
    <s v="BCI"/>
    <n v="274583663"/>
    <n v="277000000"/>
    <n v="1.3098E-2"/>
    <n v="2.88"/>
    <s v="2018-03-09"/>
    <n v="109"/>
    <n v="0.3"/>
    <n v="99.127675999999994"/>
    <s v="$"/>
    <s v="Deposito"/>
    <s v="Financieras"/>
    <s v="N-1+"/>
    <x v="9"/>
    <s v="Deposito Banco BCI"/>
    <n v="82375098.899999991"/>
    <n v="0"/>
    <s v=""/>
  </r>
  <r>
    <s v="2017-11-19"/>
    <x v="0"/>
    <s v="PAGARE NR"/>
    <s v="BBVA"/>
    <n v="495441934"/>
    <n v="500000000"/>
    <n v="2.3633999999999999E-2"/>
    <n v="2.88"/>
    <s v="2018-03-14"/>
    <n v="114"/>
    <n v="0.32"/>
    <n v="99.088386"/>
    <s v="$"/>
    <s v="Deposito"/>
    <s v="Financieras"/>
    <s v="N-1+"/>
    <x v="0"/>
    <s v="Deposito Banco BBVA"/>
    <n v="158541418.88"/>
    <n v="0"/>
    <s v=""/>
  </r>
  <r>
    <s v="2017-11-19"/>
    <x v="0"/>
    <s v="PAGARE NR"/>
    <s v="ITAUCORP"/>
    <n v="193222354"/>
    <n v="195000000"/>
    <n v="9.2169999999999995E-3"/>
    <n v="2.88"/>
    <s v="2018-03-14"/>
    <n v="114"/>
    <n v="0.32"/>
    <n v="99.088386"/>
    <s v="$"/>
    <s v="Deposito"/>
    <s v="Financieras"/>
    <s v="N-1+"/>
    <x v="11"/>
    <s v="Deposito Banco Itaucorp"/>
    <n v="61831153.280000001"/>
    <n v="0"/>
    <s v=""/>
  </r>
  <r>
    <s v="2017-11-19"/>
    <x v="0"/>
    <s v="PAGARE NR"/>
    <s v="INTERNACIO"/>
    <n v="387734214"/>
    <n v="391450000"/>
    <n v="1.8495999999999999E-2"/>
    <n v="3"/>
    <s v="2018-03-14"/>
    <n v="114"/>
    <n v="0.32"/>
    <n v="99.050763000000003"/>
    <s v="$"/>
    <s v="Deposito"/>
    <s v="Financieras"/>
    <s v="N-1"/>
    <x v="12"/>
    <s v="Deposito Banco Internacio"/>
    <n v="124074948.48"/>
    <n v="0"/>
    <s v=""/>
  </r>
  <r>
    <s v="2017-11-19"/>
    <x v="0"/>
    <s v="PAGARE NR"/>
    <s v="ITAUCORP"/>
    <n v="483616764"/>
    <n v="488259485"/>
    <n v="2.3068999999999999E-2"/>
    <n v="2.88"/>
    <s v="2018-03-19"/>
    <n v="119"/>
    <n v="0.33"/>
    <n v="99.049127999999996"/>
    <s v="$"/>
    <s v="Deposito"/>
    <s v="Financieras"/>
    <s v="N-1+"/>
    <x v="11"/>
    <s v="Deposito Banco Itaucorp"/>
    <n v="159593532.12"/>
    <n v="0"/>
    <s v=""/>
  </r>
  <r>
    <s v="2017-11-19"/>
    <x v="0"/>
    <s v="PAGARE NR"/>
    <s v="SCOTIABANK"/>
    <n v="198098257"/>
    <n v="200000000"/>
    <n v="9.4490000000000008E-3"/>
    <n v="2.88"/>
    <s v="2018-03-19"/>
    <n v="119"/>
    <n v="0.33"/>
    <n v="99.049127999999996"/>
    <s v="$"/>
    <s v="Deposito"/>
    <s v="Financieras"/>
    <s v="N-1+"/>
    <x v="8"/>
    <s v="Deposito Banco Scotiabank"/>
    <n v="65372424.810000002"/>
    <n v="0"/>
    <s v=""/>
  </r>
  <r>
    <s v="2017-11-19"/>
    <x v="0"/>
    <s v="PAGARE NR"/>
    <s v="RIPLEY"/>
    <n v="197941409"/>
    <n v="200000000"/>
    <n v="9.4420000000000007E-3"/>
    <n v="3.12"/>
    <s v="2018-03-19"/>
    <n v="119"/>
    <n v="0.33"/>
    <n v="98.970703999999998"/>
    <s v="$"/>
    <s v="Deposito"/>
    <s v="Financieras"/>
    <s v="N-1+"/>
    <x v="1"/>
    <s v="Deposito Banco Ripley"/>
    <n v="65320664.970000006"/>
    <n v="0"/>
    <s v=""/>
  </r>
  <r>
    <s v="2017-11-19"/>
    <x v="0"/>
    <s v="PAGARE NR"/>
    <s v="ITAU"/>
    <n v="158428390"/>
    <n v="160000000"/>
    <n v="7.5570000000000003E-3"/>
    <n v="2.88"/>
    <s v="2018-03-23"/>
    <n v="123"/>
    <n v="0.34"/>
    <n v="99.017742999999996"/>
    <s v="$"/>
    <s v="Deposito"/>
    <s v="Financieras"/>
    <s v="N-1+"/>
    <x v="11"/>
    <s v="Deposito Banco Itau"/>
    <n v="53865652.600000001"/>
    <n v="0"/>
    <s v=""/>
  </r>
  <r>
    <s v="2017-11-19"/>
    <x v="0"/>
    <s v="BBNS-P0413"/>
    <s v="BBSCOTIABA"/>
    <n v="27040863"/>
    <n v="1000"/>
    <n v="1.289E-3"/>
    <n v="1"/>
    <s v="2018-04-01"/>
    <n v="132"/>
    <n v="0.36"/>
    <n v="100.9"/>
    <s v="UF"/>
    <s v="Bono Corporativo"/>
    <s v="Financieras"/>
    <s v="AAA"/>
    <x v="8"/>
    <s v="Bono Scotiabank"/>
    <n v="9734710.6799999997"/>
    <n v="4.3225643835616394E-7"/>
    <s v=""/>
  </r>
  <r>
    <s v="2017-11-19"/>
    <x v="0"/>
    <s v="BBBVJ40413"/>
    <s v="BBBVA"/>
    <n v="175157105"/>
    <n v="6500"/>
    <n v="8.3549999999999996E-3"/>
    <n v="1.24"/>
    <s v="2018-04-01"/>
    <n v="132"/>
    <n v="0.36"/>
    <n v="100.63"/>
    <s v="UF"/>
    <s v="Bono Corporativo"/>
    <s v="Financieras"/>
    <s v="AA"/>
    <x v="0"/>
    <s v="Bono Banco BBVA"/>
    <n v="63056557.799999997"/>
    <n v="-3.1520095890410841E-6"/>
    <s v=""/>
  </r>
  <r>
    <s v="2017-11-19"/>
    <x v="0"/>
    <s v="PAGARE NR"/>
    <s v="INTERNACIO"/>
    <n v="395582660"/>
    <n v="400000000"/>
    <n v="1.8870000000000001E-2"/>
    <n v="3"/>
    <s v="2018-04-02"/>
    <n v="133"/>
    <n v="0.37"/>
    <n v="98.895664999999994"/>
    <s v="$"/>
    <s v="Deposito"/>
    <s v="Financieras"/>
    <s v="N-1"/>
    <x v="12"/>
    <s v="Deposito Banco Internacio"/>
    <n v="146365584.19999999"/>
    <n v="0"/>
    <s v=""/>
  </r>
  <r>
    <s v="2017-11-19"/>
    <x v="0"/>
    <s v="PAGARE NR"/>
    <s v="SECURITY"/>
    <n v="494618550"/>
    <n v="500000000"/>
    <n v="2.3594E-2"/>
    <n v="2.88"/>
    <s v="2018-04-04"/>
    <n v="135"/>
    <n v="0.37"/>
    <n v="98.92371"/>
    <s v="$"/>
    <s v="Deposito"/>
    <s v="Financieras"/>
    <s v="N-1+"/>
    <x v="7"/>
    <s v="Deposito Banco Security"/>
    <n v="183008863.5"/>
    <n v="0"/>
    <s v=""/>
  </r>
  <r>
    <s v="2017-11-19"/>
    <x v="0"/>
    <s v="BBBVM21011"/>
    <s v="BBBVA"/>
    <n v="26924443"/>
    <n v="1000"/>
    <n v="1.284E-3"/>
    <n v="1.4"/>
    <s v="2018-04-09"/>
    <n v="140"/>
    <n v="0.38"/>
    <n v="100.61"/>
    <s v="UF"/>
    <s v="Bono Corporativo"/>
    <s v="Financieras"/>
    <s v="AA"/>
    <x v="0"/>
    <s v="Bono Banco BBVA"/>
    <n v="10231288.34"/>
    <n v="5.6636712328766052E-8"/>
    <s v=""/>
  </r>
  <r>
    <s v="2017-11-19"/>
    <x v="0"/>
    <s v="PAGARE NR"/>
    <s v="CONSORCIO"/>
    <n v="217306844"/>
    <n v="220000000"/>
    <n v="1.0366E-2"/>
    <n v="3.12"/>
    <s v="2018-04-11"/>
    <n v="142"/>
    <n v="0.39"/>
    <n v="98.775837999999993"/>
    <s v="$"/>
    <s v="Deposito"/>
    <s v="Financieras"/>
    <s v="N-1+"/>
    <x v="5"/>
    <s v="Deposito Banco Consorcio"/>
    <n v="84749669.159999996"/>
    <n v="0"/>
    <s v=""/>
  </r>
  <r>
    <s v="2017-11-19"/>
    <x v="0"/>
    <s v="PAGARE NR"/>
    <s v="ESTADO"/>
    <n v="428009332"/>
    <n v="432940000"/>
    <n v="2.0417000000000001E-2"/>
    <n v="2.88"/>
    <s v="2018-04-12"/>
    <n v="143"/>
    <n v="0.39"/>
    <n v="98.861119000000002"/>
    <s v="$"/>
    <s v="Deposito"/>
    <s v="Financieras"/>
    <s v="N-1+"/>
    <x v="3"/>
    <s v="Deposito Banco Estado"/>
    <n v="166923639.48000002"/>
    <n v="0"/>
    <s v=""/>
  </r>
  <r>
    <s v="2017-11-19"/>
    <x v="0"/>
    <s v="PAGARE NR"/>
    <s v="BICECORP"/>
    <n v="98758929"/>
    <n v="100000000"/>
    <n v="4.7109999999999999E-3"/>
    <n v="3.12"/>
    <s v="2018-04-13"/>
    <n v="144"/>
    <n v="0.4"/>
    <n v="98.758928999999995"/>
    <s v="$"/>
    <s v="Deposito"/>
    <s v="Financieras"/>
    <s v="N-1+"/>
    <x v="13"/>
    <s v="Deposito Banco Bice"/>
    <n v="39503571.600000001"/>
    <n v="0"/>
    <s v=""/>
  </r>
  <r>
    <s v="2017-11-19"/>
    <x v="0"/>
    <s v="BBECP-B"/>
    <s v="BICECORP"/>
    <n v="132883046"/>
    <n v="520000000"/>
    <n v="6.3379999999999999E-3"/>
    <n v="3.39"/>
    <s v="2018-07-15"/>
    <n v="237"/>
    <n v="0.4"/>
    <n v="100.55"/>
    <s v="$"/>
    <s v="Bono Corporativo"/>
    <s v="Financieras"/>
    <s v="AA"/>
    <x v="13"/>
    <s v="Bono Bice B"/>
    <n v="53153218.400000006"/>
    <n v="0"/>
    <s v=""/>
  </r>
  <r>
    <s v="2017-11-19"/>
    <x v="0"/>
    <s v="PAGARE NR"/>
    <s v="INTERNACIO"/>
    <n v="197450259"/>
    <n v="200000000"/>
    <n v="9.4179999999999993E-3"/>
    <n v="3.12"/>
    <s v="2018-04-17"/>
    <n v="148"/>
    <n v="0.41"/>
    <n v="98.725128999999995"/>
    <s v="$"/>
    <s v="Deposito"/>
    <s v="Financieras"/>
    <s v="N-1"/>
    <x v="12"/>
    <s v="Deposito Banco Internacio"/>
    <n v="80954606.189999998"/>
    <n v="0"/>
    <s v=""/>
  </r>
  <r>
    <s v="2017-11-19"/>
    <x v="0"/>
    <s v="BCENC-E"/>
    <s v="CENCOSUD"/>
    <n v="296109079"/>
    <n v="11000"/>
    <n v="1.4125E-2"/>
    <n v="1.75"/>
    <s v="2018-05-07"/>
    <n v="168"/>
    <n v="0.46"/>
    <n v="100.8"/>
    <s v="UF"/>
    <s v="Bono Corporativo"/>
    <s v="Consumo"/>
    <s v="AA-"/>
    <x v="14"/>
    <s v="Bono Cencosud S.A."/>
    <n v="136210176.34"/>
    <n v="1.4390720596033527E-6"/>
    <s v=""/>
  </r>
  <r>
    <s v="2017-11-19"/>
    <x v="0"/>
    <s v="PAGARE NR"/>
    <s v="CONSORCIO"/>
    <n v="984303638"/>
    <n v="1000000000"/>
    <n v="4.6954000000000003E-2"/>
    <n v="3.12"/>
    <s v="2018-05-22"/>
    <n v="183"/>
    <n v="0.5"/>
    <n v="98.430363"/>
    <s v="$"/>
    <s v="Deposito"/>
    <s v="Financieras"/>
    <s v="N-1+"/>
    <x v="5"/>
    <s v="Deposito Banco Consorcio"/>
    <n v="492151819"/>
    <n v="0"/>
    <s v=""/>
  </r>
  <r>
    <s v="2017-11-19"/>
    <x v="0"/>
    <s v="PAGARE NR"/>
    <s v="ESTADO"/>
    <n v="344686089"/>
    <n v="350000000"/>
    <n v="1.6441999999999998E-2"/>
    <n v="3"/>
    <s v="2018-05-23"/>
    <n v="184"/>
    <n v="0.51"/>
    <n v="98.481739000000005"/>
    <s v="$"/>
    <s v="Deposito"/>
    <s v="Financieras"/>
    <s v="N-1+"/>
    <x v="3"/>
    <s v="Deposito Banco Estado"/>
    <n v="175789905.39000002"/>
    <n v="0"/>
    <s v=""/>
  </r>
  <r>
    <s v="2017-11-19"/>
    <x v="0"/>
    <s v="BPLZA-I"/>
    <s v="PLAZA S.A."/>
    <n v="18308784"/>
    <n v="2000"/>
    <n v="8.7299999999999997E-4"/>
    <n v="0.95"/>
    <s v="2018-05-30"/>
    <n v="191"/>
    <n v="0.51"/>
    <n v="101.29"/>
    <s v="UF"/>
    <s v="Bono Corporativo"/>
    <s v="Consumo"/>
    <s v="AA"/>
    <x v="15"/>
    <s v="Bono Plaza S.A."/>
    <n v="9337479.8399999999"/>
    <n v="0"/>
    <e v="#N/A"/>
  </r>
  <r>
    <s v="2017-11-19"/>
    <x v="0"/>
    <s v="BITAAA0613"/>
    <s v="BBITAU"/>
    <n v="73399183"/>
    <n v="70000000"/>
    <n v="3.5010000000000002E-3"/>
    <n v="3.24"/>
    <s v="2018-06-01"/>
    <n v="193"/>
    <n v="0.51"/>
    <n v="101.71"/>
    <s v="$"/>
    <s v="Bono Corporativo"/>
    <s v="Financieras"/>
    <s v="AA"/>
    <x v="11"/>
    <s v="Bono Banco Itaucorp"/>
    <n v="37433583.329999998"/>
    <n v="0"/>
    <s v=""/>
  </r>
  <r>
    <s v="2017-11-19"/>
    <x v="0"/>
    <s v="BBNS-R0613"/>
    <s v="BBSCOTIABA"/>
    <n v="27467263"/>
    <n v="1000"/>
    <n v="1.31E-3"/>
    <n v="0.97"/>
    <s v="2018-06-01"/>
    <n v="193"/>
    <n v="0.52"/>
    <n v="101.31"/>
    <s v="UF"/>
    <s v="Bono Corporativo"/>
    <s v="Financieras"/>
    <s v="AAA"/>
    <x v="8"/>
    <s v="Bono Scotiabank"/>
    <n v="14282976.76"/>
    <n v="0"/>
    <s v=""/>
  </r>
  <r>
    <s v="2017-11-19"/>
    <x v="0"/>
    <s v="BCHIUI0611"/>
    <s v="BBCHILE"/>
    <n v="219061908"/>
    <n v="8000"/>
    <n v="1.0449E-2"/>
    <n v="0.96"/>
    <s v="2018-06-01"/>
    <n v="193"/>
    <n v="0.52"/>
    <n v="101.15"/>
    <s v="UF"/>
    <s v="Bono Corporativo"/>
    <s v="Financieras"/>
    <s v="AAA"/>
    <x v="16"/>
    <s v="Bono Banco Chile"/>
    <n v="113912192.16000001"/>
    <n v="6.0453222875368495E-7"/>
    <e v="#N/A"/>
  </r>
  <r>
    <s v="2017-11-19"/>
    <x v="0"/>
    <s v="BQUIN-G"/>
    <s v="QUINENCO"/>
    <n v="44555268"/>
    <n v="4000"/>
    <n v="2.1250000000000002E-3"/>
    <n v="1.55"/>
    <s v="2018-12-01"/>
    <n v="376"/>
    <n v="0.52"/>
    <n v="100.99"/>
    <s v="UF"/>
    <s v="Bono Corporativo"/>
    <s v="Diversificados"/>
    <s v="AA"/>
    <x v="17"/>
    <s v="Bono Quinenco"/>
    <n v="23168739.359999999"/>
    <n v="1.9515774382756501E-6"/>
    <s v=""/>
  </r>
  <r>
    <s v="2017-11-19"/>
    <x v="0"/>
    <s v="BCNO-C0613"/>
    <s v="BBCONSORC"/>
    <n v="41118164"/>
    <n v="1500"/>
    <n v="1.9610000000000001E-3"/>
    <n v="1.55"/>
    <s v="2018-06-15"/>
    <n v="207"/>
    <n v="0.56000000000000005"/>
    <n v="101.18"/>
    <s v="UF"/>
    <s v="Bono Corporativo"/>
    <s v="Financieras"/>
    <s v="AA-"/>
    <x v="5"/>
    <s v="Bono Banco Consorcio"/>
    <n v="23026171.840000004"/>
    <n v="4.8299877860513409E-7"/>
    <s v=""/>
  </r>
  <r>
    <s v="2017-11-19"/>
    <x v="0"/>
    <s v="BCAJ-I0315"/>
    <s v="LOS ANDES"/>
    <n v="304530918"/>
    <n v="750000000"/>
    <n v="1.4527E-2"/>
    <n v="4.1100000000000003"/>
    <s v="2018-09-15"/>
    <n v="299"/>
    <n v="0.56000000000000005"/>
    <n v="100.6"/>
    <s v="$"/>
    <s v="Bono Corporativo"/>
    <s v="Financieras"/>
    <s v="AA-"/>
    <x v="18"/>
    <s v="Bono Caja Los Andes"/>
    <n v="170537314.08000001"/>
    <n v="0"/>
    <s v=""/>
  </r>
  <r>
    <s v="2017-11-19"/>
    <x v="0"/>
    <s v="BSKSA-B"/>
    <s v="SK"/>
    <n v="8192795"/>
    <n v="1500"/>
    <n v="3.8999999999999999E-4"/>
    <n v="1.7"/>
    <s v="2018-09-15"/>
    <n v="299"/>
    <n v="0.56000000000000005"/>
    <n v="101.58"/>
    <s v="UF"/>
    <s v="Bono Corporativo"/>
    <s v="Industriales"/>
    <s v="A+"/>
    <x v="19"/>
    <s v="Bono Sk"/>
    <n v="4587965.2"/>
    <n v="4.8384612790256377E-8"/>
    <s v=""/>
  </r>
  <r>
    <s v="2017-11-19"/>
    <x v="0"/>
    <s v="BSTDE20111"/>
    <s v="BBSANT-CHI"/>
    <n v="219308389"/>
    <n v="8000"/>
    <n v="1.0461E-2"/>
    <n v="1.1599999999999999"/>
    <s v="2018-07-01"/>
    <n v="223"/>
    <n v="0.6"/>
    <n v="101.41"/>
    <s v="UF"/>
    <s v="Bono Corporativo"/>
    <s v="Financieras"/>
    <s v="AAA"/>
    <x v="10"/>
    <s v="Bono Banco Santander"/>
    <n v="131585033.39999999"/>
    <n v="2.7618635572518517E-6"/>
    <s v=""/>
  </r>
  <r>
    <s v="2017-11-19"/>
    <x v="0"/>
    <s v="BCHIAI0213"/>
    <s v="BBCHILE"/>
    <n v="164178269"/>
    <n v="6000"/>
    <n v="7.8309999999999994E-3"/>
    <n v="1.1000000000000001"/>
    <s v="2018-08-01"/>
    <n v="254"/>
    <n v="0.69"/>
    <n v="101.56"/>
    <s v="UF"/>
    <s v="Bono Corporativo"/>
    <s v="Financieras"/>
    <s v="AAA"/>
    <x v="16"/>
    <s v="Bono Banco Chile"/>
    <n v="113283005.60999998"/>
    <n v="1.7508381415110398E-6"/>
    <s v=""/>
  </r>
  <r>
    <s v="2017-11-19"/>
    <x v="0"/>
    <s v="BCTOR-F"/>
    <s v="CONCHATORO"/>
    <n v="202792214"/>
    <n v="22500"/>
    <n v="9.6729999999999993E-3"/>
    <n v="1.72"/>
    <s v="2018-11-05"/>
    <n v="350"/>
    <n v="0.7"/>
    <n v="101.23"/>
    <s v="UF"/>
    <s v="Bono Corporativo"/>
    <s v="Consumo"/>
    <s v="AA-"/>
    <x v="20"/>
    <s v="Bono Concha Y Toro"/>
    <n v="141954549.79999998"/>
    <n v="9.782162750566831E-7"/>
    <s v=""/>
  </r>
  <r>
    <s v="2017-11-19"/>
    <x v="0"/>
    <s v="BCAJ-J1215"/>
    <s v="LOS ANDES"/>
    <n v="54744514"/>
    <n v="2500"/>
    <n v="2.611E-3"/>
    <n v="2.57"/>
    <s v="2019-06-01"/>
    <n v="558"/>
    <n v="0.76"/>
    <n v="100.87"/>
    <s v="UF"/>
    <s v="Bono Corporativo"/>
    <s v="Financieras"/>
    <s v="AA-"/>
    <x v="18"/>
    <s v="Bono Caja Los Andes"/>
    <n v="41605830.640000001"/>
    <n v="6.4010603760427415E-7"/>
    <s v=""/>
  </r>
  <r>
    <s v="2017-11-19"/>
    <x v="0"/>
    <s v="BESTJ31008"/>
    <s v="BBESTADO"/>
    <n v="136485171"/>
    <n v="5000"/>
    <n v="6.5100000000000002E-3"/>
    <n v="1.29"/>
    <s v="2018-10-01"/>
    <n v="315"/>
    <n v="0.85"/>
    <n v="101.86"/>
    <s v="UF"/>
    <s v="Bono Corporativo"/>
    <s v="Financieras"/>
    <s v="AAA"/>
    <x v="3"/>
    <s v="Bono Banco Estado"/>
    <n v="116012395.34999999"/>
    <n v="-5.9375061818587953E-7"/>
    <s v=""/>
  </r>
  <r>
    <s v="2017-11-19"/>
    <x v="0"/>
    <s v="BAGUA-R"/>
    <s v="AGUAS"/>
    <n v="36140084"/>
    <n v="4000"/>
    <n v="1.7229999999999999E-3"/>
    <n v="1.9"/>
    <s v="2019-04-01"/>
    <n v="497"/>
    <n v="0.85"/>
    <n v="101.17"/>
    <s v="UF"/>
    <s v="Bono Corporativo"/>
    <s v="Servicios Basicos"/>
    <s v="AA+"/>
    <x v="21"/>
    <s v="Bono Aguas Andinas"/>
    <n v="30719071.399999999"/>
    <n v="3.1393699525746342E-7"/>
    <s v=""/>
  </r>
  <r>
    <s v="2017-11-19"/>
    <x v="0"/>
    <s v="BCHIUN1011"/>
    <s v="BBCHILE"/>
    <n v="272354816"/>
    <n v="10000"/>
    <n v="1.2992E-2"/>
    <n v="1.21"/>
    <s v="2018-10-01"/>
    <n v="315"/>
    <n v="0.86"/>
    <n v="101.68"/>
    <s v="UF"/>
    <s v="Bono Corporativo"/>
    <s v="Financieras"/>
    <s v="AAA"/>
    <x v="16"/>
    <s v="Bono Banco Chile"/>
    <n v="234225141.75999999"/>
    <n v="0"/>
    <s v=""/>
  </r>
  <r>
    <s v="2017-11-19"/>
    <x v="0"/>
    <s v="BSECM10109"/>
    <s v="BBSECURITY"/>
    <n v="52917219"/>
    <n v="9000"/>
    <n v="2.5240000000000002E-3"/>
    <n v="1.46"/>
    <s v="2019-07-01"/>
    <n v="588"/>
    <n v="0.86"/>
    <n v="101.29"/>
    <s v="UF"/>
    <s v="Bono Corporativo"/>
    <s v="Financieras"/>
    <s v="AA-"/>
    <x v="7"/>
    <s v="Bono Banco Security"/>
    <n v="45508808.339999996"/>
    <n v="4.6187387112044428E-7"/>
    <s v=""/>
  </r>
  <r>
    <s v="2017-11-19"/>
    <x v="0"/>
    <s v="BSCCH-B"/>
    <s v="SCCH"/>
    <n v="213117400"/>
    <n v="210000000"/>
    <n v="1.0166E-2"/>
    <n v="3.71"/>
    <s v="2018-10-15"/>
    <n v="329"/>
    <n v="0.89"/>
    <n v="101.02"/>
    <s v="$"/>
    <s v="Bono Corporativo"/>
    <s v="Financieras"/>
    <s v="AAA"/>
    <x v="22"/>
    <s v="Bono Banco Santander Consumer Finance"/>
    <n v="189674486"/>
    <n v="-9.6284399061817738E-7"/>
    <s v=""/>
  </r>
  <r>
    <s v="2017-11-19"/>
    <x v="0"/>
    <s v="BESTJ50109"/>
    <s v="BBESTADO"/>
    <n v="415290054"/>
    <n v="15000"/>
    <n v="1.9810000000000001E-2"/>
    <n v="1.24"/>
    <s v="2019-01-01"/>
    <n v="407"/>
    <n v="1.0900000000000001"/>
    <n v="102.42"/>
    <s v="UF"/>
    <s v="Bono Corporativo"/>
    <s v="Financieras"/>
    <s v="AAA"/>
    <x v="3"/>
    <s v="Bono Banco Estado"/>
    <n v="452666158.86000001"/>
    <n v="0"/>
    <s v=""/>
  </r>
  <r>
    <s v="2017-11-19"/>
    <x v="0"/>
    <s v="BESTK30114"/>
    <s v="BBESTADO"/>
    <n v="110466914"/>
    <n v="4000"/>
    <n v="5.2690000000000002E-3"/>
    <n v="1.21"/>
    <s v="2019-01-01"/>
    <n v="407"/>
    <n v="1.0900000000000001"/>
    <n v="102.24"/>
    <s v="UF"/>
    <s v="Bono Corporativo"/>
    <s v="Financieras"/>
    <s v="AAA"/>
    <x v="3"/>
    <s v="Bono Banco Estado"/>
    <n v="120408936.26000001"/>
    <n v="6.0528700540371393E-7"/>
    <s v=""/>
  </r>
  <r>
    <s v="2017-11-19"/>
    <x v="0"/>
    <s v="BENAP-B"/>
    <s v="ENAP"/>
    <n v="280035070"/>
    <n v="10000"/>
    <n v="1.3358E-2"/>
    <n v="1.5"/>
    <s v="2019-01-12"/>
    <n v="418"/>
    <n v="1.1100000000000001"/>
    <n v="103.33"/>
    <s v="UF"/>
    <s v="Bono Corporativo"/>
    <s v="Energia"/>
    <s v="AA+"/>
    <x v="23"/>
    <s v="Bonos Enap"/>
    <n v="310838927.70000005"/>
    <n v="3.1272784150932391E-6"/>
    <s v=""/>
  </r>
  <r>
    <s v="2017-11-19"/>
    <x v="0"/>
    <s v="BCAJ-O0816"/>
    <s v="LOS ANDES"/>
    <n v="51467947"/>
    <n v="50000000"/>
    <n v="2.4550000000000002E-3"/>
    <n v="4.32"/>
    <s v="2020-02-01"/>
    <n v="803"/>
    <n v="1.1499999999999999"/>
    <n v="101.29"/>
    <s v="$"/>
    <s v="Bono Corporativo"/>
    <s v="Financieras"/>
    <s v="AA-"/>
    <x v="18"/>
    <s v="Bono Caja Los Andes"/>
    <n v="59188139.049999997"/>
    <n v="0"/>
    <s v=""/>
  </r>
  <r>
    <s v="2017-11-19"/>
    <x v="0"/>
    <s v="BBIC580314"/>
    <s v="BBICE"/>
    <n v="274059592"/>
    <n v="10000"/>
    <n v="1.3073E-2"/>
    <n v="1.35"/>
    <s v="2019-03-01"/>
    <n v="466"/>
    <n v="1.26"/>
    <n v="102.09"/>
    <s v="UF"/>
    <s v="Bono Corporativo"/>
    <s v="Financieras"/>
    <s v="AA"/>
    <x v="2"/>
    <s v="Bono Banco Bice"/>
    <n v="345315085.92000002"/>
    <n v="-1.7157646867690863E-5"/>
    <e v="#N/A"/>
  </r>
  <r>
    <s v="2017-11-19"/>
    <x v="0"/>
    <s v="BBANM-I"/>
    <s v="BANMEDICA"/>
    <n v="120534247"/>
    <n v="150000000"/>
    <n v="5.7489999999999998E-3"/>
    <n v="4.0599999999999996"/>
    <s v="2020-04-10"/>
    <n v="872"/>
    <n v="1.32"/>
    <n v="103.09"/>
    <s v="$"/>
    <s v="Bono Corporativo"/>
    <s v="Salud"/>
    <s v="AA-"/>
    <x v="24"/>
    <s v="Bono Banmedica"/>
    <n v="159105206.04000002"/>
    <n v="0"/>
    <s v=""/>
  </r>
  <r>
    <s v="2017-11-19"/>
    <x v="0"/>
    <s v="BCNO-H0414"/>
    <s v="BBCONSORC"/>
    <n v="54553238"/>
    <n v="2000"/>
    <n v="2.6020000000000001E-3"/>
    <n v="1.6"/>
    <s v="2019-04-01"/>
    <n v="497"/>
    <n v="1.34"/>
    <n v="101.85"/>
    <s v="UF"/>
    <s v="Bono Corporativo"/>
    <s v="Financieras"/>
    <s v="AA-"/>
    <x v="5"/>
    <s v="Bono Banco Consorcio"/>
    <n v="73101338.920000002"/>
    <n v="0"/>
    <s v=""/>
  </r>
  <r>
    <s v="2017-11-19"/>
    <x v="0"/>
    <s v="BBNS-U0414"/>
    <s v="BBSCOTIABA"/>
    <n v="81976866"/>
    <n v="3000"/>
    <n v="3.9100000000000003E-3"/>
    <n v="1.49"/>
    <s v="2019-04-01"/>
    <n v="497"/>
    <n v="1.34"/>
    <n v="102.03"/>
    <s v="UF"/>
    <s v="Bono Corporativo"/>
    <s v="Financieras"/>
    <s v="AAA"/>
    <x v="8"/>
    <s v="Bono Scotiabank"/>
    <n v="109849000.44000001"/>
    <n v="0"/>
    <e v="#N/A"/>
  </r>
  <r>
    <s v="2017-11-19"/>
    <x v="0"/>
    <s v="BRPL-A0414"/>
    <s v="BBRIPLEY"/>
    <n v="68615515"/>
    <n v="2500"/>
    <n v="3.2729999999999999E-3"/>
    <n v="1.56"/>
    <s v="2019-04-01"/>
    <n v="497"/>
    <n v="1.34"/>
    <n v="102.43"/>
    <s v="UF"/>
    <s v="Bono Corporativo"/>
    <s v="Financieras"/>
    <s v="A+"/>
    <x v="1"/>
    <s v="Bono Bancario Ripley"/>
    <n v="91944790.100000009"/>
    <n v="9.1300304386341521E-7"/>
    <s v=""/>
  </r>
  <r>
    <s v="2017-11-19"/>
    <x v="0"/>
    <s v="BMETR-H"/>
    <s v="METRO"/>
    <n v="33667732"/>
    <n v="2000"/>
    <n v="1.606E-3"/>
    <n v="1.56"/>
    <s v="2020-07-15"/>
    <n v="968"/>
    <n v="1.36"/>
    <n v="103.66"/>
    <s v="UF"/>
    <s v="Bono Corporativo"/>
    <s v="Transporte"/>
    <s v="AA-"/>
    <x v="25"/>
    <s v="Bono Metro"/>
    <n v="45788115.520000003"/>
    <n v="4.5488620561156638E-7"/>
    <s v=""/>
  </r>
  <r>
    <s v="2017-11-19"/>
    <x v="0"/>
    <s v="UEDWA60899"/>
    <s v="BBEDWARDS"/>
    <n v="39248572"/>
    <n v="5000"/>
    <n v="1.872E-3"/>
    <n v="1.82"/>
    <s v="2020-08-01"/>
    <n v="985"/>
    <n v="1.44"/>
    <n v="107.27"/>
    <s v="UF"/>
    <s v="Bono Corporativo"/>
    <s v="Financieras"/>
    <s v="AAA"/>
    <x v="26"/>
    <s v="Bono Banco Edwards"/>
    <n v="56517943.68"/>
    <n v="2.7904822414035242E-7"/>
    <s v=""/>
  </r>
  <r>
    <s v="2017-11-19"/>
    <x v="0"/>
    <s v="BSTDSE0614"/>
    <s v="BBSANT-CHI"/>
    <n v="73797129"/>
    <n v="70000000"/>
    <n v="3.5200000000000001E-3"/>
    <n v="3.6"/>
    <s v="2019-06-01"/>
    <n v="558"/>
    <n v="1.45"/>
    <n v="102.78"/>
    <s v="$"/>
    <s v="Bono Corporativo"/>
    <s v="Financieras"/>
    <s v="AAA"/>
    <x v="10"/>
    <s v="Bono Banco Santander"/>
    <n v="107005837.05"/>
    <n v="1.0623855148833352E-6"/>
    <s v=""/>
  </r>
  <r>
    <s v="2017-11-19"/>
    <x v="0"/>
    <s v="BPLZA-M"/>
    <s v="PLAZA S.A."/>
    <n v="82964624"/>
    <n v="4000"/>
    <n v="3.9569999999999996E-3"/>
    <n v="1.57"/>
    <s v="2020-08-15"/>
    <n v="999"/>
    <n v="1.45"/>
    <n v="102.75"/>
    <s v="UF"/>
    <s v="Bono Corporativo"/>
    <s v="Consumo"/>
    <s v="AA"/>
    <x v="15"/>
    <s v="Bono Plaza S.A."/>
    <n v="120298704.8"/>
    <n v="-5.9590119492495741E-7"/>
    <s v=""/>
  </r>
  <r>
    <s v="2017-11-19"/>
    <x v="0"/>
    <s v="BANDI-C"/>
    <s v="EMB ANDINA"/>
    <n v="31081556"/>
    <n v="1500"/>
    <n v="1.482E-3"/>
    <n v="1.64"/>
    <s v="2020-08-16"/>
    <n v="1000"/>
    <n v="1.45"/>
    <n v="102.65"/>
    <s v="UF"/>
    <s v="Bono Corporativo"/>
    <s v="Industriales"/>
    <s v="AA"/>
    <x v="27"/>
    <s v="Bono Embotelladora Andina"/>
    <n v="45068256.199999996"/>
    <n v="0"/>
    <s v=""/>
  </r>
  <r>
    <s v="2017-11-19"/>
    <x v="0"/>
    <s v="BITA-N0612"/>
    <s v="BBITAU"/>
    <n v="83577795"/>
    <n v="3000"/>
    <n v="3.986E-3"/>
    <n v="1.6"/>
    <s v="2019-06-01"/>
    <n v="558"/>
    <n v="1.48"/>
    <n v="102.78"/>
    <s v="UF"/>
    <s v="Bono Corporativo"/>
    <s v="Financieras"/>
    <s v="AA"/>
    <x v="11"/>
    <s v="Bono Banco Itaucorp"/>
    <n v="123695136.59999999"/>
    <n v="1.2249926903601308E-6"/>
    <s v=""/>
  </r>
  <r>
    <s v="2017-11-19"/>
    <x v="0"/>
    <s v="BCTOR-J"/>
    <s v="CONCHATORO"/>
    <n v="81403619"/>
    <n v="3000"/>
    <n v="3.8830000000000002E-3"/>
    <n v="1.7"/>
    <s v="2020-09-01"/>
    <n v="1016"/>
    <n v="1.5"/>
    <n v="101.18"/>
    <s v="UF"/>
    <s v="Bono Corporativo"/>
    <s v="Consumo"/>
    <s v="AA-"/>
    <x v="20"/>
    <s v="Concha Y Toro"/>
    <n v="122105428.5"/>
    <n v="-3.019262821017319E-6"/>
    <e v="#N/A"/>
  </r>
  <r>
    <s v="2017-11-19"/>
    <x v="0"/>
    <s v="BSECR10611"/>
    <s v="BBSECURITY"/>
    <n v="94391811"/>
    <n v="8000"/>
    <n v="4.5019999999999999E-3"/>
    <n v="1.63"/>
    <s v="2021-06-01"/>
    <n v="1289"/>
    <n v="1.7"/>
    <n v="102.28"/>
    <s v="UF"/>
    <s v="Bono Corporativo"/>
    <s v="Financieras"/>
    <s v="AA-"/>
    <x v="7"/>
    <s v="Bono Banco Security"/>
    <n v="160466078.69999999"/>
    <n v="3.9384998392502673E-6"/>
    <s v=""/>
  </r>
  <r>
    <s v="2017-11-19"/>
    <x v="0"/>
    <s v="BKOEM-C"/>
    <s v="EMBONOR"/>
    <n v="244324600"/>
    <n v="9000"/>
    <n v="1.1653999999999999E-2"/>
    <n v="1.56"/>
    <s v="2019-09-01"/>
    <n v="650"/>
    <n v="1.75"/>
    <n v="101.28"/>
    <s v="UF"/>
    <s v="Bono Corporativo"/>
    <s v="Consumo"/>
    <s v="AA-"/>
    <x v="28"/>
    <s v="Bono Embonor"/>
    <n v="427568050"/>
    <n v="0"/>
    <s v=""/>
  </r>
  <r>
    <s v="2017-11-19"/>
    <x v="0"/>
    <s v="BFLIN-I"/>
    <s v="FACTORLINE"/>
    <n v="239433749"/>
    <n v="15000"/>
    <n v="1.1421000000000001E-2"/>
    <n v="2.62"/>
    <s v="2021-04-01"/>
    <n v="1228"/>
    <n v="1.8"/>
    <n v="102.07"/>
    <s v="UF"/>
    <s v="Bono Corporativo"/>
    <s v="Financieras"/>
    <s v="A+"/>
    <x v="29"/>
    <s v="Bono Factorline"/>
    <n v="430980748.19999999"/>
    <n v="6.3619698468252061E-6"/>
    <s v=""/>
  </r>
  <r>
    <s v="2017-11-19"/>
    <x v="0"/>
    <s v="BARAU-Q"/>
    <s v="ARAUCO"/>
    <n v="11999114"/>
    <n v="500"/>
    <n v="5.7200000000000003E-4"/>
    <n v="1.65"/>
    <s v="2021-04-01"/>
    <n v="1228"/>
    <n v="1.82"/>
    <n v="102.42"/>
    <s v="UF"/>
    <s v="Bono Corporativo"/>
    <s v="Materiales Basicos"/>
    <s v="AA-"/>
    <x v="30"/>
    <s v="Bono Celulosa Arauco"/>
    <n v="21838387.48"/>
    <n v="0"/>
    <s v=""/>
  </r>
  <r>
    <s v="2017-11-19"/>
    <x v="0"/>
    <s v="BFRON-C"/>
    <s v="FRONTEL"/>
    <n v="165995466"/>
    <n v="7000"/>
    <n v="7.9179999999999997E-3"/>
    <n v="1.68"/>
    <s v="2021-05-15"/>
    <n v="1272"/>
    <n v="1.94"/>
    <n v="101.57"/>
    <s v="UF"/>
    <s v="Bono Corporativo"/>
    <s v="Energia"/>
    <s v="AA+"/>
    <x v="31"/>
    <s v="Bono Frontel"/>
    <n v="322031204.03999996"/>
    <n v="0"/>
    <s v=""/>
  </r>
  <r>
    <s v="2017-11-19"/>
    <x v="0"/>
    <s v="BBBVP20714"/>
    <s v="BBBVA"/>
    <n v="53161774"/>
    <n v="50000000"/>
    <n v="2.5349999999999999E-3"/>
    <n v="3.93"/>
    <s v="2020-01-01"/>
    <n v="772"/>
    <n v="1.98"/>
    <n v="103.96"/>
    <s v="$"/>
    <s v="Bono Corporativo"/>
    <s v="Financieras"/>
    <s v="AA"/>
    <x v="0"/>
    <s v="Bono Banco BBVA"/>
    <n v="105260312.52"/>
    <n v="1.0325470573212654E-6"/>
    <s v=""/>
  </r>
  <r>
    <s v="2017-11-19"/>
    <x v="0"/>
    <s v="BCOSJ-A"/>
    <s v="TECNOCONTR"/>
    <n v="156441092"/>
    <n v="9500"/>
    <n v="7.4619999999999999E-3"/>
    <n v="1.79"/>
    <s v="2021-06-30"/>
    <n v="1318"/>
    <n v="2.09"/>
    <n v="102.38"/>
    <s v="UF"/>
    <s v="Bono Corporativo"/>
    <s v="Construccion"/>
    <s v="AAA"/>
    <x v="32"/>
    <s v="Bono Constructora San Jose"/>
    <n v="326961882.27999997"/>
    <n v="3.195912303359433E-6"/>
    <s v=""/>
  </r>
  <r>
    <s v="2017-11-19"/>
    <x v="0"/>
    <s v="BRPL-L0315"/>
    <s v="BBRIPLEY"/>
    <n v="485732766"/>
    <n v="470000000"/>
    <n v="2.317E-2"/>
    <n v="4.25"/>
    <s v="2020-03-01"/>
    <n v="832"/>
    <n v="2.16"/>
    <n v="102.19"/>
    <s v="$"/>
    <s v="Bono Corporativo"/>
    <s v="Financieras"/>
    <s v="A+"/>
    <x v="1"/>
    <s v="Bono Bancario Ripley"/>
    <n v="1049182774.5600001"/>
    <n v="0"/>
    <e v="#N/A"/>
  </r>
  <r>
    <s v="2017-11-19"/>
    <x v="0"/>
    <s v="BRPL-K0315"/>
    <s v="BBRIPLEY"/>
    <n v="136344438"/>
    <n v="5000"/>
    <n v="6.5040000000000002E-3"/>
    <n v="1.84"/>
    <s v="2020-03-01"/>
    <n v="832"/>
    <n v="2.2200000000000002"/>
    <n v="101.67"/>
    <s v="UF"/>
    <s v="Bono Corporativo"/>
    <s v="Financieras"/>
    <s v="A+"/>
    <x v="1"/>
    <s v="Bono Bancario Ripley"/>
    <n v="302684652.36000001"/>
    <n v="0"/>
    <s v=""/>
  </r>
  <r>
    <s v="2017-11-19"/>
    <x v="0"/>
    <s v="BFORU-AX"/>
    <s v="LEAS FORUM"/>
    <n v="51545729"/>
    <n v="50000000"/>
    <n v="2.4580000000000001E-3"/>
    <n v="4.2"/>
    <s v="2020-04-01"/>
    <n v="863"/>
    <n v="2.2400000000000002"/>
    <n v="102.38"/>
    <s v="$"/>
    <s v="Bono Corporativo"/>
    <s v="Financieras"/>
    <s v="AA"/>
    <x v="33"/>
    <s v="Bono Forum Servicios Financieros"/>
    <n v="115462432.96000001"/>
    <n v="-5.6516559430010878E-7"/>
    <s v=""/>
  </r>
  <r>
    <s v="2017-11-19"/>
    <x v="0"/>
    <s v="BITAAI0415"/>
    <s v="BBITAU"/>
    <n v="83691552"/>
    <n v="3000"/>
    <n v="3.9919999999999999E-3"/>
    <n v="1.69"/>
    <s v="2020-04-01"/>
    <n v="863"/>
    <n v="2.2799999999999998"/>
    <n v="104.1"/>
    <s v="UF"/>
    <s v="Bono Corporativo"/>
    <s v="Financieras"/>
    <s v="AA"/>
    <x v="11"/>
    <s v="Bono Banco Itaucorp"/>
    <n v="190816738.55999997"/>
    <n v="0"/>
    <s v=""/>
  </r>
  <r>
    <s v="2017-11-19"/>
    <x v="0"/>
    <s v="BCNO-O1114"/>
    <s v="BBCONSORC"/>
    <n v="62402120"/>
    <n v="60000000"/>
    <n v="2.9759999999999999E-3"/>
    <n v="4.25"/>
    <s v="2020-05-01"/>
    <n v="893"/>
    <n v="2.31"/>
    <n v="103.7"/>
    <s v="$"/>
    <s v="Bono Corporativo"/>
    <s v="Financieras"/>
    <s v="AA-"/>
    <x v="5"/>
    <s v="Bono Banco Consorcio"/>
    <n v="144148897.20000002"/>
    <n v="-2.0578537949827189E-6"/>
    <s v=""/>
  </r>
  <r>
    <s v="2017-11-19"/>
    <x v="0"/>
    <s v="BQUIN-I"/>
    <s v="QUINENCO"/>
    <n v="28237052"/>
    <n v="1000"/>
    <n v="1.346E-3"/>
    <n v="2"/>
    <s v="2021-06-01"/>
    <n v="1289"/>
    <n v="2.4300000000000002"/>
    <n v="104.08"/>
    <s v="UF"/>
    <s v="Bono Corporativo"/>
    <s v="Diversificados"/>
    <s v="AA"/>
    <x v="17"/>
    <s v="Bono Quinenco"/>
    <n v="68616036.359999999"/>
    <n v="0"/>
    <s v=""/>
  </r>
  <r>
    <s v="2017-11-19"/>
    <x v="0"/>
    <s v="BCOR-R0110"/>
    <s v="BBCORPBANC"/>
    <n v="28645847"/>
    <n v="1000"/>
    <n v="1.366E-3"/>
    <n v="1.69"/>
    <s v="2020-07-09"/>
    <n v="962"/>
    <n v="2.5"/>
    <n v="105.86"/>
    <s v="UF"/>
    <s v="Bono Corporativo"/>
    <s v="Financieras"/>
    <s v="AA"/>
    <x v="11"/>
    <s v="Bono Corpbanca"/>
    <n v="71614617.5"/>
    <n v="3.4898791301811979E-7"/>
    <s v=""/>
  </r>
  <r>
    <s v="2017-11-19"/>
    <x v="0"/>
    <s v="BCORAI0710"/>
    <s v="BBCORPBANC"/>
    <n v="27860438"/>
    <n v="1000"/>
    <n v="1.3290000000000001E-3"/>
    <n v="1.71"/>
    <s v="2020-07-01"/>
    <n v="954"/>
    <n v="2.5099999999999998"/>
    <n v="103.26"/>
    <s v="UF"/>
    <s v="Bono Corporativo"/>
    <s v="Financieras"/>
    <s v="AA"/>
    <x v="11"/>
    <s v="Bono Corpbanca"/>
    <n v="69929699.379999995"/>
    <n v="2.7265282667718515E-6"/>
    <s v=""/>
  </r>
  <r>
    <s v="2017-11-19"/>
    <x v="0"/>
    <s v="BFORU-AZ"/>
    <s v="LEAS FORUM"/>
    <n v="94446689"/>
    <n v="3500"/>
    <n v="4.5050000000000003E-3"/>
    <n v="2"/>
    <s v="2020-08-01"/>
    <n v="985"/>
    <n v="2.62"/>
    <n v="100.51"/>
    <s v="UF"/>
    <s v="Bono Corporativo"/>
    <s v="Financieras"/>
    <s v="AA"/>
    <x v="33"/>
    <s v="Bono Forum Servicios Financieros"/>
    <n v="247450325.18000001"/>
    <n v="1.2056734130762602E-6"/>
    <s v=""/>
  </r>
  <r>
    <s v="2017-11-19"/>
    <x v="0"/>
    <s v="BTMOV-I"/>
    <s v="MOVISTAR"/>
    <n v="80887365"/>
    <n v="3000"/>
    <n v="3.8579999999999999E-3"/>
    <n v="1.73"/>
    <s v="2020-08-14"/>
    <n v="998"/>
    <n v="2.66"/>
    <n v="100.57"/>
    <s v="UF"/>
    <s v="Bono Corporativo"/>
    <s v="Comunicaciones"/>
    <s v="AA"/>
    <x v="34"/>
    <s v="Bono Movistar"/>
    <n v="215160390.90000001"/>
    <n v="3.1487067058517951E-6"/>
    <s v=""/>
  </r>
  <r>
    <s v="2017-11-19"/>
    <x v="0"/>
    <s v="BARAU-J"/>
    <s v="ARAUCO"/>
    <n v="41966478"/>
    <n v="1500"/>
    <n v="2.0010000000000002E-3"/>
    <n v="1.68"/>
    <s v="2020-09-01"/>
    <n v="1016"/>
    <n v="2.67"/>
    <n v="104.17"/>
    <s v="UF"/>
    <s v="Bono Corporativo"/>
    <s v="Materiales Basicos"/>
    <s v="AA-"/>
    <x v="30"/>
    <s v="Bono Celulosa Arauco"/>
    <n v="112050496.25999999"/>
    <n v="0"/>
    <s v=""/>
  </r>
  <r>
    <s v="2017-11-19"/>
    <x v="0"/>
    <s v="BBIC640116"/>
    <s v="BBICE"/>
    <n v="52916485"/>
    <n v="50000000"/>
    <n v="2.5240000000000002E-3"/>
    <n v="4.25"/>
    <s v="2021-01-01"/>
    <n v="1138"/>
    <n v="2.85"/>
    <n v="103.64"/>
    <s v="$"/>
    <s v="Bono Corporativo"/>
    <s v="Financieras"/>
    <s v="AA"/>
    <x v="2"/>
    <s v="Bono Banco Bice"/>
    <n v="150811982.25"/>
    <n v="-1.4703078029661025E-6"/>
    <s v=""/>
  </r>
  <r>
    <s v="2017-11-19"/>
    <x v="0"/>
    <s v="BTP0450321"/>
    <s v="BTP"/>
    <n v="491488331"/>
    <n v="475000000"/>
    <n v="2.3445000000000001E-2"/>
    <n v="3.72"/>
    <s v="2021-03-01"/>
    <n v="1197"/>
    <n v="3.06"/>
    <n v="102.48"/>
    <s v="$"/>
    <s v="Bono de Gobierno"/>
    <s v="Gobierno"/>
    <s v="AAA"/>
    <x v="35"/>
    <s v="Bono Tesorería en CLP"/>
    <n v="1503954292.8600001"/>
    <n v="-7.3098631551563161E-6"/>
    <s v=""/>
  </r>
  <r>
    <s v="2017-11-19"/>
    <x v="0"/>
    <s v="BENGE-B"/>
    <s v="ENLASA"/>
    <n v="109088363"/>
    <n v="6500"/>
    <n v="5.2030000000000002E-3"/>
    <n v="1.92"/>
    <s v="2023-11-15"/>
    <n v="2186"/>
    <n v="3.09"/>
    <n v="104.83"/>
    <s v="UF"/>
    <s v="Bono Corporativo"/>
    <s v="Servicios Basicos"/>
    <s v="AA"/>
    <x v="36"/>
    <s v="Bono Enlasa Generacion"/>
    <n v="337083041.66999996"/>
    <n v="1.4893410083394505E-6"/>
    <s v=""/>
  </r>
  <r>
    <s v="2017-11-19"/>
    <x v="0"/>
    <s v="BMGAS-F"/>
    <s v="METROGAS"/>
    <n v="21496024"/>
    <n v="1500"/>
    <n v="1.0250000000000001E-3"/>
    <n v="1.86"/>
    <s v="2024-08-01"/>
    <n v="2446"/>
    <n v="3.18"/>
    <n v="113.12"/>
    <s v="UF"/>
    <s v="Bono Corporativo"/>
    <s v="Energia"/>
    <s v="AA-"/>
    <x v="37"/>
    <s v="Bono Metrogas"/>
    <n v="68357356.320000008"/>
    <n v="0"/>
    <s v=""/>
  </r>
  <r>
    <s v="2017-11-19"/>
    <x v="0"/>
    <s v="BTU0150321"/>
    <s v="BTU"/>
    <n v="675728610"/>
    <n v="25000"/>
    <n v="3.2233999999999999E-2"/>
    <n v="1.19"/>
    <s v="2021-03-01"/>
    <n v="1197"/>
    <n v="3.2"/>
    <n v="101"/>
    <s v="UF"/>
    <s v="Bono de Gobierno"/>
    <s v="Gobierno"/>
    <s v="AAA"/>
    <x v="35"/>
    <s v="Bono Tesorería en UF"/>
    <n v="2162331552"/>
    <n v="0"/>
    <s v=""/>
  </r>
  <r>
    <s v="2017-11-19"/>
    <x v="0"/>
    <s v="BFALA-O"/>
    <s v="FALAB.SACI"/>
    <n v="133155199"/>
    <n v="130000000"/>
    <n v="6.3509999999999999E-3"/>
    <n v="4.5"/>
    <s v="2022-04-15"/>
    <n v="1607"/>
    <n v="3.37"/>
    <n v="101.94"/>
    <s v="$"/>
    <s v="Bono Corporativo"/>
    <s v="Consumo"/>
    <s v="AA"/>
    <x v="38"/>
    <s v="Bono Falabella"/>
    <n v="448733020.63"/>
    <n v="0"/>
    <s v=""/>
  </r>
  <r>
    <s v="2017-11-19"/>
    <x v="0"/>
    <s v="BBCIE20811"/>
    <s v="BBCREDITO"/>
    <n v="134982077"/>
    <n v="5000"/>
    <n v="6.4390000000000003E-3"/>
    <n v="2.4900000000000002"/>
    <s v="2021-08-01"/>
    <n v="1350"/>
    <n v="3.52"/>
    <n v="100.43"/>
    <s v="UF"/>
    <s v="Bono Corporativo"/>
    <s v="Financieras"/>
    <s v="AA+"/>
    <x v="9"/>
    <s v="Bono BCI"/>
    <n v="475136911.04000002"/>
    <n v="-1.6142159020259392E-5"/>
    <s v=""/>
  </r>
  <r>
    <s v="2017-11-19"/>
    <x v="0"/>
    <s v="BFORU-BA"/>
    <s v="LEAS FORUM"/>
    <n v="204251434"/>
    <n v="200000000"/>
    <n v="9.7429999999999999E-3"/>
    <n v="4.62"/>
    <s v="2021-10-15"/>
    <n v="1425"/>
    <n v="3.58"/>
    <n v="101.64"/>
    <s v="$"/>
    <s v="Bono Corporativo"/>
    <s v="Financieras"/>
    <s v="AA"/>
    <x v="33"/>
    <s v="Bono Forum Servicios Financieros"/>
    <n v="731220133.72000003"/>
    <n v="-3.5438691781814834E-6"/>
    <e v="#N/A"/>
  </r>
  <r>
    <s v="2017-11-19"/>
    <x v="0"/>
    <s v="BSECZ20816"/>
    <s v="BBSECURITY"/>
    <n v="419147966"/>
    <n v="400000000"/>
    <n v="1.9994000000000001E-2"/>
    <n v="4.5"/>
    <s v="2022-02-01"/>
    <n v="1534"/>
    <n v="3.77"/>
    <n v="103.14"/>
    <s v="$"/>
    <s v="Bono Corporativo"/>
    <s v="Financieras"/>
    <s v="AA-"/>
    <x v="7"/>
    <s v="Bono Banco Security"/>
    <n v="1580187831.8199999"/>
    <n v="-1.5316365524855935E-5"/>
    <e v="#N/A"/>
  </r>
  <r>
    <s v="2017-11-19"/>
    <x v="0"/>
    <s v="BCENC-P"/>
    <s v="CENCOSUD"/>
    <n v="80417330"/>
    <n v="80000000"/>
    <n v="3.836E-3"/>
    <n v="4.5999999999999996"/>
    <s v="2022-11-07"/>
    <n v="1813"/>
    <n v="3.87"/>
    <n v="100.37"/>
    <s v="$"/>
    <s v="Bono Corporativo"/>
    <s v="Consumo"/>
    <s v="AA-"/>
    <x v="14"/>
    <s v="Bono Cencosud S.A."/>
    <n v="311215067.10000002"/>
    <n v="-2.9413277975216313E-6"/>
    <s v=""/>
  </r>
  <r>
    <s v="2017-11-19"/>
    <x v="1"/>
    <s v="BFSEC-A"/>
    <s v="FACSECU"/>
    <n v="490924819"/>
    <n v="18000"/>
    <n v="8.6219999999999995E-3"/>
    <n v="-2.08"/>
    <s v="2017-12-15"/>
    <n v="25"/>
    <n v="7.0000000000000007E-2"/>
    <n v="100.43"/>
    <s v="UF"/>
    <s v="Bono Corporativo"/>
    <s v="Financieras"/>
    <s v="A+"/>
    <x v="6"/>
    <s v="Bono Factoring Security"/>
    <n v="34364737.330000006"/>
    <n v="0"/>
    <e v="#N/A"/>
  </r>
  <r>
    <s v="2017-11-19"/>
    <x v="1"/>
    <s v="BSECK10108"/>
    <s v="BBSECURITY"/>
    <n v="54102086"/>
    <n v="2000"/>
    <n v="9.5E-4"/>
    <n v="0.66"/>
    <s v="2018-01-01"/>
    <n v="42"/>
    <n v="0.12"/>
    <n v="100.26"/>
    <s v="UF"/>
    <s v="Bono Corporativo"/>
    <s v="Financieras"/>
    <s v="AA-"/>
    <x v="7"/>
    <s v="Bono Banco Security"/>
    <n v="6492250.3199999994"/>
    <n v="-1.63972602739725E-8"/>
    <s v=""/>
  </r>
  <r>
    <s v="2017-11-19"/>
    <x v="1"/>
    <s v="PAGARE NR"/>
    <s v="CHILE"/>
    <n v="459818822"/>
    <n v="462075000"/>
    <n v="8.0759999999999998E-3"/>
    <n v="2.76"/>
    <s v="2018-01-22"/>
    <n v="63"/>
    <n v="0.18"/>
    <n v="99.511729000000003"/>
    <s v="$"/>
    <s v="Deposito"/>
    <s v="Financieras"/>
    <s v="N-1+"/>
    <x v="16"/>
    <s v="Deposito Banco Chile"/>
    <n v="82767387.959999993"/>
    <n v="0"/>
    <s v=""/>
  </r>
  <r>
    <s v="2017-11-19"/>
    <x v="1"/>
    <s v="PAGARE NR"/>
    <s v="BCI"/>
    <n v="497294717"/>
    <n v="500000000"/>
    <n v="8.7340000000000004E-3"/>
    <n v="2.88"/>
    <s v="2018-01-26"/>
    <n v="67"/>
    <n v="0.19"/>
    <n v="99.458943000000005"/>
    <s v="$"/>
    <s v="Deposito"/>
    <s v="Financieras"/>
    <s v="N-1+"/>
    <x v="9"/>
    <s v="Deposito Banco BCI"/>
    <n v="94485996.230000004"/>
    <n v="0"/>
    <s v=""/>
  </r>
  <r>
    <s v="2017-11-19"/>
    <x v="1"/>
    <s v="PAGARE NR"/>
    <s v="SCOTIABANK"/>
    <n v="16092637"/>
    <n v="16260000"/>
    <n v="2.8200000000000002E-4"/>
    <n v="2.88"/>
    <s v="2018-03-29"/>
    <n v="129"/>
    <n v="0.36"/>
    <n v="98.970707000000004"/>
    <s v="$"/>
    <s v="Deposito"/>
    <s v="Financieras"/>
    <s v="N-1+"/>
    <x v="8"/>
    <s v="Deposito Banco Scotiabank"/>
    <n v="5793349.3199999994"/>
    <n v="0"/>
    <s v=""/>
  </r>
  <r>
    <s v="2017-11-19"/>
    <x v="1"/>
    <s v="BBNS-P0413"/>
    <s v="BBSCOTIABA"/>
    <n v="216326902"/>
    <n v="8000"/>
    <n v="3.7989999999999999E-3"/>
    <n v="1"/>
    <s v="2018-04-01"/>
    <n v="132"/>
    <n v="0.36"/>
    <n v="100.9"/>
    <s v="UF"/>
    <s v="Bono Corporativo"/>
    <s v="Financieras"/>
    <s v="AAA"/>
    <x v="8"/>
    <s v="Bono Scotiabank"/>
    <n v="77877684.719999999"/>
    <n v="1.2739660273972588E-6"/>
    <s v=""/>
  </r>
  <r>
    <s v="2017-11-19"/>
    <x v="1"/>
    <s v="BBBVJ40413"/>
    <s v="BBBVA"/>
    <n v="134736235"/>
    <n v="5000"/>
    <n v="2.366E-3"/>
    <n v="1.24"/>
    <s v="2018-04-01"/>
    <n v="132"/>
    <n v="0.36"/>
    <n v="100.63"/>
    <s v="UF"/>
    <s v="Bono Corporativo"/>
    <s v="Financieras"/>
    <s v="AA"/>
    <x v="0"/>
    <s v="Bono Banco BBVA"/>
    <n v="48505044.600000001"/>
    <n v="-8.9259780821917489E-7"/>
    <s v=""/>
  </r>
  <r>
    <s v="2017-11-19"/>
    <x v="1"/>
    <s v="BBBVM21011"/>
    <s v="BBBVA"/>
    <n v="94235551"/>
    <n v="3500"/>
    <n v="1.655E-3"/>
    <n v="1.4"/>
    <s v="2018-04-09"/>
    <n v="140"/>
    <n v="0.38"/>
    <n v="100.61"/>
    <s v="UF"/>
    <s v="Bono Corporativo"/>
    <s v="Financieras"/>
    <s v="AA"/>
    <x v="0"/>
    <s v="Bono Banco BBVA"/>
    <n v="35809509.380000003"/>
    <n v="7.3001369863012311E-8"/>
    <s v=""/>
  </r>
  <r>
    <s v="2017-11-19"/>
    <x v="1"/>
    <s v="PAGARE NR"/>
    <s v="ITAUCORP"/>
    <n v="98814229"/>
    <n v="100000000"/>
    <n v="1.735E-3"/>
    <n v="2.88"/>
    <s v="2018-04-18"/>
    <n v="149"/>
    <n v="0.41"/>
    <n v="98.814228999999997"/>
    <s v="$"/>
    <s v="Deposito"/>
    <s v="Financieras"/>
    <s v="N-1+"/>
    <x v="11"/>
    <s v="Deposito Banco Itaucorp"/>
    <n v="40513833.890000001"/>
    <n v="0"/>
    <s v=""/>
  </r>
  <r>
    <s v="2017-11-19"/>
    <x v="1"/>
    <s v="BCNO-L1114"/>
    <s v="BBCONSORC"/>
    <n v="268213552"/>
    <n v="10000"/>
    <n v="4.7099999999999998E-3"/>
    <n v="1.19"/>
    <s v="2018-05-01"/>
    <n v="162"/>
    <n v="0.44"/>
    <n v="100.45"/>
    <s v="UF"/>
    <s v="Bono Corporativo"/>
    <s v="Financieras"/>
    <s v="AA-"/>
    <x v="5"/>
    <s v="Bono Banco Consorcio"/>
    <n v="118013962.88"/>
    <n v="7.0086676950371608E-7"/>
    <s v=""/>
  </r>
  <r>
    <s v="2017-11-19"/>
    <x v="1"/>
    <s v="BQUIN-G"/>
    <s v="QUINENCO"/>
    <n v="256192793"/>
    <n v="23000"/>
    <n v="4.4990000000000004E-3"/>
    <n v="1.55"/>
    <s v="2018-12-01"/>
    <n v="376"/>
    <n v="0.52"/>
    <n v="100.99"/>
    <s v="UF"/>
    <s v="Bono Corporativo"/>
    <s v="Diversificados"/>
    <s v="AA"/>
    <x v="17"/>
    <s v="Bono Quinenco"/>
    <n v="133220252.36"/>
    <n v="4.1318338328480704E-6"/>
    <s v=""/>
  </r>
  <r>
    <s v="2017-11-19"/>
    <x v="1"/>
    <s v="BCNO-C0613"/>
    <s v="BBCONSORC"/>
    <n v="109648438"/>
    <n v="4000"/>
    <n v="1.9250000000000001E-3"/>
    <n v="1.55"/>
    <s v="2018-06-15"/>
    <n v="207"/>
    <n v="0.56000000000000005"/>
    <n v="101.18"/>
    <s v="UF"/>
    <s v="Bono Corporativo"/>
    <s v="Financieras"/>
    <s v="AA-"/>
    <x v="5"/>
    <s v="Bono Banco Consorcio"/>
    <n v="61403125.280000009"/>
    <n v="4.7413189638698777E-7"/>
    <s v=""/>
  </r>
  <r>
    <s v="2017-11-19"/>
    <x v="1"/>
    <s v="BCAJ-I0315"/>
    <s v="LOS ANDES"/>
    <n v="40604122"/>
    <n v="100000000"/>
    <n v="7.1299999999999998E-4"/>
    <n v="4.1100000000000003"/>
    <s v="2018-09-15"/>
    <n v="299"/>
    <n v="0.56000000000000005"/>
    <n v="100.6"/>
    <s v="$"/>
    <s v="Bono Corporativo"/>
    <s v="Financieras"/>
    <s v="AA-"/>
    <x v="18"/>
    <s v="Bono Caja Los Andes"/>
    <n v="22738308.320000004"/>
    <n v="0"/>
    <s v=""/>
  </r>
  <r>
    <s v="2017-11-19"/>
    <x v="1"/>
    <s v="BSKSA-B"/>
    <s v="SK"/>
    <n v="27309316"/>
    <n v="5000"/>
    <n v="4.7899999999999999E-4"/>
    <n v="1.7"/>
    <s v="2018-09-15"/>
    <n v="299"/>
    <n v="0.56000000000000005"/>
    <n v="101.58"/>
    <s v="UF"/>
    <s v="Bono Corporativo"/>
    <s v="Industriales"/>
    <s v="A+"/>
    <x v="19"/>
    <s v="Bono Sk"/>
    <n v="15293216.960000001"/>
    <n v="5.9426229555212325E-8"/>
    <s v=""/>
  </r>
  <r>
    <s v="2017-11-19"/>
    <x v="1"/>
    <s v="BSTDE20111"/>
    <s v="BBSANT-CHI"/>
    <n v="109654195"/>
    <n v="4000"/>
    <n v="1.9250000000000001E-3"/>
    <n v="1.1599999999999999"/>
    <s v="2018-07-01"/>
    <n v="223"/>
    <n v="0.6"/>
    <n v="101.41"/>
    <s v="UF"/>
    <s v="Bono Corporativo"/>
    <s v="Financieras"/>
    <s v="AAA"/>
    <x v="10"/>
    <s v="Bono Banco Santander"/>
    <n v="65792517"/>
    <n v="5.0822936121879502E-7"/>
    <s v=""/>
  </r>
  <r>
    <s v="2017-11-19"/>
    <x v="1"/>
    <s v="BBCIAB0708"/>
    <s v="BBCREDITO"/>
    <n v="132375866"/>
    <n v="5000"/>
    <n v="2.3249999999999998E-3"/>
    <n v="1.21"/>
    <s v="2018-07-01"/>
    <n v="223"/>
    <n v="0.61"/>
    <n v="99.27"/>
    <s v="UF"/>
    <s v="Bono Corporativo"/>
    <s v="Financieras"/>
    <s v="AA+"/>
    <x v="9"/>
    <s v="Bono BCI"/>
    <n v="80749278.260000005"/>
    <n v="1.0879726027397244E-6"/>
    <s v=""/>
  </r>
  <r>
    <s v="2017-11-19"/>
    <x v="1"/>
    <s v="BCTOR-F"/>
    <s v="CONCHATORO"/>
    <n v="63090910"/>
    <n v="7000"/>
    <n v="1.108E-3"/>
    <n v="1.72"/>
    <s v="2018-11-05"/>
    <n v="350"/>
    <n v="0.7"/>
    <n v="101.23"/>
    <s v="UF"/>
    <s v="Bono Corporativo"/>
    <s v="Consumo"/>
    <s v="AA-"/>
    <x v="20"/>
    <s v="Bono Concha Y Toro"/>
    <n v="44163637"/>
    <n v="1.1205041174018453E-7"/>
    <s v=""/>
  </r>
  <r>
    <s v="2017-11-19"/>
    <x v="1"/>
    <s v="BCAJ-J1215"/>
    <s v="LOS ANDES"/>
    <n v="131386831"/>
    <n v="6000"/>
    <n v="2.307E-3"/>
    <n v="2.57"/>
    <s v="2019-06-01"/>
    <n v="558"/>
    <n v="0.76"/>
    <n v="100.87"/>
    <s v="UF"/>
    <s v="Bono Corporativo"/>
    <s v="Financieras"/>
    <s v="AA-"/>
    <x v="18"/>
    <s v="Bono Caja Los Andes"/>
    <n v="99853991.560000002"/>
    <n v="5.6557818029607833E-7"/>
    <s v=""/>
  </r>
  <r>
    <s v="2017-11-19"/>
    <x v="1"/>
    <s v="BAGUA-R"/>
    <s v="AGUAS"/>
    <n v="72280169"/>
    <n v="8000"/>
    <n v="1.2689999999999999E-3"/>
    <n v="1.9"/>
    <s v="2019-04-01"/>
    <n v="497"/>
    <n v="0.85"/>
    <n v="101.17"/>
    <s v="UF"/>
    <s v="Bono Corporativo"/>
    <s v="Servicios Basicos"/>
    <s v="AA+"/>
    <x v="21"/>
    <s v="Bono Aguas Andinas"/>
    <n v="61438143.649999999"/>
    <n v="2.3121651014609465E-7"/>
    <s v=""/>
  </r>
  <r>
    <s v="2017-11-19"/>
    <x v="1"/>
    <s v="BCHIUN1011"/>
    <s v="BBCHILE"/>
    <n v="108941926"/>
    <n v="4000"/>
    <n v="1.913E-3"/>
    <n v="1.21"/>
    <s v="2018-10-01"/>
    <n v="315"/>
    <n v="0.86"/>
    <n v="101.68"/>
    <s v="UF"/>
    <s v="Bono Corporativo"/>
    <s v="Financieras"/>
    <s v="AAA"/>
    <x v="16"/>
    <s v="Bono Banco Chile"/>
    <n v="93690056.359999999"/>
    <n v="0"/>
    <s v=""/>
  </r>
  <r>
    <s v="2017-11-19"/>
    <x v="1"/>
    <s v="BSCCH-B"/>
    <s v="SCCH"/>
    <n v="304453428"/>
    <n v="300000000"/>
    <n v="5.3470000000000002E-3"/>
    <n v="3.71"/>
    <s v="2018-10-15"/>
    <n v="329"/>
    <n v="0.89"/>
    <n v="101.02"/>
    <s v="$"/>
    <s v="Bono Corporativo"/>
    <s v="Financieras"/>
    <s v="AAA"/>
    <x v="22"/>
    <s v="Bono Banco Santander Consumer Finance"/>
    <n v="270963550.92000002"/>
    <n v="-5.0642601001725305E-7"/>
    <s v=""/>
  </r>
  <r>
    <s v="2017-11-19"/>
    <x v="1"/>
    <s v="BBCIS-P26A"/>
    <s v="BCI SECURI"/>
    <n v="46705421"/>
    <n v="70000000"/>
    <n v="8.1999999999999998E-4"/>
    <n v="6.81"/>
    <s v="2020-07-01"/>
    <n v="954"/>
    <n v="0.98"/>
    <n v="100.17"/>
    <s v="$"/>
    <s v="Bono Corporativo"/>
    <s v="Financieras"/>
    <s v="AA"/>
    <x v="39"/>
    <s v="Bono BCI"/>
    <n v="45771312.579999998"/>
    <n v="-8.5331174659635756E-8"/>
    <s v=""/>
  </r>
  <r>
    <s v="2017-11-19"/>
    <x v="1"/>
    <s v="BCAJ-O0816"/>
    <s v="LOS ANDES"/>
    <n v="257339736"/>
    <n v="250000000"/>
    <n v="4.5189999999999996E-3"/>
    <n v="4.32"/>
    <s v="2020-02-01"/>
    <n v="803"/>
    <n v="1.1499999999999999"/>
    <n v="101.29"/>
    <s v="$"/>
    <s v="Bono Corporativo"/>
    <s v="Financieras"/>
    <s v="AA-"/>
    <x v="18"/>
    <s v="Bono Caja Los Andes"/>
    <n v="295940696.39999998"/>
    <n v="0"/>
    <s v=""/>
  </r>
  <r>
    <s v="2017-11-19"/>
    <x v="1"/>
    <s v="BCTCH-Q"/>
    <s v="TELEFONOS"/>
    <n v="206899643"/>
    <n v="200000000"/>
    <n v="3.6340000000000001E-3"/>
    <n v="3.81"/>
    <s v="2019-03-14"/>
    <n v="479"/>
    <n v="1.27"/>
    <n v="102.41"/>
    <s v="$"/>
    <s v="Bono Corporativo"/>
    <s v="Comunicaciones"/>
    <s v="AA"/>
    <x v="40"/>
    <s v="Bono Ctc"/>
    <n v="262762546.61000001"/>
    <n v="-4.8317887622219084E-7"/>
    <s v=""/>
  </r>
  <r>
    <s v="2017-11-19"/>
    <x v="1"/>
    <s v="BBANM-I"/>
    <s v="BANMEDICA"/>
    <n v="160712329"/>
    <n v="200000000"/>
    <n v="2.8219999999999999E-3"/>
    <n v="4.0599999999999996"/>
    <s v="2020-04-10"/>
    <n v="872"/>
    <n v="1.32"/>
    <n v="103.09"/>
    <s v="$"/>
    <s v="Bono Corporativo"/>
    <s v="Salud"/>
    <s v="AA-"/>
    <x v="24"/>
    <s v="Bono Banmedica"/>
    <n v="212140274.28"/>
    <n v="0"/>
    <s v=""/>
  </r>
  <r>
    <s v="2017-11-19"/>
    <x v="1"/>
    <s v="BCNO-H0414"/>
    <s v="BBCONSORC"/>
    <n v="286404504"/>
    <n v="10500"/>
    <n v="5.0299999999999997E-3"/>
    <n v="1.6"/>
    <s v="2019-04-01"/>
    <n v="497"/>
    <n v="1.34"/>
    <n v="101.85"/>
    <s v="UF"/>
    <s v="Bono Corporativo"/>
    <s v="Financieras"/>
    <s v="AA-"/>
    <x v="5"/>
    <s v="Bono Banco Consorcio"/>
    <n v="383782035.36000001"/>
    <n v="0"/>
    <s v=""/>
  </r>
  <r>
    <s v="2017-11-19"/>
    <x v="1"/>
    <s v="BRPL-A0414"/>
    <s v="BBRIPLEY"/>
    <n v="507754805"/>
    <n v="18500"/>
    <n v="8.9180000000000006E-3"/>
    <n v="1.56"/>
    <s v="2019-04-01"/>
    <n v="497"/>
    <n v="1.34"/>
    <n v="102.43"/>
    <s v="UF"/>
    <s v="Bono Corporativo"/>
    <s v="Financieras"/>
    <s v="A+"/>
    <x v="1"/>
    <s v="Bono Bancario Ripley"/>
    <n v="680391438.70000005"/>
    <n v="2.4876752658643258E-6"/>
    <s v=""/>
  </r>
  <r>
    <s v="2017-11-19"/>
    <x v="1"/>
    <s v="BBCIS-P30A"/>
    <s v="BCI SECURI"/>
    <n v="201882149"/>
    <n v="200000000"/>
    <n v="3.545E-3"/>
    <n v="5.66"/>
    <s v="2020-04-01"/>
    <n v="863"/>
    <n v="1.36"/>
    <n v="100.18"/>
    <s v="$"/>
    <s v="Bono Corporativo"/>
    <s v="Financieras"/>
    <s v="AA"/>
    <x v="39"/>
    <s v="Bono BCI"/>
    <n v="274559722.64000005"/>
    <n v="0"/>
    <s v=""/>
  </r>
  <r>
    <s v="2017-11-19"/>
    <x v="1"/>
    <s v="UEDWA60899"/>
    <s v="BBEDWARDS"/>
    <n v="39248572"/>
    <n v="5000"/>
    <n v="6.8900000000000005E-4"/>
    <n v="1.82"/>
    <s v="2020-08-01"/>
    <n v="985"/>
    <n v="1.44"/>
    <n v="107.27"/>
    <s v="UF"/>
    <s v="Bono Corporativo"/>
    <s v="Financieras"/>
    <s v="AAA"/>
    <x v="26"/>
    <s v="Bono Banco Edwards"/>
    <n v="56517943.68"/>
    <n v="1.0270524916276861E-7"/>
    <s v=""/>
  </r>
  <r>
    <s v="2017-11-19"/>
    <x v="1"/>
    <s v="BSTDSE0614"/>
    <s v="BBSANT-CHI"/>
    <n v="63254682"/>
    <n v="60000000"/>
    <n v="1.111E-3"/>
    <n v="3.6"/>
    <s v="2019-06-01"/>
    <n v="558"/>
    <n v="1.45"/>
    <n v="102.78"/>
    <s v="$"/>
    <s v="Bono Corporativo"/>
    <s v="Financieras"/>
    <s v="AAA"/>
    <x v="10"/>
    <s v="Bono Banco Santander"/>
    <n v="91719288.899999991"/>
    <n v="3.3531542813505268E-7"/>
    <s v=""/>
  </r>
  <r>
    <s v="2017-11-19"/>
    <x v="1"/>
    <s v="BPLZA-M"/>
    <s v="PLAZA S.A."/>
    <n v="93335202"/>
    <n v="4500"/>
    <n v="1.639E-3"/>
    <n v="1.57"/>
    <s v="2020-08-15"/>
    <n v="999"/>
    <n v="1.45"/>
    <n v="102.75"/>
    <s v="UF"/>
    <s v="Bono Corporativo"/>
    <s v="Consumo"/>
    <s v="AA"/>
    <x v="15"/>
    <s v="Bono Plaza S.A."/>
    <n v="135336042.90000001"/>
    <n v="-2.4682387123629148E-7"/>
    <s v=""/>
  </r>
  <r>
    <s v="2017-11-19"/>
    <x v="1"/>
    <s v="BCAJ-Q0117"/>
    <s v="LOS ANDES"/>
    <n v="308352078"/>
    <n v="300000000"/>
    <n v="5.4149999999999997E-3"/>
    <n v="4.5199999999999996"/>
    <s v="2020-07-02"/>
    <n v="955"/>
    <n v="1.53"/>
    <n v="100.84"/>
    <s v="$"/>
    <s v="Bono Corporativo"/>
    <s v="Financieras"/>
    <s v="AA-"/>
    <x v="18"/>
    <s v="Bono Caja Los Andes"/>
    <n v="471778679.34000003"/>
    <n v="-1.7239837852054246E-6"/>
    <s v=""/>
  </r>
  <r>
    <s v="2017-11-19"/>
    <x v="1"/>
    <s v="BSOND-E"/>
    <s v="SONDA"/>
    <n v="92173640"/>
    <n v="90000000"/>
    <n v="1.6180000000000001E-3"/>
    <n v="4.21"/>
    <s v="2019-11-01"/>
    <n v="711"/>
    <n v="1.87"/>
    <n v="102.15"/>
    <s v="$"/>
    <s v="Bono Corporativo"/>
    <s v="Tecnologia"/>
    <s v="AA-"/>
    <x v="41"/>
    <s v="Bono Sonda"/>
    <n v="172364706.80000001"/>
    <n v="0"/>
    <s v=""/>
  </r>
  <r>
    <s v="2017-11-19"/>
    <x v="1"/>
    <s v="BBBVM31113"/>
    <s v="BBBVA"/>
    <n v="274032685"/>
    <n v="10000"/>
    <n v="4.8129999999999996E-3"/>
    <n v="1.63"/>
    <s v="2019-11-01"/>
    <n v="711"/>
    <n v="1.9"/>
    <n v="102.58"/>
    <s v="UF"/>
    <s v="Bono Corporativo"/>
    <s v="Financieras"/>
    <s v="AA"/>
    <x v="0"/>
    <s v="Bono Banco BBVA"/>
    <n v="520662101.5"/>
    <n v="-8.3780767724015583E-6"/>
    <s v=""/>
  </r>
  <r>
    <s v="2017-11-19"/>
    <x v="1"/>
    <s v="BCOSJ-A"/>
    <s v="TECNOCONTR"/>
    <n v="732803012"/>
    <n v="44500"/>
    <n v="1.2871E-2"/>
    <n v="1.79"/>
    <s v="2021-06-30"/>
    <n v="1318"/>
    <n v="2.09"/>
    <n v="102.38"/>
    <s v="UF"/>
    <s v="Bono Corporativo"/>
    <s v="Construccion"/>
    <s v="AAA"/>
    <x v="32"/>
    <s v="Bono Constructora San Jose"/>
    <n v="1531558295.0799999"/>
    <n v="5.5125418462261143E-6"/>
    <s v=""/>
  </r>
  <r>
    <s v="2017-11-19"/>
    <x v="1"/>
    <s v="UCHIC20100"/>
    <s v="BBCHILE"/>
    <n v="349635375"/>
    <n v="30000"/>
    <n v="6.1409999999999998E-3"/>
    <n v="1.78"/>
    <s v="2022-01-01"/>
    <n v="1503"/>
    <n v="2.09"/>
    <n v="109.7"/>
    <s v="UF"/>
    <s v="Bono Corporativo"/>
    <s v="Financieras"/>
    <s v="AA"/>
    <x v="16"/>
    <s v="Bono Subordinado Banco Chile"/>
    <n v="730737933.75"/>
    <n v="-1.3131177910917957E-6"/>
    <s v=""/>
  </r>
  <r>
    <s v="2017-11-19"/>
    <x v="1"/>
    <s v="BSONA-C"/>
    <s v="SONACOL"/>
    <n v="10320555"/>
    <n v="10000000"/>
    <n v="1.8100000000000001E-4"/>
    <n v="4.2"/>
    <s v="2021-12-01"/>
    <n v="1472"/>
    <n v="2.12"/>
    <n v="101.01"/>
    <s v="$"/>
    <s v="Bono Corporativo"/>
    <s v="Energia"/>
    <s v="AA"/>
    <x v="42"/>
    <s v="Bono Sociedad Nacional De Oleoductos"/>
    <n v="21879576.600000001"/>
    <n v="0"/>
    <s v=""/>
  </r>
  <r>
    <s v="2017-11-19"/>
    <x v="1"/>
    <s v="BSTDP40315"/>
    <s v="BBSANT-CHI"/>
    <n v="102960377"/>
    <n v="100000000"/>
    <n v="1.8079999999999999E-3"/>
    <n v="3.95"/>
    <s v="2020-03-01"/>
    <n v="832"/>
    <n v="2.17"/>
    <n v="101.91"/>
    <s v="$"/>
    <s v="Bono Corporativo"/>
    <s v="Financieras"/>
    <s v="AAA"/>
    <x v="10"/>
    <s v="Bono Banco Santander"/>
    <n v="223424018.09"/>
    <n v="8.0410843755080855E-7"/>
    <s v=""/>
  </r>
  <r>
    <s v="2017-11-19"/>
    <x v="1"/>
    <s v="BRPL-K0315"/>
    <s v="BBRIPLEY"/>
    <n v="272688876"/>
    <n v="10000"/>
    <n v="4.7889999999999999E-3"/>
    <n v="1.84"/>
    <s v="2020-03-01"/>
    <n v="832"/>
    <n v="2.2200000000000002"/>
    <n v="101.67"/>
    <s v="UF"/>
    <s v="Bono Corporativo"/>
    <s v="Financieras"/>
    <s v="A+"/>
    <x v="1"/>
    <s v="Bono Bancario Ripley"/>
    <n v="605369304.72000003"/>
    <n v="0"/>
    <s v=""/>
  </r>
  <r>
    <s v="2017-11-19"/>
    <x v="1"/>
    <s v="BPARC-L"/>
    <s v="P.ARAUCO"/>
    <n v="13576226"/>
    <n v="500"/>
    <n v="2.3800000000000001E-4"/>
    <n v="1.71"/>
    <s v="2020-03-01"/>
    <n v="832"/>
    <n v="2.2200000000000002"/>
    <n v="101.3"/>
    <s v="UF"/>
    <s v="Bono Corporativo"/>
    <s v="Consumo"/>
    <s v="AA-"/>
    <x v="43"/>
    <s v="Bono Parque Arauco"/>
    <n v="30139221.720000003"/>
    <n v="0"/>
    <s v=""/>
  </r>
  <r>
    <s v="2017-11-19"/>
    <x v="1"/>
    <s v="BFORU-AX"/>
    <s v="LEAS FORUM"/>
    <n v="443293266"/>
    <n v="430000000"/>
    <n v="7.7860000000000004E-3"/>
    <n v="4.2"/>
    <s v="2020-04-01"/>
    <n v="863"/>
    <n v="2.2400000000000002"/>
    <n v="102.38"/>
    <s v="$"/>
    <s v="Bono Corporativo"/>
    <s v="Financieras"/>
    <s v="AA"/>
    <x v="33"/>
    <s v="Bono Forum Servicios Financieros"/>
    <n v="992976915.84000015"/>
    <n v="-1.7902275497236157E-6"/>
    <s v=""/>
  </r>
  <r>
    <s v="2017-11-19"/>
    <x v="1"/>
    <s v="BCNO-O1114"/>
    <s v="BBCONSORC"/>
    <n v="135204594"/>
    <n v="130000000"/>
    <n v="2.3739999999999998E-3"/>
    <n v="4.25"/>
    <s v="2020-05-01"/>
    <n v="893"/>
    <n v="2.31"/>
    <n v="103.7"/>
    <s v="$"/>
    <s v="Bono Corporativo"/>
    <s v="Financieras"/>
    <s v="AA-"/>
    <x v="5"/>
    <s v="Bono Banco Consorcio"/>
    <n v="312322612.13999999"/>
    <n v="-1.6415809507019402E-6"/>
    <s v=""/>
  </r>
  <r>
    <s v="2017-11-19"/>
    <x v="1"/>
    <s v="BBIC480510"/>
    <s v="BBICE"/>
    <n v="111767527"/>
    <n v="4000"/>
    <n v="1.9629999999999999E-3"/>
    <n v="1.59"/>
    <s v="2020-05-01"/>
    <n v="893"/>
    <n v="2.36"/>
    <n v="104.58"/>
    <s v="UF"/>
    <s v="Bono Corporativo"/>
    <s v="Financieras"/>
    <s v="AA"/>
    <x v="2"/>
    <s v="Bono Bancario Bice 48"/>
    <n v="263771363.72"/>
    <n v="-9.3489239320993635E-7"/>
    <s v=""/>
  </r>
  <r>
    <s v="2017-11-19"/>
    <x v="1"/>
    <s v="BFAL-A0510"/>
    <s v="BBFALABELL"/>
    <n v="166399835"/>
    <n v="6000"/>
    <n v="2.9220000000000001E-3"/>
    <n v="1.66"/>
    <s v="2020-05-15"/>
    <n v="907"/>
    <n v="2.41"/>
    <n v="103.93"/>
    <s v="UF"/>
    <s v="Bono Corporativo"/>
    <s v="Financieras"/>
    <s v="AA"/>
    <x v="44"/>
    <s v="Bono Banco Falabella"/>
    <n v="401023602.35000002"/>
    <n v="0"/>
    <s v=""/>
  </r>
  <r>
    <s v="2017-11-19"/>
    <x v="1"/>
    <s v="BFAL-F0615"/>
    <s v="BBFALABELL"/>
    <n v="10503277"/>
    <n v="10000000"/>
    <n v="1.84E-4"/>
    <n v="4.2699999999999996"/>
    <s v="2020-06-30"/>
    <n v="953"/>
    <n v="2.42"/>
    <n v="102.87"/>
    <s v="$"/>
    <s v="Bono Corporativo"/>
    <s v="Financieras"/>
    <s v="AA"/>
    <x v="44"/>
    <s v="Bono Banco Falabella"/>
    <n v="25417930.34"/>
    <n v="0"/>
    <s v=""/>
  </r>
  <r>
    <s v="2017-11-19"/>
    <x v="1"/>
    <s v="BSECZ10715"/>
    <s v="BBSECURITY"/>
    <n v="104835401"/>
    <n v="100000000"/>
    <n v="1.841E-3"/>
    <n v="4.1399999999999997"/>
    <s v="2020-07-01"/>
    <n v="954"/>
    <n v="2.4300000000000002"/>
    <n v="102.76"/>
    <s v="$"/>
    <s v="Bono Corporativo"/>
    <s v="Financieras"/>
    <s v="AA-"/>
    <x v="7"/>
    <s v="Bono Banco Security"/>
    <n v="254750024.43000001"/>
    <n v="-4.5828250553491484E-7"/>
    <s v=""/>
  </r>
  <r>
    <s v="2017-11-19"/>
    <x v="1"/>
    <s v="BSECB40615"/>
    <s v="BBSECURITY"/>
    <n v="655353147"/>
    <n v="24000"/>
    <n v="1.1509999999999999E-2"/>
    <n v="1.72"/>
    <s v="2020-06-01"/>
    <n v="924"/>
    <n v="2.4500000000000002"/>
    <n v="101.31"/>
    <s v="UF"/>
    <s v="Bono Corporativo"/>
    <s v="Financieras"/>
    <s v="AA-"/>
    <x v="7"/>
    <s v="Bono Banco Security"/>
    <n v="1605615210.1500001"/>
    <n v="-2.8857655634376616E-6"/>
    <s v=""/>
  </r>
  <r>
    <s v="2017-11-19"/>
    <x v="1"/>
    <s v="BCORAI0710"/>
    <s v="BBCORPBANC"/>
    <n v="278604383"/>
    <n v="10000"/>
    <n v="4.8929999999999998E-3"/>
    <n v="1.71"/>
    <s v="2020-07-01"/>
    <n v="954"/>
    <n v="2.5099999999999998"/>
    <n v="103.26"/>
    <s v="UF"/>
    <s v="Bono Corporativo"/>
    <s v="Financieras"/>
    <s v="AA"/>
    <x v="11"/>
    <s v="Bono Corpbanca"/>
    <n v="699297001.32999992"/>
    <n v="1.0038301587144219E-5"/>
    <s v=""/>
  </r>
  <r>
    <s v="2017-11-19"/>
    <x v="1"/>
    <s v="BCORBW0914"/>
    <s v="BBCORPBANC"/>
    <n v="155552492"/>
    <n v="150000000"/>
    <n v="2.7320000000000001E-3"/>
    <n v="4.03"/>
    <s v="2020-09-01"/>
    <n v="1016"/>
    <n v="2.61"/>
    <n v="102.6"/>
    <s v="$"/>
    <s v="Bono Corporativo"/>
    <s v="Financieras"/>
    <s v="AA"/>
    <x v="11"/>
    <s v="Bono Corpbanca"/>
    <n v="405992004.12"/>
    <n v="0"/>
    <s v=""/>
  </r>
  <r>
    <s v="2017-11-19"/>
    <x v="1"/>
    <s v="SANT0920"/>
    <s v="SANT-CHILE"/>
    <n v="647548658"/>
    <n v="635000000"/>
    <n v="1.1372999999999999E-2"/>
    <n v="0"/>
    <s v="2020-09-22"/>
    <n v="1037"/>
    <n v="2.61"/>
    <n v="100.947"/>
    <s v="$"/>
    <s v="Bono Corporativo"/>
    <s v="Financieras"/>
    <s v="AAA"/>
    <x v="10"/>
    <s v="Bono Banco Santander"/>
    <n v="1690101997.3799999"/>
    <n v="0"/>
    <e v="#N/A"/>
  </r>
  <r>
    <s v="2017-11-19"/>
    <x v="1"/>
    <s v="BFORU-AZ"/>
    <s v="LEAS FORUM"/>
    <n v="269847684"/>
    <n v="10000"/>
    <n v="4.7390000000000002E-3"/>
    <n v="2"/>
    <s v="2020-08-01"/>
    <n v="985"/>
    <n v="2.62"/>
    <n v="100.51"/>
    <s v="UF"/>
    <s v="Bono Corporativo"/>
    <s v="Financieras"/>
    <s v="AA"/>
    <x v="33"/>
    <s v="Bono Forum Servicios Financieros"/>
    <n v="707000932.08000004"/>
    <n v="1.2682988467410427E-6"/>
    <s v=""/>
  </r>
  <r>
    <s v="2017-11-19"/>
    <x v="1"/>
    <s v="BTANN-X"/>
    <s v="TANNER SF"/>
    <n v="416419102"/>
    <n v="15000"/>
    <n v="7.3140000000000002E-3"/>
    <n v="2.48"/>
    <s v="2020-09-10"/>
    <n v="1025"/>
    <n v="2.68"/>
    <n v="103.34"/>
    <s v="UF"/>
    <s v="Bono Corporativo"/>
    <s v="Financieras"/>
    <s v="A+"/>
    <x v="45"/>
    <s v="Bono Tanner"/>
    <n v="1116003193.3600001"/>
    <n v="0"/>
    <e v="#N/A"/>
  </r>
  <r>
    <s v="2017-11-19"/>
    <x v="1"/>
    <s v="BSTDP80315"/>
    <s v="BBSANT-CHI"/>
    <n v="108901096"/>
    <n v="4000"/>
    <n v="1.9120000000000001E-3"/>
    <n v="1.67"/>
    <s v="2020-09-01"/>
    <n v="1016"/>
    <n v="2.7"/>
    <n v="101.58"/>
    <s v="UF"/>
    <s v="Bono Corporativo"/>
    <s v="Financieras"/>
    <s v="AAA"/>
    <x v="10"/>
    <s v="Bono Banco Santander"/>
    <n v="294032959.20000005"/>
    <n v="-1.0551273178220736E-6"/>
    <s v=""/>
  </r>
  <r>
    <s v="2017-11-19"/>
    <x v="1"/>
    <s v="BCNO-U0915"/>
    <s v="BBCONSORC"/>
    <n v="473901628"/>
    <n v="17500"/>
    <n v="8.3230000000000005E-3"/>
    <n v="1.91"/>
    <s v="2020-09-01"/>
    <n v="1016"/>
    <n v="2.7"/>
    <n v="101.03"/>
    <s v="UF"/>
    <s v="Bono Corporativo"/>
    <s v="Financieras"/>
    <s v="AA-"/>
    <x v="5"/>
    <s v="Bono Banco Consorcio"/>
    <n v="1279534395.6000001"/>
    <n v="2.2952516028623577E-6"/>
    <s v=""/>
  </r>
  <r>
    <s v="2017-11-19"/>
    <x v="1"/>
    <s v="BCAJ-L1215"/>
    <s v="LOS ANDES"/>
    <n v="573107444"/>
    <n v="20000"/>
    <n v="1.0066E-2"/>
    <n v="2.06"/>
    <s v="2020-12-01"/>
    <n v="1107"/>
    <n v="2.84"/>
    <n v="105.48"/>
    <s v="UF"/>
    <s v="Bono Corporativo"/>
    <s v="Financieras"/>
    <s v="AA-"/>
    <x v="18"/>
    <s v="Bono Caja Los Andes"/>
    <n v="1627625140.9599998"/>
    <n v="-2.9182226858490513E-6"/>
    <s v=""/>
  </r>
  <r>
    <s v="2017-11-19"/>
    <x v="1"/>
    <s v="BBIC640116"/>
    <s v="BBICE"/>
    <n v="232832533"/>
    <n v="220000000"/>
    <n v="4.0889999999999998E-3"/>
    <n v="4.25"/>
    <s v="2021-01-01"/>
    <n v="1138"/>
    <n v="2.85"/>
    <n v="103.64"/>
    <s v="$"/>
    <s v="Bono Corporativo"/>
    <s v="Financieras"/>
    <s v="AA"/>
    <x v="2"/>
    <s v="Bono Banco Bice"/>
    <n v="663572719.05000007"/>
    <n v="-2.3819685445041176E-6"/>
    <s v=""/>
  </r>
  <r>
    <s v="2017-11-19"/>
    <x v="1"/>
    <s v="BSTDR40915"/>
    <s v="BBSANT-CHI"/>
    <n v="210537306"/>
    <n v="200000000"/>
    <n v="3.6970000000000002E-3"/>
    <n v="4.2"/>
    <s v="2021-03-01"/>
    <n v="1197"/>
    <n v="3.02"/>
    <n v="104.04"/>
    <s v="$"/>
    <s v="Bono Corporativo"/>
    <s v="Financieras"/>
    <s v="AAA"/>
    <x v="10"/>
    <s v="Bono Banco Santander"/>
    <n v="635822664.12"/>
    <n v="0"/>
    <s v=""/>
  </r>
  <r>
    <s v="2017-11-19"/>
    <x v="1"/>
    <s v="BTP0450321"/>
    <s v="BTP"/>
    <n v="1526200607"/>
    <n v="1475000000"/>
    <n v="2.6806E-2"/>
    <n v="3.72"/>
    <s v="2021-03-01"/>
    <n v="1197"/>
    <n v="3.06"/>
    <n v="102.48"/>
    <s v="$"/>
    <s v="Bono de Gobierno"/>
    <s v="Gobierno"/>
    <s v="AAA"/>
    <x v="35"/>
    <s v="Bono Tesorería en CLP"/>
    <n v="4670173857.4200001"/>
    <n v="-8.3577816906427889E-6"/>
    <s v=""/>
  </r>
  <r>
    <s v="2017-11-19"/>
    <x v="1"/>
    <s v="BCHIS-P18A"/>
    <s v="BANCHILSEC"/>
    <n v="287859870"/>
    <n v="280000000"/>
    <n v="5.0559999999999997E-3"/>
    <n v="5.48"/>
    <s v="2022-03-01"/>
    <n v="1562"/>
    <n v="3.07"/>
    <n v="101.52"/>
    <s v="$"/>
    <s v="Bono Corporativo"/>
    <s v="Financieras"/>
    <s v="AA"/>
    <x v="46"/>
    <s v="Bono Banchile Securitizadora"/>
    <n v="883729800.89999998"/>
    <n v="-1.5814167209809075E-6"/>
    <s v=""/>
  </r>
  <r>
    <s v="2017-11-19"/>
    <x v="1"/>
    <s v="BENGE-B"/>
    <s v="ENLASA"/>
    <n v="184611074"/>
    <n v="11000"/>
    <n v="3.2420000000000001E-3"/>
    <n v="1.92"/>
    <s v="2023-11-15"/>
    <n v="2186"/>
    <n v="3.09"/>
    <n v="104.83"/>
    <s v="UF"/>
    <s v="Bono Corporativo"/>
    <s v="Servicios Basicos"/>
    <s v="AA"/>
    <x v="36"/>
    <s v="Bono Enlasa Generacion"/>
    <n v="570448218.65999997"/>
    <n v="9.280114451348259E-7"/>
    <s v=""/>
  </r>
  <r>
    <s v="2017-11-19"/>
    <x v="1"/>
    <s v="BTU0150321"/>
    <s v="BTU"/>
    <n v="2702914439"/>
    <n v="100000"/>
    <n v="4.7474000000000002E-2"/>
    <n v="1.19"/>
    <s v="2021-03-01"/>
    <n v="1197"/>
    <n v="3.2"/>
    <n v="101"/>
    <s v="UF"/>
    <s v="Bono de Gobierno"/>
    <s v="Gobierno"/>
    <s v="AAA"/>
    <x v="35"/>
    <s v="Bono Tesorería en UF"/>
    <n v="8649326204.8000011"/>
    <n v="0"/>
    <s v=""/>
  </r>
  <r>
    <s v="2017-11-19"/>
    <x v="1"/>
    <s v="BCAPS-G"/>
    <s v="CAP"/>
    <n v="148957896"/>
    <n v="5000"/>
    <n v="2.6159999999999998E-3"/>
    <n v="3.42"/>
    <s v="2021-07-01"/>
    <n v="1319"/>
    <n v="3.24"/>
    <n v="109.1"/>
    <s v="UF"/>
    <s v="Bono Corporativo"/>
    <s v="Industriales"/>
    <s v="A+"/>
    <x v="47"/>
    <s v="Bono CAP"/>
    <n v="482623583.04000002"/>
    <n v="0"/>
    <s v=""/>
  </r>
  <r>
    <s v="2017-11-19"/>
    <x v="1"/>
    <s v="UEST-A0799"/>
    <s v="BBESTADO"/>
    <n v="388738884"/>
    <n v="25000"/>
    <n v="6.8269999999999997E-3"/>
    <n v="2.13"/>
    <s v="2024-07-01"/>
    <n v="2415"/>
    <n v="3.28"/>
    <n v="114.3"/>
    <s v="UF"/>
    <s v="Bono Corporativo"/>
    <s v="Financieras"/>
    <s v="AA"/>
    <x v="3"/>
    <s v="Bono Banco Estado"/>
    <n v="1275063539.52"/>
    <n v="4.5484902464915113E-6"/>
    <s v=""/>
  </r>
  <r>
    <s v="2017-11-19"/>
    <x v="1"/>
    <s v="BBBVJ71215"/>
    <s v="BBBVA"/>
    <n v="564046950"/>
    <n v="20000"/>
    <n v="9.9069999999999991E-3"/>
    <n v="1.7"/>
    <s v="2021-06-09"/>
    <n v="1297"/>
    <n v="3.36"/>
    <n v="104.35"/>
    <s v="UF"/>
    <s v="Bono Corporativo"/>
    <s v="Financieras"/>
    <s v="AA"/>
    <x v="0"/>
    <s v="Bono Banco BBVA"/>
    <n v="1895197752"/>
    <n v="2.7071470165182624E-5"/>
    <s v=""/>
  </r>
  <r>
    <s v="2017-11-19"/>
    <x v="1"/>
    <s v="BFALA-O"/>
    <s v="FALAB.SACI"/>
    <n v="204854152"/>
    <n v="200000000"/>
    <n v="3.5980000000000001E-3"/>
    <n v="4.5"/>
    <s v="2022-04-15"/>
    <n v="1607"/>
    <n v="3.37"/>
    <n v="101.94"/>
    <s v="$"/>
    <s v="Bono Corporativo"/>
    <s v="Consumo"/>
    <s v="AA"/>
    <x v="38"/>
    <s v="Bono Falabella"/>
    <n v="690358492.24000001"/>
    <n v="0"/>
    <s v=""/>
  </r>
  <r>
    <s v="2017-11-19"/>
    <x v="1"/>
    <s v="UBCIF10599"/>
    <s v="BBCREDITO"/>
    <n v="283862239"/>
    <n v="20000"/>
    <n v="4.9849999999999998E-3"/>
    <n v="1.87"/>
    <s v="2024-05-01"/>
    <n v="2354"/>
    <n v="3.38"/>
    <n v="115.83"/>
    <s v="UF"/>
    <s v="Bono Corporativo"/>
    <s v="Financieras"/>
    <s v="AA-"/>
    <x v="9"/>
    <s v="Bono Subordinado Bci"/>
    <n v="959454367.81999993"/>
    <n v="1.5814784328399476E-6"/>
    <e v="#N/A"/>
  </r>
  <r>
    <s v="2017-11-19"/>
    <x v="1"/>
    <s v="BTANN-Z"/>
    <s v="TANNER SF"/>
    <n v="609793540"/>
    <n v="22000"/>
    <n v="1.0710000000000001E-2"/>
    <n v="2.4500000000000002"/>
    <s v="2021-07-05"/>
    <n v="1323"/>
    <n v="3.41"/>
    <n v="102.68"/>
    <s v="UF"/>
    <s v="Bono Corporativo"/>
    <s v="Financieras"/>
    <s v="A+"/>
    <x v="45"/>
    <s v="Bono SF Tanner S.A."/>
    <n v="2079395971.4000001"/>
    <n v="0"/>
    <e v="#N/A"/>
  </r>
  <r>
    <s v="2017-11-19"/>
    <x v="1"/>
    <s v="BCAPS-H"/>
    <s v="CAP"/>
    <n v="595948613"/>
    <n v="20000"/>
    <n v="1.0467000000000001E-2"/>
    <n v="3.24"/>
    <s v="2021-09-01"/>
    <n v="1381"/>
    <n v="3.41"/>
    <n v="110.25"/>
    <s v="UF"/>
    <s v="Bono Corporativo"/>
    <s v="Industriales"/>
    <s v="A+"/>
    <x v="47"/>
    <s v="Bono CAP"/>
    <n v="2032184770.3300002"/>
    <n v="-3.6301089852755013E-6"/>
    <s v=""/>
  </r>
  <r>
    <s v="2017-11-19"/>
    <x v="1"/>
    <s v="BCORBX0914"/>
    <s v="BBCORPBANC"/>
    <n v="310529248"/>
    <n v="300000000"/>
    <n v="5.4539999999999996E-3"/>
    <n v="4.34"/>
    <s v="2021-09-01"/>
    <n v="1381"/>
    <n v="3.46"/>
    <n v="102.41"/>
    <s v="$"/>
    <s v="Bono Corporativo"/>
    <s v="Financieras"/>
    <s v="AA"/>
    <x v="11"/>
    <s v="Bono Corpbanca"/>
    <n v="1074431198.0799999"/>
    <n v="-3.8392899246950728E-6"/>
    <e v="#N/A"/>
  </r>
  <r>
    <s v="2017-11-19"/>
    <x v="1"/>
    <s v="BINDE-A"/>
    <s v="CFIRENTAS"/>
    <n v="679702415"/>
    <n v="25000"/>
    <n v="1.1938000000000001E-2"/>
    <n v="1.97"/>
    <s v="2021-07-15"/>
    <n v="1333"/>
    <n v="3.5"/>
    <n v="101.13"/>
    <s v="UF"/>
    <s v="Bono Corporativo"/>
    <s v="Construccion"/>
    <s v="AA-"/>
    <x v="48"/>
    <s v="Bono Fondo de Inversion Independencia Rentas Inmobiliarias"/>
    <n v="2378958452.5"/>
    <n v="0"/>
    <e v="#N/A"/>
  </r>
  <r>
    <s v="2017-11-19"/>
    <x v="1"/>
    <s v="BTMOV-K"/>
    <s v="MOVISTAR"/>
    <n v="614429401"/>
    <n v="600000000"/>
    <n v="1.0791E-2"/>
    <n v="4.45"/>
    <s v="2021-09-13"/>
    <n v="1393"/>
    <n v="3.5"/>
    <n v="101.51"/>
    <s v="$"/>
    <s v="Bono Corporativo"/>
    <s v="Comunicaciones"/>
    <s v="AA"/>
    <x v="34"/>
    <s v="Bono Movistar"/>
    <n v="2150502903.5"/>
    <n v="-3.8416777571481559E-6"/>
    <s v=""/>
  </r>
  <r>
    <s v="2017-11-19"/>
    <x v="1"/>
    <s v="BSECB50816"/>
    <s v="BBSECURITY"/>
    <n v="411476261"/>
    <n v="15000"/>
    <n v="7.2269999999999999E-3"/>
    <n v="1.81"/>
    <s v="2021-08-01"/>
    <n v="1350"/>
    <n v="3.54"/>
    <n v="102.11"/>
    <s v="UF"/>
    <s v="Bono Corporativo"/>
    <s v="Financieras"/>
    <s v="AA-"/>
    <x v="7"/>
    <s v="Bono Banco Security"/>
    <n v="1456625963.9400001"/>
    <n v="-2.5985440524136362E-6"/>
    <e v="#N/A"/>
  </r>
  <r>
    <s v="2017-11-19"/>
    <x v="1"/>
    <s v="BITA-K0911"/>
    <s v="BBITAU"/>
    <n v="142406744"/>
    <n v="5000"/>
    <n v="2.5010000000000002E-3"/>
    <n v="1.82"/>
    <s v="2021-09-01"/>
    <n v="1381"/>
    <n v="3.56"/>
    <n v="105.99"/>
    <s v="UF"/>
    <s v="Bono Corporativo"/>
    <s v="Financieras"/>
    <s v="AA"/>
    <x v="11"/>
    <s v="Bono Banco Itaucorp"/>
    <n v="506968008.63999999"/>
    <n v="2.7139174185032081E-6"/>
    <s v=""/>
  </r>
  <r>
    <s v="2017-11-19"/>
    <x v="1"/>
    <s v="BFORU-BA"/>
    <s v="LEAS FORUM"/>
    <n v="510628586"/>
    <n v="500000000"/>
    <n v="8.9680000000000003E-3"/>
    <n v="4.62"/>
    <s v="2021-10-15"/>
    <n v="1425"/>
    <n v="3.58"/>
    <n v="101.64"/>
    <s v="$"/>
    <s v="Bono Corporativo"/>
    <s v="Financieras"/>
    <s v="AA"/>
    <x v="33"/>
    <s v="Bono Forum Servicios Financieros"/>
    <n v="1828050337.8800001"/>
    <n v="-3.2619746269046027E-6"/>
    <e v="#N/A"/>
  </r>
  <r>
    <s v="2017-11-19"/>
    <x v="1"/>
    <s v="BFALA-Q"/>
    <s v="FALAB.SACI"/>
    <n v="524259135"/>
    <n v="500000000"/>
    <n v="9.2079999999999992E-3"/>
    <n v="4.42"/>
    <s v="2021-11-25"/>
    <n v="1466"/>
    <n v="3.6"/>
    <n v="102.33"/>
    <s v="$"/>
    <s v="Bono Corporativo"/>
    <s v="Consumo"/>
    <s v="AA"/>
    <x v="38"/>
    <s v="Bono Falabella"/>
    <n v="1887332886"/>
    <n v="-6.74418535030924E-6"/>
    <e v="#N/A"/>
  </r>
  <r>
    <s v="2017-11-19"/>
    <x v="1"/>
    <s v="BCAJ-V0917"/>
    <s v="LOS ANDES"/>
    <n v="299226266"/>
    <n v="300000000"/>
    <n v="5.2550000000000001E-3"/>
    <n v="5.07"/>
    <s v="2022-09-25"/>
    <n v="1770"/>
    <n v="3.74"/>
    <n v="99.04"/>
    <s v="$"/>
    <s v="Bono Corporativo"/>
    <s v="Financieras"/>
    <s v="AA-"/>
    <x v="18"/>
    <s v="Bono Caja Los Andes"/>
    <n v="1119106234.8400002"/>
    <n v="-1.9935116235314852E-6"/>
    <e v="#N/A"/>
  </r>
  <r>
    <s v="2017-11-19"/>
    <x v="1"/>
    <s v="BANOR-B2"/>
    <s v="AUTONORTE"/>
    <n v="292326272"/>
    <n v="10000"/>
    <n v="5.1339999999999997E-3"/>
    <n v="1.89"/>
    <s v="2024-12-30"/>
    <n v="2597"/>
    <n v="3.75"/>
    <n v="114.48"/>
    <s v="UF"/>
    <s v="Bono Corporativo"/>
    <s v="Concesionaria"/>
    <s v="AAA"/>
    <x v="49"/>
    <s v="Autopista Norte"/>
    <n v="1096223520"/>
    <n v="0"/>
    <s v=""/>
  </r>
  <r>
    <s v="2017-11-19"/>
    <x v="1"/>
    <s v="BSECZ20816"/>
    <s v="BBSECURITY"/>
    <n v="1047869914"/>
    <n v="1000000000"/>
    <n v="1.8405000000000001E-2"/>
    <n v="4.5"/>
    <s v="2022-02-01"/>
    <n v="1534"/>
    <n v="3.77"/>
    <n v="103.14"/>
    <s v="$"/>
    <s v="Bono Corporativo"/>
    <s v="Financieras"/>
    <s v="AA-"/>
    <x v="7"/>
    <s v="Bono Banco Security"/>
    <n v="3950469575.7800002"/>
    <n v="-1.4099115108781309E-5"/>
    <e v="#N/A"/>
  </r>
  <r>
    <s v="2017-11-19"/>
    <x v="1"/>
    <s v="BBANM-Q"/>
    <s v="BANMEDICA"/>
    <n v="547318856"/>
    <n v="20000"/>
    <n v="9.613E-3"/>
    <n v="2.14"/>
    <s v="2023-12-01"/>
    <n v="2202"/>
    <n v="4.03"/>
    <n v="101.42"/>
    <s v="UF"/>
    <s v="Bono Corporativo"/>
    <s v="Salud"/>
    <s v="AA-"/>
    <x v="24"/>
    <s v="Bono Banmedica"/>
    <n v="2205694989.6800003"/>
    <n v="0"/>
    <s v=""/>
  </r>
  <r>
    <s v="2017-11-19"/>
    <x v="1"/>
    <s v="BINT-G0617"/>
    <s v="BBINTERNAC"/>
    <n v="711432207"/>
    <n v="700000000"/>
    <n v="1.2494999999999999E-2"/>
    <n v="4.6100000000000003"/>
    <s v="2022-06-01"/>
    <n v="1654"/>
    <n v="4.07"/>
    <n v="99.56"/>
    <s v="$"/>
    <s v="Bono Corporativo"/>
    <s v="Financieras"/>
    <s v="A+"/>
    <x v="12"/>
    <s v="Bono Banco Internacional"/>
    <n v="2895529082.4900002"/>
    <n v="0"/>
    <e v="#N/A"/>
  </r>
  <r>
    <s v="2017-11-19"/>
    <x v="1"/>
    <s v="BSTDE60412"/>
    <s v="BBSANT-CHI"/>
    <n v="461080071"/>
    <n v="16000"/>
    <n v="8.0979999999999993E-3"/>
    <n v="1.7"/>
    <s v="2022-04-01"/>
    <n v="1593"/>
    <n v="4.08"/>
    <n v="107.53"/>
    <s v="UF"/>
    <s v="Bono Corporativo"/>
    <s v="Financieras"/>
    <s v="AAA"/>
    <x v="10"/>
    <s v="Bono Banco Santander"/>
    <n v="1881206689.6800001"/>
    <n v="6.6981042571342039E-6"/>
    <s v=""/>
  </r>
  <r>
    <s v="2017-11-19"/>
    <x v="1"/>
    <s v="BFORU-BF"/>
    <s v="LEAS FORUM"/>
    <n v="241417897"/>
    <n v="9000"/>
    <n v="4.2399999999999998E-3"/>
    <n v="1.86"/>
    <s v="2022-03-01"/>
    <n v="1562"/>
    <n v="4.1100000000000003"/>
    <n v="100.16"/>
    <s v="UF"/>
    <s v="Bono Corporativo"/>
    <s v="Financieras"/>
    <s v="AA"/>
    <x v="33"/>
    <s v="Bono Forum Servicios Financieros"/>
    <n v="992227556.67000008"/>
    <n v="1.061063918558554E-5"/>
    <e v="#N/A"/>
  </r>
  <r>
    <s v="2017-11-19"/>
    <x v="1"/>
    <s v="BECOP-H"/>
    <s v="COPEC"/>
    <n v="506720012"/>
    <n v="500000000"/>
    <n v="8.8999999999999999E-3"/>
    <n v="4.62"/>
    <s v="2023-09-15"/>
    <n v="2125"/>
    <n v="4.12"/>
    <n v="100.51"/>
    <s v="$"/>
    <s v="Bono Corporativo"/>
    <s v="Materiales Basicos"/>
    <s v="AA-"/>
    <x v="50"/>
    <s v="Bono Empresas Copec"/>
    <n v="2087686449.4400001"/>
    <n v="-7.440410627562643E-6"/>
    <s v=""/>
  </r>
  <r>
    <s v="2017-11-19"/>
    <x v="1"/>
    <s v="BITAAF0614"/>
    <s v="BBITAU"/>
    <n v="203229589"/>
    <n v="7000"/>
    <n v="3.5690000000000001E-3"/>
    <n v="1.81"/>
    <s v="2022-06-01"/>
    <n v="1654"/>
    <n v="4.18"/>
    <n v="107.1"/>
    <s v="UF"/>
    <s v="Bono Corporativo"/>
    <s v="Financieras"/>
    <s v="AA"/>
    <x v="11"/>
    <s v="Bono Banco Itaucorp"/>
    <n v="849499682.01999998"/>
    <n v="0"/>
    <s v=""/>
  </r>
  <r>
    <s v="2017-11-19"/>
    <x v="1"/>
    <s v="UCHID10402"/>
    <s v="BBCHILE"/>
    <n v="286955147"/>
    <n v="15000"/>
    <n v="5.0400000000000002E-3"/>
    <n v="2.0499999999999998"/>
    <s v="2026-04-01"/>
    <n v="3054"/>
    <n v="4.24"/>
    <n v="110.4"/>
    <s v="UF"/>
    <s v="Bono Corporativo"/>
    <s v="Financieras"/>
    <s v="AA"/>
    <x v="16"/>
    <s v="Bono Subordinado Banco Chile"/>
    <n v="1216689823.28"/>
    <n v="0"/>
    <s v=""/>
  </r>
  <r>
    <s v="2017-11-19"/>
    <x v="1"/>
    <s v="BCFSA-C"/>
    <s v="CONSOR FIN"/>
    <n v="525960107"/>
    <n v="20000"/>
    <n v="9.2379999999999997E-3"/>
    <n v="2.0699999999999998"/>
    <s v="2022-05-15"/>
    <n v="1637"/>
    <n v="4.33"/>
    <n v="97.6"/>
    <s v="UF"/>
    <s v="Bono Corporativo"/>
    <s v="Financieras"/>
    <s v="AA-"/>
    <x v="51"/>
    <s v="Bono Consorcio Financiero"/>
    <n v="2277407263.3099999"/>
    <n v="8.0997212231538984E-6"/>
    <e v="#N/A"/>
  </r>
  <r>
    <s v="2017-11-19"/>
    <x v="1"/>
    <s v="BJUMB-B2"/>
    <s v="JUMBO"/>
    <n v="470586564"/>
    <n v="20000"/>
    <n v="8.2649999999999998E-3"/>
    <n v="1.98"/>
    <s v="2026-09-01"/>
    <n v="3207"/>
    <n v="4.5599999999999996"/>
    <n v="121.11"/>
    <s v="UF"/>
    <s v="Bono Corporativo"/>
    <s v="Retail"/>
    <s v="AA-"/>
    <x v="14"/>
    <s v="Bono Jumbo"/>
    <n v="2145874731.8399999"/>
    <n v="7.6161986720978402E-6"/>
    <s v=""/>
  </r>
  <r>
    <s v="2017-11-19"/>
    <x v="1"/>
    <s v="BACEN-A1"/>
    <s v="AUTOCENTRA"/>
    <n v="545627754"/>
    <n v="20000"/>
    <n v="9.5829999999999995E-3"/>
    <n v="1.92"/>
    <s v="2026-12-15"/>
    <n v="3312"/>
    <n v="4.59"/>
    <n v="115.64"/>
    <s v="UF"/>
    <s v="Bono Corporativo"/>
    <s v="Concesionaria"/>
    <s v="AA"/>
    <x v="52"/>
    <s v="Bono Autopista Central"/>
    <n v="2504431390.8600001"/>
    <n v="0"/>
    <s v=""/>
  </r>
  <r>
    <s v="2017-11-19"/>
    <x v="1"/>
    <s v="BESVA-D1"/>
    <s v="ESVAL"/>
    <n v="208600418"/>
    <n v="10000"/>
    <n v="3.663E-3"/>
    <n v="2.09"/>
    <s v="2027-06-01"/>
    <n v="3480"/>
    <n v="4.62"/>
    <n v="118.23"/>
    <s v="UF"/>
    <s v="Bono Corporativo"/>
    <s v="Servicios Basicos"/>
    <s v="AA"/>
    <x v="53"/>
    <s v="Bono Esval"/>
    <n v="963733931.15999997"/>
    <n v="0"/>
    <s v=""/>
  </r>
  <r>
    <s v="2017-11-19"/>
    <x v="1"/>
    <s v="BESAL-B"/>
    <s v="ESSAL"/>
    <n v="188444296"/>
    <n v="10000"/>
    <n v="3.3089999999999999E-3"/>
    <n v="1.99"/>
    <s v="2028-06-01"/>
    <n v="3846"/>
    <n v="4.6500000000000004"/>
    <n v="118.74"/>
    <s v="UF"/>
    <s v="Bono Corporativo"/>
    <s v="Servicios Basicos"/>
    <s v="AA+"/>
    <x v="54"/>
    <s v="Bono Essal"/>
    <n v="876265976.4000001"/>
    <n v="3.0938359087172685E-6"/>
    <s v=""/>
  </r>
  <r>
    <s v="2017-11-19"/>
    <x v="1"/>
    <s v="UEST-C0405"/>
    <s v="BBESTADO"/>
    <n v="290255749"/>
    <n v="15000"/>
    <n v="5.0980000000000001E-3"/>
    <n v="2.13"/>
    <s v="2027-04-01"/>
    <n v="3419"/>
    <n v="4.71"/>
    <n v="111.17"/>
    <s v="UF"/>
    <s v="Bono Corporativo"/>
    <s v="Financieras"/>
    <s v="AA"/>
    <x v="3"/>
    <s v="Bono Subordinado Banco Estado"/>
    <n v="1367104577.79"/>
    <n v="4.8537148505969847E-6"/>
    <s v=""/>
  </r>
  <r>
    <s v="2017-11-19"/>
    <x v="1"/>
    <s v="BCHIUS0212"/>
    <s v="BBCHILE"/>
    <n v="260595739"/>
    <n v="9000"/>
    <n v="4.5770000000000003E-3"/>
    <n v="1.85"/>
    <s v="2023-02-01"/>
    <n v="1899"/>
    <n v="4.79"/>
    <n v="107.46"/>
    <s v="UF"/>
    <s v="Bono Corporativo"/>
    <s v="Financieras"/>
    <s v="AAA"/>
    <x v="16"/>
    <s v="Bono Banco Chile"/>
    <n v="1248253589.8099999"/>
    <n v="-6.6510271309435179E-6"/>
    <s v=""/>
  </r>
  <r>
    <s v="2017-11-19"/>
    <x v="1"/>
    <s v="BANSM-A"/>
    <s v="AGUAS NSUR"/>
    <n v="619880813"/>
    <n v="22000"/>
    <n v="1.0887000000000001E-2"/>
    <n v="1.95"/>
    <s v="2028-03-21"/>
    <n v="3774"/>
    <n v="4.8600000000000003"/>
    <n v="109.97"/>
    <s v="UF"/>
    <s v="Bono Corporativo"/>
    <s v="Utilities"/>
    <s v="AA+"/>
    <x v="55"/>
    <s v="Bono Aguas Nuevo Sur"/>
    <n v="3012620751.1800003"/>
    <n v="0"/>
    <s v=""/>
  </r>
  <r>
    <s v="2017-11-19"/>
    <x v="1"/>
    <s v="BCAJ-U0517"/>
    <s v="LOS ANDES"/>
    <n v="265137733"/>
    <n v="10000"/>
    <n v="4.6560000000000004E-3"/>
    <n v="2.39"/>
    <s v="2024-05-05"/>
    <n v="2358"/>
    <n v="4.93"/>
    <n v="99.32"/>
    <s v="UF"/>
    <s v="Bono Corporativo"/>
    <s v="Financieras"/>
    <s v="AA-"/>
    <x v="18"/>
    <s v="Bono Caja Los Andes"/>
    <n v="1307129023.6899998"/>
    <n v="2.2977884439702343E-6"/>
    <e v="#N/A"/>
  </r>
  <r>
    <s v="2017-11-19"/>
    <x v="1"/>
    <s v="BANUE-A"/>
    <s v="AGUAS NUEV"/>
    <n v="555626472"/>
    <n v="20000"/>
    <n v="9.7590000000000003E-3"/>
    <n v="2.1800000000000002"/>
    <s v="2028-05-15"/>
    <n v="3829"/>
    <n v="4.99"/>
    <n v="109.06"/>
    <s v="UF"/>
    <s v="Bono Corporativo"/>
    <s v="Servicios Basicos"/>
    <s v="AA-"/>
    <x v="55"/>
    <s v="Bono Aguas Nuevas"/>
    <n v="2772576095.2800002"/>
    <n v="0"/>
    <s v=""/>
  </r>
  <r>
    <s v="2017-11-19"/>
    <x v="1"/>
    <s v="UFAL-A0607"/>
    <s v="BBFALABELL"/>
    <n v="513581912"/>
    <n v="21000"/>
    <n v="9.0200000000000002E-3"/>
    <n v="2.2799999999999998"/>
    <s v="2028-06-15"/>
    <n v="3860"/>
    <n v="5.09"/>
    <n v="108.7"/>
    <s v="UF"/>
    <s v="Bono Corporativo"/>
    <s v="Financieras"/>
    <s v="A+"/>
    <x v="44"/>
    <s v="Bono Subordinado Banco Falabella"/>
    <n v="2614131932.0799999"/>
    <n v="4.6433729475479622E-6"/>
    <s v=""/>
  </r>
  <r>
    <s v="2017-11-19"/>
    <x v="1"/>
    <s v="BTMOV-F"/>
    <s v="MOVISTAR"/>
    <n v="579503153"/>
    <n v="20000"/>
    <n v="1.0178E-2"/>
    <n v="2.09"/>
    <s v="2023-10-04"/>
    <n v="2144"/>
    <n v="5.35"/>
    <n v="108.15"/>
    <s v="UF"/>
    <s v="Bono Corporativo"/>
    <s v="Comunicaciones"/>
    <s v="AA"/>
    <x v="34"/>
    <s v="Bono Movistar"/>
    <n v="3100341868.5499997"/>
    <n v="5.5076070686307069E-6"/>
    <s v=""/>
  </r>
  <r>
    <s v="2017-11-19"/>
    <x v="1"/>
    <s v="BBANM-D"/>
    <s v="BANMEDICA"/>
    <n v="269107448"/>
    <n v="15000"/>
    <n v="4.7260000000000002E-3"/>
    <n v="2.37"/>
    <s v="2029-05-02"/>
    <n v="4181"/>
    <n v="5.36"/>
    <n v="104.63"/>
    <s v="UF"/>
    <s v="Bono Corporativo"/>
    <s v="Salud"/>
    <s v="AA-"/>
    <x v="24"/>
    <s v="Bonos Banmedica"/>
    <n v="1442415921.28"/>
    <n v="5.1031657943287122E-6"/>
    <s v=""/>
  </r>
  <r>
    <s v="2017-11-19"/>
    <x v="1"/>
    <s v="BCHIUU0212"/>
    <s v="BBCHILE"/>
    <n v="640449855"/>
    <n v="22000"/>
    <n v="1.1249E-2"/>
    <n v="1.98"/>
    <s v="2024-02-01"/>
    <n v="2264"/>
    <n v="5.62"/>
    <n v="108.04"/>
    <s v="UF"/>
    <s v="Bono Corporativo"/>
    <s v="Financieras"/>
    <s v="AAA"/>
    <x v="16"/>
    <s v="Bono Banco Chile"/>
    <n v="3599328185.0999999"/>
    <n v="6.3880512716187311E-6"/>
    <e v="#N/A"/>
  </r>
  <r>
    <s v="2017-11-19"/>
    <x v="1"/>
    <s v="BCENC-J"/>
    <s v="CENCOSUD"/>
    <n v="857428204"/>
    <n v="27000"/>
    <n v="1.506E-2"/>
    <n v="2.54"/>
    <s v="2029-10-15"/>
    <n v="4347"/>
    <n v="5.73"/>
    <n v="118.42"/>
    <s v="UF"/>
    <s v="Bono Corporativo"/>
    <s v="Consumo"/>
    <s v="AA-"/>
    <x v="14"/>
    <s v="Bono Cencosud S.A."/>
    <n v="4913063608.9200001"/>
    <n v="0"/>
    <s v=""/>
  </r>
  <r>
    <s v="2017-11-19"/>
    <x v="1"/>
    <s v="BBIC590314"/>
    <s v="BBICE"/>
    <n v="311829844"/>
    <n v="11000"/>
    <n v="5.4770000000000001E-3"/>
    <n v="2.0499999999999998"/>
    <s v="2024-03-01"/>
    <n v="2293"/>
    <n v="5.75"/>
    <n v="105.6"/>
    <s v="UF"/>
    <s v="Bono Corporativo"/>
    <s v="Financieras"/>
    <s v="AA"/>
    <x v="2"/>
    <s v="Bono Banco Bice"/>
    <n v="1793021603"/>
    <n v="0"/>
    <s v=""/>
  </r>
  <r>
    <s v="2017-11-19"/>
    <x v="1"/>
    <s v="BIELC-D"/>
    <s v="ELECDELSUR"/>
    <n v="315218302"/>
    <n v="10000"/>
    <n v="5.5360000000000001E-3"/>
    <n v="2.2799999999999998"/>
    <s v="2029-06-30"/>
    <n v="4240"/>
    <n v="5.78"/>
    <n v="115.95"/>
    <s v="UF"/>
    <s v="Bono Corporativo"/>
    <s v="Energia"/>
    <s v="AA-"/>
    <x v="56"/>
    <s v="Bono Distribuidora Del Sur"/>
    <n v="1821961785.5600002"/>
    <n v="-3.2324832186827779E-6"/>
    <s v=""/>
  </r>
  <r>
    <s v="2017-11-19"/>
    <x v="1"/>
    <s v="BITAAG0614"/>
    <s v="BBITAU"/>
    <n v="440126234"/>
    <n v="15000"/>
    <n v="7.7299999999999999E-3"/>
    <n v="2.1"/>
    <s v="2024-06-01"/>
    <n v="2385"/>
    <n v="5.85"/>
    <n v="108.24"/>
    <s v="UF"/>
    <s v="Bono Corporativo"/>
    <s v="Financieras"/>
    <s v="AA"/>
    <x v="11"/>
    <s v="Bono Banco Itaucorp"/>
    <n v="2574738468.8999996"/>
    <n v="0"/>
    <e v="#N/A"/>
  </r>
  <r>
    <s v="2017-11-19"/>
    <x v="1"/>
    <s v="BENDE-M"/>
    <s v="ENDESA"/>
    <n v="565108160"/>
    <n v="18000"/>
    <n v="9.9249999999999998E-3"/>
    <n v="2.1800000000000002"/>
    <s v="2029-12-15"/>
    <n v="4408"/>
    <n v="5.9"/>
    <n v="115.38"/>
    <s v="UF"/>
    <s v="Bono Corporativo"/>
    <s v="Energia"/>
    <s v="AA"/>
    <x v="57"/>
    <s v="Bono Endesa"/>
    <n v="3334138144"/>
    <n v="1.7663318990044191E-5"/>
    <s v=""/>
  </r>
  <r>
    <s v="2017-11-19"/>
    <x v="1"/>
    <s v="BSOQU-H"/>
    <s v="SOQUIMICH"/>
    <n v="494579278"/>
    <n v="16000"/>
    <n v="8.6859999999999993E-3"/>
    <n v="2.57"/>
    <s v="2030-01-05"/>
    <n v="4429"/>
    <n v="5.9"/>
    <n v="113.83"/>
    <s v="UF"/>
    <s v="Bono Corporativo"/>
    <s v="Materiales Basicos"/>
    <s v="A+"/>
    <x v="58"/>
    <s v="Bono SQM"/>
    <n v="2918017740.2000003"/>
    <n v="5.1717344701537025E-6"/>
    <e v="#N/A"/>
  </r>
  <r>
    <s v="2017-11-19"/>
    <x v="1"/>
    <s v="BARAU-F"/>
    <s v="ARAUCO"/>
    <n v="527109450"/>
    <n v="17500"/>
    <n v="9.2580000000000006E-3"/>
    <n v="2.14"/>
    <s v="2029-10-30"/>
    <n v="4362"/>
    <n v="5.95"/>
    <n v="112.66"/>
    <s v="UF"/>
    <s v="Bono Corporativo"/>
    <s v="Materiales Basicos"/>
    <s v="AA-"/>
    <x v="30"/>
    <s v="Bono Celulosa Arauco"/>
    <n v="3136301227.5"/>
    <n v="5.540152425681657E-6"/>
    <s v=""/>
  </r>
  <r>
    <s v="2017-11-19"/>
    <x v="1"/>
    <s v="BSKSA-C"/>
    <s v="SK"/>
    <n v="474927984"/>
    <n v="15000"/>
    <n v="8.3409999999999995E-3"/>
    <n v="2.4500000000000002"/>
    <s v="2030-03-15"/>
    <n v="4498"/>
    <n v="6.06"/>
    <n v="117.61"/>
    <s v="UF"/>
    <s v="Bono Corporativo"/>
    <s v="Industriales"/>
    <s v="A+"/>
    <x v="19"/>
    <s v="Bono Sk"/>
    <n v="2878063583.04"/>
    <n v="1.0186262363800202E-5"/>
    <e v="#N/A"/>
  </r>
  <r>
    <s v="2017-11-19"/>
    <x v="1"/>
    <s v="BBNS-X0814"/>
    <s v="BBSCOTIABA"/>
    <n v="312263523"/>
    <n v="11000"/>
    <n v="5.4840000000000002E-3"/>
    <n v="2.12"/>
    <s v="2024-08-01"/>
    <n v="2446"/>
    <n v="6.09"/>
    <n v="105.48"/>
    <s v="UF"/>
    <s v="Bono Corporativo"/>
    <s v="Financieras"/>
    <s v="AAA"/>
    <x v="8"/>
    <s v="Bono Scotiabank"/>
    <n v="1901684855.0699999"/>
    <n v="3.3695428930528237E-6"/>
    <s v=""/>
  </r>
  <r>
    <s v="2017-11-19"/>
    <x v="1"/>
    <s v="UBCIS11205"/>
    <s v="BBCREDITO"/>
    <n v="217144247"/>
    <n v="10000"/>
    <n v="3.813E-3"/>
    <n v="2.35"/>
    <s v="2030-12-01"/>
    <n v="4759"/>
    <n v="6.18"/>
    <n v="113.32"/>
    <s v="UF"/>
    <s v="Bono Corporativo"/>
    <s v="Financieras"/>
    <s v="AA-"/>
    <x v="9"/>
    <s v="Bono Subordinado Bci"/>
    <n v="1341951446.46"/>
    <n v="4.7511591599992542E-6"/>
    <s v=""/>
  </r>
  <r>
    <s v="2017-11-19"/>
    <x v="1"/>
    <s v="UBCIS21205"/>
    <s v="BBCREDITO"/>
    <n v="217144247"/>
    <n v="10000"/>
    <n v="3.813E-3"/>
    <n v="2.35"/>
    <s v="2030-12-01"/>
    <n v="4759"/>
    <n v="6.18"/>
    <n v="113.32"/>
    <s v="UF"/>
    <s v="Bono Corporativo"/>
    <s v="Financieras"/>
    <s v="AA-"/>
    <x v="9"/>
    <s v="Bono Subordinado Bci"/>
    <n v="1341951446.46"/>
    <n v="4.7511591599992542E-6"/>
    <e v="#N/A"/>
  </r>
  <r>
    <s v="2017-11-19"/>
    <x v="1"/>
    <s v="BPLZA-C"/>
    <s v="PLAZA S.A."/>
    <n v="452505555"/>
    <n v="15000"/>
    <n v="7.9469999999999992E-3"/>
    <n v="2.4700000000000002"/>
    <s v="2030-05-02"/>
    <n v="4546"/>
    <n v="6.28"/>
    <n v="112.86"/>
    <s v="UF"/>
    <s v="Bono Corporativo"/>
    <s v="Consumo"/>
    <s v="AA"/>
    <x v="15"/>
    <s v="Bono Plaza S.A."/>
    <n v="2841734885.4000001"/>
    <n v="0"/>
    <s v=""/>
  </r>
  <r>
    <s v="2017-11-19"/>
    <x v="1"/>
    <s v="BECOP-G"/>
    <s v="COPEC"/>
    <n v="261988220"/>
    <n v="9500"/>
    <n v="4.6010000000000001E-3"/>
    <n v="2.2000000000000002"/>
    <s v="2024-10-15"/>
    <n v="2521"/>
    <n v="6.35"/>
    <n v="103.13"/>
    <s v="UF"/>
    <s v="Bono Corporativo"/>
    <s v="Materiales Basicos"/>
    <s v="AA-"/>
    <x v="50"/>
    <s v="Bono Copec"/>
    <n v="1663625197"/>
    <n v="5.8875137465861286E-6"/>
    <s v=""/>
  </r>
  <r>
    <s v="2017-11-19"/>
    <x v="1"/>
    <s v="BSTDR61215"/>
    <s v="BBSANT-CHI"/>
    <n v="278862576"/>
    <n v="10000"/>
    <n v="4.8979999999999996E-3"/>
    <n v="2.15"/>
    <s v="2024-12-01"/>
    <n v="2568"/>
    <n v="6.4"/>
    <n v="103.27"/>
    <s v="UF"/>
    <s v="Bono Corporativo"/>
    <s v="Financieras"/>
    <s v="AAA"/>
    <x v="10"/>
    <s v="Bono Banco Santander"/>
    <n v="1784720486.4000001"/>
    <n v="6.3251158076293159E-6"/>
    <e v="#N/A"/>
  </r>
  <r>
    <s v="2017-11-19"/>
    <x v="1"/>
    <s v="BBCIJ21014"/>
    <s v="BBCREDITO"/>
    <n v="789237676"/>
    <n v="30000"/>
    <n v="1.3861999999999999E-2"/>
    <n v="2.27"/>
    <s v="2024-10-01"/>
    <n v="2507"/>
    <n v="6.43"/>
    <n v="98.37"/>
    <s v="UF"/>
    <s v="Bono Corporativo"/>
    <s v="Financieras"/>
    <s v="AA+"/>
    <x v="9"/>
    <s v="Bono BCI"/>
    <n v="5074798256.6799994"/>
    <n v="8.9945863449228194E-6"/>
    <s v=""/>
  </r>
  <r>
    <s v="2017-11-19"/>
    <x v="1"/>
    <s v="BESTO30315"/>
    <s v="BBESTADO"/>
    <n v="396592517"/>
    <n v="14000"/>
    <n v="6.9649999999999998E-3"/>
    <n v="2.16"/>
    <s v="2025-03-01"/>
    <n v="2658"/>
    <n v="6.58"/>
    <n v="105.52"/>
    <s v="UF"/>
    <s v="Bono Corporativo"/>
    <s v="Financieras"/>
    <s v="AAA"/>
    <x v="3"/>
    <s v="Bono Banco Estado"/>
    <n v="2609578761.8600001"/>
    <n v="4.6239648122493258E-6"/>
    <e v="#N/A"/>
  </r>
  <r>
    <s v="2017-11-19"/>
    <x v="1"/>
    <s v="BSOND-C"/>
    <s v="SONDA"/>
    <n v="154695526"/>
    <n v="5000"/>
    <n v="2.7169999999999998E-3"/>
    <n v="2.46"/>
    <s v="2030-12-01"/>
    <n v="4759"/>
    <n v="6.61"/>
    <n v="113.63"/>
    <s v="UF"/>
    <s v="Bono Corporativo"/>
    <s v="Tecnologia"/>
    <s v="AA-"/>
    <x v="41"/>
    <s v="Bono Sonda"/>
    <n v="1022537426.86"/>
    <n v="1.8094212755981293E-6"/>
    <s v=""/>
  </r>
  <r>
    <s v="2017-11-19"/>
    <x v="1"/>
    <s v="BSECK60315"/>
    <s v="BBSECURITY"/>
    <n v="665891328"/>
    <n v="24000"/>
    <n v="1.1695000000000001E-2"/>
    <n v="2.25"/>
    <s v="2025-03-01"/>
    <n v="2658"/>
    <n v="6.62"/>
    <n v="103.4"/>
    <s v="UF"/>
    <s v="Bono Corporativo"/>
    <s v="Financieras"/>
    <s v="AA-"/>
    <x v="7"/>
    <s v="Bono Banco Security"/>
    <n v="4408200591.3599997"/>
    <n v="7.8109421175678444E-6"/>
    <s v=""/>
  </r>
  <r>
    <s v="2017-11-19"/>
    <x v="1"/>
    <s v="BBBVK80714"/>
    <s v="BBBVA"/>
    <n v="589774374"/>
    <n v="20000"/>
    <n v="1.0357999999999999E-2"/>
    <n v="2.16"/>
    <s v="2025-07-01"/>
    <n v="2780"/>
    <n v="6.72"/>
    <n v="109.1"/>
    <s v="UF"/>
    <s v="Bono Corporativo"/>
    <s v="Financieras"/>
    <s v="AA"/>
    <x v="0"/>
    <s v="Bono Banco BBVA"/>
    <n v="3963283793.2799997"/>
    <n v="1.4031937014980006E-5"/>
    <s v=""/>
  </r>
  <r>
    <s v="2017-11-19"/>
    <x v="1"/>
    <s v="BBNSAB0515"/>
    <s v="BBSCOTIABA"/>
    <n v="476440779"/>
    <n v="17000"/>
    <n v="8.3680000000000004E-3"/>
    <n v="2.29"/>
    <s v="2025-05-01"/>
    <n v="2719"/>
    <n v="6.74"/>
    <n v="104.92"/>
    <s v="UF"/>
    <s v="Bono Corporativo"/>
    <s v="Financieras"/>
    <s v="AAA"/>
    <x v="8"/>
    <s v="Bono Scotiabank"/>
    <n v="3211210850.46"/>
    <n v="1.1218094110115239E-5"/>
    <s v=""/>
  </r>
  <r>
    <s v="2017-11-19"/>
    <x v="1"/>
    <s v="BESTO50615"/>
    <s v="BBESTADO"/>
    <n v="714303970"/>
    <n v="25000"/>
    <n v="1.2546E-2"/>
    <n v="2.16"/>
    <s v="2025-06-01"/>
    <n v="2750"/>
    <n v="6.74"/>
    <n v="105.65"/>
    <s v="UF"/>
    <s v="Bono Corporativo"/>
    <s v="Financieras"/>
    <s v="AAA"/>
    <x v="3"/>
    <s v="Bono Banco Estado"/>
    <n v="4814408757.8000002"/>
    <n v="1.704241483192791E-5"/>
    <e v="#N/A"/>
  </r>
  <r>
    <s v="2017-11-19"/>
    <x v="1"/>
    <s v="BCORAN0710"/>
    <s v="BBCORPBANC"/>
    <n v="567893825"/>
    <n v="20000"/>
    <n v="9.9740000000000002E-3"/>
    <n v="2.25"/>
    <s v="2025-07-01"/>
    <n v="2780"/>
    <n v="6.82"/>
    <n v="105.24"/>
    <s v="UF"/>
    <s v="Bono Corporativo"/>
    <s v="Financieras"/>
    <s v="AA"/>
    <x v="11"/>
    <s v="Bono Banco Itaucorp"/>
    <n v="3873035886.5"/>
    <n v="0"/>
    <e v="#N/A"/>
  </r>
  <r>
    <s v="2017-11-19"/>
    <x v="1"/>
    <s v="UITA-C0408"/>
    <s v="BBITAU"/>
    <n v="441960111"/>
    <n v="20000"/>
    <n v="7.7619999999999998E-3"/>
    <n v="2.5499999999999998"/>
    <s v="2033-04-01"/>
    <n v="5611"/>
    <n v="6.83"/>
    <n v="106.4"/>
    <s v="UF"/>
    <s v="Bono Corporativo"/>
    <s v="Financieras"/>
    <s v="AA-"/>
    <x v="11"/>
    <s v="Bono Subordinado Banco Itau"/>
    <n v="3018587558.1300001"/>
    <n v="0"/>
    <s v=""/>
  </r>
  <r>
    <s v="2017-11-19"/>
    <x v="1"/>
    <s v="BENAE-A"/>
    <s v="ENAEX"/>
    <n v="683962738"/>
    <n v="24500"/>
    <n v="1.2012999999999999E-2"/>
    <n v="2.3199999999999998"/>
    <s v="2025-09-01"/>
    <n v="2842"/>
    <n v="7.01"/>
    <n v="104.02"/>
    <s v="UF"/>
    <s v="Bono Corporativo"/>
    <s v="Energia"/>
    <s v="AA-"/>
    <x v="59"/>
    <s v="Bono Enaex S.A."/>
    <n v="4794578793.3800001"/>
    <n v="0"/>
    <s v=""/>
  </r>
  <r>
    <s v="2017-11-19"/>
    <x v="1"/>
    <s v="BCGVI-B"/>
    <s v="CG VIDA"/>
    <n v="883806137"/>
    <n v="28000"/>
    <n v="1.5523E-2"/>
    <n v="2.42"/>
    <s v="2031-03-15"/>
    <n v="4863"/>
    <n v="7.02"/>
    <n v="114.84"/>
    <s v="UF"/>
    <s v="Bono Corporativo"/>
    <s v="Financieras"/>
    <s v="AA-"/>
    <x v="60"/>
    <s v="Bono Corpgroup Vida Chile"/>
    <n v="6204319081.7399998"/>
    <n v="2.1966028440072511E-5"/>
    <s v=""/>
  </r>
  <r>
    <s v="2017-11-19"/>
    <x v="1"/>
    <s v="BSECK70915"/>
    <s v="BBSECURITY"/>
    <n v="138231082"/>
    <n v="5000"/>
    <n v="2.4269999999999999E-3"/>
    <n v="2.33"/>
    <s v="2025-09-01"/>
    <n v="2842"/>
    <n v="7.04"/>
    <n v="103.04"/>
    <s v="UF"/>
    <s v="Bono Corporativo"/>
    <s v="Financieras"/>
    <s v="AA-"/>
    <x v="7"/>
    <s v="Bono Banco Security"/>
    <n v="973146817.27999997"/>
    <n v="1.7206339410603832E-6"/>
    <e v="#N/A"/>
  </r>
  <r>
    <s v="2017-11-19"/>
    <x v="1"/>
    <s v="BBNSAD1015"/>
    <s v="BBSCOTIABA"/>
    <n v="422095317"/>
    <n v="15000"/>
    <n v="7.4130000000000003E-3"/>
    <n v="2.2999999999999998"/>
    <s v="2025-10-01"/>
    <n v="2872"/>
    <n v="7.06"/>
    <n v="105.07"/>
    <s v="UF"/>
    <s v="Bono Corporativo"/>
    <s v="Financieras"/>
    <s v="AAA"/>
    <x v="8"/>
    <s v="Bono Scotiabank"/>
    <n v="2979992938.02"/>
    <n v="5.2795082386979539E-6"/>
    <e v="#N/A"/>
  </r>
  <r>
    <s v="2017-11-19"/>
    <x v="1"/>
    <s v="BCOO-C0713"/>
    <s v="COOPEUCH"/>
    <n v="440496523"/>
    <n v="18500"/>
    <n v="7.7359999999999998E-3"/>
    <n v="2.6"/>
    <s v="2034-07-10"/>
    <n v="6076"/>
    <n v="7.11"/>
    <n v="108.78"/>
    <s v="UF"/>
    <s v="Bono Corporativo"/>
    <s v="Financieras"/>
    <s v="AA-"/>
    <x v="61"/>
    <s v="Bono Coopeuch"/>
    <n v="3131930278.5300002"/>
    <n v="5.5351311769127654E-6"/>
    <s v=""/>
  </r>
  <r>
    <s v="2017-11-19"/>
    <x v="1"/>
    <s v="BEKOP-C"/>
    <s v="KOPOLAR"/>
    <n v="90920103"/>
    <n v="3000"/>
    <n v="1.596E-3"/>
    <n v="2.31"/>
    <s v="2031-08-15"/>
    <n v="5016"/>
    <n v="7.29"/>
    <n v="112.46"/>
    <s v="UF"/>
    <s v="Bono Corporativo"/>
    <s v="Industriales"/>
    <s v="AA"/>
    <x v="62"/>
    <s v="Bono Kopolar"/>
    <n v="662807550.87"/>
    <n v="1.1718958693186384E-6"/>
    <s v=""/>
  </r>
  <r>
    <s v="2017-11-19"/>
    <x v="1"/>
    <s v="USTD-M0301"/>
    <s v="BBSANT-CHI"/>
    <n v="642268184"/>
    <n v="20000"/>
    <n v="1.128E-2"/>
    <n v="2.36"/>
    <s v="2026-09-01"/>
    <n v="3207"/>
    <n v="7.36"/>
    <n v="119.16"/>
    <s v="UF"/>
    <s v="Bono Corporativo"/>
    <s v="Financieras"/>
    <s v="AA"/>
    <x v="10"/>
    <s v="Bono Banco Santander"/>
    <n v="4727093834.2399998"/>
    <n v="8.3616251123184185E-6"/>
    <s v=""/>
  </r>
  <r>
    <s v="2017-11-19"/>
    <x v="1"/>
    <s v="BCGEI-I"/>
    <s v="ELECTRICID"/>
    <n v="62482260"/>
    <n v="2000"/>
    <n v="1.0970000000000001E-3"/>
    <n v="2.61"/>
    <s v="2029-08-11"/>
    <n v="4282"/>
    <n v="7.5"/>
    <n v="115.68"/>
    <s v="UF"/>
    <s v="Bono Corporativo"/>
    <s v="Servicios Basicos"/>
    <s v="AA-"/>
    <x v="63"/>
    <s v="Bono Cge"/>
    <n v="468616950"/>
    <n v="1.6581294525632252E-6"/>
    <s v=""/>
  </r>
  <r>
    <s v="2017-11-19"/>
    <x v="1"/>
    <s v="BAYS3-A"/>
    <s v="AYSTRES"/>
    <n v="795727425"/>
    <n v="25000"/>
    <n v="1.3976000000000001E-2"/>
    <n v="2.48"/>
    <s v="2032-12-15"/>
    <n v="5504"/>
    <n v="7.51"/>
    <n v="116.99"/>
    <s v="UF"/>
    <s v="Bono Corporativo"/>
    <s v="Diversificados"/>
    <s v="AA-"/>
    <x v="64"/>
    <s v="Bono Inversiones Ays Tres"/>
    <n v="5975912961.75"/>
    <n v="1.052184783770851E-5"/>
    <s v=""/>
  </r>
  <r>
    <s v="2017-11-19"/>
    <x v="1"/>
    <s v="BCHIAY0213"/>
    <s v="BBCHILE"/>
    <n v="59097950"/>
    <n v="2000"/>
    <n v="1.0380000000000001E-3"/>
    <n v="2.34"/>
    <s v="2026-08-01"/>
    <n v="3176"/>
    <n v="7.55"/>
    <n v="109.61"/>
    <s v="UF"/>
    <s v="Bono Corporativo"/>
    <s v="Financieras"/>
    <s v="AAA"/>
    <x v="16"/>
    <s v="Bono Banco Chile"/>
    <n v="446189522.5"/>
    <n v="7.8929732990272119E-7"/>
    <s v=""/>
  </r>
  <r>
    <s v="2017-11-19"/>
    <x v="1"/>
    <s v="BCORAO0710"/>
    <s v="BBCORPBANC"/>
    <n v="1015410082"/>
    <n v="36000"/>
    <n v="1.7833999999999999E-2"/>
    <n v="2.42"/>
    <s v="2026-07-01"/>
    <n v="3145"/>
    <n v="7.6"/>
    <n v="104.53"/>
    <s v="UF"/>
    <s v="Bono Corporativo"/>
    <s v="Financieras"/>
    <s v="AA"/>
    <x v="11"/>
    <s v="Bono Corpbanca"/>
    <n v="7717116623.1999998"/>
    <n v="5.4575203308833187E-5"/>
    <e v="#N/A"/>
  </r>
  <r>
    <s v="2017-11-19"/>
    <x v="1"/>
    <s v="CMPCCI0427"/>
    <s v="CMPC"/>
    <n v="387450309"/>
    <n v="600000"/>
    <n v="6.8050000000000003E-3"/>
    <n v="0"/>
    <s v="2027-04-04"/>
    <n v="3422"/>
    <n v="7.77"/>
    <n v="102.0819"/>
    <s v="US$"/>
    <s v="Bono Corporativo"/>
    <s v="Materiales Basicos"/>
    <s v="AA"/>
    <x v="65"/>
    <s v="Bono CMPC"/>
    <n v="3010488900.9299998"/>
    <n v="0"/>
    <e v="#N/A"/>
  </r>
  <r>
    <s v="2017-11-19"/>
    <x v="1"/>
    <s v="BTU0150326"/>
    <s v="BTU"/>
    <n v="1049697780"/>
    <n v="40000"/>
    <n v="1.8436999999999999E-2"/>
    <n v="1.76"/>
    <s v="2026-03-01"/>
    <n v="3023"/>
    <n v="7.79"/>
    <n v="98.07"/>
    <s v="UF"/>
    <s v="Bono de Gobierno"/>
    <s v="Gobierno"/>
    <s v="AAA"/>
    <x v="35"/>
    <s v="Bono Tesorería en UF"/>
    <n v="8177145706.1999998"/>
    <n v="4.3398613550138742E-5"/>
    <s v=""/>
  </r>
  <r>
    <s v="2017-11-19"/>
    <x v="1"/>
    <s v="BSAAM-C"/>
    <s v="SM SAAM"/>
    <n v="276253736"/>
    <n v="10000"/>
    <n v="4.8520000000000004E-3"/>
    <n v="2.5"/>
    <s v="2026-12-15"/>
    <n v="3312"/>
    <n v="8"/>
    <n v="102.35"/>
    <s v="UF"/>
    <s v="Bono Corporativo"/>
    <s v="Industriales"/>
    <s v="AA-"/>
    <x v="66"/>
    <s v="Bono SM SAAM"/>
    <n v="2210029888"/>
    <n v="3.9109047908388293E-6"/>
    <s v=""/>
  </r>
  <r>
    <s v="2017-11-19"/>
    <x v="1"/>
    <s v="BAGRS-D"/>
    <s v="AGROSUPER"/>
    <n v="1018659805"/>
    <n v="34500"/>
    <n v="1.7891000000000001E-2"/>
    <n v="2.59"/>
    <s v="2032-09-01"/>
    <n v="5399"/>
    <n v="8.07"/>
    <n v="109.8"/>
    <s v="UF"/>
    <s v="Bono Corporativo"/>
    <s v="Consumo"/>
    <s v="AA-"/>
    <x v="67"/>
    <s v="Bono Agrosuper S.A."/>
    <n v="8220584626.3500004"/>
    <n v="1.4536639698920315E-5"/>
    <s v=""/>
  </r>
  <r>
    <s v="2017-11-19"/>
    <x v="1"/>
    <s v="BQUIN-F"/>
    <s v="QUINENCO"/>
    <n v="302270810"/>
    <n v="10000"/>
    <n v="5.3090000000000004E-3"/>
    <n v="2.46"/>
    <s v="2032-06-01"/>
    <n v="5307"/>
    <n v="8.08"/>
    <n v="111.34"/>
    <s v="UF"/>
    <s v="Bono Corporativo"/>
    <s v="Diversificados"/>
    <s v="AA"/>
    <x v="17"/>
    <s v="Bono Quinenco"/>
    <n v="2442348144.8000002"/>
    <n v="4.3146269529137178E-6"/>
    <s v=""/>
  </r>
  <r>
    <s v="2017-11-19"/>
    <x v="1"/>
    <s v="BARAU-S"/>
    <s v="ARAUCO"/>
    <n v="398231256"/>
    <n v="15000"/>
    <n v="6.9940000000000002E-3"/>
    <n v="2.46"/>
    <s v="2026-11-15"/>
    <n v="3282"/>
    <n v="8.14"/>
    <n v="99.51"/>
    <s v="UF"/>
    <s v="Bono Corporativo"/>
    <s v="Materiales Basicos"/>
    <s v="AA-"/>
    <x v="30"/>
    <s v="Bono Celulosa Arauco"/>
    <n v="3241602423.8400002"/>
    <n v="1.6982285548047692E-5"/>
    <s v=""/>
  </r>
  <r>
    <s v="2017-11-19"/>
    <x v="1"/>
    <s v="BARAU-P"/>
    <s v="ARAUCO"/>
    <n v="494309272"/>
    <n v="16500"/>
    <n v="8.6820000000000005E-3"/>
    <n v="2.5299999999999998"/>
    <s v="2032-11-15"/>
    <n v="5474"/>
    <n v="8.24"/>
    <n v="112.27"/>
    <s v="UF"/>
    <s v="Bono Corporativo"/>
    <s v="Materiales Basicos"/>
    <s v="AA-"/>
    <x v="30"/>
    <s v="Bono Celulosa Arauco"/>
    <n v="4073108401.2800002"/>
    <n v="0"/>
    <e v="#N/A"/>
  </r>
  <r>
    <s v="2017-11-19"/>
    <x v="1"/>
    <s v="BNTRA-D"/>
    <s v="NTRANSELEC"/>
    <n v="933474971"/>
    <n v="30000"/>
    <n v="1.6395E-2"/>
    <n v="2.54"/>
    <s v="2027-12-15"/>
    <n v="3677"/>
    <n v="8.32"/>
    <n v="114.59"/>
    <s v="UF"/>
    <s v="Bono Corporativo"/>
    <s v="Servicios Basicos"/>
    <s v="AA-"/>
    <x v="68"/>
    <s v="Serie Transelec S.A."/>
    <n v="7766511758.7200003"/>
    <n v="1.373548149620938E-5"/>
    <s v=""/>
  </r>
  <r>
    <s v="2017-11-19"/>
    <x v="1"/>
    <s v="BSKSA-E"/>
    <s v="SK"/>
    <n v="375158030"/>
    <n v="12500"/>
    <n v="6.5890000000000002E-3"/>
    <n v="2.62"/>
    <s v="2033-03-15"/>
    <n v="5594"/>
    <n v="8.42"/>
    <n v="111.73"/>
    <s v="UF"/>
    <s v="Bono Corporativo"/>
    <s v="Industriales"/>
    <s v="A+"/>
    <x v="19"/>
    <s v="Bono Sk"/>
    <n v="3158830612.5999999"/>
    <n v="5.5790253645489328E-6"/>
    <s v=""/>
  </r>
  <r>
    <s v="2017-11-19"/>
    <x v="1"/>
    <s v="BCENC-O"/>
    <s v="CENCOSUD"/>
    <n v="624695720"/>
    <n v="600000000"/>
    <n v="1.0972000000000001E-2"/>
    <n v="6.89"/>
    <s v="2031-06-01"/>
    <n v="4941"/>
    <n v="8.76"/>
    <n v="100.87"/>
    <s v="$"/>
    <s v="Bono Corporativo"/>
    <s v="Consumo"/>
    <s v="AA-"/>
    <x v="14"/>
    <s v="Bono Cencosud S.A."/>
    <n v="5472334507.1999998"/>
    <n v="-9.6949861613415631E-6"/>
    <s v=""/>
  </r>
  <r>
    <s v="2017-11-19"/>
    <x v="1"/>
    <s v="BCOOD20514"/>
    <s v="COOPEUCH"/>
    <n v="515646008"/>
    <n v="20500"/>
    <n v="9.0559999999999998E-3"/>
    <n v="2.73"/>
    <s v="2039-05-05"/>
    <n v="7836"/>
    <n v="8.9499999999999993"/>
    <n v="109.49"/>
    <s v="UF"/>
    <s v="Bono Corporativo"/>
    <s v="Financieras"/>
    <s v="AA-"/>
    <x v="61"/>
    <s v="Bono Coopeuch"/>
    <n v="4615031771.5999994"/>
    <n v="7.8462718679515613E-6"/>
    <s v=""/>
  </r>
  <r>
    <s v="2017-11-19"/>
    <x v="1"/>
    <s v="GNLQCI0729"/>
    <s v="GNLQUINTER"/>
    <n v="532822440"/>
    <n v="800000"/>
    <n v="9.358E-3"/>
    <n v="0"/>
    <s v="2029-07-31"/>
    <n v="4271"/>
    <n v="9.1"/>
    <n v="104.44840000000001"/>
    <s v="US$"/>
    <s v="Bono Corporativo"/>
    <s v="Energia"/>
    <s v="AA-"/>
    <x v="69"/>
    <s v="Bono GNL Quintero S.A."/>
    <n v="4848684204"/>
    <n v="0"/>
    <e v="#N/A"/>
  </r>
  <r>
    <s v="2017-11-19"/>
    <x v="1"/>
    <s v="BCFSA-B"/>
    <s v="CONSOR FIN"/>
    <n v="344354389"/>
    <n v="11500"/>
    <n v="6.0480000000000004E-3"/>
    <n v="2.64"/>
    <s v="2034-04-01"/>
    <n v="5976"/>
    <n v="9.18"/>
    <n v="111.69"/>
    <s v="UF"/>
    <s v="Bono Corporativo"/>
    <s v="Financieras"/>
    <s v="AA-"/>
    <x v="51"/>
    <s v="Bono Consorcio"/>
    <n v="3161173291.02"/>
    <n v="0"/>
    <s v=""/>
  </r>
  <r>
    <s v="2017-11-19"/>
    <x v="2"/>
    <s v="CFIPGMISTR"/>
    <s v="FIP GM"/>
    <n v="31467268.454399999"/>
    <n v="31233516.814520128"/>
    <n v="7.1699999999999997E-4"/>
    <n v="0"/>
    <m/>
    <n v="-43057"/>
    <n v="0"/>
    <n v="1.007484"/>
    <s v="$"/>
    <s v="Cuota de Fondo"/>
    <s v="Financieras"/>
    <s v="BBB"/>
    <x v="70"/>
    <s v="Cuotas de Fondo Caja Gabriela Mistral"/>
    <n v="0"/>
    <n v="0"/>
    <e v="#N/A"/>
  </r>
  <r>
    <s v="2017-11-19"/>
    <x v="2"/>
    <s v="CFIPLAPOL1"/>
    <s v="FIP LP 01"/>
    <n v="21723399.7009"/>
    <n v="21697037.800008986"/>
    <n v="4.95E-4"/>
    <n v="0"/>
    <m/>
    <n v="-43057"/>
    <n v="0"/>
    <n v="1.001215"/>
    <s v="$"/>
    <s v="Cuota de Fondo"/>
    <s v="Financieras"/>
    <s v="C"/>
    <x v="71"/>
    <s v="Cuotas de Fondo La Polar"/>
    <n v="0"/>
    <n v="0"/>
    <e v="#N/A"/>
  </r>
  <r>
    <s v="2017-11-19"/>
    <x v="2"/>
    <s v="CFIAMERIS"/>
    <s v="FIP AMERIS"/>
    <n v="28469154.991799999"/>
    <n v="28249.910240780398"/>
    <n v="6.4899999999999995E-4"/>
    <n v="0"/>
    <s v="2021-10-16"/>
    <n v="1426"/>
    <n v="0"/>
    <n v="1007.7609"/>
    <s v="$"/>
    <s v="Cuota de Fondo"/>
    <s v="Financieras"/>
    <s v="BB"/>
    <x v="72"/>
    <s v="Cuotas de FIP Ameris"/>
    <n v="0"/>
    <n v="0"/>
    <e v="#N/A"/>
  </r>
  <r>
    <s v="2017-11-19"/>
    <x v="2"/>
    <s v="PAGARE NR"/>
    <s v="FNSBLE"/>
    <n v="13006901.7246"/>
    <n v="13014094.614657519"/>
    <n v="2.9599999999999998E-4"/>
    <n v="6.6360000000000001"/>
    <s v="2017-11-22"/>
    <n v="2"/>
    <n v="0.01"/>
    <n v="99.944730000000007"/>
    <s v="$"/>
    <s v="Factura"/>
    <s v="Alimentos"/>
    <s v="BB"/>
    <x v="73"/>
    <s v="Factura Servicios Agroindustriales Subsole"/>
    <n v="130069.017246"/>
    <n v="0"/>
    <s v=""/>
  </r>
  <r>
    <s v="2017-11-19"/>
    <x v="2"/>
    <s v="PAGARE NR"/>
    <s v="FAESCOND"/>
    <n v="7424207.6908"/>
    <n v="7427786.2496313471"/>
    <n v="1.6899999999999999E-4"/>
    <n v="5.7839999999999998"/>
    <s v="2017-11-22"/>
    <n v="2"/>
    <n v="0.01"/>
    <n v="99.951822000000007"/>
    <s v="$"/>
    <s v="Factura"/>
    <s v="Financieras"/>
    <s v="AA+"/>
    <x v="74"/>
    <s v="Factura Minera Escondida"/>
    <n v="74242.076908000003"/>
    <n v="0"/>
    <s v=""/>
  </r>
  <r>
    <s v="2017-11-19"/>
    <x v="2"/>
    <s v="PAGARE NR"/>
    <s v="FAESCOND"/>
    <n v="2668579.4397999998"/>
    <n v="2672902.5656446479"/>
    <n v="6.0999999999999999E-5"/>
    <n v="5.8319999999999999"/>
    <s v="2017-11-29"/>
    <n v="9"/>
    <n v="0.03"/>
    <n v="99.838261000000003"/>
    <s v="$"/>
    <s v="Factura"/>
    <s v="Financieras"/>
    <s v="AA+"/>
    <x v="74"/>
    <s v="Factura Minera Escondida"/>
    <n v="80057.383193999995"/>
    <n v="0"/>
    <s v=""/>
  </r>
  <r>
    <s v="2017-11-19"/>
    <x v="2"/>
    <s v="BHER-A1212"/>
    <s v="LOS HEROES"/>
    <n v="17762529.9756"/>
    <n v="17175737.562224049"/>
    <n v="4.0499999999999998E-4"/>
    <n v="5.17"/>
    <s v="2017-12-01"/>
    <n v="11"/>
    <n v="0.03"/>
    <n v="100.05"/>
    <s v="$"/>
    <s v="Bono Corporativo"/>
    <s v="Financieras"/>
    <s v="A-"/>
    <x v="75"/>
    <s v="Bono Los Heroes C.C.A.F."/>
    <n v="532875.89926800004"/>
    <n v="7.1013698630138355E-9"/>
    <s v=""/>
  </r>
  <r>
    <s v="2017-11-19"/>
    <x v="2"/>
    <s v="PAGARE NR"/>
    <s v="FHUACHI"/>
    <n v="4355018.2625000002"/>
    <n v="4368861.4368207101"/>
    <n v="9.8999999999999994E-5"/>
    <n v="7.1520000000000001"/>
    <s v="2017-12-05"/>
    <n v="15"/>
    <n v="0.04"/>
    <n v="99.683139999999995"/>
    <s v="$"/>
    <s v="Factura"/>
    <s v="Industriales"/>
    <s v="A+"/>
    <x v="76"/>
    <s v="Factura Compañía Siderúrgica Huachipato"/>
    <n v="174200.73050000001"/>
    <n v="0"/>
    <s v=""/>
  </r>
  <r>
    <s v="2017-11-19"/>
    <x v="2"/>
    <s v="PAGARE NR"/>
    <s v="FAESCOND"/>
    <n v="1841513.6569999999"/>
    <n v="1846938.7440303904"/>
    <n v="4.1999999999999998E-5"/>
    <n v="5.8920000000000003"/>
    <s v="2017-12-07"/>
    <n v="17"/>
    <n v="0.05"/>
    <n v="99.706265999999999"/>
    <s v="$"/>
    <s v="Factura"/>
    <s v="Financieras"/>
    <s v="AA+"/>
    <x v="74"/>
    <s v="Factura Minera Escondida"/>
    <n v="92075.682849999997"/>
    <n v="0"/>
    <s v=""/>
  </r>
  <r>
    <s v="2017-11-19"/>
    <x v="2"/>
    <s v="PAGARE NR"/>
    <s v="FNSBLE"/>
    <n v="26472566.500500001"/>
    <n v="26592010.899553962"/>
    <n v="6.0300000000000002E-4"/>
    <n v="6.7679999999999998"/>
    <s v="2017-12-13"/>
    <n v="23"/>
    <n v="7.0000000000000007E-2"/>
    <n v="99.550826000000001"/>
    <s v="$"/>
    <s v="Factura"/>
    <s v="Alimentos"/>
    <s v="BB"/>
    <x v="73"/>
    <s v="Factura Servicios Agroindustriales Subsole"/>
    <n v="1853079.6550350003"/>
    <n v="0"/>
    <s v=""/>
  </r>
  <r>
    <s v="2017-11-19"/>
    <x v="2"/>
    <s v="BFSEC-A"/>
    <s v="FACSECU"/>
    <n v="39479082.758900002"/>
    <m/>
    <n v="8.9999999999999998E-4"/>
    <n v="-2.08"/>
    <s v="2017-12-15"/>
    <n v="25"/>
    <n v="7.0000000000000007E-2"/>
    <n v="100.43"/>
    <s v="UF"/>
    <s v="Bono Corporativo"/>
    <s v="Financieras"/>
    <s v="A+"/>
    <x v="6"/>
    <s v="Bono Factoring Security"/>
    <n v="2763535.7931230003"/>
    <n v="0"/>
    <e v="#N/A"/>
  </r>
  <r>
    <s v="2017-11-19"/>
    <x v="2"/>
    <s v="PAGARE NR"/>
    <s v="FARAUCO"/>
    <n v="3250110.0682999999"/>
    <n v="3266478.7197967735"/>
    <n v="7.3999999999999996E-5"/>
    <n v="6.2519999999999998"/>
    <s v="2017-12-18"/>
    <n v="28"/>
    <n v="0.08"/>
    <n v="99.498890000000003"/>
    <s v="$"/>
    <s v="Factura"/>
    <s v="Materiales Basicos"/>
    <s v="AA-"/>
    <x v="30"/>
    <s v="Factura Celulosa Arauco"/>
    <n v="260008.805464"/>
    <n v="0"/>
    <s v=""/>
  </r>
  <r>
    <s v="2017-11-19"/>
    <x v="2"/>
    <s v="PAGARE NR"/>
    <s v="FAESCOND"/>
    <n v="290765.31430000003"/>
    <n v="292351.74345475261"/>
    <n v="6.9999999999999999E-6"/>
    <n v="5.952"/>
    <s v="2017-12-22"/>
    <n v="32"/>
    <n v="0.09"/>
    <n v="99.457356000000004"/>
    <s v="$"/>
    <s v="Factura"/>
    <s v="Financieras"/>
    <s v="AA+"/>
    <x v="74"/>
    <s v="Factura Minera Escondida"/>
    <n v="26168.878287000003"/>
    <n v="0"/>
    <s v=""/>
  </r>
  <r>
    <s v="2017-11-19"/>
    <x v="2"/>
    <s v="PAGARE NR"/>
    <s v="FSMXPOR"/>
    <n v="943371.90850000002"/>
    <n v="950183.06776533963"/>
    <n v="2.0999999999999999E-5"/>
    <n v="6.84"/>
    <s v="2017-12-27"/>
    <n v="37"/>
    <n v="0.1"/>
    <n v="99.283174000000002"/>
    <s v="$"/>
    <s v="Factura"/>
    <s v="Industriales"/>
    <s v="BBB-"/>
    <x v="77"/>
    <s v="Factura Multiexport"/>
    <n v="94337.190850000014"/>
    <n v="0"/>
    <s v=""/>
  </r>
  <r>
    <s v="2017-11-19"/>
    <x v="2"/>
    <s v="PAGARE NR"/>
    <s v="FAESCOND"/>
    <n v="1059678.0342000001"/>
    <n v="1067675.0914550128"/>
    <n v="2.4000000000000001E-5"/>
    <n v="6.7919999999999998"/>
    <s v="2017-12-29"/>
    <n v="39"/>
    <n v="0.11"/>
    <n v="99.250984000000003"/>
    <s v="$"/>
    <s v="Factura"/>
    <s v="Financieras"/>
    <s v="AA+"/>
    <x v="74"/>
    <s v="Factura Minera Escondida"/>
    <n v="116564.58376200001"/>
    <n v="0"/>
    <s v=""/>
  </r>
  <r>
    <s v="2017-11-19"/>
    <x v="2"/>
    <s v="BSECK10108"/>
    <s v="BBSECURITY"/>
    <n v="3517.2467999999999"/>
    <m/>
    <n v="0"/>
    <n v="0.66"/>
    <s v="2018-01-01"/>
    <n v="42"/>
    <n v="0.12"/>
    <n v="100.26"/>
    <s v="UF"/>
    <s v="Bono Corporativo"/>
    <s v="Financieras"/>
    <s v="AA-"/>
    <x v="7"/>
    <s v="Bono Banco Security"/>
    <n v="422.069616"/>
    <n v="0"/>
    <s v=""/>
  </r>
  <r>
    <s v="2017-11-19"/>
    <x v="2"/>
    <s v="PAGARE NR"/>
    <s v="CHILE"/>
    <n v="29900.2997"/>
    <n v="30047.010579024307"/>
    <n v="9.9999999999999995E-7"/>
    <n v="2.76"/>
    <s v="2018-01-22"/>
    <n v="63"/>
    <n v="0.18"/>
    <n v="99.511729000000003"/>
    <s v="$"/>
    <s v="Deposito"/>
    <s v="Financieras"/>
    <s v="N-1+"/>
    <x v="16"/>
    <s v="Deposito Banco Chile"/>
    <n v="5382.053946"/>
    <n v="0"/>
    <s v=""/>
  </r>
  <r>
    <s v="2017-11-19"/>
    <x v="2"/>
    <s v="BCCA-C0912"/>
    <s v="ARAUCANA"/>
    <n v="6222377.7252000002"/>
    <n v="9033896.9146323744"/>
    <n v="1.4200000000000001E-4"/>
    <n v="309.26"/>
    <s v="2018-01-27"/>
    <n v="68"/>
    <n v="0.18"/>
    <n v="78.16"/>
    <s v="$"/>
    <s v="Bono Corporativo"/>
    <s v="Financieras"/>
    <s v="B"/>
    <x v="78"/>
    <s v="Bono La Araucana C.C.A.F."/>
    <n v="1120027.9905360001"/>
    <n v="0"/>
    <s v=""/>
  </r>
  <r>
    <s v="2017-11-19"/>
    <x v="2"/>
    <s v="BCCA-E0115"/>
    <s v="ARAUCANA"/>
    <n v="12141067.233200001"/>
    <n v="17625607.64815028"/>
    <n v="2.7700000000000001E-4"/>
    <n v="309.26"/>
    <s v="2018-01-27"/>
    <n v="68"/>
    <n v="0.18"/>
    <n v="78.19"/>
    <s v="$"/>
    <s v="Bono Corporativo"/>
    <s v="Financieras"/>
    <s v="B"/>
    <x v="78"/>
    <s v="Bono La Araucana C.C.A.F."/>
    <n v="2185392.1019760002"/>
    <n v="0"/>
    <s v=""/>
  </r>
  <r>
    <s v="2017-11-19"/>
    <x v="2"/>
    <s v="BCCAR-A"/>
    <s v="ARAUCANA"/>
    <n v="310149.66850000003"/>
    <n v="450292.2271827255"/>
    <n v="6.9999999999999999E-6"/>
    <n v="309.26"/>
    <s v="2018-01-27"/>
    <n v="68"/>
    <n v="0.18"/>
    <n v="78"/>
    <s v="$"/>
    <s v="Bono Corporativo"/>
    <s v="Financieras"/>
    <s v="B"/>
    <x v="78"/>
    <s v="Bono Caja De Compensacion La Araucana"/>
    <n v="55826.940330000005"/>
    <n v="0"/>
    <e v="#N/A"/>
  </r>
  <r>
    <s v="2017-11-19"/>
    <x v="2"/>
    <s v="BCCAR-B"/>
    <s v="ARAUCANA"/>
    <n v="1550748.3426999999"/>
    <n v="2251457.8017484429"/>
    <n v="3.4999999999999997E-5"/>
    <n v="309.26"/>
    <s v="2018-01-27"/>
    <n v="68"/>
    <n v="0.18"/>
    <n v="78.180000000000007"/>
    <s v="$"/>
    <s v="Bono Corporativo"/>
    <s v="Financieras"/>
    <s v="B"/>
    <x v="78"/>
    <s v="Bono Caja De Compensacion La Araucana"/>
    <n v="279134.70168599999"/>
    <n v="0"/>
    <s v=""/>
  </r>
  <r>
    <s v="2017-11-19"/>
    <x v="2"/>
    <s v="PAGARE NR"/>
    <s v="BCI"/>
    <n v="49761808.455899999"/>
    <n v="50032512.366343968"/>
    <n v="1.134E-3"/>
    <n v="2.88"/>
    <s v="2018-01-26"/>
    <n v="67"/>
    <n v="0.19"/>
    <n v="99.458943500000004"/>
    <s v="$"/>
    <s v="Deposito"/>
    <s v="Financieras"/>
    <s v="N-1+"/>
    <x v="9"/>
    <s v="Deposito Banco BCI"/>
    <n v="9454743.6066209991"/>
    <n v="0"/>
    <s v=""/>
  </r>
  <r>
    <s v="2017-11-19"/>
    <x v="2"/>
    <s v="PAGARE NR"/>
    <s v="BCI"/>
    <n v="248646534"/>
    <n v="250000000"/>
    <n v="5.666E-3"/>
    <n v="2.76"/>
    <s v="2018-01-29"/>
    <n v="70"/>
    <n v="0.19"/>
    <n v="99.458613"/>
    <s v="$"/>
    <s v="Deposito"/>
    <s v="Financieras"/>
    <s v="N-1+"/>
    <x v="9"/>
    <s v="Deposito Banco BCI"/>
    <n v="47242841.460000001"/>
    <n v="0"/>
    <s v=""/>
  </r>
  <r>
    <s v="2017-11-19"/>
    <x v="2"/>
    <s v="DAVIVI0118"/>
    <s v="DAVIVIENDA"/>
    <n v="11107175.7479"/>
    <m/>
    <n v="2.5300000000000002E-4"/>
    <n v="0"/>
    <s v="2018-01-29"/>
    <n v="70"/>
    <n v="0.19"/>
    <n v="99.964100000000002"/>
    <s v="US$"/>
    <s v="Bono Corporativo"/>
    <s v="Financieras"/>
    <s v="A+"/>
    <x v="79"/>
    <s v="Bono Banco Davivienda S.A."/>
    <n v="2110363.3921010001"/>
    <n v="0"/>
    <e v="#N/A"/>
  </r>
  <r>
    <s v="2017-11-19"/>
    <x v="2"/>
    <s v="PAGARE NR"/>
    <s v="INTERNACIO"/>
    <n v="5170577"/>
    <n v="5201600"/>
    <n v="1.17E-4"/>
    <n v="2.88"/>
    <s v="2018-02-02"/>
    <n v="74"/>
    <n v="0.21"/>
    <n v="99.403587000000002"/>
    <s v="$"/>
    <s v="Deposito"/>
    <s v="Financieras"/>
    <s v="N-1"/>
    <x v="12"/>
    <s v="Deposito Banco Internacio"/>
    <n v="1085821.17"/>
    <n v="0"/>
    <s v=""/>
  </r>
  <r>
    <s v="2017-11-19"/>
    <x v="2"/>
    <s v="PAGARE NR"/>
    <s v="ITAUCORP"/>
    <n v="4954419"/>
    <n v="5000000"/>
    <n v="1.12E-4"/>
    <n v="2.88"/>
    <s v="2018-03-14"/>
    <n v="114"/>
    <n v="0.32"/>
    <n v="99.088380000000001"/>
    <s v="$"/>
    <s v="Deposito"/>
    <s v="Financieras"/>
    <s v="N-1+"/>
    <x v="11"/>
    <s v="Deposito Banco Itaucorp"/>
    <n v="1585414.08"/>
    <n v="0"/>
    <s v=""/>
  </r>
  <r>
    <s v="2017-11-19"/>
    <x v="2"/>
    <s v="PAGARE NR"/>
    <s v="SCOTIABANK"/>
    <n v="1810971.0669"/>
    <n v="1829804.9252012516"/>
    <n v="4.1E-5"/>
    <n v="2.88"/>
    <s v="2018-03-29"/>
    <n v="129"/>
    <n v="0.36"/>
    <n v="98.970711999999992"/>
    <s v="$"/>
    <s v="Deposito"/>
    <s v="Financieras"/>
    <s v="N-1+"/>
    <x v="8"/>
    <s v="Deposito Banco Scotiabank"/>
    <n v="651949.58408399997"/>
    <n v="0"/>
    <s v=""/>
  </r>
  <r>
    <s v="2017-11-19"/>
    <x v="2"/>
    <s v="BHER-C0413"/>
    <s v="LOS HEROES"/>
    <n v="1421519.3141999999"/>
    <n v="11265583.892153651"/>
    <n v="3.1999999999999999E-5"/>
    <n v="5.55"/>
    <s v="2018-04-01"/>
    <n v="132"/>
    <n v="0.36"/>
    <n v="100.16"/>
    <s v="$"/>
    <s v="Bono Corporativo"/>
    <s v="Financieras"/>
    <s v="A-"/>
    <x v="75"/>
    <s v="Bono Los Heroes C.C.A.F."/>
    <n v="511746.95311199996"/>
    <n v="-1.3413698630136672E-9"/>
    <s v=""/>
  </r>
  <r>
    <s v="2017-11-19"/>
    <x v="2"/>
    <s v="BBNS-P0413"/>
    <s v="BBSCOTIABA"/>
    <n v="14065.284600000001"/>
    <m/>
    <n v="0"/>
    <n v="1"/>
    <s v="2018-04-01"/>
    <n v="132"/>
    <n v="0.36"/>
    <n v="100.9"/>
    <s v="UF"/>
    <s v="Bono Corporativo"/>
    <s v="Financieras"/>
    <s v="AAA"/>
    <x v="8"/>
    <s v="Bono Scotiabank"/>
    <n v="5063.5024560000002"/>
    <n v="0"/>
    <s v=""/>
  </r>
  <r>
    <s v="2017-11-19"/>
    <x v="2"/>
    <s v="BBBVJ40413"/>
    <s v="BBBVA"/>
    <n v="8759.7955999999995"/>
    <m/>
    <n v="0"/>
    <n v="1.24"/>
    <s v="2018-04-01"/>
    <n v="132"/>
    <n v="0.36"/>
    <n v="100.63"/>
    <s v="UF"/>
    <s v="Bono Corporativo"/>
    <s v="Financieras"/>
    <s v="AA"/>
    <x v="0"/>
    <s v="Bono Banco BBVA"/>
    <n v="3153.5264159999997"/>
    <n v="0"/>
    <s v=""/>
  </r>
  <r>
    <s v="2017-11-19"/>
    <x v="2"/>
    <s v="BBBVM21011"/>
    <s v="BBBVA"/>
    <n v="6127.4141"/>
    <m/>
    <n v="0"/>
    <n v="1.4"/>
    <s v="2018-04-09"/>
    <n v="140"/>
    <n v="0.38"/>
    <n v="100.61"/>
    <s v="UF"/>
    <s v="Bono Corporativo"/>
    <s v="Financieras"/>
    <s v="AA"/>
    <x v="0"/>
    <s v="Bono Banco BBVA"/>
    <n v="2328.4173580000001"/>
    <n v="0"/>
    <s v=""/>
  </r>
  <r>
    <s v="2017-11-19"/>
    <x v="2"/>
    <s v="PAGARE NR"/>
    <s v="ITAUCORP"/>
    <n v="6423.6032999999998"/>
    <n v="6500.6865306817308"/>
    <n v="0"/>
    <n v="2.88"/>
    <s v="2018-04-18"/>
    <n v="149"/>
    <n v="0.41"/>
    <n v="98.814228999999997"/>
    <s v="$"/>
    <s v="Deposito"/>
    <s v="Financieras"/>
    <s v="N-1+"/>
    <x v="11"/>
    <s v="Deposito Banco Itaucorp"/>
    <n v="2633.6773529999996"/>
    <n v="0"/>
    <s v=""/>
  </r>
  <r>
    <s v="2017-11-19"/>
    <x v="2"/>
    <s v="BCNO-L1114"/>
    <s v="BBCONSORC"/>
    <n v="17438.139200000001"/>
    <m/>
    <n v="0"/>
    <n v="1.19"/>
    <s v="2018-05-01"/>
    <n v="162"/>
    <n v="0.44"/>
    <n v="100.45"/>
    <s v="UF"/>
    <s v="Bono Corporativo"/>
    <s v="Financieras"/>
    <s v="AA-"/>
    <x v="5"/>
    <s v="Bono Banco Consorcio"/>
    <n v="7672.7812480000002"/>
    <n v="0"/>
    <s v=""/>
  </r>
  <r>
    <s v="2017-11-19"/>
    <x v="2"/>
    <s v="BHER-E0813"/>
    <s v="LOS HEROES"/>
    <n v="22989844.180799998"/>
    <m/>
    <n v="5.2400000000000005E-4"/>
    <n v="2.2999999999999998"/>
    <s v="2018-08-01"/>
    <n v="254"/>
    <n v="0.44"/>
    <n v="100.6"/>
    <s v="UF"/>
    <s v="Bono Corporativo"/>
    <s v="Financieras"/>
    <s v="A-"/>
    <x v="75"/>
    <s v="Bono Los Heroes C.C.A.F."/>
    <n v="10115531.439552"/>
    <n v="2.1013075799542418E-7"/>
    <s v=""/>
  </r>
  <r>
    <s v="2017-11-19"/>
    <x v="2"/>
    <s v="BQUIN-G"/>
    <s v="QUINENCO"/>
    <n v="16656.9401"/>
    <m/>
    <n v="0"/>
    <n v="1.55"/>
    <s v="2018-12-01"/>
    <n v="376"/>
    <n v="0.52"/>
    <n v="100.99"/>
    <s v="UF"/>
    <s v="Bono Corporativo"/>
    <s v="Diversificados"/>
    <s v="AA"/>
    <x v="17"/>
    <s v="Bono Quinenco"/>
    <n v="8661.6088519999994"/>
    <n v="0"/>
    <s v=""/>
  </r>
  <r>
    <s v="2017-11-19"/>
    <x v="2"/>
    <s v="BCNO-C0613"/>
    <s v="BBCONSORC"/>
    <n v="7127.0526"/>
    <m/>
    <n v="0"/>
    <n v="1.55"/>
    <s v="2018-06-15"/>
    <n v="207"/>
    <n v="0.56000000000000005"/>
    <n v="101.18"/>
    <s v="UF"/>
    <s v="Bono Corporativo"/>
    <s v="Financieras"/>
    <s v="AA-"/>
    <x v="5"/>
    <s v="Bono Banco Consorcio"/>
    <n v="3991.1494560000006"/>
    <n v="0"/>
    <s v=""/>
  </r>
  <r>
    <s v="2017-11-19"/>
    <x v="2"/>
    <s v="BSKSA-B"/>
    <s v="SK"/>
    <n v="124541.0099"/>
    <m/>
    <n v="3.0000000000000001E-6"/>
    <n v="1.7"/>
    <s v="2018-09-15"/>
    <n v="299"/>
    <n v="0.56000000000000005"/>
    <n v="101.58"/>
    <s v="UF"/>
    <s v="Bono Corporativo"/>
    <s v="Industriales"/>
    <s v="A+"/>
    <x v="19"/>
    <s v="Bono Sk"/>
    <n v="69742.965544000006"/>
    <n v="3.7218932915581834E-10"/>
    <s v=""/>
  </r>
  <r>
    <s v="2017-11-19"/>
    <x v="2"/>
    <s v="BCAJ-I0315"/>
    <s v="LOS ANDES"/>
    <n v="2639.7862"/>
    <n v="6501.2765083308541"/>
    <n v="0"/>
    <n v="4.1100000000000003"/>
    <s v="2018-09-15"/>
    <n v="299"/>
    <n v="0.56000000000000005"/>
    <n v="100.6"/>
    <s v="$"/>
    <s v="Bono Corporativo"/>
    <s v="Financieras"/>
    <s v="AA-"/>
    <x v="18"/>
    <s v="Bono Caja Los Andes"/>
    <n v="1478.2802720000002"/>
    <n v="0"/>
    <s v=""/>
  </r>
  <r>
    <s v="2017-11-19"/>
    <x v="2"/>
    <s v="BSTDE20111"/>
    <s v="BBSANT-CHI"/>
    <n v="7127.0526"/>
    <m/>
    <n v="0"/>
    <n v="1.1599999999999999"/>
    <s v="2018-07-01"/>
    <n v="223"/>
    <n v="0.6"/>
    <n v="101.41"/>
    <s v="UF"/>
    <s v="Bono Corporativo"/>
    <s v="Financieras"/>
    <s v="AAA"/>
    <x v="10"/>
    <s v="Bono Banco Santander"/>
    <n v="4276.2315600000002"/>
    <n v="0"/>
    <s v=""/>
  </r>
  <r>
    <s v="2017-11-19"/>
    <x v="2"/>
    <s v="BBCIAB0708"/>
    <s v="BBCREDITO"/>
    <n v="8607.9986000000008"/>
    <m/>
    <n v="0"/>
    <n v="1.21"/>
    <s v="2018-07-01"/>
    <n v="223"/>
    <n v="0.61"/>
    <n v="99.27"/>
    <s v="UF"/>
    <s v="Bono Corporativo"/>
    <s v="Financieras"/>
    <s v="AA+"/>
    <x v="9"/>
    <s v="Bono BCI"/>
    <n v="5250.8791460000002"/>
    <n v="0"/>
    <s v=""/>
  </r>
  <r>
    <s v="2017-11-19"/>
    <x v="2"/>
    <s v="BCTOR-F"/>
    <s v="CONCHATORO"/>
    <n v="4102.2204000000002"/>
    <m/>
    <n v="0"/>
    <n v="1.72"/>
    <s v="2018-11-05"/>
    <n v="350"/>
    <n v="0.7"/>
    <n v="101.23"/>
    <s v="UF"/>
    <s v="Bono Corporativo"/>
    <s v="Consumo"/>
    <s v="AA-"/>
    <x v="20"/>
    <s v="Bono Concha Y Toro"/>
    <n v="2871.5542799999998"/>
    <n v="0"/>
    <s v=""/>
  </r>
  <r>
    <s v="2017-11-19"/>
    <x v="2"/>
    <s v="BCAJ-J1215"/>
    <s v="LOS ANDES"/>
    <n v="11387157.320800001"/>
    <m/>
    <n v="2.5900000000000001E-4"/>
    <n v="2.57"/>
    <s v="2019-06-01"/>
    <n v="558"/>
    <n v="0.76"/>
    <n v="100.87"/>
    <s v="UF"/>
    <s v="Bono Corporativo"/>
    <s v="Financieras"/>
    <s v="AA-"/>
    <x v="18"/>
    <s v="Bono Caja Los Andes"/>
    <n v="8654239.5638080016"/>
    <n v="6.3495773167180016E-8"/>
    <s v=""/>
  </r>
  <r>
    <s v="2017-11-19"/>
    <x v="2"/>
    <s v="BAGUA-R"/>
    <s v="AGUAS"/>
    <n v="4698.3011999999999"/>
    <m/>
    <n v="0"/>
    <n v="1.9"/>
    <s v="2019-04-01"/>
    <n v="497"/>
    <n v="0.85"/>
    <n v="101.17"/>
    <s v="UF"/>
    <s v="Bono Corporativo"/>
    <s v="Servicios Basicos"/>
    <s v="AA+"/>
    <x v="21"/>
    <s v="Bono Aguas Andinas"/>
    <n v="3993.55602"/>
    <n v="0"/>
    <s v=""/>
  </r>
  <r>
    <s v="2017-11-19"/>
    <x v="2"/>
    <s v="BCHIUN1011"/>
    <s v="BBCHILE"/>
    <n v="7082.6242000000002"/>
    <m/>
    <n v="0"/>
    <n v="1.21"/>
    <s v="2018-10-01"/>
    <n v="315"/>
    <n v="0.86"/>
    <n v="101.68"/>
    <s v="UF"/>
    <s v="Bono Corporativo"/>
    <s v="Financieras"/>
    <s v="AAA"/>
    <x v="16"/>
    <s v="Bono Banco Chile"/>
    <n v="6091.0568119999998"/>
    <n v="0"/>
    <s v=""/>
  </r>
  <r>
    <s v="2017-11-19"/>
    <x v="2"/>
    <s v="BSCCH-B"/>
    <s v="SCCH"/>
    <n v="9188596.1219999995"/>
    <n v="9054188.8613456506"/>
    <n v="2.0900000000000001E-4"/>
    <n v="3.71"/>
    <s v="2018-10-15"/>
    <n v="329"/>
    <n v="0.89"/>
    <n v="101.02"/>
    <s v="$"/>
    <s v="Bono Corporativo"/>
    <s v="Financieras"/>
    <s v="AAA"/>
    <x v="22"/>
    <s v="Bono Banco Santander Consumer Finance"/>
    <n v="8177850.5485799992"/>
    <n v="-1.979484497729678E-8"/>
    <s v=""/>
  </r>
  <r>
    <s v="2017-11-19"/>
    <x v="2"/>
    <s v="BEMCA-N"/>
    <s v="EM.CAROZZI"/>
    <n v="1382750.6055999999"/>
    <n v="2699906.9713158803"/>
    <n v="3.1999999999999999E-5"/>
    <n v="3.89"/>
    <s v="2019-05-15"/>
    <n v="541"/>
    <n v="0.97"/>
    <n v="102.35"/>
    <s v="$"/>
    <s v="Bono Corporativo"/>
    <s v="Consumo"/>
    <s v="A"/>
    <x v="80"/>
    <s v="Bono Carozzi"/>
    <n v="1341268.0874319999"/>
    <n v="0"/>
    <e v="#N/A"/>
  </r>
  <r>
    <s v="2017-11-19"/>
    <x v="2"/>
    <s v="BBCIS-P26A"/>
    <s v="BCI SECURI"/>
    <n v="126699290.57009999"/>
    <n v="189891240.67426005"/>
    <n v="2.8869999999999998E-3"/>
    <n v="6.81"/>
    <s v="2020-07-01"/>
    <n v="954"/>
    <n v="0.98"/>
    <n v="100.17"/>
    <s v="$"/>
    <s v="Bono Corporativo"/>
    <s v="Financieras"/>
    <s v="AA"/>
    <x v="39"/>
    <s v="Bono BCI"/>
    <n v="124165304.75869799"/>
    <n v="-3.0042817224679076E-7"/>
    <s v=""/>
  </r>
  <r>
    <s v="2017-11-19"/>
    <x v="2"/>
    <s v="BHER-G0914"/>
    <s v="LOS HEROES"/>
    <n v="1809206.3998"/>
    <m/>
    <n v="4.1E-5"/>
    <n v="2.79"/>
    <s v="2019-09-01"/>
    <n v="650"/>
    <n v="1.01"/>
    <n v="99.72"/>
    <s v="UF"/>
    <s v="Bono Corporativo"/>
    <s v="Financieras"/>
    <s v="A-"/>
    <x v="75"/>
    <s v="Bono Los Heroes C.C.A.F."/>
    <n v="1827298.463798"/>
    <n v="1.3145810838972993E-8"/>
    <s v=""/>
  </r>
  <r>
    <s v="2017-11-19"/>
    <x v="2"/>
    <s v="BTANN-P"/>
    <s v="TANNER SF"/>
    <n v="12309064.9703"/>
    <m/>
    <n v="2.81E-4"/>
    <n v="2.2000000000000002"/>
    <s v="2019-04-01"/>
    <n v="497"/>
    <n v="1.1000000000000001"/>
    <n v="101.61"/>
    <s v="UF"/>
    <s v="Bono Corporativo"/>
    <s v="Financieras"/>
    <s v="A+"/>
    <x v="45"/>
    <s v="Bono SF Tanner S.A."/>
    <n v="13539971.467330001"/>
    <n v="1.9433991593170587E-7"/>
    <s v=""/>
  </r>
  <r>
    <s v="2017-11-19"/>
    <x v="2"/>
    <s v="BCAJ-O0816"/>
    <s v="LOS ANDES"/>
    <n v="476439436.78170002"/>
    <n v="462850631.85220408"/>
    <n v="1.0857E-2"/>
    <n v="4.32"/>
    <s v="2020-02-01"/>
    <n v="803"/>
    <n v="1.1499999999999999"/>
    <n v="101.29"/>
    <s v="$"/>
    <s v="Bono Corporativo"/>
    <s v="Financieras"/>
    <s v="AA-"/>
    <x v="18"/>
    <s v="Bono Caja Los Andes"/>
    <n v="547905352.29895496"/>
    <n v="0"/>
    <s v=""/>
  </r>
  <r>
    <s v="2017-11-19"/>
    <x v="2"/>
    <s v="BCTCH-Q"/>
    <s v="TELEFONOS"/>
    <n v="13454.394399999999"/>
    <n v="13005.720338559118"/>
    <n v="0"/>
    <n v="3.81"/>
    <s v="2019-03-14"/>
    <n v="479"/>
    <n v="1.27"/>
    <n v="102.41"/>
    <s v="$"/>
    <s v="Bono Corporativo"/>
    <s v="Comunicaciones"/>
    <s v="AA"/>
    <x v="40"/>
    <s v="Bono Ctc"/>
    <n v="17087.080888"/>
    <n v="0"/>
    <s v=""/>
  </r>
  <r>
    <s v="2017-11-19"/>
    <x v="2"/>
    <s v="BBANM-I"/>
    <s v="BANMEDICA"/>
    <n v="10904455.181600001"/>
    <n v="13570153.973051773"/>
    <n v="2.4800000000000001E-4"/>
    <n v="4.0599999999999996"/>
    <s v="2020-04-10"/>
    <n v="872"/>
    <n v="1.32"/>
    <n v="103.09"/>
    <s v="$"/>
    <s v="Bono Corporativo"/>
    <s v="Salud"/>
    <s v="AA-"/>
    <x v="24"/>
    <s v="Bono Banmedica"/>
    <n v="14393880.839712001"/>
    <n v="0"/>
    <s v=""/>
  </r>
  <r>
    <s v="2017-11-19"/>
    <x v="2"/>
    <s v="BRPL-A0414"/>
    <s v="BBRIPLEY"/>
    <n v="689289655.37650001"/>
    <n v="25000"/>
    <n v="1.5709000000000001E-2"/>
    <n v="1.56"/>
    <s v="2019-04-01"/>
    <n v="497"/>
    <n v="1.34"/>
    <n v="102.43"/>
    <s v="UF"/>
    <s v="Bono Corporativo"/>
    <s v="Financieras"/>
    <s v="A+"/>
    <x v="1"/>
    <s v="Bono Bancario Ripley"/>
    <n v="923648138.20451009"/>
    <n v="4.3820240806753409E-6"/>
    <s v=""/>
  </r>
  <r>
    <s v="2017-11-19"/>
    <x v="2"/>
    <s v="BCNO-H0414"/>
    <s v="BBCONSORC"/>
    <n v="18622.896000000001"/>
    <m/>
    <n v="0"/>
    <n v="1.6"/>
    <s v="2019-04-01"/>
    <n v="497"/>
    <n v="1.34"/>
    <n v="101.85"/>
    <s v="UF"/>
    <s v="Bono Corporativo"/>
    <s v="Financieras"/>
    <s v="AA-"/>
    <x v="5"/>
    <s v="Bono Banco Consorcio"/>
    <n v="24954.680640000002"/>
    <n v="0"/>
    <s v=""/>
  </r>
  <r>
    <s v="2017-11-19"/>
    <x v="2"/>
    <s v="BBCIS-P30A"/>
    <s v="BCI SECURI"/>
    <n v="580918394.57430005"/>
    <n v="575502487.29702342"/>
    <n v="1.3239000000000001E-2"/>
    <n v="5.66"/>
    <s v="2020-04-01"/>
    <n v="863"/>
    <n v="1.36"/>
    <n v="100.18"/>
    <s v="$"/>
    <s v="Bono Corporativo"/>
    <s v="Financieras"/>
    <s v="AA"/>
    <x v="39"/>
    <s v="Bono BCI"/>
    <n v="790049016.62104809"/>
    <n v="0"/>
    <s v=""/>
  </r>
  <r>
    <s v="2017-11-19"/>
    <x v="2"/>
    <s v="MASISA0519"/>
    <s v="MASISA"/>
    <n v="71353808.119399995"/>
    <m/>
    <n v="1.6260000000000001E-3"/>
    <n v="0"/>
    <s v="2019-05-05"/>
    <n v="531"/>
    <n v="1.39"/>
    <n v="104.1628"/>
    <s v="$"/>
    <s v="Bono Corporativo"/>
    <s v="Materiales Basicos"/>
    <s v="BBB-"/>
    <x v="81"/>
    <s v="Bono Masisa"/>
    <n v="99181793.285965979"/>
    <n v="0"/>
    <e v="#N/A"/>
  </r>
  <r>
    <s v="2017-11-19"/>
    <x v="2"/>
    <s v="BSALF-M"/>
    <s v="SALFACORP"/>
    <n v="88457270.0493"/>
    <m/>
    <n v="2.016E-3"/>
    <n v="3.22"/>
    <s v="2019-05-10"/>
    <n v="536"/>
    <n v="1.43"/>
    <n v="103.2"/>
    <s v="UF"/>
    <s v="Bono Corporativo"/>
    <s v="Industriales"/>
    <s v="BBB"/>
    <x v="82"/>
    <s v="Bono Salfacorp"/>
    <n v="126493896.170499"/>
    <n v="8.7698789611296906E-7"/>
    <s v=""/>
  </r>
  <r>
    <s v="2017-11-19"/>
    <x v="2"/>
    <s v="UEDWA60899"/>
    <s v="BBEDWARDS"/>
    <n v="2550.9295000000002"/>
    <m/>
    <n v="0"/>
    <n v="1.82"/>
    <s v="2020-08-01"/>
    <n v="985"/>
    <n v="1.44"/>
    <n v="107.27"/>
    <s v="UF"/>
    <s v="Bono Corporativo"/>
    <s v="Financieras"/>
    <s v="AAA"/>
    <x v="26"/>
    <s v="Bono Banco Edwards"/>
    <n v="3673.3384800000003"/>
    <n v="0"/>
    <s v=""/>
  </r>
  <r>
    <s v="2017-11-19"/>
    <x v="2"/>
    <s v="BSTDSE0614"/>
    <s v="BBSANT-CHI"/>
    <n v="4113.3275000000003"/>
    <n v="3901.6819482232163"/>
    <n v="0"/>
    <n v="3.6"/>
    <s v="2019-06-01"/>
    <n v="558"/>
    <n v="1.45"/>
    <n v="102.78"/>
    <s v="$"/>
    <s v="Bono Corporativo"/>
    <s v="Financieras"/>
    <s v="AAA"/>
    <x v="10"/>
    <s v="Bono Banco Santander"/>
    <n v="5964.3248750000002"/>
    <n v="0"/>
    <s v=""/>
  </r>
  <r>
    <s v="2017-11-19"/>
    <x v="2"/>
    <s v="BPLZA-M"/>
    <s v="PLAZA S.A."/>
    <n v="6068.1761999999999"/>
    <m/>
    <n v="0"/>
    <n v="1.57"/>
    <s v="2020-08-15"/>
    <n v="999"/>
    <n v="1.45"/>
    <n v="102.75"/>
    <s v="UF"/>
    <s v="Bono Corporativo"/>
    <s v="Consumo"/>
    <s v="AA"/>
    <x v="15"/>
    <s v="Bono Plaza S.A."/>
    <n v="8798.8554899999999"/>
    <n v="0"/>
    <s v=""/>
  </r>
  <r>
    <s v="2017-11-19"/>
    <x v="2"/>
    <s v="BFORU-AT"/>
    <s v="LEAS FORUM"/>
    <n v="28236542.740400001"/>
    <n v="27120626.069443718"/>
    <n v="6.4400000000000004E-4"/>
    <n v="3.59"/>
    <s v="2019-06-25"/>
    <n v="582"/>
    <n v="1.52"/>
    <n v="102.08"/>
    <s v="$"/>
    <s v="Bono Corporativo"/>
    <s v="Financieras"/>
    <s v="AA"/>
    <x v="33"/>
    <s v="Bono Forum Servicios Financieros"/>
    <n v="42919544.965408005"/>
    <n v="0"/>
    <s v=""/>
  </r>
  <r>
    <s v="2017-11-19"/>
    <x v="2"/>
    <s v="BCAJ-Q0117"/>
    <s v="LOS ANDES"/>
    <n v="34866655.857699998"/>
    <n v="33922251.554613166"/>
    <n v="7.94E-4"/>
    <n v="4.5199999999999996"/>
    <s v="2020-07-02"/>
    <n v="955"/>
    <n v="1.53"/>
    <n v="100.84"/>
    <s v="$"/>
    <s v="Bono Corporativo"/>
    <s v="Financieras"/>
    <s v="AA-"/>
    <x v="18"/>
    <s v="Bono Caja Los Andes"/>
    <n v="53345983.462280996"/>
    <n v="-2.5278728078543069E-7"/>
    <s v=""/>
  </r>
  <r>
    <s v="2017-11-19"/>
    <x v="2"/>
    <s v="ECOPET0719"/>
    <s v="ECOPETL"/>
    <n v="7159699.5964000002"/>
    <m/>
    <n v="1.63E-4"/>
    <n v="0"/>
    <s v="2019-07-23"/>
    <n v="610"/>
    <n v="1.57"/>
    <n v="108.0919"/>
    <s v="US$"/>
    <s v="Bono Corporativo"/>
    <s v="Energia"/>
    <s v="A+"/>
    <x v="83"/>
    <s v="Bono EH964542"/>
    <n v="11240728.366348"/>
    <n v="0"/>
    <e v="#N/A"/>
  </r>
  <r>
    <s v="2017-11-19"/>
    <x v="2"/>
    <s v="BTANN-S"/>
    <s v="TANNER SF"/>
    <n v="33961388.705600001"/>
    <m/>
    <n v="7.7399999999999995E-4"/>
    <n v="2.2200000000000002"/>
    <s v="2019-12-15"/>
    <n v="755"/>
    <n v="1.76"/>
    <n v="101.17"/>
    <s v="UF"/>
    <s v="Bono Corporativo"/>
    <s v="Financieras"/>
    <s v="A+"/>
    <x v="45"/>
    <s v="Bono SF Tanner S.A."/>
    <n v="59772044.121856004"/>
    <n v="4.2242031074092831E-7"/>
    <s v=""/>
  </r>
  <r>
    <s v="2017-11-19"/>
    <x v="2"/>
    <s v="BCSMU-P"/>
    <s v="SMU"/>
    <n v="48855034.247100003"/>
    <m/>
    <n v="1.1130000000000001E-3"/>
    <n v="2.52"/>
    <s v="2019-09-25"/>
    <n v="674"/>
    <n v="1.8"/>
    <n v="100.85"/>
    <s v="UF"/>
    <s v="Bono Corporativo"/>
    <s v="Consumo"/>
    <s v="BB-"/>
    <x v="84"/>
    <s v="Bono SMU S.A."/>
    <n v="87939061.64478001"/>
    <n v="0"/>
    <e v="#N/A"/>
  </r>
  <r>
    <s v="2017-11-19"/>
    <x v="2"/>
    <s v="BFLIN-I"/>
    <s v="FACTORLINE"/>
    <n v="199119820.07359999"/>
    <n v="12000"/>
    <n v="4.5380000000000004E-3"/>
    <n v="2.62"/>
    <s v="2021-04-01"/>
    <n v="1228"/>
    <n v="1.8"/>
    <n v="102.07"/>
    <s v="UF"/>
    <s v="Bono Corporativo"/>
    <s v="Financieras"/>
    <s v="A+"/>
    <x v="29"/>
    <s v="Bono Factorline"/>
    <n v="358415676.13248003"/>
    <n v="2.5278538801237007E-6"/>
    <s v=""/>
  </r>
  <r>
    <s v="2017-11-19"/>
    <x v="2"/>
    <s v="MXCHF1119"/>
    <s v="MEXICHEM"/>
    <n v="21555916.236299999"/>
    <m/>
    <n v="4.9100000000000001E-4"/>
    <n v="0"/>
    <s v="2019-11-06"/>
    <n v="716"/>
    <n v="1.85"/>
    <n v="110.6134"/>
    <s v="US$"/>
    <s v="Bono Corporativo"/>
    <s v="Industriales"/>
    <s v="A+"/>
    <x v="85"/>
    <s v="Bono Mexichem"/>
    <n v="39878445.037155002"/>
    <n v="0"/>
    <e v="#N/A"/>
  </r>
  <r>
    <s v="2017-11-19"/>
    <x v="2"/>
    <s v="GLBACO1019"/>
    <s v="GLOBAL BAN"/>
    <n v="4054079.9553999999"/>
    <m/>
    <n v="9.2E-5"/>
    <n v="0"/>
    <s v="2019-10-30"/>
    <n v="709"/>
    <n v="1.87"/>
    <n v="104.0425"/>
    <s v="US$"/>
    <s v="Bono Corporativo"/>
    <s v="Financieras"/>
    <s v="A+"/>
    <x v="86"/>
    <s v="Bono Global Bank"/>
    <n v="7581129.5165980002"/>
    <n v="0"/>
    <e v="#N/A"/>
  </r>
  <r>
    <s v="2017-11-19"/>
    <x v="2"/>
    <s v="BSOND-E"/>
    <s v="SONDA"/>
    <n v="5990.4265999999998"/>
    <n v="5849.1602829678868"/>
    <n v="0"/>
    <n v="4.21"/>
    <s v="2019-11-01"/>
    <n v="711"/>
    <n v="1.87"/>
    <n v="102.15"/>
    <s v="$"/>
    <s v="Bono Corporativo"/>
    <s v="Tecnologia"/>
    <s v="AA-"/>
    <x v="41"/>
    <s v="Bono Sonda"/>
    <n v="11202.097742"/>
    <n v="0"/>
    <s v=""/>
  </r>
  <r>
    <s v="2017-11-19"/>
    <x v="2"/>
    <s v="BBBVM31113"/>
    <s v="BBBVA"/>
    <n v="17819.4827"/>
    <m/>
    <n v="0"/>
    <n v="1.63"/>
    <s v="2019-11-01"/>
    <n v="711"/>
    <n v="1.9"/>
    <n v="102.58"/>
    <s v="UF"/>
    <s v="Bono Corporativo"/>
    <s v="Financieras"/>
    <s v="AA"/>
    <x v="0"/>
    <s v="Bono Banco BBVA"/>
    <n v="33857.01713"/>
    <n v="0"/>
    <s v=""/>
  </r>
  <r>
    <s v="2017-11-19"/>
    <x v="2"/>
    <s v="BCOSJ-A"/>
    <s v="TECNOCONTR"/>
    <n v="22378429.2751"/>
    <m/>
    <n v="5.1000000000000004E-4"/>
    <n v="1.79"/>
    <s v="2021-06-30"/>
    <n v="1318"/>
    <n v="2.09"/>
    <n v="102.38"/>
    <s v="UF"/>
    <s v="Bono Corporativo"/>
    <s v="Construccion"/>
    <s v="AAA"/>
    <x v="32"/>
    <s v="Bono Constructora San Jose"/>
    <n v="46770917.184958994"/>
    <n v="2.184287422558712E-7"/>
    <s v=""/>
  </r>
  <r>
    <s v="2017-11-19"/>
    <x v="2"/>
    <s v="UCHIC20100"/>
    <s v="BBCHILE"/>
    <n v="22736.2235"/>
    <m/>
    <n v="9.9999999999999995E-7"/>
    <n v="1.78"/>
    <s v="2022-01-01"/>
    <n v="1503"/>
    <n v="2.09"/>
    <n v="109.7"/>
    <s v="UF"/>
    <s v="Bono Corporativo"/>
    <s v="Financieras"/>
    <s v="AA"/>
    <x v="16"/>
    <s v="Bono Subordinado Banco Chile"/>
    <n v="47518.707114999997"/>
    <n v="-2.1382800701706494E-10"/>
    <s v=""/>
  </r>
  <r>
    <s v="2017-11-19"/>
    <x v="2"/>
    <s v="BSONA-C"/>
    <s v="SONACOL"/>
    <n v="670.12810000000002"/>
    <n v="649.31398069192994"/>
    <n v="0"/>
    <n v="4.2"/>
    <s v="2021-12-01"/>
    <n v="1472"/>
    <n v="2.12"/>
    <n v="101.01"/>
    <s v="$"/>
    <s v="Bono Corporativo"/>
    <s v="Energia"/>
    <s v="AA"/>
    <x v="42"/>
    <s v="Bono Sociedad Nacional De Oleoductos"/>
    <n v="1420.6715720000002"/>
    <n v="0"/>
    <s v=""/>
  </r>
  <r>
    <s v="2017-11-19"/>
    <x v="2"/>
    <s v="BSTDP40315"/>
    <s v="BBSANT-CHI"/>
    <n v="6693.8759"/>
    <n v="6501.4096830667195"/>
    <n v="0"/>
    <n v="3.95"/>
    <s v="2020-03-01"/>
    <n v="832"/>
    <n v="2.17"/>
    <n v="101.91"/>
    <s v="$"/>
    <s v="Bono Corporativo"/>
    <s v="Financieras"/>
    <s v="AAA"/>
    <x v="10"/>
    <s v="Bono Banco Santander"/>
    <n v="14525.710702999999"/>
    <n v="0"/>
    <s v=""/>
  </r>
  <r>
    <s v="2017-11-19"/>
    <x v="2"/>
    <s v="BRPL-K0315"/>
    <s v="BBRIPLEY"/>
    <n v="17730.626"/>
    <m/>
    <n v="0"/>
    <n v="1.84"/>
    <s v="2020-03-01"/>
    <n v="832"/>
    <n v="2.2200000000000002"/>
    <n v="101.67"/>
    <s v="UF"/>
    <s v="Bono Corporativo"/>
    <s v="Financieras"/>
    <s v="A+"/>
    <x v="1"/>
    <s v="Bono Bancario Ripley"/>
    <n v="39361.989720000005"/>
    <n v="0"/>
    <s v=""/>
  </r>
  <r>
    <s v="2017-11-19"/>
    <x v="2"/>
    <s v="BPARC-L"/>
    <s v="P.ARAUCO"/>
    <n v="881.16290000000004"/>
    <m/>
    <n v="0"/>
    <n v="1.71"/>
    <s v="2020-03-01"/>
    <n v="832"/>
    <n v="2.2200000000000002"/>
    <n v="101.3"/>
    <s v="UF"/>
    <s v="Bono Corporativo"/>
    <s v="Consumo"/>
    <s v="AA-"/>
    <x v="43"/>
    <s v="Bono Parque Arauco"/>
    <n v="1956.1816380000002"/>
    <n v="0"/>
    <s v=""/>
  </r>
  <r>
    <s v="2017-11-19"/>
    <x v="2"/>
    <s v="BFORU-AX"/>
    <s v="LEAS FORUM"/>
    <n v="18663652.532299999"/>
    <n v="18103975.901943069"/>
    <n v="4.26E-4"/>
    <n v="4.2"/>
    <s v="2020-04-01"/>
    <n v="863"/>
    <n v="2.2400000000000002"/>
    <n v="102.38"/>
    <s v="$"/>
    <s v="Bono Corporativo"/>
    <s v="Financieras"/>
    <s v="AA"/>
    <x v="33"/>
    <s v="Bono Forum Servicios Financieros"/>
    <n v="41806581.672352001"/>
    <n v="-9.794977346291552E-8"/>
    <s v=""/>
  </r>
  <r>
    <s v="2017-11-19"/>
    <x v="2"/>
    <s v="SQM0420"/>
    <s v="SOQUIMICH"/>
    <n v="13844385.1842"/>
    <m/>
    <n v="3.1599999999999998E-4"/>
    <n v="0"/>
    <s v="2020-04-21"/>
    <n v="883"/>
    <n v="2.29"/>
    <n v="106.4357"/>
    <s v="US$"/>
    <s v="Bono Corporativo"/>
    <s v="Materiales Basicos"/>
    <s v="A+"/>
    <x v="58"/>
    <s v="Bono SQM"/>
    <n v="31703642.071818002"/>
    <n v="0"/>
    <e v="#N/A"/>
  </r>
  <r>
    <s v="2017-11-19"/>
    <x v="2"/>
    <s v="BCNO-O1114"/>
    <s v="BBCONSORC"/>
    <n v="8789.4145000000008"/>
    <n v="8451.0730130677384"/>
    <n v="0"/>
    <n v="4.25"/>
    <s v="2020-05-01"/>
    <n v="893"/>
    <n v="2.31"/>
    <n v="103.7"/>
    <s v="$"/>
    <s v="Bono Corporativo"/>
    <s v="Financieras"/>
    <s v="AA-"/>
    <x v="5"/>
    <s v="Bono Banco Consorcio"/>
    <n v="20303.547495000003"/>
    <n v="0"/>
    <s v=""/>
  </r>
  <r>
    <s v="2017-11-19"/>
    <x v="2"/>
    <s v="LATAIR0920"/>
    <s v="LATAM AIR"/>
    <n v="15526867.781500001"/>
    <m/>
    <n v="3.5399999999999999E-4"/>
    <n v="0"/>
    <s v="2020-06-09"/>
    <n v="932"/>
    <n v="2.31"/>
    <n v="105.96339999999999"/>
    <s v="$"/>
    <s v="Bono Corporativo"/>
    <s v="Transporte"/>
    <s v="BB"/>
    <x v="87"/>
    <s v="Bono LATAM Airlines"/>
    <n v="35867064.575265005"/>
    <n v="0"/>
    <e v="#N/A"/>
  </r>
  <r>
    <s v="2017-11-19"/>
    <x v="2"/>
    <s v="BBIC480510"/>
    <s v="BBICE"/>
    <n v="7267.7425000000003"/>
    <m/>
    <n v="0"/>
    <n v="1.59"/>
    <s v="2020-05-01"/>
    <n v="893"/>
    <n v="2.36"/>
    <n v="104.58"/>
    <s v="UF"/>
    <s v="Bono Corporativo"/>
    <s v="Financieras"/>
    <s v="AA"/>
    <x v="2"/>
    <s v="Bono Bancario Bice 48"/>
    <n v="17151.872299999999"/>
    <n v="0"/>
    <s v=""/>
  </r>
  <r>
    <s v="2017-11-19"/>
    <x v="2"/>
    <s v="BFAL-A0510"/>
    <s v="BBFALABELL"/>
    <n v="10818.3105"/>
    <m/>
    <n v="0"/>
    <n v="1.66"/>
    <s v="2020-05-15"/>
    <n v="907"/>
    <n v="2.41"/>
    <n v="103.93"/>
    <s v="UF"/>
    <s v="Bono Corporativo"/>
    <s v="Financieras"/>
    <s v="AA"/>
    <x v="44"/>
    <s v="Bono Banco Falabella"/>
    <n v="26072.128305000002"/>
    <n v="0"/>
    <s v=""/>
  </r>
  <r>
    <s v="2017-11-19"/>
    <x v="2"/>
    <s v="BFAL-F0615"/>
    <s v="BBFALABELL"/>
    <n v="681.23519999999996"/>
    <n v="648.59296769950947"/>
    <n v="0"/>
    <n v="4.2699999999999996"/>
    <s v="2020-06-30"/>
    <n v="953"/>
    <n v="2.42"/>
    <n v="102.87"/>
    <s v="$"/>
    <s v="Bono Corporativo"/>
    <s v="Financieras"/>
    <s v="AA"/>
    <x v="44"/>
    <s v="Bono Banco Falabella"/>
    <n v="1648.5891839999999"/>
    <n v="0"/>
    <s v=""/>
  </r>
  <r>
    <s v="2017-11-19"/>
    <x v="2"/>
    <s v="BSECZ10715"/>
    <s v="BBSECURITY"/>
    <n v="6816.0540000000001"/>
    <n v="6501.6720496924509"/>
    <n v="0"/>
    <n v="4.1399999999999997"/>
    <s v="2020-07-01"/>
    <n v="954"/>
    <n v="2.4300000000000002"/>
    <n v="102.76"/>
    <s v="$"/>
    <s v="Bono Corporativo"/>
    <s v="Financieras"/>
    <s v="AA-"/>
    <x v="7"/>
    <s v="Bono Banco Security"/>
    <n v="16563.01122"/>
    <n v="0"/>
    <s v=""/>
  </r>
  <r>
    <s v="2017-11-19"/>
    <x v="2"/>
    <s v="BSECB40615"/>
    <s v="BBSECURITY"/>
    <n v="42614.2212"/>
    <m/>
    <n v="9.9999999999999995E-7"/>
    <n v="1.72"/>
    <s v="2020-06-01"/>
    <n v="924"/>
    <n v="2.4500000000000002"/>
    <n v="101.31"/>
    <s v="UF"/>
    <s v="Bono Corporativo"/>
    <s v="Financieras"/>
    <s v="AA-"/>
    <x v="7"/>
    <s v="Bono Banco Security"/>
    <n v="104404.84194000001"/>
    <n v="-2.5071812019441023E-10"/>
    <s v=""/>
  </r>
  <r>
    <s v="2017-11-19"/>
    <x v="2"/>
    <s v="BCORAI0710"/>
    <s v="BBCORPBANC"/>
    <n v="37798222.171400003"/>
    <m/>
    <n v="8.61E-4"/>
    <n v="1.71"/>
    <s v="2020-07-01"/>
    <n v="954"/>
    <n v="2.5099999999999998"/>
    <n v="103.26"/>
    <s v="UF"/>
    <s v="Bono Corporativo"/>
    <s v="Financieras"/>
    <s v="AA"/>
    <x v="11"/>
    <s v="Bono Corpbanca"/>
    <n v="94873537.650214002"/>
    <n v="1.7663964166219442E-6"/>
    <s v=""/>
  </r>
  <r>
    <s v="2017-11-19"/>
    <x v="2"/>
    <s v="BTANN-U"/>
    <s v="TANNER SF"/>
    <n v="60763489.2289"/>
    <m/>
    <n v="1.3849999999999999E-3"/>
    <n v="2.48"/>
    <s v="2020-08-01"/>
    <n v="985"/>
    <n v="2.61"/>
    <n v="100.05"/>
    <s v="UF"/>
    <s v="Bono Corporativo"/>
    <s v="Financieras"/>
    <s v="A+"/>
    <x v="45"/>
    <s v="Bono SF Tanner S.A."/>
    <n v="158592706.887429"/>
    <n v="-3.6911183706177194E-7"/>
    <s v=""/>
  </r>
  <r>
    <s v="2017-11-19"/>
    <x v="2"/>
    <s v="BCORBW0914"/>
    <s v="BBCORPBANC"/>
    <n v="10114.861199999999"/>
    <n v="9753.8082634954135"/>
    <n v="0"/>
    <n v="4.03"/>
    <s v="2020-09-01"/>
    <n v="1016"/>
    <n v="2.61"/>
    <n v="102.6"/>
    <s v="$"/>
    <s v="Bono Corporativo"/>
    <s v="Financieras"/>
    <s v="AA"/>
    <x v="11"/>
    <s v="Bono Corpbanca"/>
    <n v="26399.787731999997"/>
    <n v="0"/>
    <s v=""/>
  </r>
  <r>
    <s v="2017-11-19"/>
    <x v="2"/>
    <s v="SANT0920"/>
    <s v="SANT-CHILE"/>
    <n v="92234095.971799999"/>
    <n v="90446718.669388875"/>
    <n v="2.1020000000000001E-3"/>
    <n v="0"/>
    <s v="2020-09-22"/>
    <n v="1037"/>
    <n v="2.61"/>
    <n v="100.947"/>
    <s v="$"/>
    <s v="Bono Corporativo"/>
    <s v="Financieras"/>
    <s v="AAA"/>
    <x v="10"/>
    <s v="Bono Banco Santander"/>
    <n v="240730990.48639798"/>
    <n v="0"/>
    <e v="#N/A"/>
  </r>
  <r>
    <s v="2017-11-19"/>
    <x v="2"/>
    <s v="BFORU-AZ"/>
    <s v="LEAS FORUM"/>
    <n v="17545.507699999998"/>
    <m/>
    <n v="0"/>
    <n v="2"/>
    <s v="2020-08-01"/>
    <n v="985"/>
    <n v="2.62"/>
    <n v="100.51"/>
    <s v="UF"/>
    <s v="Bono Corporativo"/>
    <s v="Financieras"/>
    <s v="AA"/>
    <x v="33"/>
    <s v="Bono Forum Servicios Financieros"/>
    <n v="45969.230173999997"/>
    <n v="0"/>
    <s v=""/>
  </r>
  <r>
    <s v="2017-11-19"/>
    <x v="2"/>
    <s v="BCP0920"/>
    <s v="BCPPER"/>
    <n v="14753652.923599999"/>
    <m/>
    <n v="3.3599999999999998E-4"/>
    <n v="0"/>
    <s v="2020-09-16"/>
    <n v="1031"/>
    <n v="2.64"/>
    <n v="108.03789999999999"/>
    <s v="US$"/>
    <s v="Bono Corporativo"/>
    <s v="Financieras"/>
    <s v="BBB+"/>
    <x v="88"/>
    <s v="Bono BCP"/>
    <n v="38949643.718304001"/>
    <n v="0"/>
    <e v="#N/A"/>
  </r>
  <r>
    <s v="2017-11-19"/>
    <x v="2"/>
    <s v="BTANN-X"/>
    <s v="TANNER SF"/>
    <n v="27079.097600000001"/>
    <m/>
    <n v="9.9999999999999995E-7"/>
    <n v="2.48"/>
    <s v="2020-09-10"/>
    <n v="1025"/>
    <n v="2.68"/>
    <n v="103.34"/>
    <s v="UF"/>
    <s v="Bono Corporativo"/>
    <s v="Financieras"/>
    <s v="A+"/>
    <x v="45"/>
    <s v="Bono Tanner"/>
    <n v="72571.981568000003"/>
    <n v="0"/>
    <e v="#N/A"/>
  </r>
  <r>
    <s v="2017-11-19"/>
    <x v="2"/>
    <s v="BINTPE1020"/>
    <s v="BINTPE"/>
    <n v="18259036.829399999"/>
    <m/>
    <n v="4.1599999999999997E-4"/>
    <n v="0"/>
    <s v="2020-10-07"/>
    <n v="1052"/>
    <n v="2.69"/>
    <n v="109.0069"/>
    <s v="US$"/>
    <s v="Bono Corporativo"/>
    <s v="Financieras"/>
    <s v="AA-"/>
    <x v="88"/>
    <s v="Bono Banco Internacional del Peru"/>
    <n v="49116809.071085997"/>
    <n v="0"/>
    <e v="#N/A"/>
  </r>
  <r>
    <s v="2017-11-19"/>
    <x v="2"/>
    <s v="BSTDP80315"/>
    <s v="BBSANT-CHI"/>
    <n v="7078.9219000000003"/>
    <m/>
    <n v="0"/>
    <n v="1.67"/>
    <s v="2020-09-01"/>
    <n v="1016"/>
    <n v="2.7"/>
    <n v="101.58"/>
    <s v="UF"/>
    <s v="Bono Corporativo"/>
    <s v="Financieras"/>
    <s v="AAA"/>
    <x v="10"/>
    <s v="Bono Banco Santander"/>
    <n v="19113.08913"/>
    <n v="0"/>
    <s v=""/>
  </r>
  <r>
    <s v="2017-11-19"/>
    <x v="2"/>
    <s v="BCNO-U0915"/>
    <s v="BBCONSORC"/>
    <n v="30814.783899999999"/>
    <m/>
    <n v="9.9999999999999995E-7"/>
    <n v="1.91"/>
    <s v="2020-09-01"/>
    <n v="1016"/>
    <n v="2.7"/>
    <n v="101.03"/>
    <s v="UF"/>
    <s v="Bono Corporativo"/>
    <s v="Financieras"/>
    <s v="AA-"/>
    <x v="5"/>
    <s v="Bono Banco Consorcio"/>
    <n v="83199.916530000002"/>
    <n v="2.7577214980924634E-10"/>
    <s v=""/>
  </r>
  <r>
    <s v="2017-11-19"/>
    <x v="2"/>
    <s v="BHER-M0117"/>
    <s v="LOS HEROES"/>
    <n v="76516507.810399994"/>
    <m/>
    <n v="1.7440000000000001E-3"/>
    <n v="3.04"/>
    <s v="2022-01-05"/>
    <n v="1507"/>
    <n v="2.7"/>
    <n v="102.52"/>
    <s v="UF"/>
    <s v="Bono Corporativo"/>
    <s v="Financieras"/>
    <s v="A-"/>
    <x v="75"/>
    <s v="Bono Caja Los Heroes"/>
    <n v="206594571.08807999"/>
    <n v="0"/>
    <e v="#N/A"/>
  </r>
  <r>
    <s v="2017-11-19"/>
    <x v="2"/>
    <s v="BCAJ-L1215"/>
    <s v="LOS ANDES"/>
    <n v="468727019.89410001"/>
    <n v="15000"/>
    <n v="1.0683E-2"/>
    <n v="2.06"/>
    <s v="2020-12-01"/>
    <n v="1107"/>
    <n v="2.84"/>
    <n v="105.48"/>
    <s v="UF"/>
    <s v="Bono Corporativo"/>
    <s v="Financieras"/>
    <s v="AA-"/>
    <x v="18"/>
    <s v="Bono Caja Los Andes"/>
    <n v="1331184736.499244"/>
    <n v="-3.0970964586653499E-6"/>
    <s v=""/>
  </r>
  <r>
    <s v="2017-11-19"/>
    <x v="2"/>
    <s v="BBIC640116"/>
    <s v="BBICE"/>
    <n v="15138.970499999999"/>
    <n v="14304.588284771638"/>
    <n v="0"/>
    <n v="4.25"/>
    <s v="2021-01-01"/>
    <n v="1138"/>
    <n v="2.85"/>
    <n v="103.64"/>
    <s v="$"/>
    <s v="Bono Corporativo"/>
    <s v="Financieras"/>
    <s v="AA"/>
    <x v="2"/>
    <s v="Bono Banco Bice"/>
    <n v="43146.065925000003"/>
    <n v="0"/>
    <s v=""/>
  </r>
  <r>
    <s v="2017-11-19"/>
    <x v="2"/>
    <s v="BUDC-A"/>
    <s v="UDECONCE"/>
    <n v="151301346.63800001"/>
    <m/>
    <n v="3.4480000000000001E-3"/>
    <n v="3.4"/>
    <s v="2021-11-10"/>
    <n v="1451"/>
    <n v="2.87"/>
    <n v="107.03"/>
    <s v="UF"/>
    <s v="Bono Corporativo"/>
    <s v="Educación"/>
    <s v="A-"/>
    <x v="89"/>
    <s v="Bono Universidad De Concepcion"/>
    <n v="434234864.85106003"/>
    <n v="0"/>
    <s v=""/>
  </r>
  <r>
    <s v="2017-11-19"/>
    <x v="2"/>
    <s v="BENJO-C"/>
    <s v="ENJOY"/>
    <n v="6209454.8223000001"/>
    <m/>
    <n v="1.4200000000000001E-4"/>
    <n v="4.3899999999999997"/>
    <s v="2024-06-20"/>
    <n v="2404"/>
    <n v="3"/>
    <n v="101.03"/>
    <s v="UF"/>
    <s v="Bono Corporativo"/>
    <s v="Entretenimiento"/>
    <s v="BBB-"/>
    <x v="90"/>
    <s v="Bono Enjoy"/>
    <n v="18628364.466899998"/>
    <n v="4.3244423002535897E-8"/>
    <s v=""/>
  </r>
  <r>
    <s v="2017-11-19"/>
    <x v="2"/>
    <s v="BSTDR40915"/>
    <s v="BBSANT-CHI"/>
    <n v="13687.643400000001"/>
    <n v="13002.582454436839"/>
    <n v="0"/>
    <n v="4.2"/>
    <s v="2021-03-01"/>
    <n v="1197"/>
    <n v="3.02"/>
    <n v="104.04"/>
    <s v="$"/>
    <s v="Bono Corporativo"/>
    <s v="Financieras"/>
    <s v="AAA"/>
    <x v="10"/>
    <s v="Bono Banco Santander"/>
    <n v="41336.683068000006"/>
    <n v="0"/>
    <s v=""/>
  </r>
  <r>
    <s v="2017-11-19"/>
    <x v="2"/>
    <s v="BTP0450321"/>
    <s v="BTP"/>
    <n v="755439206.59619999"/>
    <n v="730095916.12960196"/>
    <n v="1.7215999999999999E-2"/>
    <n v="3.72"/>
    <s v="2021-03-01"/>
    <n v="1197"/>
    <n v="3.06"/>
    <n v="102.48"/>
    <s v="$"/>
    <s v="Bono de Gobierno"/>
    <s v="Gobierno"/>
    <s v="AAA"/>
    <x v="35"/>
    <s v="Bono Tesorería en CLP"/>
    <n v="2311643972.1843719"/>
    <n v="-5.3677374313999201E-6"/>
    <s v=""/>
  </r>
  <r>
    <s v="2017-11-19"/>
    <x v="2"/>
    <s v="BCHIS-P18A"/>
    <s v="BANCHILSEC"/>
    <n v="52763547.1642"/>
    <n v="51322865.071691163"/>
    <n v="1.2019999999999999E-3"/>
    <n v="5.48"/>
    <s v="2022-03-01"/>
    <n v="1562"/>
    <n v="3.07"/>
    <n v="101.52"/>
    <s v="$"/>
    <s v="Bono Corporativo"/>
    <s v="Financieras"/>
    <s v="AA"/>
    <x v="46"/>
    <s v="Bono Banchile Securitizadora"/>
    <n v="161984089.794094"/>
    <n v="-3.7596180748003377E-7"/>
    <s v=""/>
  </r>
  <r>
    <s v="2017-11-19"/>
    <x v="2"/>
    <s v="BENGE-B"/>
    <s v="ENLASA"/>
    <n v="12003.067300000001"/>
    <m/>
    <n v="0"/>
    <n v="1.92"/>
    <s v="2023-11-15"/>
    <n v="2186"/>
    <n v="3.09"/>
    <n v="104.83"/>
    <s v="UF"/>
    <s v="Bono Corporativo"/>
    <s v="Servicios Basicos"/>
    <s v="AA"/>
    <x v="36"/>
    <s v="Bono Enlasa Generacion"/>
    <n v="37089.477957000003"/>
    <n v="0"/>
    <s v=""/>
  </r>
  <r>
    <s v="2017-11-19"/>
    <x v="2"/>
    <s v="BCSMU-G"/>
    <s v="SMU"/>
    <n v="86331452.529499993"/>
    <m/>
    <n v="1.9680000000000001E-3"/>
    <n v="3.49"/>
    <s v="2021-03-25"/>
    <n v="1221"/>
    <n v="3.13"/>
    <n v="103.09"/>
    <s v="UF"/>
    <s v="Bono Corporativo"/>
    <s v="Consumo"/>
    <s v="BB-"/>
    <x v="84"/>
    <s v="Bono SMU S.A."/>
    <n v="270217446.41733497"/>
    <n v="0"/>
    <e v="#N/A"/>
  </r>
  <r>
    <s v="2017-11-19"/>
    <x v="2"/>
    <s v="BCSMU-K"/>
    <s v="SMU"/>
    <n v="90712316.5977"/>
    <m/>
    <n v="2.0669999999999998E-3"/>
    <n v="3.49"/>
    <s v="2021-03-25"/>
    <n v="1221"/>
    <n v="3.13"/>
    <n v="103.09"/>
    <s v="UF"/>
    <s v="Bono Corporativo"/>
    <s v="Consumo"/>
    <s v="BB-"/>
    <x v="84"/>
    <s v="Bono SMU S.A."/>
    <n v="283929550.95080101"/>
    <n v="0"/>
    <e v="#N/A"/>
  </r>
  <r>
    <s v="2017-11-19"/>
    <x v="2"/>
    <s v="BCOLO0621"/>
    <s v="BANCOLOMBI"/>
    <n v="18025449.0825"/>
    <m/>
    <n v="4.1100000000000002E-4"/>
    <n v="0"/>
    <s v="2021-06-03"/>
    <n v="1291"/>
    <n v="3.17"/>
    <n v="108.56399999999999"/>
    <s v="US$"/>
    <s v="Bono Corporativo"/>
    <s v="Financieras"/>
    <s v="AA-"/>
    <x v="91"/>
    <s v="Bono Bancolombia"/>
    <n v="57140673.591524996"/>
    <n v="0"/>
    <e v="#N/A"/>
  </r>
  <r>
    <s v="2017-11-19"/>
    <x v="2"/>
    <s v="BTU0150321"/>
    <s v="BTU"/>
    <n v="36825118.575599998"/>
    <m/>
    <n v="8.3900000000000001E-4"/>
    <n v="1.19"/>
    <s v="2021-03-01"/>
    <n v="1197"/>
    <n v="3.2"/>
    <n v="101"/>
    <s v="UF"/>
    <s v="Bono de Gobierno"/>
    <s v="Gobierno"/>
    <s v="AAA"/>
    <x v="35"/>
    <s v="Bono Tesorería en UF"/>
    <n v="117840379.44192"/>
    <n v="0"/>
    <s v=""/>
  </r>
  <r>
    <s v="2017-11-19"/>
    <x v="2"/>
    <s v="BCAPS-G"/>
    <s v="CAP"/>
    <n v="500746032.49059999"/>
    <n v="15000"/>
    <n v="1.1412E-2"/>
    <n v="3.42"/>
    <s v="2021-07-01"/>
    <n v="1319"/>
    <n v="3.24"/>
    <n v="109.09999999999998"/>
    <s v="UF"/>
    <s v="Bono Corporativo"/>
    <s v="Industriales"/>
    <s v="A+"/>
    <x v="47"/>
    <s v="Bono CAP"/>
    <n v="1622417145.2695441"/>
    <n v="0"/>
    <s v=""/>
  </r>
  <r>
    <s v="2017-11-19"/>
    <x v="2"/>
    <s v="OCENSA0521"/>
    <s v="OLEODUCTO"/>
    <n v="15107953.8014"/>
    <m/>
    <n v="3.4400000000000001E-4"/>
    <n v="0"/>
    <s v="2021-05-07"/>
    <n v="1264"/>
    <n v="3.27"/>
    <n v="103.1628"/>
    <s v="US$"/>
    <s v="Bono Corporativo"/>
    <s v="Energia"/>
    <s v="A"/>
    <x v="92"/>
    <s v="Bono Oleoducto Central S.A."/>
    <n v="49403008.930578001"/>
    <n v="0"/>
    <e v="#N/A"/>
  </r>
  <r>
    <s v="2017-11-19"/>
    <x v="2"/>
    <s v="UEST-A0799"/>
    <s v="BBESTADO"/>
    <n v="25276.045900000001"/>
    <m/>
    <n v="9.9999999999999995E-7"/>
    <n v="2.13"/>
    <s v="2024-07-01"/>
    <n v="2415"/>
    <n v="3.28"/>
    <n v="114.3"/>
    <s v="UF"/>
    <s v="Bono Corporativo"/>
    <s v="Financieras"/>
    <s v="AA"/>
    <x v="3"/>
    <s v="Bono Banco Estado"/>
    <n v="82905.430552000005"/>
    <n v="6.6625021920192053E-10"/>
    <s v=""/>
  </r>
  <r>
    <s v="2017-11-19"/>
    <x v="2"/>
    <s v="BBBVJ71215"/>
    <s v="BBBVA"/>
    <n v="36679.330099999999"/>
    <m/>
    <n v="9.9999999999999995E-7"/>
    <n v="1.7"/>
    <s v="2021-06-09"/>
    <n v="1297"/>
    <n v="3.36"/>
    <n v="104.35"/>
    <s v="UF"/>
    <s v="Bono Corporativo"/>
    <s v="Financieras"/>
    <s v="AA"/>
    <x v="0"/>
    <s v="Bono Banco BBVA"/>
    <n v="123242.54913599999"/>
    <n v="2.7325598228709627E-9"/>
    <s v=""/>
  </r>
  <r>
    <s v="2017-11-19"/>
    <x v="2"/>
    <s v="BFALA-O"/>
    <s v="FALAB.SACI"/>
    <n v="13321.1093"/>
    <n v="13005.456945778673"/>
    <n v="0"/>
    <n v="4.5"/>
    <s v="2022-04-15"/>
    <n v="1607"/>
    <n v="3.37"/>
    <n v="101.94"/>
    <s v="$"/>
    <s v="Bono Corporativo"/>
    <s v="Consumo"/>
    <s v="AA"/>
    <x v="38"/>
    <s v="Bono Falabella"/>
    <n v="44892.138340999998"/>
    <n v="0"/>
    <s v=""/>
  </r>
  <r>
    <s v="2017-11-19"/>
    <x v="2"/>
    <s v="UBCIF10599"/>
    <s v="BBCREDITO"/>
    <n v="18456.289499999999"/>
    <m/>
    <n v="0"/>
    <n v="1.87"/>
    <s v="2024-05-01"/>
    <n v="2354"/>
    <n v="3.38"/>
    <n v="115.83"/>
    <s v="UF"/>
    <s v="Bono Corporativo"/>
    <s v="Financieras"/>
    <s v="AA-"/>
    <x v="9"/>
    <s v="Bono Subordinado Bci"/>
    <n v="62382.258509999992"/>
    <n v="0"/>
    <e v="#N/A"/>
  </r>
  <r>
    <s v="2017-11-19"/>
    <x v="2"/>
    <s v="BTANN-Z"/>
    <s v="TANNER SF"/>
    <n v="75212178.242599994"/>
    <m/>
    <n v="1.714E-3"/>
    <n v="2.4500000000000002"/>
    <s v="2021-07-05"/>
    <n v="1323"/>
    <n v="3.41"/>
    <n v="102.68"/>
    <s v="UF"/>
    <s v="Bono Corporativo"/>
    <s v="Financieras"/>
    <s v="A+"/>
    <x v="45"/>
    <s v="Bono SF Tanner S.A."/>
    <n v="256473527.807266"/>
    <n v="0"/>
    <e v="#N/A"/>
  </r>
  <r>
    <s v="2017-11-19"/>
    <x v="2"/>
    <s v="BCAPS-H"/>
    <s v="CAP"/>
    <n v="92980269.994900003"/>
    <m/>
    <n v="2.1189999999999998E-3"/>
    <n v="3.24"/>
    <s v="2021-09-01"/>
    <n v="1381"/>
    <n v="3.41"/>
    <n v="110.25"/>
    <s v="UF"/>
    <s v="Bono Corporativo"/>
    <s v="Industriales"/>
    <s v="A+"/>
    <x v="47"/>
    <s v="Bono CAP"/>
    <n v="317062720.68260902"/>
    <n v="-7.349002522020432E-7"/>
    <s v=""/>
  </r>
  <r>
    <s v="2017-11-19"/>
    <x v="2"/>
    <s v="BCORBX0914"/>
    <s v="BBCORPBANC"/>
    <n v="20192.698700000001"/>
    <n v="19508.0163028895"/>
    <n v="0"/>
    <n v="4.34"/>
    <s v="2021-09-01"/>
    <n v="1381"/>
    <n v="3.46"/>
    <n v="102.41"/>
    <s v="$"/>
    <s v="Bono Corporativo"/>
    <s v="Financieras"/>
    <s v="AA"/>
    <x v="11"/>
    <s v="Bono Corpbanca"/>
    <n v="69866.737502000004"/>
    <n v="0"/>
    <e v="#N/A"/>
  </r>
  <r>
    <s v="2017-11-19"/>
    <x v="2"/>
    <s v="BINDE-A"/>
    <s v="CFIRENTAS"/>
    <n v="66409766.450400002"/>
    <m/>
    <n v="1.5139999999999999E-3"/>
    <n v="1.97"/>
    <s v="2021-07-15"/>
    <n v="1333"/>
    <n v="3.5"/>
    <n v="101.13"/>
    <s v="UF"/>
    <s v="Bono Corporativo"/>
    <s v="Construccion"/>
    <s v="AA-"/>
    <x v="48"/>
    <s v="Bono Fondo de Inversion Independencia Rentas Inmobiliarias"/>
    <n v="232434182.57640001"/>
    <n v="0"/>
    <e v="#N/A"/>
  </r>
  <r>
    <s v="2017-11-19"/>
    <x v="2"/>
    <s v="BTMOV-K"/>
    <s v="MOVISTAR"/>
    <n v="39952.220699999998"/>
    <n v="39013.973662393109"/>
    <n v="9.9999999999999995E-7"/>
    <n v="4.45"/>
    <s v="2021-09-13"/>
    <n v="1393"/>
    <n v="3.5"/>
    <n v="101.51"/>
    <s v="$"/>
    <s v="Bono Corporativo"/>
    <s v="Comunicaciones"/>
    <s v="AA"/>
    <x v="34"/>
    <s v="Bono Movistar"/>
    <n v="139832.77244999999"/>
    <n v="-3.5600757641999402E-10"/>
    <s v=""/>
  </r>
  <r>
    <s v="2017-11-19"/>
    <x v="2"/>
    <s v="CORJRL1121"/>
    <s v="CORPLINDLE"/>
    <n v="32504753.9813"/>
    <m/>
    <n v="7.4100000000000001E-4"/>
    <n v="0"/>
    <s v="2021-11-23"/>
    <n v="1464"/>
    <n v="3.5"/>
    <n v="111.789"/>
    <s v="US$"/>
    <s v="Bono Corporativo"/>
    <s v="Consumo"/>
    <s v="AA-"/>
    <x v="93"/>
    <s v="Bono Corporación Lindley S.A."/>
    <n v="113766638.93455"/>
    <n v="0"/>
    <e v="#N/A"/>
  </r>
  <r>
    <s v="2017-11-19"/>
    <x v="2"/>
    <s v="BSECB50816"/>
    <s v="BBSECURITY"/>
    <n v="26756.991900000001"/>
    <m/>
    <n v="9.9999999999999995E-7"/>
    <n v="1.81"/>
    <s v="2021-08-01"/>
    <n v="1350"/>
    <n v="3.54"/>
    <n v="102.11"/>
    <s v="UF"/>
    <s v="Bono Corporativo"/>
    <s v="Financieras"/>
    <s v="AA-"/>
    <x v="7"/>
    <s v="Bono Banco Security"/>
    <n v="94719.751325999998"/>
    <n v="-3.5956054412808029E-10"/>
    <e v="#N/A"/>
  </r>
  <r>
    <s v="2017-11-19"/>
    <x v="2"/>
    <s v="AUPIST0622"/>
    <s v="RUTAMAIPO"/>
    <n v="33450934.042800002"/>
    <m/>
    <n v="7.6199999999999998E-4"/>
    <n v="0"/>
    <s v="2022-06-15"/>
    <n v="1668"/>
    <n v="3.55"/>
    <n v="107.9584"/>
    <s v="$"/>
    <s v="Bono Corporativo"/>
    <s v="Consecionaria"/>
    <s v="A"/>
    <x v="94"/>
    <s v="Bono Ruta del Maipo"/>
    <n v="118750815.85194001"/>
    <n v="0"/>
    <e v="#N/A"/>
  </r>
  <r>
    <s v="2017-11-19"/>
    <x v="2"/>
    <s v="AUPIST0622"/>
    <s v="RUTAMAIPO"/>
    <n v="3207520.3360000001"/>
    <m/>
    <n v="7.2999999999999999E-5"/>
    <n v="0"/>
    <s v="2022-06-15"/>
    <n v="1668"/>
    <n v="3.55"/>
    <n v="107.9584"/>
    <s v="US$"/>
    <s v="Bono Corporativo"/>
    <s v="Consecionaria"/>
    <s v="A"/>
    <x v="94"/>
    <s v="Bono Ruta del Maipo"/>
    <n v="11386697.1928"/>
    <n v="0"/>
    <e v="#N/A"/>
  </r>
  <r>
    <s v="2017-11-19"/>
    <x v="2"/>
    <s v="BITA-K0911"/>
    <s v="BBITAU"/>
    <n v="9259.6149000000005"/>
    <m/>
    <n v="0"/>
    <n v="1.82"/>
    <s v="2021-09-01"/>
    <n v="1381"/>
    <n v="3.56"/>
    <n v="105.99"/>
    <s v="UF"/>
    <s v="Bono Corporativo"/>
    <s v="Financieras"/>
    <s v="AA"/>
    <x v="11"/>
    <s v="Bono Banco Itaucorp"/>
    <n v="32964.229044"/>
    <n v="0"/>
    <s v=""/>
  </r>
  <r>
    <s v="2017-11-19"/>
    <x v="2"/>
    <s v="BFORU-BA"/>
    <s v="LEAS FORUM"/>
    <n v="552208921.49129999"/>
    <n v="540714852.94087088"/>
    <n v="1.2585000000000001E-2"/>
    <n v="4.62"/>
    <s v="2021-10-15"/>
    <n v="1425"/>
    <n v="3.58"/>
    <n v="101.64"/>
    <s v="$"/>
    <s v="Bono Corporativo"/>
    <s v="Financieras"/>
    <s v="AA"/>
    <x v="33"/>
    <s v="Bono Forum Servicios Financieros"/>
    <n v="1976907938.938854"/>
    <n v="-4.5776037778316708E-6"/>
    <e v="#N/A"/>
  </r>
  <r>
    <s v="2017-11-19"/>
    <x v="2"/>
    <s v="BFALA-Q"/>
    <s v="FALAB.SACI"/>
    <n v="629145053.37689996"/>
    <n v="600032513.86065018"/>
    <n v="1.4338E-2"/>
    <n v="4.42"/>
    <s v="2021-11-25"/>
    <n v="1466"/>
    <n v="3.6"/>
    <n v="102.33"/>
    <s v="$"/>
    <s v="Bono Corporativo"/>
    <s v="Consumo"/>
    <s v="AA"/>
    <x v="38"/>
    <s v="Bono Falabella"/>
    <n v="2264922192.1568398"/>
    <n v="-1.0501534486613149E-5"/>
    <e v="#N/A"/>
  </r>
  <r>
    <s v="2017-11-19"/>
    <x v="2"/>
    <s v="GLBACO1021"/>
    <s v="GLOBAL BAN"/>
    <n v="31126743.0451"/>
    <m/>
    <n v="7.0899999999999999E-4"/>
    <n v="0"/>
    <s v="2021-10-20"/>
    <n v="1430"/>
    <n v="3.63"/>
    <n v="101.8749"/>
    <s v="US$"/>
    <s v="Bono Corporativo"/>
    <s v="Financieras"/>
    <s v="A+"/>
    <x v="86"/>
    <s v="Bono Global Bank"/>
    <n v="112990077.253713"/>
    <n v="0"/>
    <e v="#N/A"/>
  </r>
  <r>
    <s v="2017-11-19"/>
    <x v="2"/>
    <s v="BNAVI-A"/>
    <s v="NAVIERA"/>
    <n v="108209927.06470001"/>
    <m/>
    <n v="2.4659999999999999E-3"/>
    <n v="3.61"/>
    <s v="2025-02-16"/>
    <n v="2645"/>
    <n v="3.63"/>
    <n v="102.06"/>
    <s v="UF"/>
    <s v="Bono Corporativo"/>
    <s v="Transporte"/>
    <s v="BBB+"/>
    <x v="95"/>
    <s v="Bono Naviera"/>
    <n v="392802035.24486101"/>
    <n v="9.0930599869123529E-7"/>
    <s v=""/>
  </r>
  <r>
    <s v="2017-11-19"/>
    <x v="2"/>
    <s v="BMELI-A"/>
    <s v="MELIPILLA"/>
    <n v="42652040.876199998"/>
    <m/>
    <n v="9.7199999999999999E-4"/>
    <n v="6.1"/>
    <s v="2024-12-01"/>
    <n v="2568"/>
    <n v="3.66"/>
    <n v="101.37"/>
    <s v="UF"/>
    <s v="Bono Corporativo"/>
    <s v="Consecionaria"/>
    <s v="BBB+"/>
    <x v="96"/>
    <s v="Bono Autopista Melipilla"/>
    <n v="156106469.60689199"/>
    <n v="3.611952611855387E-7"/>
    <s v=""/>
  </r>
  <r>
    <s v="2017-11-19"/>
    <x v="2"/>
    <s v="ENJOY0522"/>
    <s v="ENJOY"/>
    <n v="61202867.925999999"/>
    <m/>
    <n v="1.395E-3"/>
    <n v="0"/>
    <s v="2022-05-16"/>
    <n v="1638"/>
    <n v="3.72"/>
    <n v="107.5051"/>
    <s v="$"/>
    <s v="Bono Corporativo"/>
    <s v="Entretenimiento"/>
    <s v="BBB-"/>
    <x v="90"/>
    <s v="Bono Enjoy"/>
    <n v="227674668.68472001"/>
    <n v="0"/>
    <e v="#N/A"/>
  </r>
  <r>
    <s v="2017-11-19"/>
    <x v="2"/>
    <s v="BCAJ-V0917"/>
    <s v="LOS ANDES"/>
    <n v="45107463.992700003"/>
    <n v="45224102.379588239"/>
    <n v="1.0280000000000001E-3"/>
    <n v="5.07"/>
    <s v="2022-09-25"/>
    <n v="1770"/>
    <n v="3.74"/>
    <n v="99.04"/>
    <s v="$"/>
    <s v="Bono Corporativo"/>
    <s v="Financieras"/>
    <s v="AA-"/>
    <x v="18"/>
    <s v="Bono Caja Los Andes"/>
    <n v="168701915.33269802"/>
    <n v="-3.8997715489826198E-7"/>
    <e v="#N/A"/>
  </r>
  <r>
    <s v="2017-11-19"/>
    <x v="2"/>
    <s v="BANOR-B2"/>
    <s v="AUTONORTE"/>
    <n v="39660012.452699997"/>
    <m/>
    <n v="9.0300000000000005E-4"/>
    <n v="1.89"/>
    <s v="2024-12-30"/>
    <n v="2597"/>
    <n v="3.75"/>
    <n v="114.48"/>
    <s v="UF"/>
    <s v="Bono Corporativo"/>
    <s v="Concesionaria"/>
    <s v="AAA"/>
    <x v="49"/>
    <s v="Autopista Norte"/>
    <n v="148725046.69762498"/>
    <n v="0"/>
    <s v=""/>
  </r>
  <r>
    <s v="2017-11-19"/>
    <x v="2"/>
    <s v="BRPLC-D"/>
    <s v="RIPLEYCORP"/>
    <n v="531471320"/>
    <n v="20000"/>
    <n v="1.2112E-2"/>
    <n v="2.15"/>
    <s v="2021-10-15"/>
    <n v="1425"/>
    <n v="3.77"/>
    <n v="99.44"/>
    <s v="UF"/>
    <s v="Bono Corporativo"/>
    <s v="Consumo"/>
    <s v="A+"/>
    <x v="97"/>
    <s v="Bono Ripley"/>
    <n v="2003646876.4000001"/>
    <n v="0"/>
    <s v=""/>
  </r>
  <r>
    <s v="2017-11-19"/>
    <x v="2"/>
    <s v="BSECZ20816"/>
    <s v="BBSECURITY"/>
    <n v="68142.027799999996"/>
    <n v="65029.091087270557"/>
    <n v="1.9999999999999999E-6"/>
    <n v="4.5"/>
    <s v="2022-02-01"/>
    <n v="1534"/>
    <n v="3.77"/>
    <n v="103.14"/>
    <s v="$"/>
    <s v="Bono Corporativo"/>
    <s v="Financieras"/>
    <s v="AA-"/>
    <x v="7"/>
    <s v="Bono Banco Security"/>
    <n v="256895.44480599998"/>
    <n v="-1.5320961813399954E-9"/>
    <e v="#N/A"/>
  </r>
  <r>
    <s v="2017-11-19"/>
    <x v="2"/>
    <s v="TRAGSA0322"/>
    <s v="TRANSPGAS"/>
    <n v="31474773.1109"/>
    <m/>
    <n v="7.1699999999999997E-4"/>
    <n v="0"/>
    <s v="2022-03-20"/>
    <n v="1581"/>
    <n v="3.87"/>
    <n v="102.8028"/>
    <s v="US$"/>
    <s v="Bono Corporativo"/>
    <s v="Energia"/>
    <s v="A+"/>
    <x v="98"/>
    <s v="Bono TGI S.A."/>
    <n v="121807371.939183"/>
    <n v="0"/>
    <e v="#N/A"/>
  </r>
  <r>
    <s v="2017-11-19"/>
    <x v="2"/>
    <s v="BGASC-F2"/>
    <s v="GASCO"/>
    <n v="11352770.159"/>
    <m/>
    <n v="2.5900000000000001E-4"/>
    <n v="2.08"/>
    <s v="2025-12-01"/>
    <n v="2933"/>
    <n v="3.87"/>
    <n v="120.49"/>
    <s v="UF"/>
    <s v="Bono Corporativo"/>
    <s v="Servicios Basicos"/>
    <s v="A"/>
    <x v="99"/>
    <s v="Bono GASCO"/>
    <n v="43935220.515330002"/>
    <n v="1.0158224135398487E-7"/>
    <s v=""/>
  </r>
  <r>
    <s v="2017-11-19"/>
    <x v="2"/>
    <s v="BLATM-A"/>
    <s v="LTM"/>
    <n v="632330138.04589999"/>
    <n v="15000"/>
    <n v="1.4409999999999999E-2"/>
    <n v="3.47"/>
    <s v="2022-06-01"/>
    <n v="1654"/>
    <n v="4.0199999999999996"/>
    <n v="107.34"/>
    <s v="UF"/>
    <s v="Bono Corporativo"/>
    <s v="Transporte"/>
    <s v="BBB-"/>
    <x v="87"/>
    <s v="Bono LATAM Airlines"/>
    <n v="2541967154.9445176"/>
    <n v="0"/>
    <e v="#N/A"/>
  </r>
  <r>
    <s v="2017-11-19"/>
    <x v="2"/>
    <s v="BBANM-Q"/>
    <s v="BANMEDICA"/>
    <n v="547354446.83469999"/>
    <n v="20000"/>
    <n v="1.2474000000000001E-2"/>
    <n v="2.14"/>
    <s v="2023-12-01"/>
    <n v="2202"/>
    <n v="4.03"/>
    <n v="101.42"/>
    <s v="UF"/>
    <s v="Bono Corporativo"/>
    <s v="Salud"/>
    <s v="AA-"/>
    <x v="24"/>
    <s v="Bono Banmedica"/>
    <n v="2205838420.7438412"/>
    <n v="0"/>
    <s v=""/>
  </r>
  <r>
    <s v="2017-11-19"/>
    <x v="2"/>
    <s v="BINT-G0617"/>
    <s v="BBINTERNAC"/>
    <n v="577123502.53030002"/>
    <n v="567849540.82737374"/>
    <n v="1.3153E-2"/>
    <n v="4.6100000000000003"/>
    <s v="2022-06-01"/>
    <n v="1654"/>
    <n v="4.07"/>
    <n v="99.56"/>
    <s v="$"/>
    <s v="Bono Corporativo"/>
    <s v="Financieras"/>
    <s v="A+"/>
    <x v="12"/>
    <s v="Bono Banco Internacional"/>
    <n v="2348892655.2983212"/>
    <n v="0"/>
    <e v="#N/A"/>
  </r>
  <r>
    <s v="2017-11-19"/>
    <x v="2"/>
    <s v="BSTDE60412"/>
    <s v="BBSANT-CHI"/>
    <n v="29981.751799999998"/>
    <m/>
    <n v="9.9999999999999995E-7"/>
    <n v="1.7"/>
    <s v="2022-04-01"/>
    <n v="1593"/>
    <n v="4.08"/>
    <n v="107.53"/>
    <s v="UF"/>
    <s v="Bono Corporativo"/>
    <s v="Financieras"/>
    <s v="AAA"/>
    <x v="10"/>
    <s v="Bono Banco Santander"/>
    <n v="122325.54734399999"/>
    <n v="8.271306812959008E-10"/>
    <s v=""/>
  </r>
  <r>
    <s v="2017-11-19"/>
    <x v="2"/>
    <s v="BMASI-E"/>
    <s v="MASISA"/>
    <n v="542761.92000000004"/>
    <m/>
    <n v="1.2E-5"/>
    <n v="4.74"/>
    <s v="2026-10-15"/>
    <n v="3251"/>
    <n v="4.09"/>
    <n v="100.03"/>
    <s v="UF"/>
    <s v="Bono Corporativo"/>
    <s v="Materiales Basicos"/>
    <s v="BBB"/>
    <x v="81"/>
    <s v="Bono Masisa"/>
    <n v="2219896.2527999999"/>
    <n v="-9.9673114760529881E-9"/>
    <e v="#N/A"/>
  </r>
  <r>
    <s v="2017-11-19"/>
    <x v="2"/>
    <s v="BFORU-BF"/>
    <s v="LEAS FORUM"/>
    <n v="295082017.02759999"/>
    <n v="11000"/>
    <n v="6.7239999999999999E-3"/>
    <n v="1.86"/>
    <s v="2022-03-01"/>
    <n v="1562"/>
    <n v="4.1100000000000003"/>
    <n v="100.16"/>
    <s v="UF"/>
    <s v="Bono Corporativo"/>
    <s v="Financieras"/>
    <s v="AA"/>
    <x v="33"/>
    <s v="Bono Forum Servicios Financieros"/>
    <n v="1212787089.9834361"/>
    <n v="1.6826872142423863E-5"/>
    <e v="#N/A"/>
  </r>
  <r>
    <s v="2017-11-19"/>
    <x v="2"/>
    <s v="BECOP-H"/>
    <s v="COPEC"/>
    <n v="32951.048499999997"/>
    <n v="32514.058898127983"/>
    <n v="9.9999999999999995E-7"/>
    <n v="4.62"/>
    <s v="2023-09-15"/>
    <n v="2125"/>
    <n v="4.12"/>
    <n v="100.51"/>
    <s v="$"/>
    <s v="Bono Corporativo"/>
    <s v="Materiales Basicos"/>
    <s v="AA-"/>
    <x v="50"/>
    <s v="Bono Empresas Copec"/>
    <n v="135758.31982"/>
    <n v="-8.3600119410816205E-10"/>
    <s v=""/>
  </r>
  <r>
    <s v="2017-11-19"/>
    <x v="2"/>
    <s v="BITAAF0614"/>
    <s v="BBITAU"/>
    <n v="13213.7407"/>
    <m/>
    <n v="0"/>
    <n v="1.81"/>
    <s v="2022-06-01"/>
    <n v="1654"/>
    <n v="4.18"/>
    <n v="107.1"/>
    <s v="UF"/>
    <s v="Bono Corporativo"/>
    <s v="Financieras"/>
    <s v="AA"/>
    <x v="11"/>
    <s v="Bono Banco Itaucorp"/>
    <n v="55233.436126000001"/>
    <n v="0"/>
    <s v=""/>
  </r>
  <r>
    <s v="2017-11-19"/>
    <x v="2"/>
    <s v="BBVASM0922"/>
    <s v="BBVA BANCO"/>
    <n v="37562163.855999999"/>
    <m/>
    <n v="8.5599999999999999E-4"/>
    <n v="0"/>
    <s v="2022-09-30"/>
    <n v="1775"/>
    <n v="4.2300000000000004"/>
    <n v="112.77979999999999"/>
    <s v="US$"/>
    <s v="Bono Corporativo"/>
    <s v="Financieras"/>
    <s v="AA"/>
    <x v="100"/>
    <s v="Bono Banco BBVA Bancomer"/>
    <n v="158887953.11088002"/>
    <n v="0"/>
    <e v="#N/A"/>
  </r>
  <r>
    <s v="2017-11-19"/>
    <x v="2"/>
    <s v="UCHID10402"/>
    <s v="BBCHILE"/>
    <n v="18659.919600000001"/>
    <m/>
    <n v="0"/>
    <n v="2.0499999999999998"/>
    <s v="2026-04-01"/>
    <n v="3054"/>
    <n v="4.24"/>
    <n v="110.4"/>
    <s v="UF"/>
    <s v="Bono Corporativo"/>
    <s v="Financieras"/>
    <s v="AA"/>
    <x v="16"/>
    <s v="Bono Subordinado Banco Chile"/>
    <n v="79118.059104000014"/>
    <n v="0"/>
    <s v=""/>
  </r>
  <r>
    <s v="2017-11-19"/>
    <x v="2"/>
    <s v="BCFSA-C"/>
    <s v="CONSOR FIN"/>
    <n v="34202.447899999999"/>
    <m/>
    <n v="9.9999999999999995E-7"/>
    <n v="2.0699999999999998"/>
    <s v="2022-05-15"/>
    <n v="1637"/>
    <n v="4.33"/>
    <n v="97.6"/>
    <s v="UF"/>
    <s v="Bono Corporativo"/>
    <s v="Financieras"/>
    <s v="AA-"/>
    <x v="51"/>
    <s v="Bono Consorcio Financiero"/>
    <n v="148096.599407"/>
    <n v="8.7678298583610073E-10"/>
    <e v="#N/A"/>
  </r>
  <r>
    <s v="2017-11-19"/>
    <x v="2"/>
    <s v="BREDS-E"/>
    <s v="RED SALUD"/>
    <n v="49216875.527099997"/>
    <m/>
    <n v="1.122E-3"/>
    <n v="2.14"/>
    <s v="2022-06-30"/>
    <n v="1683"/>
    <n v="4.38"/>
    <n v="101.11"/>
    <s v="UF"/>
    <s v="Bono Corporativo"/>
    <s v="Salud"/>
    <s v="A-"/>
    <x v="101"/>
    <s v="Bono Red Salud"/>
    <n v="215569914.80869797"/>
    <n v="4.9815796976655629E-7"/>
    <e v="#N/A"/>
  </r>
  <r>
    <s v="2017-11-19"/>
    <x v="2"/>
    <s v="BBCIF20812"/>
    <s v="BBCREDITO"/>
    <n v="860071752.50419998"/>
    <n v="30000"/>
    <n v="1.9601E-2"/>
    <n v="2.48"/>
    <s v="2022-08-01"/>
    <n v="1715"/>
    <n v="4.42"/>
    <n v="100.58"/>
    <s v="UF"/>
    <s v="Bono Corporativo"/>
    <s v="Financieras"/>
    <s v="AA+"/>
    <x v="9"/>
    <s v="Bono BCI"/>
    <n v="3801517146.0685639"/>
    <n v="-8.777809654375492E-6"/>
    <s v=""/>
  </r>
  <r>
    <s v="2017-11-19"/>
    <x v="2"/>
    <s v="BISTPP0922"/>
    <s v="BANISTMO"/>
    <n v="16239835.366599999"/>
    <m/>
    <n v="3.6999999999999999E-4"/>
    <n v="0"/>
    <s v="2022-09-19"/>
    <n v="1764"/>
    <n v="4.45"/>
    <n v="99.674700000000001"/>
    <s v="US$"/>
    <s v="Bono Corporativo"/>
    <s v="Financieras"/>
    <s v="A+"/>
    <x v="102"/>
    <s v="Bono Banistmo"/>
    <n v="72267267.381369993"/>
    <n v="0"/>
    <e v="#N/A"/>
  </r>
  <r>
    <s v="2017-11-19"/>
    <x v="2"/>
    <s v="TERRAF1122"/>
    <s v="PLA ADMINI"/>
    <n v="27256084.340599999"/>
    <m/>
    <n v="6.2100000000000002E-4"/>
    <n v="0"/>
    <s v="2022-11-10"/>
    <n v="1816"/>
    <n v="4.45"/>
    <n v="105.05889999999999"/>
    <s v="US$"/>
    <s v="Bono Corporativo"/>
    <s v="Financieras"/>
    <s v="BBB-"/>
    <x v="103"/>
    <s v="Bono Terrafina"/>
    <n v="121289575.31567"/>
    <n v="0"/>
    <e v="#N/A"/>
  </r>
  <r>
    <s v="2017-11-19"/>
    <x v="2"/>
    <s v="TREA073122"/>
    <s v="TREASURY"/>
    <n v="12927278.9298"/>
    <m/>
    <n v="2.9500000000000001E-4"/>
    <n v="0"/>
    <s v="2022-07-31"/>
    <n v="1714"/>
    <n v="4.49"/>
    <n v="99.224400000000003"/>
    <s v="US$"/>
    <s v="Bono de Gobierno"/>
    <s v="Gobierno"/>
    <s v="AAA"/>
    <x v="104"/>
    <s v="Bono del Tesoro EEUU"/>
    <n v="58043482.394802004"/>
    <n v="0"/>
    <e v="#N/A"/>
  </r>
  <r>
    <s v="2017-11-19"/>
    <x v="2"/>
    <s v="MULT1122"/>
    <s v="MULTIBANK"/>
    <n v="5164013.6787"/>
    <m/>
    <n v="1.18E-4"/>
    <n v="0"/>
    <s v="2022-11-09"/>
    <n v="1815"/>
    <n v="4.51"/>
    <n v="99.550299999999993"/>
    <s v="US$"/>
    <s v="Bono Corporativo"/>
    <s v="Financieras"/>
    <s v="A"/>
    <x v="105"/>
    <s v="Bono Multibank"/>
    <n v="23289701.690936998"/>
    <n v="0"/>
    <e v="#N/A"/>
  </r>
  <r>
    <s v="2017-11-19"/>
    <x v="2"/>
    <s v="BJUMB-B2"/>
    <s v="JUMBO"/>
    <n v="30600.046699999999"/>
    <m/>
    <n v="9.9999999999999995E-7"/>
    <n v="1.98"/>
    <s v="2026-09-01"/>
    <n v="3207"/>
    <n v="4.5599999999999996"/>
    <n v="121.11"/>
    <s v="UF"/>
    <s v="Bono Corporativo"/>
    <s v="Retail"/>
    <s v="AA-"/>
    <x v="14"/>
    <s v="Bono Jumbo"/>
    <n v="139536.21295199997"/>
    <n v="9.2150014181462062E-10"/>
    <s v=""/>
  </r>
  <r>
    <s v="2017-11-19"/>
    <x v="2"/>
    <s v="CENSUD0123"/>
    <s v="CENCOSUD"/>
    <n v="15771092.1699"/>
    <m/>
    <n v="3.59E-4"/>
    <n v="0"/>
    <s v="2023-01-20"/>
    <n v="1887"/>
    <n v="4.58"/>
    <n v="105.4569"/>
    <s v="US$"/>
    <s v="Bono Corporativo"/>
    <s v="Consumo"/>
    <s v="BB-"/>
    <x v="14"/>
    <s v="Bono Cencosud S.A."/>
    <n v="72231602.138142005"/>
    <n v="0"/>
    <e v="#N/A"/>
  </r>
  <r>
    <s v="2017-11-19"/>
    <x v="2"/>
    <s v="BACEN-A1"/>
    <s v="AUTOCENTRA"/>
    <n v="35479.763800000001"/>
    <m/>
    <n v="9.9999999999999995E-7"/>
    <n v="1.92"/>
    <s v="2026-12-15"/>
    <n v="3312"/>
    <n v="4.59"/>
    <n v="115.64"/>
    <s v="UF"/>
    <s v="Bono Corporativo"/>
    <s v="Concesionaria"/>
    <s v="AA"/>
    <x v="52"/>
    <s v="Bono Autopista Central"/>
    <n v="162852.115842"/>
    <n v="0"/>
    <s v=""/>
  </r>
  <r>
    <s v="2017-11-19"/>
    <x v="2"/>
    <s v="BESVA-D1"/>
    <s v="ESVAL"/>
    <n v="13561.763000000001"/>
    <m/>
    <n v="0"/>
    <n v="2.09"/>
    <s v="2027-06-01"/>
    <n v="3480"/>
    <n v="4.62"/>
    <n v="118.23"/>
    <s v="UF"/>
    <s v="Bono Corporativo"/>
    <s v="Servicios Basicos"/>
    <s v="AA"/>
    <x v="53"/>
    <s v="Bono Esval"/>
    <n v="62655.345060000007"/>
    <n v="0"/>
    <s v=""/>
  </r>
  <r>
    <s v="2017-11-19"/>
    <x v="2"/>
    <s v="BESAL-B"/>
    <s v="ESSAL"/>
    <n v="12251.1258"/>
    <m/>
    <n v="0"/>
    <n v="1.99"/>
    <s v="2028-06-01"/>
    <n v="3846"/>
    <n v="4.6500000000000004"/>
    <n v="118.74"/>
    <s v="UF"/>
    <s v="Bono Corporativo"/>
    <s v="Servicios Basicos"/>
    <s v="AA+"/>
    <x v="54"/>
    <s v="Bono Essal"/>
    <n v="56967.734970000005"/>
    <n v="0"/>
    <s v=""/>
  </r>
  <r>
    <s v="2017-11-19"/>
    <x v="2"/>
    <s v="BRASKM0123"/>
    <s v="BRASKEM"/>
    <n v="12925711.2268"/>
    <m/>
    <n v="2.9500000000000001E-4"/>
    <n v="0"/>
    <s v="2023-01-10"/>
    <n v="1877"/>
    <n v="4.6900000000000004"/>
    <n v="99.022000000000006"/>
    <s v="US$"/>
    <s v="Bono Corporativo"/>
    <s v="Industriales"/>
    <s v="BB-"/>
    <x v="106"/>
    <s v="Bono Braskem"/>
    <n v="60621585.653692007"/>
    <n v="0"/>
    <e v="#N/A"/>
  </r>
  <r>
    <s v="2017-11-19"/>
    <x v="2"/>
    <s v="UEST-C0405"/>
    <s v="BBESTADO"/>
    <n v="18874.656800000001"/>
    <m/>
    <n v="0"/>
    <n v="2.13"/>
    <s v="2027-04-01"/>
    <n v="3419"/>
    <n v="4.71"/>
    <n v="111.17"/>
    <s v="UF"/>
    <s v="Bono Corporativo"/>
    <s v="Financieras"/>
    <s v="AA"/>
    <x v="3"/>
    <s v="Bono Subordinado Banco Estado"/>
    <n v="88899.633528000006"/>
    <n v="0"/>
    <s v=""/>
  </r>
  <r>
    <s v="2017-11-19"/>
    <x v="2"/>
    <s v="BCHIUS0212"/>
    <s v="BBCHILE"/>
    <n v="16945.724600000001"/>
    <m/>
    <n v="0"/>
    <n v="1.85"/>
    <s v="2023-02-01"/>
    <n v="1899"/>
    <n v="4.79"/>
    <n v="107.46"/>
    <s v="UF"/>
    <s v="Bono Corporativo"/>
    <s v="Financieras"/>
    <s v="AAA"/>
    <x v="16"/>
    <s v="Bono Banco Chile"/>
    <n v="81170.02083400001"/>
    <n v="0"/>
    <s v=""/>
  </r>
  <r>
    <s v="2017-11-19"/>
    <x v="2"/>
    <s v="CALLAO0423"/>
    <s v="GAS NATURA"/>
    <n v="24449895.972399998"/>
    <m/>
    <n v="5.5699999999999999E-4"/>
    <n v="0"/>
    <s v="2023-04-01"/>
    <n v="1958"/>
    <n v="4.83"/>
    <n v="104.2616"/>
    <s v="US$"/>
    <s v="Bono Corporativo"/>
    <s v="Energia"/>
    <s v="A+"/>
    <x v="107"/>
    <s v="Bono Gas Natural de Lima y Callao S.A."/>
    <n v="118092997.546692"/>
    <n v="0"/>
    <e v="#N/A"/>
  </r>
  <r>
    <s v="2017-11-19"/>
    <x v="2"/>
    <s v="BANSM-A"/>
    <s v="AGUAS NSUR"/>
    <n v="281804313.64780003"/>
    <n v="10000"/>
    <n v="6.4219999999999998E-3"/>
    <n v="1.95"/>
    <s v="2028-03-21"/>
    <n v="3774"/>
    <n v="4.8600000000000003"/>
    <n v="109.97"/>
    <s v="UF"/>
    <s v="Bono Corporativo"/>
    <s v="Utilities"/>
    <s v="AA+"/>
    <x v="55"/>
    <s v="Bono Aguas Nuevo Sur"/>
    <n v="1369568964.3283083"/>
    <n v="0"/>
    <s v=""/>
  </r>
  <r>
    <s v="2017-11-19"/>
    <x v="2"/>
    <s v="TRANSM0523"/>
    <s v="TRANSMANTA"/>
    <n v="33244709.796799999"/>
    <m/>
    <n v="7.5799999999999999E-4"/>
    <n v="0"/>
    <s v="2023-05-07"/>
    <n v="1994"/>
    <n v="4.92"/>
    <n v="103.7444"/>
    <s v="US$"/>
    <s v="Bono Corporativo"/>
    <s v="Energia"/>
    <s v="A+"/>
    <x v="108"/>
    <s v="Bono Transmantaro S.A."/>
    <n v="163563972.20025599"/>
    <n v="0"/>
    <e v="#N/A"/>
  </r>
  <r>
    <s v="2017-11-19"/>
    <x v="2"/>
    <s v="BCAJ-U0517"/>
    <s v="LOS ANDES"/>
    <n v="342148040.55790001"/>
    <n v="12000"/>
    <n v="7.7970000000000001E-3"/>
    <n v="2.39"/>
    <s v="2024-05-05"/>
    <n v="2358"/>
    <n v="4.93"/>
    <n v="99.32"/>
    <s v="UF"/>
    <s v="Bono Corporativo"/>
    <s v="Financieras"/>
    <s v="AA-"/>
    <x v="18"/>
    <s v="Bono Caja Los Andes"/>
    <n v="1686789839.9504468"/>
    <n v="3.8479073233754114E-6"/>
    <e v="#N/A"/>
  </r>
  <r>
    <s v="2017-11-19"/>
    <x v="2"/>
    <s v="USECE10506"/>
    <s v="BBSECURITY"/>
    <n v="14770877.964400001"/>
    <m/>
    <n v="3.3700000000000001E-4"/>
    <n v="2.23"/>
    <s v="2028-05-01"/>
    <n v="3815"/>
    <n v="4.95"/>
    <n v="108.72"/>
    <s v="UF"/>
    <s v="Bono Corporativo"/>
    <s v="Financieras"/>
    <s v="A"/>
    <x v="7"/>
    <s v="Bono Banco Security"/>
    <n v="73115845.923780009"/>
    <n v="3.1708744827863143E-7"/>
    <s v=""/>
  </r>
  <r>
    <s v="2017-11-19"/>
    <x v="2"/>
    <s v="BANUE-A"/>
    <s v="AGUAS NUEV"/>
    <n v="36131.379999999997"/>
    <m/>
    <n v="9.9999999999999995E-7"/>
    <n v="2.1800000000000002"/>
    <s v="2028-05-15"/>
    <n v="3829"/>
    <n v="4.99"/>
    <n v="109.06"/>
    <s v="UF"/>
    <s v="Bono Corporativo"/>
    <s v="Servicios Basicos"/>
    <s v="AA-"/>
    <x v="55"/>
    <s v="Bono Aguas Nuevas"/>
    <n v="180295.58619999999"/>
    <n v="0"/>
    <s v=""/>
  </r>
  <r>
    <s v="2017-11-19"/>
    <x v="2"/>
    <s v="ECOPET0923"/>
    <s v="ECOPETL"/>
    <n v="11676251.9366"/>
    <m/>
    <n v="2.6600000000000001E-4"/>
    <n v="0"/>
    <s v="2023-09-18"/>
    <n v="2128"/>
    <n v="5.03"/>
    <n v="111.66079999999999"/>
    <s v="US$"/>
    <s v="Bono Corporativo"/>
    <s v="Energia"/>
    <s v="A+"/>
    <x v="83"/>
    <s v="Bono Ecopetrol S.A."/>
    <n v="58731547.241098002"/>
    <n v="0"/>
    <e v="#N/A"/>
  </r>
  <r>
    <s v="2017-11-19"/>
    <x v="2"/>
    <s v="LBTYA 0124"/>
    <s v="VTR FIN"/>
    <n v="30575588.157299999"/>
    <m/>
    <n v="6.9700000000000003E-4"/>
    <n v="0"/>
    <s v="2024-01-15"/>
    <n v="2247"/>
    <n v="5.04"/>
    <n v="105.1323"/>
    <s v="$"/>
    <s v="Bono Corporativo"/>
    <s v="Comunicaciones"/>
    <s v="BB+"/>
    <x v="109"/>
    <s v="Bono VTR USD"/>
    <n v="154100964.312792"/>
    <n v="0"/>
    <e v="#N/A"/>
  </r>
  <r>
    <s v="2017-11-19"/>
    <x v="2"/>
    <s v="UFAL-A0607"/>
    <s v="BBFALABELL"/>
    <n v="78588335.240700006"/>
    <n v="500"/>
    <n v="1.7910000000000001E-3"/>
    <n v="2.2799999999999998"/>
    <s v="2028-06-15"/>
    <n v="3860"/>
    <n v="5.09"/>
    <n v="108.7"/>
    <s v="UF"/>
    <s v="Bono Corporativo"/>
    <s v="Financieras"/>
    <s v="A+"/>
    <x v="44"/>
    <s v="Bono Subordinado Banco Falabella"/>
    <n v="400014626.37516302"/>
    <n v="9.2198236685791585E-7"/>
    <s v=""/>
  </r>
  <r>
    <s v="2017-11-19"/>
    <x v="2"/>
    <s v="MBONO 1224"/>
    <s v="MBONO"/>
    <n v="247551995"/>
    <n v="6200000"/>
    <n v="5.6410000000000002E-3"/>
    <n v="0"/>
    <s v="2024-12-05"/>
    <n v="2572"/>
    <n v="5.17"/>
    <n v="115.89019999999999"/>
    <s v="MX"/>
    <s v="Bono de Gobierno"/>
    <s v="Gobierno"/>
    <s v="AA"/>
    <x v="110"/>
    <s v="Bono Gobierno De Mexico"/>
    <n v="1279843814.1500001"/>
    <n v="0"/>
    <e v="#N/A"/>
  </r>
  <r>
    <s v="2017-11-19"/>
    <x v="2"/>
    <s v="FRESLN1123"/>
    <s v="FRESNILLO"/>
    <n v="12803430.3928"/>
    <m/>
    <n v="2.92E-4"/>
    <n v="0"/>
    <s v="2023-11-13"/>
    <n v="2184"/>
    <n v="5.22"/>
    <n v="109.7188"/>
    <s v="US$"/>
    <s v="Bono Corporativo"/>
    <s v="Mineria"/>
    <s v="AA-"/>
    <x v="111"/>
    <s v="Bono Fresnillo"/>
    <n v="66833906.650415994"/>
    <n v="0"/>
    <e v="#N/A"/>
  </r>
  <r>
    <s v="2017-11-19"/>
    <x v="2"/>
    <s v="MINSUR0224"/>
    <s v="MINSUR"/>
    <n v="32172400.945500001"/>
    <m/>
    <n v="7.3300000000000004E-4"/>
    <n v="0"/>
    <s v="2024-02-07"/>
    <n v="2270"/>
    <n v="5.22"/>
    <n v="111.1096"/>
    <s v="US$"/>
    <s v="Bono Corporativo"/>
    <s v="Materiales Basicos"/>
    <s v="A"/>
    <x v="112"/>
    <s v="Bono EK056008"/>
    <n v="167939932.93551001"/>
    <n v="0"/>
    <e v="#N/A"/>
  </r>
  <r>
    <s v="2017-11-19"/>
    <x v="2"/>
    <s v="BTMOV-F"/>
    <s v="MOVISTAR"/>
    <n v="37682.671000000002"/>
    <m/>
    <n v="9.9999999999999995E-7"/>
    <n v="2.09"/>
    <s v="2023-10-04"/>
    <n v="2144"/>
    <n v="5.35"/>
    <n v="108.15"/>
    <s v="UF"/>
    <s v="Bono Corporativo"/>
    <s v="Comunicaciones"/>
    <s v="AA"/>
    <x v="34"/>
    <s v="Bono Movistar"/>
    <n v="201602.28985"/>
    <n v="5.4112861747206794E-10"/>
    <s v=""/>
  </r>
  <r>
    <s v="2017-11-19"/>
    <x v="2"/>
    <s v="BBANM-D"/>
    <s v="BANMEDICA"/>
    <n v="210644195.6771"/>
    <n v="10000"/>
    <n v="4.7999999999999996E-3"/>
    <n v="2.37"/>
    <s v="2029-05-02"/>
    <n v="4181"/>
    <n v="5.36"/>
    <n v="104.63"/>
    <s v="UF"/>
    <s v="Bono Corporativo"/>
    <s v="Salud"/>
    <s v="AA-"/>
    <x v="24"/>
    <s v="Bonos Banmedica"/>
    <n v="1129052888.8292561"/>
    <n v="5.1830714796398249E-6"/>
    <s v=""/>
  </r>
  <r>
    <s v="2017-11-19"/>
    <x v="2"/>
    <s v="SUAMSA0424"/>
    <s v="SUAM FINAN"/>
    <n v="7898087.7089999998"/>
    <m/>
    <n v="1.8000000000000001E-4"/>
    <n v="0"/>
    <s v="2024-04-17"/>
    <n v="2340"/>
    <n v="5.59"/>
    <n v="107.1002"/>
    <s v="US$"/>
    <s v="Bono Corporativo"/>
    <s v="Financieras"/>
    <s v="BBB"/>
    <x v="113"/>
    <s v="Bono Sura Asset Management S.A."/>
    <n v="44150310.293309994"/>
    <n v="0"/>
    <e v="#N/A"/>
  </r>
  <r>
    <s v="2017-11-19"/>
    <x v="2"/>
    <s v="GEOPAR0924"/>
    <s v="GEOPARK"/>
    <n v="79753694.975799993"/>
    <m/>
    <n v="1.818E-3"/>
    <n v="0"/>
    <s v="2024-09-21"/>
    <n v="2497"/>
    <n v="5.59"/>
    <n v="102.80589999999999"/>
    <s v="$"/>
    <s v="Bono Corporativo"/>
    <s v="Energia"/>
    <s v="BB"/>
    <x v="114"/>
    <s v="Bono GeoPark"/>
    <n v="445823154.91472197"/>
    <n v="0"/>
    <e v="#N/A"/>
  </r>
  <r>
    <s v="2017-11-19"/>
    <x v="2"/>
    <s v="BCHIUU0212"/>
    <s v="BBCHILE"/>
    <n v="41647.903899999998"/>
    <m/>
    <n v="9.9999999999999995E-7"/>
    <n v="1.98"/>
    <s v="2024-02-01"/>
    <n v="2264"/>
    <n v="5.62"/>
    <n v="108.04"/>
    <s v="UF"/>
    <s v="Bono Corporativo"/>
    <s v="Financieras"/>
    <s v="AAA"/>
    <x v="16"/>
    <s v="Bono Banco Chile"/>
    <n v="234061.21991799999"/>
    <n v="5.6787725767790302E-10"/>
    <e v="#N/A"/>
  </r>
  <r>
    <s v="2017-11-19"/>
    <x v="2"/>
    <s v="BAVNO-A1"/>
    <s v="AUTOVESNOR"/>
    <n v="697682702.54680002"/>
    <n v="20000"/>
    <n v="1.5900000000000001E-2"/>
    <n v="2.54"/>
    <s v="2028-12-15"/>
    <n v="4043"/>
    <n v="5.62"/>
    <n v="115.65"/>
    <s v="UF"/>
    <s v="Bono Corporativo"/>
    <s v="Concesionaria"/>
    <s v="A"/>
    <x v="115"/>
    <s v="Bono Vespucio Norte Express"/>
    <n v="3920976788.3130159"/>
    <n v="0"/>
    <s v=""/>
  </r>
  <r>
    <s v="2017-11-19"/>
    <x v="2"/>
    <s v="BAMAI-A1"/>
    <s v="AUTOMAIPO"/>
    <n v="95610096.780100003"/>
    <m/>
    <n v="2.1789999999999999E-3"/>
    <n v="2.92"/>
    <s v="2025-06-15"/>
    <n v="2764"/>
    <n v="5.66"/>
    <n v="111"/>
    <s v="UF"/>
    <s v="Bono Corporativo"/>
    <s v="Concesionaria"/>
    <s v="A"/>
    <x v="116"/>
    <s v="Bono Autopista del Maipo"/>
    <n v="541153147.77536607"/>
    <n v="1.2458942163857339E-6"/>
    <e v="#N/A"/>
  </r>
  <r>
    <s v="2017-11-19"/>
    <x v="2"/>
    <s v="BMASI-L"/>
    <s v="MASISA"/>
    <n v="97354688.665700004"/>
    <m/>
    <n v="2.2190000000000001E-3"/>
    <n v="3.26"/>
    <s v="2029-12-15"/>
    <n v="4408"/>
    <n v="5.71"/>
    <n v="112.72"/>
    <s v="UF"/>
    <s v="Bono Corporativo"/>
    <s v="Materiales Basicos"/>
    <s v="BBB"/>
    <x v="81"/>
    <s v="Bono Masisa"/>
    <n v="555895272.281147"/>
    <n v="3.3117496598468471E-5"/>
    <e v="#N/A"/>
  </r>
  <r>
    <s v="2017-11-19"/>
    <x v="2"/>
    <s v="BCENC-J"/>
    <s v="CENCOSUD"/>
    <n v="51734446.137999997"/>
    <m/>
    <n v="1.1789999999999999E-3"/>
    <n v="2.54"/>
    <s v="2029-10-15"/>
    <n v="4347"/>
    <n v="5.73"/>
    <n v="118.42"/>
    <s v="UF"/>
    <s v="Bono Corporativo"/>
    <s v="Consumo"/>
    <s v="AA-"/>
    <x v="14"/>
    <s v="Bono Cencosud S.A."/>
    <n v="296438376.37074"/>
    <n v="0"/>
    <s v=""/>
  </r>
  <r>
    <s v="2017-11-19"/>
    <x v="2"/>
    <s v="BBIC590314"/>
    <s v="BBICE"/>
    <n v="20277.8531"/>
    <m/>
    <n v="0"/>
    <n v="2.0499999999999998"/>
    <s v="2024-03-01"/>
    <n v="2293"/>
    <n v="5.75"/>
    <n v="105.6"/>
    <s v="UF"/>
    <s v="Bono Corporativo"/>
    <s v="Financieras"/>
    <s v="AA"/>
    <x v="2"/>
    <s v="Bono Banco Bice"/>
    <n v="116597.655325"/>
    <n v="0"/>
    <s v=""/>
  </r>
  <r>
    <s v="2017-11-19"/>
    <x v="2"/>
    <s v="BIELC-D"/>
    <s v="ELECDELSUR"/>
    <n v="20496.292600000001"/>
    <m/>
    <n v="0"/>
    <n v="2.2799999999999998"/>
    <s v="2029-06-30"/>
    <n v="4240"/>
    <n v="5.78"/>
    <n v="115.95"/>
    <s v="UF"/>
    <s v="Bono Corporativo"/>
    <s v="Energia"/>
    <s v="AA-"/>
    <x v="56"/>
    <s v="Bono Distribuidora Del Sur"/>
    <n v="118468.57122800002"/>
    <n v="0"/>
    <s v=""/>
  </r>
  <r>
    <s v="2017-11-19"/>
    <x v="2"/>
    <s v="UDES-F1004"/>
    <s v="BBDESARROL"/>
    <n v="42225175"/>
    <n v="1500"/>
    <n v="9.6199999999999996E-4"/>
    <n v="2.42"/>
    <s v="2029-10-01"/>
    <n v="4333"/>
    <n v="5.83"/>
    <n v="121.3"/>
    <s v="UF"/>
    <s v="Bono Corporativo"/>
    <s v="Financieras"/>
    <s v="AA"/>
    <x v="8"/>
    <s v="Bono Subordinado Banco Desarrollo"/>
    <n v="246172770.25"/>
    <n v="1.1323101063793828E-6"/>
    <s v=""/>
  </r>
  <r>
    <s v="2017-11-19"/>
    <x v="2"/>
    <s v="BITAAG0614"/>
    <s v="BBITAU"/>
    <n v="28619.281500000001"/>
    <m/>
    <n v="9.9999999999999995E-7"/>
    <n v="2.1"/>
    <s v="2024-06-01"/>
    <n v="2385"/>
    <n v="5.85"/>
    <n v="108.24"/>
    <s v="UF"/>
    <s v="Bono Corporativo"/>
    <s v="Financieras"/>
    <s v="AA"/>
    <x v="11"/>
    <s v="Bono Banco Itaucorp"/>
    <n v="167422.796775"/>
    <n v="0"/>
    <e v="#N/A"/>
  </r>
  <r>
    <s v="2017-11-19"/>
    <x v="2"/>
    <s v="BENDE-M"/>
    <s v="ENDESA"/>
    <n v="36745.972600000001"/>
    <m/>
    <n v="9.9999999999999995E-7"/>
    <n v="2.1800000000000002"/>
    <s v="2029-12-15"/>
    <n v="4408"/>
    <n v="5.9"/>
    <n v="115.38"/>
    <s v="UF"/>
    <s v="Bono Corporativo"/>
    <s v="Energia"/>
    <s v="AA"/>
    <x v="57"/>
    <s v="Bono Endesa"/>
    <n v="216801.23834000001"/>
    <n v="1.7796794952185582E-9"/>
    <s v=""/>
  </r>
  <r>
    <s v="2017-11-19"/>
    <x v="2"/>
    <s v="BSOQU-H"/>
    <s v="SOQUIMICH"/>
    <n v="610413947.86660004"/>
    <n v="15000"/>
    <n v="1.3912000000000001E-2"/>
    <n v="2.57"/>
    <s v="2030-01-05"/>
    <n v="4429"/>
    <n v="5.9"/>
    <n v="113.83"/>
    <s v="UF"/>
    <s v="Bono Corporativo"/>
    <s v="Materiales Basicos"/>
    <s v="A+"/>
    <x v="58"/>
    <s v="Bono SQM"/>
    <n v="3601442292.4129405"/>
    <n v="8.2833490615678466E-6"/>
    <e v="#N/A"/>
  </r>
  <r>
    <s v="2017-11-19"/>
    <x v="2"/>
    <s v="FUNOTR1224"/>
    <s v="TRUST F/14"/>
    <n v="24503197.874400001"/>
    <m/>
    <n v="5.5800000000000001E-4"/>
    <n v="0"/>
    <s v="2024-12-15"/>
    <n v="2582"/>
    <n v="5.91"/>
    <n v="105.8342"/>
    <s v="US$"/>
    <s v="Bono Corporativo"/>
    <s v="Financieras"/>
    <s v="AA-"/>
    <x v="117"/>
    <s v="Bono Fibra UNO"/>
    <n v="144813899.437704"/>
    <n v="0"/>
    <e v="#N/A"/>
  </r>
  <r>
    <s v="2017-11-19"/>
    <x v="2"/>
    <s v="BARAU-F"/>
    <s v="ARAUCO"/>
    <n v="34276.495199999998"/>
    <m/>
    <n v="9.9999999999999995E-7"/>
    <n v="2.14"/>
    <s v="2029-10-30"/>
    <n v="4362"/>
    <n v="5.95"/>
    <n v="112.66"/>
    <s v="UF"/>
    <s v="Bono Corporativo"/>
    <s v="Materiales Basicos"/>
    <s v="AA-"/>
    <x v="30"/>
    <s v="Bono Celulosa Arauco"/>
    <n v="203945.14643999998"/>
    <n v="5.9841784680078388E-10"/>
    <s v=""/>
  </r>
  <r>
    <s v="2017-11-19"/>
    <x v="2"/>
    <s v="ENTEL3024"/>
    <s v="ENTEL"/>
    <n v="23887985.929299999"/>
    <m/>
    <n v="5.44E-4"/>
    <n v="0"/>
    <s v="2024-10-30"/>
    <n v="2536"/>
    <n v="5.99"/>
    <n v="104.7458"/>
    <s v="$"/>
    <s v="Bono Corporativo"/>
    <s v="Telecomunicaciones"/>
    <s v="A+"/>
    <x v="118"/>
    <s v="Bono Entel"/>
    <n v="143089035.71650699"/>
    <n v="0"/>
    <e v="#N/A"/>
  </r>
  <r>
    <s v="2017-11-19"/>
    <x v="2"/>
    <s v="ENTEL3024"/>
    <s v="ENTEL"/>
    <n v="28566684.047800001"/>
    <m/>
    <n v="6.5099999999999999E-4"/>
    <n v="0"/>
    <s v="2024-10-30"/>
    <n v="2536"/>
    <n v="5.99"/>
    <n v="104.7458"/>
    <s v="US$"/>
    <s v="Bono Corporativo"/>
    <s v="Telecomunicaciones"/>
    <s v="A+"/>
    <x v="118"/>
    <s v="Bono Entel"/>
    <n v="171114437.44632202"/>
    <n v="0"/>
    <e v="#N/A"/>
  </r>
  <r>
    <s v="2017-11-19"/>
    <x v="2"/>
    <s v="BSKSA-C"/>
    <s v="SK"/>
    <n v="14342996.339500001"/>
    <m/>
    <n v="3.2699999999999998E-4"/>
    <n v="2.4500000000000002"/>
    <s v="2030-03-15"/>
    <n v="4498"/>
    <n v="6.06"/>
    <n v="117.61"/>
    <s v="UF"/>
    <s v="Bono Corporativo"/>
    <s v="Industriales"/>
    <s v="A+"/>
    <x v="19"/>
    <s v="Bono Sk"/>
    <n v="86918557.817369998"/>
    <n v="3.9934154093785712E-7"/>
    <e v="#N/A"/>
  </r>
  <r>
    <s v="2017-11-19"/>
    <x v="2"/>
    <s v="ENAPCL1024"/>
    <s v="ENAP"/>
    <n v="2713693.8912999998"/>
    <m/>
    <n v="6.2000000000000003E-5"/>
    <n v="0"/>
    <s v="2024-10-30"/>
    <n v="2536"/>
    <n v="6.07"/>
    <n v="104.5132"/>
    <s v="US$"/>
    <s v="Bono Corporativo"/>
    <s v="Energia"/>
    <s v="AA+"/>
    <x v="23"/>
    <s v="Bono Enap"/>
    <n v="16472121.920190999"/>
    <n v="0"/>
    <e v="#N/A"/>
  </r>
  <r>
    <s v="2017-11-19"/>
    <x v="2"/>
    <s v="BBNS-X0814"/>
    <s v="BBSCOTIABA"/>
    <n v="20303.769700000001"/>
    <m/>
    <n v="0"/>
    <n v="2.12"/>
    <s v="2024-08-01"/>
    <n v="2446"/>
    <n v="6.09"/>
    <n v="105.48"/>
    <s v="UF"/>
    <s v="Bono Corporativo"/>
    <s v="Financieras"/>
    <s v="AAA"/>
    <x v="8"/>
    <s v="Bono Scotiabank"/>
    <n v="123649.957473"/>
    <n v="0"/>
    <s v=""/>
  </r>
  <r>
    <s v="2017-11-19"/>
    <x v="2"/>
    <s v="CENSUD0225"/>
    <s v="CENCOSUD"/>
    <n v="14008993.9991"/>
    <m/>
    <n v="3.19E-4"/>
    <n v="0"/>
    <s v="2025-02-12"/>
    <n v="2641"/>
    <n v="6.09"/>
    <n v="106.74339999999999"/>
    <s v="US$"/>
    <s v="Bono Corporativo"/>
    <s v="Consumo"/>
    <s v="BBB-"/>
    <x v="14"/>
    <s v="Bono Cencosud S.A."/>
    <n v="85314773.454518989"/>
    <n v="0"/>
    <e v="#N/A"/>
  </r>
  <r>
    <s v="2017-11-19"/>
    <x v="2"/>
    <s v="ECLCI0125"/>
    <s v="ENGIE ENER"/>
    <n v="6861836.0266000004"/>
    <m/>
    <n v="1.56E-4"/>
    <n v="0"/>
    <s v="2025-01-29"/>
    <n v="2627"/>
    <n v="6.17"/>
    <n v="104.5675"/>
    <s v="US$"/>
    <s v="Bono Corporativo"/>
    <s v="Energia"/>
    <s v="AA-"/>
    <x v="119"/>
    <s v="Bono Engie"/>
    <n v="42337528.284122005"/>
    <n v="0"/>
    <e v="#N/A"/>
  </r>
  <r>
    <s v="2017-11-19"/>
    <x v="2"/>
    <s v="UBCIS11205"/>
    <s v="BBCREDITO"/>
    <n v="24548248.189800002"/>
    <m/>
    <n v="5.5900000000000004E-4"/>
    <n v="2.35"/>
    <s v="2030-12-01"/>
    <n v="4759"/>
    <n v="6.18"/>
    <n v="113.32"/>
    <s v="UF"/>
    <s v="Bono Corporativo"/>
    <s v="Financieras"/>
    <s v="AA-"/>
    <x v="9"/>
    <s v="Bono Subordinado Bci"/>
    <n v="151708173.81296399"/>
    <n v="6.9653762665606686E-7"/>
    <s v=""/>
  </r>
  <r>
    <s v="2017-11-19"/>
    <x v="2"/>
    <s v="UBCIS21205"/>
    <s v="BBCREDITO"/>
    <n v="14117.117700000001"/>
    <m/>
    <n v="0"/>
    <n v="2.35"/>
    <s v="2030-12-01"/>
    <n v="4759"/>
    <n v="6.18"/>
    <n v="113.32"/>
    <s v="UF"/>
    <s v="Bono Corporativo"/>
    <s v="Financieras"/>
    <s v="AA-"/>
    <x v="9"/>
    <s v="Bono Subordinado Bci"/>
    <n v="87243.787385999996"/>
    <n v="0"/>
    <e v="#N/A"/>
  </r>
  <r>
    <s v="2017-11-19"/>
    <x v="2"/>
    <s v="SQM0125"/>
    <s v="SOQUIMICH"/>
    <n v="5441497.1095000003"/>
    <m/>
    <n v="1.2400000000000001E-4"/>
    <n v="0"/>
    <s v="2025-01-28"/>
    <n v="2626"/>
    <n v="6.19"/>
    <n v="103.6795"/>
    <s v="US$"/>
    <s v="Bono Corporativo"/>
    <s v="Materiales Basicos"/>
    <s v="A+"/>
    <x v="58"/>
    <s v="Bono SQM"/>
    <n v="33682867.107805006"/>
    <n v="0"/>
    <e v="#N/A"/>
  </r>
  <r>
    <s v="2017-11-19"/>
    <x v="2"/>
    <s v="BEMCA-J"/>
    <s v="EM.CAROZZI"/>
    <n v="44189866.316100001"/>
    <m/>
    <n v="1.0070000000000001E-3"/>
    <n v="2.34"/>
    <s v="2030-04-23"/>
    <n v="4537"/>
    <n v="6.2"/>
    <n v="117.78"/>
    <s v="UF"/>
    <s v="Bono Corporativo"/>
    <s v="Consumo"/>
    <s v="A"/>
    <x v="80"/>
    <s v="Bono Carozzi"/>
    <n v="273977171.15982002"/>
    <n v="6.2965814477678139E-7"/>
    <s v=""/>
  </r>
  <r>
    <s v="2017-11-19"/>
    <x v="2"/>
    <s v="BRPLY-E"/>
    <s v="RIPLEY S.A"/>
    <n v="114180308.1842"/>
    <m/>
    <n v="2.6020000000000001E-3"/>
    <n v="2.48"/>
    <s v="2030-06-10"/>
    <n v="4585"/>
    <n v="6.2"/>
    <n v="115.83"/>
    <s v="UF"/>
    <s v="Bono Corporativo"/>
    <s v="Consumo"/>
    <s v="A"/>
    <x v="97"/>
    <s v="Bono Ripley"/>
    <n v="707917910.74204004"/>
    <n v="1.6264034092479386E-6"/>
    <s v=""/>
  </r>
  <r>
    <s v="2017-11-19"/>
    <x v="2"/>
    <s v="BPLZA-C"/>
    <s v="PLAZA S.A."/>
    <n v="29422.6947"/>
    <m/>
    <n v="9.9999999999999995E-7"/>
    <n v="2.4700000000000002"/>
    <s v="2030-05-02"/>
    <n v="4546"/>
    <n v="6.28"/>
    <n v="112.86"/>
    <s v="UF"/>
    <s v="Bono Corporativo"/>
    <s v="Consumo"/>
    <s v="AA"/>
    <x v="15"/>
    <s v="Bono Plaza S.A."/>
    <n v="184774.52271600001"/>
    <n v="0"/>
    <s v=""/>
  </r>
  <r>
    <s v="2017-11-19"/>
    <x v="2"/>
    <s v="BANGAN0425"/>
    <s v="BBVA COLOM"/>
    <n v="34989563.234700002"/>
    <m/>
    <n v="7.9699999999999997E-4"/>
    <n v="0"/>
    <s v="2025-04-21"/>
    <n v="2709"/>
    <n v="6.32"/>
    <n v="104.50749999999999"/>
    <s v="US$"/>
    <s v="Bono Corporativo"/>
    <s v="Financieras"/>
    <s v="AA"/>
    <x v="120"/>
    <s v="Bono Banco BBVA Colombia"/>
    <n v="221134039.64330402"/>
    <n v="0"/>
    <e v="#N/A"/>
  </r>
  <r>
    <s v="2017-11-19"/>
    <x v="2"/>
    <s v="BECOP-G"/>
    <s v="COPEC"/>
    <n v="17034.581399999999"/>
    <m/>
    <n v="0"/>
    <n v="2.2000000000000002"/>
    <s v="2024-10-15"/>
    <n v="2521"/>
    <n v="6.35"/>
    <n v="103.13"/>
    <s v="UF"/>
    <s v="Bono Corporativo"/>
    <s v="Materiales Basicos"/>
    <s v="AA-"/>
    <x v="50"/>
    <s v="Bono Copec"/>
    <n v="108169.59188999998"/>
    <n v="0"/>
    <s v=""/>
  </r>
  <r>
    <s v="2017-11-19"/>
    <x v="2"/>
    <s v="BSTDR61215"/>
    <s v="BBSANT-CHI"/>
    <n v="18134.183799999999"/>
    <m/>
    <n v="0"/>
    <n v="2.15"/>
    <s v="2024-12-01"/>
    <n v="2568"/>
    <n v="6.4"/>
    <n v="103.27"/>
    <s v="UF"/>
    <s v="Bono Corporativo"/>
    <s v="Financieras"/>
    <s v="AAA"/>
    <x v="10"/>
    <s v="Bono Banco Santander"/>
    <n v="116058.77632"/>
    <n v="0"/>
    <e v="#N/A"/>
  </r>
  <r>
    <s v="2017-11-19"/>
    <x v="2"/>
    <s v="BBCIJ21014"/>
    <s v="BBCREDITO"/>
    <n v="51322.183599999997"/>
    <m/>
    <n v="9.9999999999999995E-7"/>
    <n v="2.27"/>
    <s v="2024-10-01"/>
    <n v="2507"/>
    <n v="6.43"/>
    <n v="98.37"/>
    <s v="UF"/>
    <s v="Bono Corporativo"/>
    <s v="Financieras"/>
    <s v="AA+"/>
    <x v="9"/>
    <s v="Bono BCI"/>
    <n v="330001.64054799994"/>
    <n v="6.4886642222787608E-10"/>
    <s v=""/>
  </r>
  <r>
    <s v="2017-11-19"/>
    <x v="2"/>
    <s v="BRITA-F"/>
    <s v="SANTA RITA"/>
    <n v="6009149.8279999997"/>
    <m/>
    <n v="1.37E-4"/>
    <n v="2.86"/>
    <s v="2030-09-15"/>
    <n v="4682"/>
    <n v="6.49"/>
    <n v="109.98"/>
    <s v="UF"/>
    <s v="Bono Corporativo"/>
    <s v="Consumo"/>
    <s v="A+"/>
    <x v="121"/>
    <s v="Bono Santa Rita"/>
    <n v="38999382.383720003"/>
    <n v="8.9719237515026363E-8"/>
    <s v=""/>
  </r>
  <r>
    <s v="2017-11-19"/>
    <x v="2"/>
    <s v="BESTO30315"/>
    <s v="BBESTADO"/>
    <n v="25786.9722"/>
    <m/>
    <n v="9.9999999999999995E-7"/>
    <n v="2.16"/>
    <s v="2025-03-01"/>
    <n v="2658"/>
    <n v="6.58"/>
    <n v="105.52"/>
    <s v="UF"/>
    <s v="Bono Corporativo"/>
    <s v="Financieras"/>
    <s v="AAA"/>
    <x v="3"/>
    <s v="Bono Banco Estado"/>
    <n v="169678.277076"/>
    <n v="6.6388583090442574E-10"/>
    <e v="#N/A"/>
  </r>
  <r>
    <s v="2017-11-19"/>
    <x v="2"/>
    <s v="BSOND-C"/>
    <s v="SONDA"/>
    <n v="698507089.59290004"/>
    <n v="20000"/>
    <n v="1.5918999999999999E-2"/>
    <n v="2.46"/>
    <s v="2030-12-01"/>
    <n v="4759"/>
    <n v="6.61"/>
    <n v="113.63"/>
    <s v="UF"/>
    <s v="Bono Corporativo"/>
    <s v="Tecnologia"/>
    <s v="AA-"/>
    <x v="41"/>
    <s v="Bono Sonda"/>
    <n v="4617131862.2090693"/>
    <n v="1.0601463852133463E-5"/>
    <s v=""/>
  </r>
  <r>
    <s v="2017-11-19"/>
    <x v="2"/>
    <s v="USECJ11206"/>
    <s v="BBSECURITY"/>
    <n v="831605344.18830001"/>
    <n v="28000"/>
    <n v="1.8953000000000001E-2"/>
    <n v="2.44"/>
    <s v="2031-12-01"/>
    <n v="5124"/>
    <n v="6.61"/>
    <n v="103.63"/>
    <s v="UF"/>
    <s v="Bono Corporativo"/>
    <s v="Financieras"/>
    <s v="A"/>
    <x v="7"/>
    <s v="Bono Subordinado Banco Security"/>
    <n v="5496911325.0846634"/>
    <n v="0"/>
    <s v=""/>
  </r>
  <r>
    <s v="2017-11-19"/>
    <x v="2"/>
    <s v="BSECK60315"/>
    <s v="BBSECURITY"/>
    <n v="43299.1587"/>
    <m/>
    <n v="9.9999999999999995E-7"/>
    <n v="2.25"/>
    <s v="2025-03-01"/>
    <n v="2658"/>
    <n v="6.62"/>
    <n v="103.4"/>
    <s v="UF"/>
    <s v="Bono Corporativo"/>
    <s v="Financieras"/>
    <s v="AA-"/>
    <x v="7"/>
    <s v="Bono Banco Security"/>
    <n v="286640.43059399998"/>
    <n v="6.6788731231875535E-10"/>
    <s v=""/>
  </r>
  <r>
    <s v="2017-11-19"/>
    <x v="2"/>
    <s v="BBBVK80714"/>
    <s v="BBBVA"/>
    <n v="38349.096700000002"/>
    <m/>
    <n v="9.9999999999999995E-7"/>
    <n v="2.16"/>
    <s v="2025-07-01"/>
    <n v="2780"/>
    <n v="6.72"/>
    <n v="109.1"/>
    <s v="UF"/>
    <s v="Bono Corporativo"/>
    <s v="Financieras"/>
    <s v="AA"/>
    <x v="0"/>
    <s v="Bono Banco BBVA"/>
    <n v="257705.92982399999"/>
    <n v="1.3546955990519411E-9"/>
    <s v=""/>
  </r>
  <r>
    <s v="2017-11-19"/>
    <x v="2"/>
    <s v="BBNSAB0515"/>
    <s v="BBSCOTIABA"/>
    <n v="30981.390299999999"/>
    <m/>
    <n v="9.9999999999999995E-7"/>
    <n v="2.29"/>
    <s v="2025-05-01"/>
    <n v="2719"/>
    <n v="6.74"/>
    <n v="104.92"/>
    <s v="UF"/>
    <s v="Bono Corporativo"/>
    <s v="Financieras"/>
    <s v="AAA"/>
    <x v="8"/>
    <s v="Bono Scotiabank"/>
    <n v="208814.570622"/>
    <n v="1.3405944204248611E-9"/>
    <s v=""/>
  </r>
  <r>
    <s v="2017-11-19"/>
    <x v="2"/>
    <s v="BESTO50615"/>
    <s v="BBESTADO"/>
    <n v="46449.871299999999"/>
    <m/>
    <n v="9.9999999999999995E-7"/>
    <n v="2.16"/>
    <s v="2025-06-01"/>
    <n v="2750"/>
    <n v="6.74"/>
    <n v="105.65"/>
    <s v="UF"/>
    <s v="Bono Corporativo"/>
    <s v="Financieras"/>
    <s v="AAA"/>
    <x v="3"/>
    <s v="Bono Banco Estado"/>
    <n v="313072.13256200001"/>
    <n v="1.3583942955466211E-9"/>
    <e v="#N/A"/>
  </r>
  <r>
    <s v="2017-11-19"/>
    <x v="2"/>
    <s v="BCORAN0710"/>
    <s v="BBCORPBANC"/>
    <n v="36927.388500000001"/>
    <m/>
    <n v="9.9999999999999995E-7"/>
    <n v="2.25"/>
    <s v="2025-07-01"/>
    <n v="2780"/>
    <n v="6.82"/>
    <n v="105.24"/>
    <s v="UF"/>
    <s v="Bono Corporativo"/>
    <s v="Financieras"/>
    <s v="AA"/>
    <x v="11"/>
    <s v="Bono Banco Itaucorp"/>
    <n v="251844.78957000002"/>
    <n v="0"/>
    <e v="#N/A"/>
  </r>
  <r>
    <s v="2017-11-19"/>
    <x v="2"/>
    <s v="BMGAS-D2"/>
    <s v="METROGAS"/>
    <n v="32320180.0429"/>
    <m/>
    <n v="7.3700000000000002E-4"/>
    <n v="2.37"/>
    <s v="2026-06-01"/>
    <n v="3115"/>
    <n v="6.82"/>
    <n v="130.13999999999999"/>
    <s v="UF"/>
    <s v="Bono Corporativo"/>
    <s v="Energia"/>
    <s v="AA-"/>
    <x v="37"/>
    <s v="Bono Metrogas"/>
    <n v="220423627.89257801"/>
    <n v="1.0129090475674506E-6"/>
    <s v=""/>
  </r>
  <r>
    <s v="2017-11-19"/>
    <x v="2"/>
    <s v="UITA-C0408"/>
    <s v="BBITAU"/>
    <n v="28737.757099999999"/>
    <m/>
    <n v="9.9999999999999995E-7"/>
    <n v="2.5499999999999998"/>
    <s v="2033-04-01"/>
    <n v="5611"/>
    <n v="6.83"/>
    <n v="106.4"/>
    <s v="UF"/>
    <s v="Bono Corporativo"/>
    <s v="Financieras"/>
    <s v="AA-"/>
    <x v="11"/>
    <s v="Bono Subordinado Banco Itau"/>
    <n v="196278.880993"/>
    <n v="0"/>
    <s v=""/>
  </r>
  <r>
    <s v="2017-11-19"/>
    <x v="2"/>
    <s v="SUZANO0726"/>
    <s v="SUZANO"/>
    <n v="28471054.164799999"/>
    <m/>
    <n v="6.4899999999999995E-4"/>
    <n v="0"/>
    <s v="2026-07-14"/>
    <n v="3158"/>
    <n v="6.88"/>
    <n v="107.8853"/>
    <s v="US$"/>
    <s v="Bono Corporativo"/>
    <s v="Energia"/>
    <s v="A"/>
    <x v="122"/>
    <s v="Bono Suzano"/>
    <n v="195880852.653824"/>
    <n v="0"/>
    <e v="#N/A"/>
  </r>
  <r>
    <s v="2017-11-19"/>
    <x v="2"/>
    <s v="SUZANO1426"/>
    <s v="SUZANO"/>
    <n v="3833033.8325999998"/>
    <m/>
    <n v="8.7000000000000001E-5"/>
    <n v="0"/>
    <s v="2026-07-14"/>
    <n v="3158"/>
    <n v="6.88"/>
    <n v="107.58199999999999"/>
    <s v="US$"/>
    <s v="Bono Corporativo"/>
    <s v="Energia"/>
    <s v="A"/>
    <x v="122"/>
    <s v="Bono Suzano"/>
    <n v="26371272.768287998"/>
    <n v="0"/>
    <e v="#N/A"/>
  </r>
  <r>
    <s v="2017-11-19"/>
    <x v="2"/>
    <s v="VALEBZ0826"/>
    <s v="VALEBZ"/>
    <n v="15057787.305400001"/>
    <m/>
    <n v="3.4299999999999999E-4"/>
    <n v="0"/>
    <s v="2026-08-10"/>
    <n v="3185"/>
    <n v="6.89"/>
    <n v="114.5157"/>
    <s v="US$"/>
    <s v="Bono Corporativo"/>
    <s v="Materiales Basicos"/>
    <s v="A"/>
    <x v="123"/>
    <s v="Bono QZ133223"/>
    <n v="103748154.534206"/>
    <n v="0"/>
    <e v="#N/A"/>
  </r>
  <r>
    <s v="2017-11-19"/>
    <x v="2"/>
    <s v="UINT-C0310"/>
    <s v="BBINTERNAC"/>
    <n v="41437288.007799998"/>
    <m/>
    <n v="9.4399999999999996E-4"/>
    <n v="2.54"/>
    <s v="2031-03-15"/>
    <n v="4863"/>
    <n v="6.89"/>
    <n v="113.67"/>
    <s v="UF"/>
    <s v="Bono Corporativo"/>
    <s v="Financieras"/>
    <s v="A"/>
    <x v="12"/>
    <s v="Bono Banco Internacional"/>
    <n v="285502914.37374198"/>
    <n v="0"/>
    <e v="#N/A"/>
  </r>
  <r>
    <s v="2017-11-19"/>
    <x v="2"/>
    <s v="GRUPOS0426"/>
    <s v="GRUP SURA"/>
    <n v="31675439.094799999"/>
    <m/>
    <n v="7.2199999999999999E-4"/>
    <n v="0"/>
    <s v="2026-04-29"/>
    <n v="3082"/>
    <n v="6.92"/>
    <n v="108.36069999999999"/>
    <s v="US$"/>
    <s v="Bono Corporativo"/>
    <s v="Financieras"/>
    <s v="AA-"/>
    <x v="124"/>
    <s v="Bono Grupo SURA"/>
    <n v="219194038.53601599"/>
    <n v="0"/>
    <e v="#N/A"/>
  </r>
  <r>
    <s v="2017-11-19"/>
    <x v="2"/>
    <s v="ECOPET0626"/>
    <s v="ECOPETL"/>
    <n v="32873164.186000001"/>
    <m/>
    <n v="7.4899999999999999E-4"/>
    <n v="0"/>
    <s v="2026-06-26"/>
    <n v="3140"/>
    <n v="6.92"/>
    <n v="107.0033"/>
    <s v="US$"/>
    <s v="Bono Corporativo"/>
    <s v="Energia"/>
    <s v="A+"/>
    <x v="83"/>
    <s v="Bono Ecopetrol S.A."/>
    <n v="227482296.16712001"/>
    <n v="0"/>
    <e v="#N/A"/>
  </r>
  <r>
    <s v="2017-11-19"/>
    <x v="2"/>
    <s v="BTP0450326"/>
    <s v="BTP"/>
    <n v="1047829860"/>
    <n v="1035000000"/>
    <n v="2.3879999999999998E-2"/>
    <n v="4.51"/>
    <s v="2026-03-01"/>
    <n v="3023"/>
    <n v="6.94"/>
    <n v="100.27"/>
    <s v="$"/>
    <s v="Bono de Gobierno"/>
    <s v="Gobierno"/>
    <s v="AAA"/>
    <x v="35"/>
    <s v="Bono Tesorería en CLP"/>
    <n v="7271939228.4000006"/>
    <n v="0"/>
    <s v=""/>
  </r>
  <r>
    <s v="2017-11-19"/>
    <x v="2"/>
    <s v="KALLPA0526"/>
    <s v="KALLPA"/>
    <n v="16431095.1325"/>
    <m/>
    <n v="3.7399999999999998E-4"/>
    <n v="0"/>
    <s v="2026-05-24"/>
    <n v="3107"/>
    <n v="6.96"/>
    <n v="105.4845"/>
    <s v="US$"/>
    <s v="Bono Corporativo"/>
    <s v="Utilities"/>
    <s v="A+"/>
    <x v="125"/>
    <s v="Bono Kallpa Generacion S.A."/>
    <n v="114360422.1222"/>
    <n v="0"/>
    <e v="#N/A"/>
  </r>
  <r>
    <s v="2017-11-19"/>
    <x v="2"/>
    <s v="BENAE-A"/>
    <s v="ENAEX"/>
    <n v="93425372.548199996"/>
    <m/>
    <n v="2.1289999999999998E-3"/>
    <n v="2.3199999999999998"/>
    <s v="2025-09-01"/>
    <n v="2842"/>
    <n v="7.01"/>
    <n v="104.02"/>
    <s v="UF"/>
    <s v="Bono Corporativo"/>
    <s v="Energia"/>
    <s v="AA-"/>
    <x v="59"/>
    <s v="Bono Enaex S.A."/>
    <n v="654911861.56288195"/>
    <n v="0"/>
    <s v=""/>
  </r>
  <r>
    <s v="2017-11-19"/>
    <x v="2"/>
    <s v="BCGVI-B"/>
    <s v="CG VIDA"/>
    <n v="900462133.20780003"/>
    <n v="25000"/>
    <n v="2.0521000000000001E-2"/>
    <n v="2.42"/>
    <s v="2031-03-15"/>
    <n v="4863"/>
    <n v="7.02"/>
    <n v="114.83999999999999"/>
    <s v="UF"/>
    <s v="Bono Corporativo"/>
    <s v="Financieras"/>
    <s v="AA-"/>
    <x v="60"/>
    <s v="Bono Corpgroup Vida Chile"/>
    <n v="6321244175.1187563"/>
    <n v="2.9038515082054244E-5"/>
    <s v=""/>
  </r>
  <r>
    <s v="2017-11-19"/>
    <x v="2"/>
    <s v="BSECK70915"/>
    <s v="BBSECURITY"/>
    <n v="8985.6399000000001"/>
    <m/>
    <n v="0"/>
    <n v="2.33"/>
    <s v="2025-09-01"/>
    <n v="2842"/>
    <n v="7.04"/>
    <n v="103.04"/>
    <s v="UF"/>
    <s v="Bono Corporativo"/>
    <s v="Financieras"/>
    <s v="AA-"/>
    <x v="7"/>
    <s v="Bono Banco Security"/>
    <n v="63258.904896"/>
    <n v="0"/>
    <e v="#N/A"/>
  </r>
  <r>
    <s v="2017-11-19"/>
    <x v="2"/>
    <s v="FIBRBZ0125"/>
    <s v="FIBRIA"/>
    <n v="6415040.6719000004"/>
    <m/>
    <n v="1.46E-4"/>
    <n v="0"/>
    <s v="2025-11-14"/>
    <n v="2916"/>
    <n v="7.04"/>
    <n v="99.003399999999999"/>
    <s v="US$"/>
    <s v="Bono Corporativo"/>
    <s v="Materiales Basicos"/>
    <s v="A+"/>
    <x v="126"/>
    <s v="Bono Fibra UNO"/>
    <n v="45161886.330176003"/>
    <n v="0"/>
    <e v="#N/A"/>
  </r>
  <r>
    <s v="2017-11-19"/>
    <x v="2"/>
    <s v="BBNSAD1015"/>
    <s v="BBSCOTIABA"/>
    <n v="27445.631700000002"/>
    <m/>
    <n v="9.9999999999999995E-7"/>
    <n v="2.2999999999999998"/>
    <s v="2025-10-01"/>
    <n v="2872"/>
    <n v="7.06"/>
    <n v="105.07"/>
    <s v="UF"/>
    <s v="Bono Corporativo"/>
    <s v="Financieras"/>
    <s v="AAA"/>
    <x v="8"/>
    <s v="Bono Scotiabank"/>
    <n v="193766.15980200001"/>
    <n v="7.1219590431646482E-10"/>
    <e v="#N/A"/>
  </r>
  <r>
    <s v="2017-11-19"/>
    <x v="2"/>
    <s v="BCOO-C0713"/>
    <s v="COOPEUCH"/>
    <n v="16169347.162699999"/>
    <m/>
    <n v="3.6900000000000002E-4"/>
    <n v="2.6"/>
    <s v="2034-07-10"/>
    <n v="6076"/>
    <n v="7.11"/>
    <n v="108.78"/>
    <s v="UF"/>
    <s v="Bono Corporativo"/>
    <s v="Financieras"/>
    <s v="AA-"/>
    <x v="61"/>
    <s v="Bono Coopeuch"/>
    <n v="114964058.32679699"/>
    <n v="2.6402060551716785E-7"/>
    <s v=""/>
  </r>
  <r>
    <s v="2017-11-19"/>
    <x v="2"/>
    <s v="ENTEL0826"/>
    <s v="ENTEL"/>
    <n v="19760896.3024"/>
    <m/>
    <n v="4.4999999999999999E-4"/>
    <n v="0"/>
    <s v="2026-08-01"/>
    <n v="3176"/>
    <n v="7.16"/>
    <n v="103.77160000000001"/>
    <s v="US$"/>
    <s v="Bono Corporativo"/>
    <s v="Telecomunicaciones"/>
    <s v="A+"/>
    <x v="118"/>
    <s v="Bono Entel"/>
    <n v="141488017.52518401"/>
    <n v="0"/>
    <e v="#N/A"/>
  </r>
  <r>
    <s v="2017-11-19"/>
    <x v="2"/>
    <s v="PEMEX0327"/>
    <s v="PEMEX"/>
    <n v="21532400.691300001"/>
    <m/>
    <n v="4.9100000000000001E-4"/>
    <n v="0"/>
    <s v="2027-03-13"/>
    <n v="3400"/>
    <n v="7.17"/>
    <n v="109.61060000000001"/>
    <s v="US$"/>
    <s v="Bono Corporativo"/>
    <s v="Industriales"/>
    <s v="AA"/>
    <x v="127"/>
    <s v="Bono Pemex"/>
    <n v="154387312.95662099"/>
    <n v="0"/>
    <e v="#N/A"/>
  </r>
  <r>
    <s v="2017-11-19"/>
    <x v="2"/>
    <s v="SIGMA0526"/>
    <s v="SIGMA"/>
    <n v="26009760.4564"/>
    <m/>
    <n v="5.9299999999999999E-4"/>
    <n v="0"/>
    <s v="2026-05-02"/>
    <n v="3085"/>
    <n v="7.21"/>
    <n v="100.1891"/>
    <s v="US$"/>
    <s v="Bono Corporativo"/>
    <s v="Alimentos"/>
    <s v="A+"/>
    <x v="128"/>
    <s v="Bono Sigma Alimentos"/>
    <n v="187530372.89064398"/>
    <n v="0"/>
    <e v="#N/A"/>
  </r>
  <r>
    <s v="2017-11-19"/>
    <x v="2"/>
    <s v="FIBRBZ0127"/>
    <s v="FIBRIA"/>
    <n v="37331711.515199997"/>
    <m/>
    <n v="8.5099999999999998E-4"/>
    <n v="0"/>
    <s v="2027-01-17"/>
    <n v="3345"/>
    <n v="7.26"/>
    <n v="106.875"/>
    <s v="US$"/>
    <s v="Bono Corporativo"/>
    <s v="Materiales Basicos"/>
    <s v="A+"/>
    <x v="126"/>
    <s v="Bono Fibria"/>
    <n v="271028225.60035199"/>
    <n v="0"/>
    <e v="#N/A"/>
  </r>
  <r>
    <s v="2017-11-19"/>
    <x v="2"/>
    <s v="BEKOP-C"/>
    <s v="KOPOLAR"/>
    <n v="5908.9745000000003"/>
    <m/>
    <n v="0"/>
    <n v="2.31"/>
    <s v="2031-08-15"/>
    <n v="5016"/>
    <n v="7.29"/>
    <n v="112.46"/>
    <s v="UF"/>
    <s v="Bono Corporativo"/>
    <s v="Industriales"/>
    <s v="AA"/>
    <x v="62"/>
    <s v="Bono Kopolar"/>
    <n v="43076.424105000006"/>
    <n v="0"/>
    <s v=""/>
  </r>
  <r>
    <s v="2017-11-19"/>
    <x v="2"/>
    <s v="RAIZBZ0127"/>
    <s v="RAIZEN"/>
    <n v="20003890.267200001"/>
    <m/>
    <n v="4.5600000000000003E-4"/>
    <n v="0"/>
    <s v="2027-01-20"/>
    <n v="3348"/>
    <n v="7.3"/>
    <n v="104.73650000000001"/>
    <s v="US$"/>
    <s v="Bono Corporativo"/>
    <s v="Energia"/>
    <s v="A+"/>
    <x v="129"/>
    <s v="Bono Raizen"/>
    <n v="146028398.95056"/>
    <n v="0"/>
    <e v="#N/A"/>
  </r>
  <r>
    <s v="2017-11-19"/>
    <x v="2"/>
    <s v="EMBRBZ0227"/>
    <s v="EMBRAER"/>
    <n v="34674454.931900002"/>
    <m/>
    <n v="7.9000000000000001E-4"/>
    <n v="0"/>
    <s v="2027-02-01"/>
    <n v="3360"/>
    <n v="7.32"/>
    <n v="105.86750000000001"/>
    <s v="US$"/>
    <s v="Bono Corporativo"/>
    <s v="Industriales"/>
    <s v="A+"/>
    <x v="130"/>
    <s v="Bono Embraer S.A."/>
    <n v="253817010.10150802"/>
    <n v="0"/>
    <e v="#N/A"/>
  </r>
  <r>
    <s v="2017-11-19"/>
    <x v="2"/>
    <s v="USTD-M0301"/>
    <s v="BBSANT-CHI"/>
    <n v="43591945.301899999"/>
    <m/>
    <n v="9.9400000000000009E-4"/>
    <n v="2.36"/>
    <s v="2026-09-01"/>
    <n v="3207"/>
    <n v="7.36"/>
    <n v="119.16"/>
    <s v="UF"/>
    <s v="Bono Corporativo"/>
    <s v="Financieras"/>
    <s v="AA"/>
    <x v="10"/>
    <s v="Bono Banco Santander"/>
    <n v="320836717.42198402"/>
    <n v="7.3683114908195997E-7"/>
    <s v=""/>
  </r>
  <r>
    <s v="2017-11-19"/>
    <x v="2"/>
    <s v="BRFGMB0926"/>
    <s v="BRF Brasil"/>
    <n v="22781859.9815"/>
    <m/>
    <n v="5.1900000000000004E-4"/>
    <n v="0"/>
    <s v="2026-09-29"/>
    <n v="3235"/>
    <n v="7.37"/>
    <n v="97.094099999999997"/>
    <s v="US$"/>
    <s v="Bono Corporativo"/>
    <s v="Alimentos"/>
    <s v="BBB-"/>
    <x v="131"/>
    <s v="Bono BRF S.A."/>
    <n v="167902308.06365499"/>
    <n v="0"/>
    <e v="#N/A"/>
  </r>
  <r>
    <s v="2017-11-19"/>
    <x v="2"/>
    <s v="ENAPCL0826"/>
    <s v="ENAP"/>
    <n v="4953941.4768000003"/>
    <m/>
    <n v="1.13E-4"/>
    <n v="0"/>
    <s v="2026-08-05"/>
    <n v="3180"/>
    <n v="7.43"/>
    <n v="99.554900000000004"/>
    <s v="US$"/>
    <s v="Bono Corporativo"/>
    <s v="Energia"/>
    <s v="AA+"/>
    <x v="23"/>
    <s v="Bono Enap"/>
    <n v="36807785.172623999"/>
    <n v="0"/>
    <e v="#N/A"/>
  </r>
  <r>
    <s v="2017-11-19"/>
    <x v="2"/>
    <s v="MBONO 0529"/>
    <s v="MBONO"/>
    <n v="86165223"/>
    <n v="2300000"/>
    <n v="1.9629999999999999E-3"/>
    <n v="0"/>
    <s v="2029-05-31"/>
    <n v="4210"/>
    <n v="7.49"/>
    <n v="109.0758"/>
    <s v="MX"/>
    <s v="Bono de Gobierno"/>
    <s v="Gobierno"/>
    <s v="AA"/>
    <x v="110"/>
    <s v="Bono Gobierno De Mexico"/>
    <n v="645377520.26999998"/>
    <n v="0"/>
    <e v="#N/A"/>
  </r>
  <r>
    <s v="2017-11-19"/>
    <x v="2"/>
    <s v="BCGEI-I"/>
    <s v="ELECTRICID"/>
    <n v="17656746.795699999"/>
    <m/>
    <n v="4.0200000000000001E-4"/>
    <n v="2.61"/>
    <s v="2029-08-11"/>
    <n v="4282"/>
    <n v="7.5"/>
    <n v="115.68"/>
    <s v="UF"/>
    <s v="Bono Corporativo"/>
    <s v="Servicios Basicos"/>
    <s v="AA-"/>
    <x v="63"/>
    <s v="Bono Cge"/>
    <n v="132425600.96774998"/>
    <n v="6.0762811297212079E-7"/>
    <s v=""/>
  </r>
  <r>
    <s v="2017-11-19"/>
    <x v="2"/>
    <s v="GLOPAR0327"/>
    <s v="PONTIS"/>
    <n v="13196923.8456"/>
    <m/>
    <n v="3.01E-4"/>
    <n v="0"/>
    <s v="2027-03-31"/>
    <n v="3418"/>
    <n v="7.51"/>
    <n v="101.176"/>
    <s v="US$"/>
    <s v="Bono Corporativo"/>
    <s v="Entretenimiento"/>
    <s v="A+"/>
    <x v="132"/>
    <s v="Bono Globo"/>
    <n v="99108898.080455989"/>
    <n v="0"/>
    <e v="#N/A"/>
  </r>
  <r>
    <s v="2017-11-19"/>
    <x v="2"/>
    <s v="BAYS3-A"/>
    <s v="AYSTRES"/>
    <n v="543672845.23020005"/>
    <n v="15000"/>
    <n v="1.239E-2"/>
    <n v="2.48"/>
    <s v="2032-12-15"/>
    <n v="5504"/>
    <n v="7.51"/>
    <n v="116.99"/>
    <s v="UF"/>
    <s v="Bono Corporativo"/>
    <s v="Diversificados"/>
    <s v="AA-"/>
    <x v="64"/>
    <s v="Bono Inversiones Ays Tres"/>
    <n v="4082983067.6788025"/>
    <n v="9.3278258950492587E-6"/>
    <s v=""/>
  </r>
  <r>
    <s v="2017-11-19"/>
    <x v="2"/>
    <s v="UINT-D0111"/>
    <s v="BBINTERNAC"/>
    <n v="666593946.70829999"/>
    <n v="20000"/>
    <n v="1.5192000000000001E-2"/>
    <n v="2.58"/>
    <s v="2032-01-15"/>
    <n v="5169"/>
    <n v="7.54"/>
    <n v="110.75"/>
    <s v="UF"/>
    <s v="Bono Corporativo"/>
    <s v="Financieras"/>
    <s v="A"/>
    <x v="12"/>
    <s v="Bono Banco Internacional"/>
    <n v="5026118358.180582"/>
    <n v="1.1550243441937412E-5"/>
    <e v="#N/A"/>
  </r>
  <r>
    <s v="2017-11-19"/>
    <x v="2"/>
    <s v="BCHIAY0213"/>
    <s v="BBCHILE"/>
    <n v="3843.0549000000001"/>
    <m/>
    <n v="0"/>
    <n v="2.34"/>
    <s v="2026-08-01"/>
    <n v="3176"/>
    <n v="7.55"/>
    <n v="109.61"/>
    <s v="UF"/>
    <s v="Bono Corporativo"/>
    <s v="Financieras"/>
    <s v="AAA"/>
    <x v="16"/>
    <s v="Bono Banco Chile"/>
    <n v="29015.064494999999"/>
    <n v="0"/>
    <s v=""/>
  </r>
  <r>
    <s v="2017-11-19"/>
    <x v="2"/>
    <s v="LIVEPL1026"/>
    <s v="LIVERPOOL"/>
    <n v="9602180.8688999992"/>
    <m/>
    <n v="2.1900000000000001E-4"/>
    <n v="0"/>
    <s v="2026-10-06"/>
    <n v="3242"/>
    <n v="7.55"/>
    <n v="98.368399999999994"/>
    <s v="US$"/>
    <s v="Bono Corporativo"/>
    <s v="Retail"/>
    <s v="AA"/>
    <x v="133"/>
    <s v="Bono El Puerto de Liverpool"/>
    <n v="72496465.560194999"/>
    <n v="0"/>
    <e v="#N/A"/>
  </r>
  <r>
    <s v="2017-11-19"/>
    <x v="2"/>
    <s v="CFELEC0227"/>
    <s v="COMISION F"/>
    <n v="24699160.749200001"/>
    <m/>
    <n v="5.6300000000000002E-4"/>
    <n v="0"/>
    <s v="2027-02-23"/>
    <n v="3382"/>
    <n v="7.56"/>
    <n v="104.77930000000001"/>
    <s v="US$"/>
    <s v="Bono Corporativo"/>
    <s v="Energia"/>
    <s v="AA"/>
    <x v="134"/>
    <s v="Bono Comision Federal de Electricidad"/>
    <n v="186725655.26395199"/>
    <n v="0"/>
    <e v="#N/A"/>
  </r>
  <r>
    <s v="2017-11-19"/>
    <x v="2"/>
    <s v="ENRSIS1026"/>
    <s v="ENERSIS AM"/>
    <n v="15167526.5153"/>
    <m/>
    <n v="3.4600000000000001E-4"/>
    <n v="0"/>
    <s v="2026-10-25"/>
    <n v="3261"/>
    <n v="7.59"/>
    <n v="101.542"/>
    <s v="US$"/>
    <s v="Bono Corporativo"/>
    <s v="Utilities"/>
    <s v="A+"/>
    <x v="135"/>
    <s v="Bono Enersis America S.A."/>
    <n v="115121526.251127"/>
    <n v="0"/>
    <e v="#N/A"/>
  </r>
  <r>
    <s v="2017-11-19"/>
    <x v="2"/>
    <s v="BCORAO0710"/>
    <s v="BBCORPBANC"/>
    <n v="66027.977400000003"/>
    <m/>
    <n v="9.9999999999999995E-7"/>
    <n v="2.42"/>
    <s v="2026-07-01"/>
    <n v="3145"/>
    <n v="7.6"/>
    <n v="104.53"/>
    <s v="UF"/>
    <s v="Bono Corporativo"/>
    <s v="Financieras"/>
    <s v="AA"/>
    <x v="11"/>
    <s v="Bono Corpbanca"/>
    <n v="501812.62823999999"/>
    <n v="3.0601773751728825E-9"/>
    <e v="#N/A"/>
  </r>
  <r>
    <s v="2017-11-19"/>
    <x v="2"/>
    <s v="BINBUR0427"/>
    <s v="BIMBUR"/>
    <n v="25898453.543499999"/>
    <m/>
    <n v="5.9000000000000003E-4"/>
    <n v="0"/>
    <s v="2027-04-11"/>
    <n v="3429"/>
    <n v="7.76"/>
    <n v="99.491"/>
    <s v="US$"/>
    <s v="Bono Corporativo"/>
    <s v="Financieras"/>
    <s v="AA"/>
    <x v="136"/>
    <s v="Bono Banco Inbursa"/>
    <n v="200971999.49755999"/>
    <n v="0"/>
    <e v="#N/A"/>
  </r>
  <r>
    <s v="2017-11-19"/>
    <x v="2"/>
    <s v="CMPCCI0427"/>
    <s v="CMPC"/>
    <n v="25194.593799999999"/>
    <m/>
    <n v="9.9999999999999995E-7"/>
    <n v="0"/>
    <s v="2027-04-04"/>
    <n v="3422"/>
    <n v="7.77"/>
    <n v="102.0819"/>
    <s v="$"/>
    <s v="Bono Corporativo"/>
    <s v="Materiales Basicos"/>
    <s v="AA"/>
    <x v="65"/>
    <s v="Bono CMPC"/>
    <n v="195761.99382599999"/>
    <n v="0"/>
    <e v="#N/A"/>
  </r>
  <r>
    <s v="2017-11-19"/>
    <x v="2"/>
    <s v="CMPCCI0427"/>
    <s v="CMPC"/>
    <n v="5317648.5725999996"/>
    <m/>
    <n v="1.21E-4"/>
    <n v="0"/>
    <s v="2027-04-04"/>
    <n v="3422"/>
    <n v="7.77"/>
    <n v="102.0819"/>
    <s v="US$"/>
    <s v="Bono Corporativo"/>
    <s v="Materiales Basicos"/>
    <s v="AA"/>
    <x v="65"/>
    <s v="Bono CMPC"/>
    <n v="41318129.409101993"/>
    <n v="0"/>
    <e v="#N/A"/>
  </r>
  <r>
    <s v="2017-11-19"/>
    <x v="2"/>
    <s v="BLATM-B"/>
    <s v="LTM"/>
    <n v="68769227.548199996"/>
    <m/>
    <n v="1.567E-3"/>
    <n v="4.3899999999999997"/>
    <s v="2028-01-01"/>
    <n v="3694"/>
    <n v="7.77"/>
    <n v="111.09"/>
    <s v="UF"/>
    <s v="Bono Corporativo"/>
    <s v="Transporte"/>
    <s v="BBB-"/>
    <x v="87"/>
    <s v="Bono LATAM Airlines"/>
    <n v="534336898.04951394"/>
    <n v="2.4524540120959594E-6"/>
    <e v="#N/A"/>
  </r>
  <r>
    <s v="2017-11-19"/>
    <x v="2"/>
    <s v="SUAMSA0427"/>
    <s v="SUAM FINAN"/>
    <n v="21041709.652600002"/>
    <m/>
    <n v="4.8000000000000001E-4"/>
    <n v="0"/>
    <s v="2027-04-11"/>
    <n v="3429"/>
    <n v="7.78"/>
    <n v="101.0474"/>
    <s v="US$"/>
    <s v="Bono Corporativo"/>
    <s v="Financieras"/>
    <s v="BBB"/>
    <x v="113"/>
    <s v="Bono Sura Asset Management S.A."/>
    <n v="163704501.09722802"/>
    <n v="0"/>
    <e v="#N/A"/>
  </r>
  <r>
    <s v="2017-11-19"/>
    <x v="2"/>
    <s v="BTU0150326"/>
    <s v="BTU"/>
    <n v="6195817044.6619997"/>
    <n v="233000"/>
    <n v="0.141207"/>
    <n v="1.76"/>
    <s v="2026-03-01"/>
    <n v="3023"/>
    <n v="7.79"/>
    <n v="98.07"/>
    <s v="UF"/>
    <s v="Bono de Gobierno"/>
    <s v="Gobierno"/>
    <s v="AAA"/>
    <x v="35"/>
    <s v="Bono Tesorería en UF"/>
    <n v="48265414777.916977"/>
    <n v="3.3238531342270661E-4"/>
    <s v=""/>
  </r>
  <r>
    <s v="2017-11-19"/>
    <x v="2"/>
    <s v="UBICS30207"/>
    <s v="BBICE"/>
    <n v="41204675.756399997"/>
    <m/>
    <n v="9.3899999999999995E-4"/>
    <n v="2.46"/>
    <s v="2027-02-01"/>
    <n v="3360"/>
    <n v="7.81"/>
    <n v="112.56"/>
    <s v="UF"/>
    <s v="Bono Corporativo"/>
    <s v="Financieras"/>
    <s v="A+"/>
    <x v="2"/>
    <s v="Bono Subordinado BCI"/>
    <n v="321808517.65748394"/>
    <n v="7.3849757154984411E-7"/>
    <s v=""/>
  </r>
  <r>
    <s v="2017-11-19"/>
    <x v="2"/>
    <s v="CENSUD0727"/>
    <s v="CENCOSUD"/>
    <n v="23872981.268800002"/>
    <m/>
    <n v="5.44E-4"/>
    <n v="0"/>
    <s v="2027-07-17"/>
    <n v="3526"/>
    <n v="7.86"/>
    <n v="99.489099999999993"/>
    <s v="US$"/>
    <s v="Bono Corporativo"/>
    <s v="Consumo"/>
    <s v="AA-"/>
    <x v="14"/>
    <s v="Bono Cencosud S.A."/>
    <n v="187641632.77276802"/>
    <n v="0"/>
    <e v="#N/A"/>
  </r>
  <r>
    <s v="2017-11-19"/>
    <x v="2"/>
    <s v="BANBOG0827"/>
    <s v="BANBOG"/>
    <n v="32885705.809999999"/>
    <m/>
    <n v="7.4899999999999999E-4"/>
    <n v="0"/>
    <s v="2027-08-03"/>
    <n v="3543"/>
    <n v="7.91"/>
    <n v="100.2484"/>
    <s v="US$"/>
    <s v="Bono Corporativo"/>
    <s v="Financieras"/>
    <s v="A+"/>
    <x v="137"/>
    <s v="Bono Banco De Bogota"/>
    <n v="260125932.9571"/>
    <n v="0"/>
    <e v="#N/A"/>
  </r>
  <r>
    <s v="2017-11-19"/>
    <x v="2"/>
    <s v="GGBRBZ1027"/>
    <s v="GERDAU"/>
    <n v="25889047.3255"/>
    <m/>
    <n v="5.9000000000000003E-4"/>
    <n v="0"/>
    <s v="2027-10-24"/>
    <n v="3625"/>
    <n v="7.95"/>
    <n v="99.575999999999993"/>
    <s v="US$"/>
    <s v="Bono Corporativo"/>
    <s v="Materiales Basicos"/>
    <s v="A+"/>
    <x v="138"/>
    <s v="Bono Gerdau Holding"/>
    <n v="205817926.23772502"/>
    <n v="0"/>
    <e v="#N/A"/>
  </r>
  <r>
    <s v="2017-11-19"/>
    <x v="2"/>
    <s v="BSAAM-C"/>
    <s v="SM SAAM"/>
    <n v="414398567.875"/>
    <n v="15000"/>
    <n v="9.4439999999999993E-3"/>
    <n v="2.5"/>
    <s v="2026-12-15"/>
    <n v="3312"/>
    <n v="8"/>
    <n v="102.35"/>
    <s v="UF"/>
    <s v="Bono Corporativo"/>
    <s v="Industriales"/>
    <s v="AA-"/>
    <x v="66"/>
    <s v="Bono SM SAAM"/>
    <n v="3315188543"/>
    <n v="7.6122392507588403E-6"/>
    <s v=""/>
  </r>
  <r>
    <s v="2017-11-19"/>
    <x v="2"/>
    <s v="BANGEN0827"/>
    <s v="BANGEN"/>
    <n v="26136744.399300002"/>
    <m/>
    <n v="5.9599999999999996E-4"/>
    <n v="0"/>
    <s v="2027-08-07"/>
    <n v="3547"/>
    <n v="8.01"/>
    <n v="99.703699999999998"/>
    <s v="US$"/>
    <s v="Bono Corporativo"/>
    <s v="Financieras"/>
    <s v="AA"/>
    <x v="139"/>
    <s v="Bono Banco General"/>
    <n v="209355322.63839301"/>
    <n v="0"/>
    <e v="#N/A"/>
  </r>
  <r>
    <s v="2017-11-19"/>
    <x v="2"/>
    <s v="KALLPA0827"/>
    <s v="KALLPA"/>
    <n v="26125770.478300001"/>
    <m/>
    <n v="5.9500000000000004E-4"/>
    <n v="0"/>
    <s v="2027-08-16"/>
    <n v="3556"/>
    <n v="8.0299999999999994"/>
    <n v="99.766300000000001"/>
    <s v="US$"/>
    <s v="Bono Corporativo"/>
    <s v="Utilities"/>
    <s v="A+"/>
    <x v="125"/>
    <s v="Bono Kallpa Generacion S.A."/>
    <n v="209789936.94074899"/>
    <n v="0"/>
    <e v="#N/A"/>
  </r>
  <r>
    <s v="2017-11-19"/>
    <x v="2"/>
    <s v="AEIUS0927"/>
    <s v="FENIX"/>
    <n v="27336037.193599999"/>
    <m/>
    <n v="6.2299999999999996E-4"/>
    <n v="0"/>
    <s v="2027-09-20"/>
    <n v="3591"/>
    <n v="8.06"/>
    <n v="99.767399999999995"/>
    <s v="US$"/>
    <s v="Bono Corporativo"/>
    <s v="Utilities"/>
    <s v="A+"/>
    <x v="140"/>
    <s v="Bono Fenix"/>
    <n v="220328459.78041601"/>
    <n v="0"/>
    <e v="#N/A"/>
  </r>
  <r>
    <s v="2017-11-19"/>
    <x v="2"/>
    <s v="BAGRS-D"/>
    <s v="AGROSUPER"/>
    <n v="133533979.70900001"/>
    <m/>
    <n v="3.0439999999999998E-3"/>
    <n v="2.59"/>
    <s v="2032-09-01"/>
    <n v="5399"/>
    <n v="8.07"/>
    <n v="109.8"/>
    <s v="UF"/>
    <s v="Bono Corporativo"/>
    <s v="Consumo"/>
    <s v="AA-"/>
    <x v="67"/>
    <s v="Bono Agrosuper S.A."/>
    <n v="1077619216.2516301"/>
    <n v="2.4732844024097836E-6"/>
    <s v=""/>
  </r>
  <r>
    <s v="2017-11-19"/>
    <x v="2"/>
    <s v="BQUIN-F"/>
    <s v="QUINENCO"/>
    <n v="19655.855800000001"/>
    <m/>
    <n v="0"/>
    <n v="2.46"/>
    <s v="2032-06-01"/>
    <n v="5307"/>
    <n v="8.08"/>
    <n v="111.34"/>
    <s v="UF"/>
    <s v="Bono Corporativo"/>
    <s v="Diversificados"/>
    <s v="AA"/>
    <x v="17"/>
    <s v="Bono Quinenco"/>
    <n v="158819.31486400001"/>
    <n v="0"/>
    <s v=""/>
  </r>
  <r>
    <s v="2017-11-19"/>
    <x v="2"/>
    <s v="LATAIR1127"/>
    <s v="LATAM"/>
    <n v="29587258.700100001"/>
    <m/>
    <n v="6.7400000000000001E-4"/>
    <n v="0"/>
    <s v="2027-11-15"/>
    <n v="3647"/>
    <n v="8.1"/>
    <n v="101.661"/>
    <s v="US$"/>
    <s v="Bono Corporativo"/>
    <s v="Transporte"/>
    <s v="BB"/>
    <x v="87"/>
    <s v="Bono LATAM Airlines"/>
    <n v="239656795.47081"/>
    <n v="0"/>
    <e v="#N/A"/>
  </r>
  <r>
    <s v="2017-11-19"/>
    <x v="2"/>
    <s v="BRASKM0128"/>
    <s v="BRASKEM"/>
    <n v="12980580.831700001"/>
    <m/>
    <n v="2.9599999999999998E-4"/>
    <n v="0"/>
    <s v="2028-01-10"/>
    <n v="3703"/>
    <n v="8.1"/>
    <n v="99.227699999999999"/>
    <s v="US$"/>
    <s v="Bono Corporativo"/>
    <s v="Industriales"/>
    <s v="BB-"/>
    <x v="106"/>
    <s v="Bono Braskem"/>
    <n v="105142704.73677"/>
    <n v="0"/>
    <e v="#N/A"/>
  </r>
  <r>
    <s v="2017-11-19"/>
    <x v="2"/>
    <s v="BARAU-S"/>
    <s v="ARAUCO"/>
    <n v="30026413.320999999"/>
    <m/>
    <n v="6.8499999999999995E-4"/>
    <n v="2.46"/>
    <s v="2026-11-15"/>
    <n v="3282"/>
    <n v="8.14"/>
    <n v="99.51"/>
    <s v="UF"/>
    <s v="Bono Corporativo"/>
    <s v="Materiales Basicos"/>
    <s v="AA-"/>
    <x v="30"/>
    <s v="Bono Celulosa Arauco"/>
    <n v="244415004.43294001"/>
    <n v="1.6632635974281766E-6"/>
    <s v=""/>
  </r>
  <r>
    <s v="2017-11-19"/>
    <x v="2"/>
    <s v="BGASC-H"/>
    <s v="GASCO"/>
    <n v="6144840.3080000002"/>
    <m/>
    <n v="1.3999999999999999E-4"/>
    <n v="3.34"/>
    <s v="2028-09-01"/>
    <n v="3938"/>
    <n v="8.14"/>
    <n v="101.26"/>
    <s v="UF"/>
    <s v="Bono Corporativo"/>
    <s v="Servicios Basicos"/>
    <s v="A"/>
    <x v="99"/>
    <s v="Bono GASCO"/>
    <n v="50019000.107120007"/>
    <n v="0"/>
    <s v=""/>
  </r>
  <r>
    <s v="2017-11-19"/>
    <x v="2"/>
    <s v="INTFSI1027"/>
    <s v="INTERCORP"/>
    <n v="30726978.780400001"/>
    <m/>
    <n v="6.9999999999999999E-4"/>
    <n v="0"/>
    <s v="2027-10-19"/>
    <n v="3620"/>
    <n v="8.19"/>
    <n v="98.4786"/>
    <s v="US$"/>
    <s v="Bono Corporativo"/>
    <s v="Financieras"/>
    <s v="AA-"/>
    <x v="141"/>
    <s v="Bono Intercorp"/>
    <n v="251653956.211476"/>
    <n v="0"/>
    <e v="#N/A"/>
  </r>
  <r>
    <s v="2017-11-19"/>
    <x v="2"/>
    <s v="MXCHF1027"/>
    <s v="MEXICHEM"/>
    <n v="15521827.393100001"/>
    <m/>
    <n v="3.5399999999999999E-4"/>
    <n v="0"/>
    <s v="2027-10-04"/>
    <n v="3605"/>
    <n v="8.1999999999999993"/>
    <n v="99.346800000000002"/>
    <s v="US$"/>
    <s v="Bono Corporativo"/>
    <s v="Industriales"/>
    <s v="A+"/>
    <x v="85"/>
    <s v="Bono Mexichem"/>
    <n v="127278984.62342"/>
    <n v="0"/>
    <e v="#N/A"/>
  </r>
  <r>
    <s v="2017-11-19"/>
    <x v="2"/>
    <s v="BARAU-P"/>
    <s v="ARAUCO"/>
    <n v="11539988.926200001"/>
    <m/>
    <n v="2.63E-4"/>
    <n v="2.5299999999999998"/>
    <s v="2032-11-15"/>
    <n v="5474"/>
    <n v="8.24"/>
    <n v="112.27"/>
    <s v="UF"/>
    <s v="Bono Corporativo"/>
    <s v="Materiales Basicos"/>
    <s v="AA-"/>
    <x v="30"/>
    <s v="Bono Celulosa Arauco"/>
    <n v="95089508.751888007"/>
    <n v="0"/>
    <e v="#N/A"/>
  </r>
  <r>
    <s v="2017-11-19"/>
    <x v="2"/>
    <s v="COLBUN1027"/>
    <s v="COLBUN"/>
    <n v="25979974.099399999"/>
    <m/>
    <n v="5.9199999999999997E-4"/>
    <n v="0"/>
    <s v="2027-10-11"/>
    <n v="3612"/>
    <n v="8.25"/>
    <n v="99.851299999999995"/>
    <s v="US$"/>
    <s v="Bono Corporativo"/>
    <s v="Energia"/>
    <s v="A+"/>
    <x v="142"/>
    <s v="Bono Colbun S.A."/>
    <n v="214334786.32005"/>
    <n v="0"/>
    <e v="#N/A"/>
  </r>
  <r>
    <s v="2017-11-19"/>
    <x v="2"/>
    <s v="CELARA1127"/>
    <s v="CELARA"/>
    <n v="6400931.3448999999"/>
    <m/>
    <n v="1.46E-4"/>
    <n v="0"/>
    <s v="2027-11-02"/>
    <n v="3634"/>
    <n v="8.32"/>
    <n v="98.638199999999998"/>
    <s v="US$"/>
    <s v="Bono Corporativo"/>
    <s v="Industriales"/>
    <s v="AA-"/>
    <x v="30"/>
    <s v="Bono Celulosa Arauco"/>
    <n v="53255748.789568"/>
    <n v="0"/>
    <e v="#N/A"/>
  </r>
  <r>
    <s v="2017-11-19"/>
    <x v="2"/>
    <s v="BNTRA-D"/>
    <s v="NTRANSELEC"/>
    <n v="105550356.2877"/>
    <m/>
    <n v="2.405E-3"/>
    <n v="2.54"/>
    <s v="2027-12-15"/>
    <n v="3677"/>
    <n v="8.32"/>
    <n v="114.59"/>
    <s v="UF"/>
    <s v="Bono Corporativo"/>
    <s v="Servicios Basicos"/>
    <s v="AA-"/>
    <x v="68"/>
    <s v="Serie Transelec S.A."/>
    <n v="878178964.31366396"/>
    <n v="2.0148724000233949E-6"/>
    <s v=""/>
  </r>
  <r>
    <s v="2017-11-19"/>
    <x v="2"/>
    <s v="BFALA1027"/>
    <s v="FALAB.SACI"/>
    <n v="19019372.7839"/>
    <m/>
    <n v="4.3300000000000001E-4"/>
    <n v="0"/>
    <s v="2027-10-30"/>
    <n v="3631"/>
    <n v="8.35"/>
    <n v="97.673500000000004"/>
    <s v="US$"/>
    <s v="Bono Corporativo"/>
    <s v="Consumo"/>
    <s v="AA"/>
    <x v="38"/>
    <s v="Bono Falabella"/>
    <n v="158811762.745565"/>
    <n v="0"/>
    <e v="#N/A"/>
  </r>
  <r>
    <s v="2017-11-19"/>
    <x v="2"/>
    <s v="BGASC-D"/>
    <s v="GASCO"/>
    <n v="52958055.903899997"/>
    <m/>
    <n v="1.207E-3"/>
    <n v="2.74"/>
    <s v="2029-03-01"/>
    <n v="4119"/>
    <n v="8.4"/>
    <n v="144.13999999999999"/>
    <s v="UF"/>
    <s v="Bono Corporativo"/>
    <s v="Servicios Basicos"/>
    <s v="A"/>
    <x v="99"/>
    <s v="Bono GASCO"/>
    <n v="444847669.59276003"/>
    <n v="1.0203975639293268E-6"/>
    <s v=""/>
  </r>
  <r>
    <s v="2017-11-19"/>
    <x v="2"/>
    <s v="MBONO05/31"/>
    <s v="MBONO"/>
    <n v="70631765"/>
    <n v="2000000"/>
    <n v="1.609E-3"/>
    <n v="0"/>
    <s v="2031-05-29"/>
    <n v="4938"/>
    <n v="8.4"/>
    <n v="102.9753"/>
    <s v="MX"/>
    <s v="Bono de Gobierno"/>
    <s v="Gobierno"/>
    <s v="AA"/>
    <x v="110"/>
    <s v="Bono Gobierno De Mexico"/>
    <n v="593306826"/>
    <n v="0"/>
    <e v="#N/A"/>
  </r>
  <r>
    <s v="2017-11-19"/>
    <x v="2"/>
    <s v="BSKSA-E"/>
    <s v="SK"/>
    <n v="78033497.973199993"/>
    <m/>
    <n v="1.779E-3"/>
    <n v="2.62"/>
    <s v="2033-03-15"/>
    <n v="5594"/>
    <n v="8.42"/>
    <n v="111.73"/>
    <s v="UF"/>
    <s v="Bono Corporativo"/>
    <s v="Industriales"/>
    <s v="A+"/>
    <x v="19"/>
    <s v="Bono Sk"/>
    <n v="657042052.93434393"/>
    <n v="1.5063114468861056E-6"/>
    <s v=""/>
  </r>
  <r>
    <s v="2017-11-19"/>
    <x v="2"/>
    <s v="BMOLY-C"/>
    <s v="MOLYMET"/>
    <n v="652606.59420000005"/>
    <m/>
    <n v="1.5E-5"/>
    <n v="3.43"/>
    <s v="2028-06-01"/>
    <n v="3846"/>
    <n v="8.5399999999999991"/>
    <n v="106.91"/>
    <s v="UF"/>
    <s v="Bono Corporativo"/>
    <s v="Materiales Basicos"/>
    <s v="A+"/>
    <x v="143"/>
    <s v="Bono Molymet"/>
    <n v="5573260.3144680001"/>
    <n v="2.5788156777242722E-8"/>
    <s v=""/>
  </r>
  <r>
    <s v="2017-11-19"/>
    <x v="2"/>
    <s v="TGPERU0428"/>
    <s v="TGPERU"/>
    <n v="7347823.9562999997"/>
    <m/>
    <n v="1.6699999999999999E-4"/>
    <n v="0"/>
    <s v="2028-04-30"/>
    <n v="3814"/>
    <n v="8.56"/>
    <n v="103.27330000000001"/>
    <s v="US$"/>
    <s v="Bono Corporativo"/>
    <s v="Utilities"/>
    <s v="AA"/>
    <x v="144"/>
    <s v="Bono Transporte de Gas Peru"/>
    <n v="62897373.065928005"/>
    <n v="0"/>
    <e v="#N/A"/>
  </r>
  <r>
    <s v="2017-11-19"/>
    <x v="2"/>
    <s v="MEXCAT0428"/>
    <s v="MEXICO CIT"/>
    <n v="6360171.0669"/>
    <m/>
    <n v="1.45E-4"/>
    <n v="0"/>
    <s v="2028-04-30"/>
    <n v="3814"/>
    <n v="8.65"/>
    <n v="97.673299999999998"/>
    <s v="US$"/>
    <s v="Bono Corporativo"/>
    <s v="Transporte"/>
    <s v="BBB+"/>
    <x v="145"/>
    <s v="Bono Mexico International Airport"/>
    <n v="55015479.728684999"/>
    <n v="0"/>
    <e v="#N/A"/>
  </r>
  <r>
    <s v="2017-11-19"/>
    <x v="2"/>
    <s v="BCENC-O"/>
    <s v="CENCOSUD"/>
    <n v="512515143.11750001"/>
    <n v="492254190.01584899"/>
    <n v="1.1679999999999999E-2"/>
    <n v="6.89"/>
    <s v="2031-06-01"/>
    <n v="4941"/>
    <n v="8.76"/>
    <n v="100.87"/>
    <s v="$"/>
    <s v="Bono Corporativo"/>
    <s v="Consumo"/>
    <s v="AA-"/>
    <x v="14"/>
    <s v="Bono Cencosud S.A."/>
    <n v="4489632653.7093"/>
    <n v="-1.032058315388894E-5"/>
    <s v=""/>
  </r>
  <r>
    <s v="2017-11-19"/>
    <x v="2"/>
    <s v="BCENC-F"/>
    <s v="CENCOSUD"/>
    <n v="13478587.6788"/>
    <m/>
    <n v="3.0699999999999998E-4"/>
    <n v="2.69"/>
    <s v="2028-05-07"/>
    <n v="3821"/>
    <n v="8.7799999999999994"/>
    <n v="111.67"/>
    <s v="UF"/>
    <s v="Bono Corporativo"/>
    <s v="Consumo"/>
    <s v="AA-"/>
    <x v="14"/>
    <s v="Bono Cencosud S.A."/>
    <n v="118341999.81986399"/>
    <n v="5.3286472155541808E-7"/>
    <s v=""/>
  </r>
  <r>
    <s v="2017-11-19"/>
    <x v="2"/>
    <s v="BCOOD20514"/>
    <s v="COOPEUCH"/>
    <n v="663841432.56410003"/>
    <n v="23000"/>
    <n v="1.5129999999999999E-2"/>
    <n v="2.73"/>
    <s v="2039-05-05"/>
    <n v="7836"/>
    <n v="8.9499999999999993"/>
    <n v="109.49"/>
    <s v="UF"/>
    <s v="Bono Corporativo"/>
    <s v="Financieras"/>
    <s v="AA-"/>
    <x v="61"/>
    <s v="Bono Coopeuch"/>
    <n v="5941380821.4486952"/>
    <n v="1.3108888401292746E-5"/>
    <s v=""/>
  </r>
  <r>
    <s v="2017-11-19"/>
    <x v="2"/>
    <s v="BCOCPE0929"/>
    <s v="BBVA CONTI"/>
    <n v="37436747.616099998"/>
    <m/>
    <n v="8.5300000000000003E-4"/>
    <n v="0"/>
    <s v="2029-09-22"/>
    <n v="4324"/>
    <n v="9.02"/>
    <n v="108.0882"/>
    <s v="US$"/>
    <s v="Bono Corporativo"/>
    <s v="Financieras"/>
    <s v="A+"/>
    <x v="0"/>
    <s v="Bono Banco BBVA Peru"/>
    <n v="337679463.49722195"/>
    <n v="0"/>
    <e v="#N/A"/>
  </r>
  <r>
    <s v="2017-11-19"/>
    <x v="2"/>
    <s v="GNLQCI0729"/>
    <s v="GNLQUINTER"/>
    <n v="34646.731699999997"/>
    <m/>
    <n v="9.9999999999999995E-7"/>
    <n v="0"/>
    <s v="2029-07-31"/>
    <n v="4271"/>
    <n v="9.1"/>
    <n v="104.44840000000001"/>
    <s v="$"/>
    <s v="Bono Corporativo"/>
    <s v="Energia"/>
    <s v="AA-"/>
    <x v="69"/>
    <s v="Bono GNL Quintero S.A."/>
    <n v="315285.25846999994"/>
    <n v="0"/>
    <e v="#N/A"/>
  </r>
  <r>
    <s v="2017-11-19"/>
    <x v="2"/>
    <s v="GNLQCI0729"/>
    <s v="GNLQUINTER"/>
    <n v="31814964.661699999"/>
    <m/>
    <n v="7.2499999999999995E-4"/>
    <n v="0"/>
    <s v="2029-07-31"/>
    <n v="4271"/>
    <n v="9.1"/>
    <n v="104.44840000000001"/>
    <s v="US$"/>
    <s v="Bono Corporativo"/>
    <s v="Energia"/>
    <s v="AA-"/>
    <x v="69"/>
    <s v="Bono GNL Quintero S.A."/>
    <n v="289516178.42146999"/>
    <n v="0"/>
    <e v="#N/A"/>
  </r>
  <r>
    <s v="2017-11-19"/>
    <x v="2"/>
    <s v="BCFSA-B"/>
    <s v="CONSOR FIN"/>
    <n v="346836352.77359998"/>
    <n v="10000"/>
    <n v="7.9050000000000006E-3"/>
    <n v="2.64"/>
    <s v="2034-04-01"/>
    <n v="5976"/>
    <n v="9.18"/>
    <n v="111.69"/>
    <s v="UF"/>
    <s v="Bono Corporativo"/>
    <s v="Financieras"/>
    <s v="AA-"/>
    <x v="51"/>
    <s v="Bono Consorcio"/>
    <n v="3183957718.4616475"/>
    <n v="0"/>
    <s v=""/>
  </r>
  <r>
    <s v="2017-11-19"/>
    <x v="2"/>
    <s v="BLCON-B"/>
    <s v="LAS CONDES"/>
    <n v="13323512.8445"/>
    <m/>
    <n v="3.0400000000000002E-4"/>
    <n v="3.04"/>
    <s v="2034-11-30"/>
    <n v="6219"/>
    <n v="9.43"/>
    <n v="108.53"/>
    <s v="UF"/>
    <s v="Bono Corporativo"/>
    <s v="Salud"/>
    <s v="A+"/>
    <x v="146"/>
    <s v="Bono Clinica Las Condes"/>
    <n v="125640726.12363499"/>
    <n v="5.7690522030209019E-7"/>
    <s v=""/>
  </r>
  <r>
    <s v="2017-11-19"/>
    <x v="2"/>
    <s v="MBONO 1136"/>
    <s v="MBONO"/>
    <n v="140011756"/>
    <n v="3270000"/>
    <n v="3.1900000000000001E-3"/>
    <n v="0"/>
    <s v="2036-11-20"/>
    <n v="6940"/>
    <n v="9.49"/>
    <n v="124.5399"/>
    <s v="MX"/>
    <s v="Bono de Gobierno"/>
    <s v="Gobierno"/>
    <s v="AA"/>
    <x v="110"/>
    <s v="Bono Gobierno De Mexico"/>
    <n v="1328711564.4400001"/>
    <n v="0"/>
    <e v="#N/A"/>
  </r>
  <r>
    <s v="2017-11-19"/>
    <x v="2"/>
    <s v="BRENT-C"/>
    <s v="RENTAS"/>
    <n v="150487203.7581"/>
    <m/>
    <n v="3.4299999999999999E-3"/>
    <n v="3.2"/>
    <s v="2034-11-15"/>
    <n v="6204"/>
    <n v="9.52"/>
    <n v="107.55"/>
    <s v="UF"/>
    <s v="Bono Corporativo"/>
    <s v="Construccion"/>
    <s v="A"/>
    <x v="147"/>
    <s v="Bono Sociedad de Rentas Comerciales"/>
    <n v="1432638179.777112"/>
    <n v="3.2230076777872033E-6"/>
    <s v=""/>
  </r>
  <r>
    <s v="2017-11-19"/>
    <x v="2"/>
    <s v="BCMPC-F"/>
    <s v="CMPC"/>
    <n v="21193560.683800001"/>
    <m/>
    <n v="4.8299999999999998E-4"/>
    <n v="2.69"/>
    <s v="2030-03-24"/>
    <n v="4507"/>
    <n v="9.9"/>
    <n v="116.43"/>
    <s v="UF"/>
    <s v="Bono Corporativo"/>
    <s v="Materiales Basicos"/>
    <s v="AA"/>
    <x v="65"/>
    <s v="Bono Empresas CMPC S.A."/>
    <n v="209816250.76962"/>
    <n v="4.8068575959350224E-7"/>
    <s v=""/>
  </r>
  <r>
    <s v="2017-11-19"/>
    <x v="2"/>
    <s v="BQUIN-C"/>
    <s v="QUINENCO"/>
    <n v="329741137.30159998"/>
    <n v="10000"/>
    <n v="7.515E-3"/>
    <n v="2.63"/>
    <s v="2032-12-01"/>
    <n v="5490"/>
    <n v="9.94"/>
    <n v="113.87"/>
    <s v="UF"/>
    <s v="Bono Corporativo"/>
    <s v="Diversificados"/>
    <s v="AA"/>
    <x v="17"/>
    <s v="Bono Quinenco"/>
    <n v="3277626904.7779036"/>
    <n v="0"/>
    <s v=""/>
  </r>
  <r>
    <s v="2017-11-19"/>
    <x v="2"/>
    <s v="GMEXIB1232"/>
    <s v="GMEXIB"/>
    <n v="23046801.7883"/>
    <m/>
    <n v="5.2499999999999997E-4"/>
    <n v="0"/>
    <s v="2032-12-06"/>
    <n v="5495"/>
    <n v="10.050000000000001"/>
    <n v="104.9807"/>
    <s v="US$"/>
    <s v="Bono Corporativo"/>
    <s v="Utilities"/>
    <s v="AA-"/>
    <x v="148"/>
    <s v="Bono Mexico Generadora de Energia"/>
    <n v="231620357.97241503"/>
    <n v="0"/>
    <e v="#N/A"/>
  </r>
  <r>
    <s v="2017-11-19"/>
    <x v="2"/>
    <s v="UBBV-G0506"/>
    <s v="BBBVA"/>
    <n v="30220208.3288"/>
    <m/>
    <n v="6.8900000000000005E-4"/>
    <n v="2.72"/>
    <s v="2031-05-01"/>
    <n v="4910"/>
    <n v="10.39"/>
    <n v="125.01"/>
    <s v="UF"/>
    <s v="Bono Corporativo"/>
    <s v="Financieras"/>
    <s v="A+"/>
    <x v="0"/>
    <s v="Bono Banco BBVA"/>
    <n v="313987964.53623199"/>
    <n v="7.0547180883126932E-7"/>
    <e v="#N/A"/>
  </r>
  <r>
    <s v="2017-11-19"/>
    <x v="2"/>
    <s v="BSECU-L3"/>
    <s v="SECHOLDING"/>
    <n v="51142388.052599996"/>
    <m/>
    <n v="1.1659999999999999E-3"/>
    <n v="2.82"/>
    <s v="2035-11-15"/>
    <n v="6569"/>
    <n v="10.46"/>
    <n v="106.01"/>
    <s v="UF"/>
    <s v="Bono Corporativo"/>
    <s v="Diversificados"/>
    <s v="A+"/>
    <x v="149"/>
    <s v="Bono Holding Security"/>
    <n v="534949379.03019601"/>
    <n v="1.2070599502909103E-6"/>
    <s v=""/>
  </r>
  <r>
    <s v="2017-11-19"/>
    <x v="2"/>
    <s v="BNTRA-H"/>
    <s v="NTRANSELEC"/>
    <n v="51853147.709700003"/>
    <m/>
    <n v="1.1820000000000001E-3"/>
    <n v="2.86"/>
    <s v="2031-08-01"/>
    <n v="5002"/>
    <n v="10.48"/>
    <n v="121.15"/>
    <s v="UF"/>
    <s v="Bono Corporativo"/>
    <s v="Servicios Basicos"/>
    <s v="AA-"/>
    <x v="68"/>
    <s v="Bono Transelec S.A."/>
    <n v="543420987.99765611"/>
    <n v="1.2455372169116868E-6"/>
    <e v="#N/A"/>
  </r>
  <r>
    <s v="2017-11-19"/>
    <x v="2"/>
    <s v="PETRPE0632"/>
    <s v="PETRPE"/>
    <n v="3358019.8239000002"/>
    <m/>
    <n v="7.7000000000000001E-5"/>
    <n v="0"/>
    <s v="2032-06-19"/>
    <n v="5325"/>
    <n v="10.52"/>
    <n v="101.72629999999999"/>
    <s v="US$"/>
    <s v="Bono Corporativo"/>
    <s v="Energia"/>
    <s v="A+"/>
    <x v="88"/>
    <s v="Bono Petroleos del Peru"/>
    <n v="35326368.547427997"/>
    <n v="0"/>
    <e v="#N/A"/>
  </r>
  <r>
    <s v="2017-11-19"/>
    <x v="2"/>
    <s v="BBANM-J"/>
    <s v="BANMEDICA"/>
    <n v="26995944.066199999"/>
    <m/>
    <n v="6.1499999999999999E-4"/>
    <n v="2.94"/>
    <s v="2034-04-10"/>
    <n v="5985"/>
    <n v="10.95"/>
    <n v="109.43"/>
    <s v="UF"/>
    <s v="Bono Corporativo"/>
    <s v="Salud"/>
    <s v="AA-"/>
    <x v="24"/>
    <s v="Bono Banmedica"/>
    <n v="295605587.52488995"/>
    <n v="1.354359657063073E-6"/>
    <s v=""/>
  </r>
  <r>
    <s v="2017-11-19"/>
    <x v="2"/>
    <s v="LIMAMT0734"/>
    <s v="LIMAMETRO2"/>
    <n v="28734428.2687"/>
    <m/>
    <n v="6.5499999999999998E-4"/>
    <n v="0"/>
    <s v="2034-07-05"/>
    <n v="6071"/>
    <n v="10.96"/>
    <n v="110.1793"/>
    <s v="US$"/>
    <s v="Bono Corporativo"/>
    <s v="Transporte"/>
    <s v="AA-"/>
    <x v="150"/>
    <s v="Bono Metro de Lima"/>
    <n v="314929333.82495201"/>
    <n v="0"/>
    <e v="#N/A"/>
  </r>
  <r>
    <s v="2017-11-19"/>
    <x v="2"/>
    <s v="UCNO-A1011"/>
    <s v="BBCONSORC"/>
    <n v="210944635.93169999"/>
    <n v="5000"/>
    <n v="4.8069999999999996E-3"/>
    <n v="2.92"/>
    <s v="2031-10-15"/>
    <n v="5077"/>
    <n v="10.99"/>
    <n v="112.01"/>
    <s v="UF"/>
    <s v="Bono Corporativo"/>
    <s v="Financieras"/>
    <s v="A+"/>
    <x v="5"/>
    <s v="Bono Subordinado Banco Consorcio"/>
    <n v="2318281548.8893828"/>
    <n v="5.3100977087662793E-6"/>
    <s v=""/>
  </r>
  <r>
    <s v="2017-11-19"/>
    <x v="2"/>
    <s v="MBONO 1142"/>
    <s v="MBONO"/>
    <n v="69708382"/>
    <n v="2000000"/>
    <n v="1.588E-3"/>
    <n v="0"/>
    <s v="2042-11-13"/>
    <n v="9124"/>
    <n v="11.1"/>
    <n v="101.5855"/>
    <s v="MX"/>
    <s v="Bono de Gobierno"/>
    <s v="Gobierno"/>
    <s v="AA"/>
    <x v="110"/>
    <s v="Bono Gobierno De Mexico"/>
    <n v="773763040.19999993"/>
    <n v="0"/>
    <e v="#N/A"/>
  </r>
  <r>
    <s v="2017-11-19"/>
    <x v="2"/>
    <s v="BCTOR-K"/>
    <s v="CONCHATORO"/>
    <n v="3792871.9882"/>
    <m/>
    <n v="8.6000000000000003E-5"/>
    <n v="2.91"/>
    <s v="2038-09-01"/>
    <n v="7590"/>
    <n v="11.23"/>
    <n v="104.3"/>
    <s v="UF"/>
    <s v="Bono Corporativo"/>
    <s v="Consumo"/>
    <s v="AA-"/>
    <x v="20"/>
    <s v="Bono Concha Y Toro"/>
    <n v="42593952.427486002"/>
    <n v="0"/>
    <s v=""/>
  </r>
  <r>
    <s v="2017-11-19"/>
    <x v="2"/>
    <s v="UCORBF0710"/>
    <s v="BBCORPBANC"/>
    <n v="184746937"/>
    <n v="6000"/>
    <n v="4.2100000000000002E-3"/>
    <n v="2.85"/>
    <s v="2032-07-01"/>
    <n v="5337"/>
    <n v="11.31"/>
    <n v="113.68"/>
    <s v="UF"/>
    <s v="Bono Corporativo"/>
    <s v="Financieras"/>
    <s v="AA-"/>
    <x v="11"/>
    <s v="Bono Subordinado Corpbanca"/>
    <n v="2089487857.47"/>
    <n v="8.1344835463650639E-5"/>
    <s v=""/>
  </r>
  <r>
    <s v="2017-11-19"/>
    <x v="2"/>
    <s v="UBBVH90607"/>
    <s v="BBBVA"/>
    <n v="26472566.500500001"/>
    <m/>
    <n v="6.0300000000000002E-4"/>
    <n v="2.8"/>
    <s v="2032-06-01"/>
    <n v="5307"/>
    <n v="11.51"/>
    <n v="108.04"/>
    <s v="UF"/>
    <s v="Bono Corporativo"/>
    <s v="Financieras"/>
    <s v="A+"/>
    <x v="0"/>
    <s v="Bono Banco BBVA"/>
    <n v="304699240.42075503"/>
    <n v="6.9711158684031699E-7"/>
    <s v=""/>
  </r>
  <r>
    <s v="2017-11-19"/>
    <x v="2"/>
    <s v="BEMCA-P"/>
    <s v="EM.CAROZZI"/>
    <n v="56001399.526500002"/>
    <m/>
    <n v="1.276E-3"/>
    <n v="3.21"/>
    <s v="2035-05-15"/>
    <n v="6385"/>
    <n v="11.54"/>
    <n v="106.74"/>
    <s v="UF"/>
    <s v="Bono Corporativo"/>
    <s v="Consumo"/>
    <s v="A"/>
    <x v="80"/>
    <s v="Bono Carozzi"/>
    <n v="646256150.53580999"/>
    <n v="1.4545780673357556E-6"/>
    <s v=""/>
  </r>
  <r>
    <s v="2017-11-19"/>
    <x v="2"/>
    <s v="BWATT-L"/>
    <s v="WATTS"/>
    <n v="104856433.7736"/>
    <m/>
    <n v="2.3900000000000002E-3"/>
    <n v="3.04"/>
    <s v="2032-11-15"/>
    <n v="5474"/>
    <n v="11.57"/>
    <n v="113.62"/>
    <s v="UF"/>
    <s v="Bono Corporativo"/>
    <s v="Consumo"/>
    <s v="A"/>
    <x v="151"/>
    <s v="Bono Watts S.A."/>
    <n v="1213188938.7605519"/>
    <n v="2.7282004397071781E-6"/>
    <s v=""/>
  </r>
  <r>
    <s v="2017-11-19"/>
    <x v="2"/>
    <s v="USECJ20312"/>
    <s v="BBSECURITY"/>
    <n v="47317208.8072"/>
    <m/>
    <n v="1.078E-3"/>
    <n v="2.91"/>
    <s v="2037-03-01"/>
    <n v="7041"/>
    <n v="11.6"/>
    <n v="112.8"/>
    <s v="UF"/>
    <s v="Bono Corporativo"/>
    <s v="Financieras"/>
    <s v="A"/>
    <x v="7"/>
    <s v="Bono Subordinado Banco Security"/>
    <n v="548879622.16351998"/>
    <n v="1.2544365442657706E-6"/>
    <s v=""/>
  </r>
  <r>
    <s v="2017-11-19"/>
    <x v="2"/>
    <s v="FERMAC0338"/>
    <s v="FERMACA"/>
    <n v="35517879.145300001"/>
    <m/>
    <n v="8.0900000000000004E-4"/>
    <n v="0"/>
    <s v="2038-03-30"/>
    <n v="7435"/>
    <n v="11.61"/>
    <n v="108.55110000000001"/>
    <s v="US$"/>
    <s v="Bono Corporativo"/>
    <s v="Energia"/>
    <s v="A+"/>
    <x v="152"/>
    <s v="Bono Fermaca S.A."/>
    <n v="412362576.87693298"/>
    <n v="0"/>
    <e v="#N/A"/>
  </r>
  <r>
    <s v="2017-11-19"/>
    <x v="2"/>
    <s v="UCOR-V0808"/>
    <s v="BBCORPBANC"/>
    <n v="745754289.58070004"/>
    <n v="20000"/>
    <n v="1.6996000000000001E-2"/>
    <n v="2.89"/>
    <s v="2033-08-01"/>
    <n v="5733"/>
    <n v="11.69"/>
    <n v="121.42"/>
    <s v="UF"/>
    <s v="Bono Corporativo"/>
    <s v="Financieras"/>
    <s v="AA-"/>
    <x v="11"/>
    <s v="Bono Subordinado Corpbanca"/>
    <n v="8717867645.1983833"/>
    <n v="3.3928248784929476E-4"/>
    <s v=""/>
  </r>
  <r>
    <s v="2017-11-19"/>
    <x v="2"/>
    <s v="BTP0500335"/>
    <s v="BTP"/>
    <n v="4062383390"/>
    <n v="3970000000"/>
    <n v="9.2584E-2"/>
    <n v="4.95"/>
    <s v="2035-03-01"/>
    <n v="6310"/>
    <n v="11.69"/>
    <n v="101.24"/>
    <s v="$"/>
    <s v="Bono de Gobierno"/>
    <s v="Gobierno"/>
    <s v="AAA"/>
    <x v="35"/>
    <s v="Bono Tesorería en CLP"/>
    <n v="47489261829.099998"/>
    <n v="-2.1791996229185087E-4"/>
    <s v=""/>
  </r>
  <r>
    <s v="2017-11-19"/>
    <x v="2"/>
    <s v="BSWTR-E"/>
    <s v="SOUTHWATER"/>
    <n v="725704157.50160003"/>
    <n v="20000"/>
    <n v="1.6539000000000002E-2"/>
    <n v="3.03"/>
    <s v="2034-09-08"/>
    <n v="6136"/>
    <n v="11.73"/>
    <n v="120.27"/>
    <s v="UF"/>
    <s v="Bono Corporativo"/>
    <s v="Financieras"/>
    <s v="A+"/>
    <x v="153"/>
    <s v="Bono Inversiones Southwater"/>
    <n v="8512509767.4937687"/>
    <n v="1.9479471735872727E-5"/>
    <s v=""/>
  </r>
  <r>
    <s v="2017-11-19"/>
    <x v="2"/>
    <s v="BSOQU-O"/>
    <s v="SOQUIMICH"/>
    <n v="32785404.545699999"/>
    <m/>
    <n v="7.4700000000000005E-4"/>
    <n v="3.15"/>
    <s v="2033-02-01"/>
    <n v="5552"/>
    <n v="11.75"/>
    <n v="107.56"/>
    <s v="UF"/>
    <s v="Bono Corporativo"/>
    <s v="Materiales Basicos"/>
    <s v="A+"/>
    <x v="58"/>
    <s v="Bono SQM"/>
    <n v="385228503.41197497"/>
    <n v="8.8165288273802545E-7"/>
    <e v="#N/A"/>
  </r>
  <r>
    <s v="2017-11-19"/>
    <x v="2"/>
    <s v="BCOOE20315"/>
    <s v="COOPEUCH"/>
    <n v="315309377.4777"/>
    <n v="10000"/>
    <n v="7.1859999999999997E-3"/>
    <n v="2.85"/>
    <s v="2040-03-01"/>
    <n v="8137"/>
    <n v="11.77"/>
    <n v="107.61"/>
    <s v="UF"/>
    <s v="Bono Corporativo"/>
    <s v="Financieras"/>
    <s v="AA-"/>
    <x v="61"/>
    <s v="Bono Coopeuch"/>
    <n v="3711191372.912529"/>
    <n v="8.5030418180547882E-6"/>
    <s v=""/>
  </r>
  <r>
    <s v="2017-11-19"/>
    <x v="2"/>
    <s v="BRPLC-F"/>
    <s v="RIPLEYCORP"/>
    <n v="584958455.05089998"/>
    <n v="20000"/>
    <n v="1.3331000000000001E-2"/>
    <n v="3.13"/>
    <s v="2037-10-15"/>
    <n v="7269"/>
    <n v="11.93"/>
    <n v="96.21"/>
    <s v="UF"/>
    <s v="Bono Corporativo"/>
    <s v="Consumo"/>
    <s v="A+"/>
    <x v="97"/>
    <s v="Bono Ripley"/>
    <n v="6978554368.7572365"/>
    <n v="0"/>
    <s v=""/>
  </r>
  <r>
    <s v="2017-11-19"/>
    <x v="2"/>
    <s v="BCELE-A"/>
    <s v="CELEO"/>
    <n v="363368948.18699998"/>
    <n v="10000"/>
    <n v="8.2810000000000002E-3"/>
    <n v="3.02"/>
    <s v="2047-06-22"/>
    <n v="10806"/>
    <n v="12.09"/>
    <n v="103.87"/>
    <s v="UF"/>
    <s v="Bono Corporativo"/>
    <s v="Utilities"/>
    <s v="A+"/>
    <x v="154"/>
    <s v="Bono Celeo Chile"/>
    <n v="4393130583.5808296"/>
    <n v="0"/>
    <e v="#N/A"/>
  </r>
  <r>
    <s v="2017-11-19"/>
    <x v="2"/>
    <s v="USECJ31013"/>
    <s v="BBSECURITY"/>
    <n v="53319897.183899999"/>
    <m/>
    <n v="1.2149999999999999E-3"/>
    <n v="2.99"/>
    <s v="2038-10-01"/>
    <n v="7620"/>
    <n v="12.53"/>
    <n v="112.79"/>
    <s v="UF"/>
    <s v="Bono Corporativo"/>
    <s v="Financieras"/>
    <s v="A"/>
    <x v="7"/>
    <s v="Bono Subordinado Banco Security"/>
    <n v="668098311.7142669"/>
    <n v="0"/>
    <s v=""/>
  </r>
  <r>
    <s v="2017-11-19"/>
    <x v="2"/>
    <s v="TELVIS0140"/>
    <s v="TLEVISACPO"/>
    <n v="12696826.5889"/>
    <m/>
    <n v="2.8899999999999998E-4"/>
    <n v="0"/>
    <s v="2040-01-15"/>
    <n v="8091"/>
    <n v="12.58"/>
    <n v="120.2325"/>
    <s v="US$"/>
    <s v="Bono Corporativo"/>
    <s v="Comunicaciones"/>
    <s v="AA"/>
    <x v="155"/>
    <s v="Bono Televisa"/>
    <n v="159726078.48836198"/>
    <n v="0"/>
    <e v="#N/A"/>
  </r>
  <r>
    <s v="2017-11-19"/>
    <x v="2"/>
    <s v="ECOPET0943"/>
    <s v="ECOPETL"/>
    <n v="6126583.3201000001"/>
    <m/>
    <n v="1.3999999999999999E-4"/>
    <n v="0"/>
    <s v="2043-09-18"/>
    <n v="9433"/>
    <n v="12.73"/>
    <n v="116.999"/>
    <s v="US$"/>
    <s v="Bono Corporativo"/>
    <s v="Energia"/>
    <s v="A+"/>
    <x v="83"/>
    <s v="Bono EJ828615"/>
    <n v="77991405.664873004"/>
    <n v="0"/>
    <e v="#N/A"/>
  </r>
  <r>
    <s v="2017-11-19"/>
    <x v="2"/>
    <s v="UCORBI0710"/>
    <s v="BBCORPBANC"/>
    <n v="661545895.97469997"/>
    <n v="20500"/>
    <n v="1.5077E-2"/>
    <n v="2.97"/>
    <s v="2035-07-01"/>
    <n v="6432"/>
    <n v="13"/>
    <n v="114.12"/>
    <s v="UF"/>
    <s v="Bono Corporativo"/>
    <s v="Financieras"/>
    <s v="AA-"/>
    <x v="11"/>
    <s v="Bono Subordinado Corpbanca"/>
    <n v="8600096647.6711006"/>
    <n v="2.9515103916809797E-4"/>
    <s v=""/>
  </r>
  <r>
    <s v="2017-11-19"/>
    <x v="2"/>
    <s v="BSWTR-I"/>
    <s v="SOUTHWATER"/>
    <n v="93535970.871700004"/>
    <m/>
    <n v="2.1320000000000002E-3"/>
    <n v="3.14"/>
    <s v="2036-09-08"/>
    <n v="6867"/>
    <n v="13.13"/>
    <n v="118.32"/>
    <s v="UF"/>
    <s v="Bono Corporativo"/>
    <s v="Financieras"/>
    <s v="A+"/>
    <x v="153"/>
    <s v="Bono Inversiones Southwater"/>
    <n v="1228127297.5454211"/>
    <n v="0"/>
    <s v=""/>
  </r>
  <r>
    <s v="2017-11-19"/>
    <x v="2"/>
    <s v="AMXLMM0340"/>
    <s v="AMXLMM"/>
    <n v="27549244.801399998"/>
    <m/>
    <n v="6.2799999999999998E-4"/>
    <n v="0"/>
    <s v="2040-03-30"/>
    <n v="8166"/>
    <n v="13.41"/>
    <n v="124.2508"/>
    <s v="US$"/>
    <s v="Bono Corporativo"/>
    <s v="Telecomunicaciones"/>
    <s v="AA+"/>
    <x v="156"/>
    <s v="Bono EI336227"/>
    <n v="369435372.78677398"/>
    <n v="0"/>
    <e v="#N/A"/>
  </r>
  <r>
    <s v="2017-11-19"/>
    <x v="2"/>
    <s v="UCORBJ0710"/>
    <s v="BBCORPBANC"/>
    <n v="27939315.9747"/>
    <m/>
    <n v="6.3699999999999998E-4"/>
    <n v="3.01"/>
    <s v="2036-07-01"/>
    <n v="6798"/>
    <n v="13.52"/>
    <n v="114.12"/>
    <s v="UF"/>
    <s v="Bono Corporativo"/>
    <s v="Financieras"/>
    <s v="AA-"/>
    <x v="11"/>
    <s v="Bono Subordinado Corpbanca"/>
    <n v="377739551.97794402"/>
    <n v="1.3833483908739197E-5"/>
    <s v=""/>
  </r>
  <r>
    <s v="2017-11-19"/>
    <x v="2"/>
    <s v="ECOPET0545"/>
    <s v="ECOPETL"/>
    <n v="10627458.6302"/>
    <m/>
    <n v="2.42E-4"/>
    <n v="0"/>
    <s v="2045-05-28"/>
    <n v="10051"/>
    <n v="13.56"/>
    <n v="99.751000000000005"/>
    <s v="US$"/>
    <s v="Bono Corporativo"/>
    <s v="Energia"/>
    <s v="A+"/>
    <x v="83"/>
    <s v="Bono EK288577"/>
    <n v="144108339.02551201"/>
    <n v="0"/>
    <e v="#N/A"/>
  </r>
  <r>
    <s v="2017-11-19"/>
    <x v="2"/>
    <s v="BTP0600143"/>
    <s v="BTP"/>
    <n v="512736112"/>
    <n v="450000000"/>
    <n v="1.1684999999999999E-2"/>
    <n v="5.23"/>
    <s v="2043-01-01"/>
    <n v="9173"/>
    <n v="13.64"/>
    <n v="111.37"/>
    <s v="$"/>
    <s v="Bono de Gobierno"/>
    <s v="Gobierno"/>
    <s v="AAA"/>
    <x v="35"/>
    <s v="Bono Tesorería en CLP"/>
    <n v="6993720567.6800003"/>
    <n v="0"/>
    <s v=""/>
  </r>
  <r>
    <s v="2017-11-19"/>
    <x v="2"/>
    <s v="BFAL-E0615"/>
    <s v="BBFALABELL"/>
    <n v="56567096"/>
    <n v="2000"/>
    <n v="1.289E-3"/>
    <n v="2.95"/>
    <s v="2040-06-30"/>
    <n v="8258"/>
    <n v="13.71"/>
    <n v="104.71"/>
    <s v="UF"/>
    <s v="Bono Corporativo"/>
    <s v="Financieras"/>
    <s v="AA"/>
    <x v="44"/>
    <s v="Bono Banco Falabella"/>
    <n v="775534886.16000009"/>
    <n v="1.7744672658971187E-6"/>
    <s v=""/>
  </r>
  <r>
    <s v="2017-11-19"/>
    <x v="2"/>
    <s v="MXCHF0148"/>
    <s v="MEXICHEM"/>
    <n v="2550652.7793999999"/>
    <m/>
    <n v="5.8E-5"/>
    <n v="0"/>
    <s v="2048-01-15"/>
    <n v="11013"/>
    <n v="14.51"/>
    <n v="97.215999999999994"/>
    <s v="US$"/>
    <s v="Bono Corporativo"/>
    <s v="Industriales"/>
    <s v="A+"/>
    <x v="85"/>
    <s v="Bono Mexichem"/>
    <n v="37009971.829094"/>
    <n v="0"/>
    <e v="#N/A"/>
  </r>
  <r>
    <s v="2017-11-19"/>
    <x v="2"/>
    <s v="BTU0200335"/>
    <s v="BTU"/>
    <n v="2948607380"/>
    <n v="112000"/>
    <n v="6.7199999999999996E-2"/>
    <n v="2.13"/>
    <s v="2035-03-01"/>
    <n v="6310"/>
    <n v="14.61"/>
    <n v="98.28"/>
    <s v="UF"/>
    <s v="Bono de Gobierno"/>
    <s v="Gobierno"/>
    <s v="AAA"/>
    <x v="35"/>
    <s v="Bono Tesorería en UF"/>
    <n v="43079153821.799995"/>
    <n v="0"/>
    <s v=""/>
  </r>
  <r>
    <s v="2017-11-19"/>
    <x v="2"/>
    <s v="BSECU-M"/>
    <s v="SECHOLDING"/>
    <n v="27965161.780400001"/>
    <m/>
    <n v="6.3699999999999998E-4"/>
    <n v="3.18"/>
    <s v="2041-10-15"/>
    <n v="8730"/>
    <n v="14.98"/>
    <n v="115.52"/>
    <s v="UF"/>
    <s v="Bono Corporativo"/>
    <s v="Diversificados"/>
    <s v="A+"/>
    <x v="149"/>
    <s v="Bono Holding Security"/>
    <n v="418918123.47039205"/>
    <n v="0"/>
    <s v=""/>
  </r>
  <r>
    <s v="2017-11-19"/>
    <x v="2"/>
    <s v="UCNO-G0414"/>
    <s v="BBCONSORC"/>
    <n v="16386240.8214"/>
    <m/>
    <n v="3.7300000000000001E-4"/>
    <n v="3.16"/>
    <s v="2039-04-01"/>
    <n v="7802"/>
    <n v="14.99"/>
    <n v="112.68"/>
    <s v="UF"/>
    <s v="Bono Corporativo"/>
    <s v="Financieras"/>
    <s v="A+"/>
    <x v="5"/>
    <s v="Bono Subordinado Banco Consorcio"/>
    <n v="245629749.91278601"/>
    <n v="0"/>
    <s v=""/>
  </r>
  <r>
    <s v="2017-11-19"/>
    <x v="2"/>
    <s v="MEXCAT0747"/>
    <s v="MEXICO CIT"/>
    <n v="2563194.4034000002"/>
    <m/>
    <n v="5.8E-5"/>
    <n v="0"/>
    <s v="2047-07-31"/>
    <n v="10845"/>
    <n v="15.11"/>
    <n v="98.439700000000002"/>
    <s v="US$"/>
    <s v="Bono Corporativo"/>
    <s v="Transporte"/>
    <s v="BBB+"/>
    <x v="145"/>
    <s v="Bono Mexico International Airport"/>
    <n v="38729867.435373999"/>
    <n v="0"/>
    <e v="#N/A"/>
  </r>
  <r>
    <s v="2017-11-19"/>
    <x v="2"/>
    <s v="CELEO 0647"/>
    <s v="CELEO"/>
    <n v="3362722.9328999999"/>
    <m/>
    <n v="7.7000000000000001E-5"/>
    <n v="0"/>
    <s v="2047-06-22"/>
    <n v="10806"/>
    <n v="15.21"/>
    <n v="101.61660000000001"/>
    <s v="US$"/>
    <s v="Bono Corporativo"/>
    <s v="Utilities"/>
    <s v="A+"/>
    <x v="154"/>
    <s v="Bono Celeo Chile"/>
    <n v="51147015.809409"/>
    <n v="0"/>
    <e v="#N/A"/>
  </r>
  <r>
    <s v="2017-11-19"/>
    <x v="2"/>
    <s v="UCNO-K1114"/>
    <s v="BBCONSORC"/>
    <n v="66158801.171300001"/>
    <m/>
    <n v="1.508E-3"/>
    <n v="3.18"/>
    <s v="2039-11-01"/>
    <n v="8016"/>
    <n v="15.45"/>
    <n v="109.55"/>
    <s v="UF"/>
    <s v="Bono Corporativo"/>
    <s v="Financieras"/>
    <s v="A+"/>
    <x v="5"/>
    <s v="Bono Subordinado Banco Consorcio"/>
    <n v="1022153478.0965849"/>
    <n v="2.2976336177585935E-6"/>
    <s v=""/>
  </r>
  <r>
    <s v="2017-11-19"/>
    <x v="2"/>
    <s v="BTU0300144"/>
    <s v="BTU"/>
    <n v="1916184600"/>
    <n v="63000"/>
    <n v="4.3671000000000001E-2"/>
    <n v="2.35"/>
    <s v="2044-01-01"/>
    <n v="9538"/>
    <n v="18.63"/>
    <n v="112.73"/>
    <s v="UF"/>
    <s v="Bono de Gobierno"/>
    <s v="Gobierno"/>
    <s v="AAA"/>
    <x v="35"/>
    <s v="Bono Tesorería en UF"/>
    <n v="35698519098"/>
    <n v="1.6317618355592622E-4"/>
    <s v=""/>
  </r>
  <r>
    <s v="2017-11-19"/>
    <x v="3"/>
    <s v="PAGARE NR"/>
    <s v="ESTADO"/>
    <n v="2499801683"/>
    <n v="2500000000"/>
    <n v="4.0036000000000002E-2"/>
    <n v="2.82"/>
    <s v="2017-11-20"/>
    <n v="0"/>
    <n v="0"/>
    <n v="99.992067000000006"/>
    <s v="$"/>
    <s v="Deposito"/>
    <s v="Financieras"/>
    <s v="N-1+"/>
    <x v="3"/>
    <s v="Deposito Banco Estado"/>
    <n v="0"/>
    <n v="0"/>
    <s v=""/>
  </r>
  <r>
    <s v="2017-11-19"/>
    <x v="3"/>
    <s v="PAGARE NR"/>
    <s v="SANTANDER"/>
    <n v="199986001"/>
    <n v="200000000"/>
    <n v="3.202E-3"/>
    <n v="2.52"/>
    <s v="2017-11-20"/>
    <n v="0"/>
    <n v="0"/>
    <n v="99.992999999999995"/>
    <s v="$"/>
    <s v="Deposito"/>
    <s v="Financieras"/>
    <s v="N-1+"/>
    <x v="10"/>
    <s v="Deposito Banco Santander"/>
    <n v="0"/>
    <n v="0"/>
    <s v=""/>
  </r>
  <r>
    <s v="2017-11-19"/>
    <x v="3"/>
    <s v="PAGARE NR"/>
    <s v="TANNER SF"/>
    <n v="499906684"/>
    <n v="500000000"/>
    <n v="8.0059999999999992E-3"/>
    <n v="3.36"/>
    <s v="2017-11-21"/>
    <n v="1"/>
    <n v="0.01"/>
    <n v="99.981335999999999"/>
    <s v="$"/>
    <s v="Deposito"/>
    <s v="Financieras"/>
    <s v="A+"/>
    <x v="45"/>
    <s v="Deposito Banco Tanner Sf"/>
    <n v="4999066.84"/>
    <n v="0"/>
    <s v=""/>
  </r>
  <r>
    <s v="2017-11-19"/>
    <x v="3"/>
    <s v="PAGARE NR"/>
    <s v="ITAUCORP"/>
    <n v="199941351"/>
    <n v="200000000"/>
    <n v="3.202E-3"/>
    <n v="2.64"/>
    <s v="2017-11-23"/>
    <n v="3"/>
    <n v="0.01"/>
    <n v="99.970675"/>
    <s v="$"/>
    <s v="Deposito"/>
    <s v="Financieras"/>
    <s v="N-1+"/>
    <x v="11"/>
    <s v="Deposito Banco Itaucorp"/>
    <n v="1999413.51"/>
    <n v="0"/>
    <s v=""/>
  </r>
  <r>
    <s v="2017-11-19"/>
    <x v="3"/>
    <s v="PDBC"/>
    <s v="CENTRAL"/>
    <n v="799797385"/>
    <n v="800000000"/>
    <n v="1.2808999999999999E-2"/>
    <n v="0.19"/>
    <s v="2017-11-23"/>
    <n v="3"/>
    <n v="0.01"/>
    <n v="99.974672999999996"/>
    <s v="$"/>
    <s v="Deposito"/>
    <s v="Gobierno"/>
    <s v="N/A"/>
    <x v="157"/>
    <s v="Pagare Descontable Banco Central"/>
    <n v="7997973.8500000006"/>
    <n v="0"/>
    <e v="#N/A"/>
  </r>
  <r>
    <s v="2017-11-19"/>
    <x v="3"/>
    <s v="PAGARE NR"/>
    <s v="ESTADO"/>
    <n v="39984673"/>
    <n v="40000000"/>
    <n v="6.4000000000000005E-4"/>
    <n v="2.76"/>
    <s v="2017-11-24"/>
    <n v="4"/>
    <n v="0.01"/>
    <n v="99.961681999999996"/>
    <s v="$"/>
    <s v="Deposito"/>
    <s v="Financieras"/>
    <s v="N-1+"/>
    <x v="3"/>
    <s v="Deposito Banco Estado"/>
    <n v="399846.73"/>
    <n v="0"/>
    <s v=""/>
  </r>
  <r>
    <s v="2017-11-19"/>
    <x v="3"/>
    <s v="PAGARE NR"/>
    <s v="BICE"/>
    <n v="579555674"/>
    <n v="580000000"/>
    <n v="9.2820000000000003E-3"/>
    <n v="2.76"/>
    <s v="2017-11-29"/>
    <n v="9"/>
    <n v="0.03"/>
    <n v="99.923392000000007"/>
    <s v="$"/>
    <s v="Deposito"/>
    <s v="Financieras"/>
    <s v="N-1+"/>
    <x v="2"/>
    <s v="Deposito Banco Bice"/>
    <n v="17386670.219999999"/>
    <n v="0"/>
    <s v=""/>
  </r>
  <r>
    <s v="2017-11-19"/>
    <x v="3"/>
    <s v="PAGARE NR"/>
    <s v="SCOTIABANK"/>
    <n v="299748212"/>
    <n v="300000000"/>
    <n v="4.7999999999999996E-3"/>
    <n v="2.52"/>
    <s v="2017-12-01"/>
    <n v="11"/>
    <n v="0.03"/>
    <n v="99.916070000000005"/>
    <s v="$"/>
    <s v="Deposito"/>
    <s v="Financieras"/>
    <s v="N-1+"/>
    <x v="8"/>
    <s v="Deposito Banco Scotiabank"/>
    <n v="8992446.3599999994"/>
    <n v="0"/>
    <s v=""/>
  </r>
  <r>
    <s v="2017-11-19"/>
    <x v="3"/>
    <s v="PAGARE NR"/>
    <s v="BICE"/>
    <n v="699265771"/>
    <n v="700000000"/>
    <n v="1.1199000000000001E-2"/>
    <n v="2.52"/>
    <s v="2017-12-04"/>
    <n v="14"/>
    <n v="0.04"/>
    <n v="99.895110000000003"/>
    <s v="$"/>
    <s v="Deposito"/>
    <s v="Financieras"/>
    <s v="N-1+"/>
    <x v="2"/>
    <s v="Deposito Banco Bice"/>
    <n v="27970630.84"/>
    <n v="0"/>
    <s v=""/>
  </r>
  <r>
    <s v="2017-11-19"/>
    <x v="3"/>
    <s v="PAGARE NR"/>
    <s v="ITAUCORP"/>
    <n v="399540528"/>
    <n v="400000000"/>
    <n v="6.3990000000000002E-3"/>
    <n v="2.76"/>
    <s v="2017-12-04"/>
    <n v="14"/>
    <n v="0.04"/>
    <n v="99.885131999999999"/>
    <s v="$"/>
    <s v="Deposito"/>
    <s v="Financieras"/>
    <s v="N-1+"/>
    <x v="11"/>
    <s v="Deposito Banco Itaucorp"/>
    <n v="15981621.120000001"/>
    <n v="0"/>
    <s v=""/>
  </r>
  <r>
    <s v="2017-11-19"/>
    <x v="3"/>
    <s v="PAGARE NR"/>
    <s v="CHILE"/>
    <n v="369475425"/>
    <n v="370000000"/>
    <n v="5.9170000000000004E-3"/>
    <n v="3.1440000000000001"/>
    <s v="2017-12-05"/>
    <n v="15"/>
    <n v="0.04"/>
    <n v="99.858221999999998"/>
    <s v="$"/>
    <s v="Deposito"/>
    <s v="Financieras"/>
    <s v="N-1+"/>
    <x v="16"/>
    <s v="Deposito Banco Chile"/>
    <n v="14779017"/>
    <n v="0"/>
    <s v=""/>
  </r>
  <r>
    <s v="2017-11-19"/>
    <x v="3"/>
    <s v="PAGARE NR"/>
    <s v="BBVA"/>
    <n v="399531217"/>
    <n v="400000000"/>
    <n v="6.398E-3"/>
    <n v="2.64"/>
    <s v="2017-12-05"/>
    <n v="15"/>
    <n v="0.04"/>
    <n v="99.882803999999993"/>
    <s v="$"/>
    <s v="Deposito"/>
    <s v="Financieras"/>
    <s v="N-1+"/>
    <x v="0"/>
    <s v="Deposito Banco BBVA"/>
    <n v="15981248.68"/>
    <n v="0"/>
    <s v=""/>
  </r>
  <r>
    <s v="2017-11-19"/>
    <x v="3"/>
    <s v="PAGARE NR"/>
    <s v="ESTADO"/>
    <n v="499377443"/>
    <n v="500000000"/>
    <n v="7.9979999999999999E-3"/>
    <n v="2.64"/>
    <s v="2017-12-06"/>
    <n v="16"/>
    <n v="0.05"/>
    <n v="99.875488000000004"/>
    <s v="$"/>
    <s v="Deposito"/>
    <s v="Financieras"/>
    <s v="N-1+"/>
    <x v="3"/>
    <s v="Deposito Banco Estado"/>
    <n v="24968872.150000002"/>
    <n v="0"/>
    <s v=""/>
  </r>
  <r>
    <s v="2017-11-19"/>
    <x v="3"/>
    <s v="PAGARE NR"/>
    <s v="SANTANDER"/>
    <n v="1847801117"/>
    <n v="1850000000"/>
    <n v="2.9593999999999999E-2"/>
    <n v="2.52"/>
    <s v="2017-12-06"/>
    <n v="16"/>
    <n v="0.05"/>
    <n v="99.881141"/>
    <s v="$"/>
    <s v="Deposito"/>
    <s v="Financieras"/>
    <s v="N-1+"/>
    <x v="10"/>
    <s v="Deposito Banco Santander"/>
    <n v="92390055.850000009"/>
    <n v="0"/>
    <s v=""/>
  </r>
  <r>
    <s v="2017-11-19"/>
    <x v="3"/>
    <s v="PAGARE NR"/>
    <s v="SANTANDER"/>
    <n v="261623263"/>
    <n v="262000000"/>
    <n v="4.1900000000000001E-3"/>
    <n v="2.88"/>
    <s v="2017-12-07"/>
    <n v="17"/>
    <n v="0.05"/>
    <n v="99.856206999999998"/>
    <s v="$"/>
    <s v="Deposito"/>
    <s v="Financieras"/>
    <s v="N-1+"/>
    <x v="10"/>
    <s v="Deposito Banco Santander"/>
    <n v="13081163.15"/>
    <n v="0"/>
    <s v=""/>
  </r>
  <r>
    <s v="2017-11-19"/>
    <x v="3"/>
    <s v="PAGARE NR"/>
    <s v="SCOTIABANK"/>
    <n v="1170723264"/>
    <n v="1172500000"/>
    <n v="1.8749999999999999E-2"/>
    <n v="2.88"/>
    <s v="2017-12-07"/>
    <n v="17"/>
    <n v="0.05"/>
    <n v="99.848466000000002"/>
    <s v="$"/>
    <s v="Deposito"/>
    <s v="Financieras"/>
    <s v="N-1+"/>
    <x v="8"/>
    <s v="Deposito Banco Scotiabank"/>
    <n v="58536163.200000003"/>
    <n v="0"/>
    <s v=""/>
  </r>
  <r>
    <s v="2017-11-19"/>
    <x v="3"/>
    <s v="PAGARE NR"/>
    <s v="ITAUCORP"/>
    <n v="399448761"/>
    <n v="400000000"/>
    <n v="6.3969999999999999E-3"/>
    <n v="2.76"/>
    <s v="2017-12-07"/>
    <n v="17"/>
    <n v="0.05"/>
    <n v="99.862189999999998"/>
    <s v="$"/>
    <s v="Deposito"/>
    <s v="Financieras"/>
    <s v="N-1+"/>
    <x v="11"/>
    <s v="Deposito Banco Itaucorp"/>
    <n v="19972438.050000001"/>
    <n v="0"/>
    <s v=""/>
  </r>
  <r>
    <s v="2017-11-19"/>
    <x v="3"/>
    <s v="BFSEC-A"/>
    <s v="FACSECU"/>
    <n v="1772960569"/>
    <n v="65000"/>
    <n v="2.8395E-2"/>
    <n v="-2.2000000000000002"/>
    <s v="2017-12-15"/>
    <n v="25"/>
    <n v="7.0000000000000007E-2"/>
    <n v="100.43"/>
    <s v="UF"/>
    <s v="Bono Corporativo"/>
    <s v="Financieras"/>
    <s v="A+"/>
    <x v="6"/>
    <s v="Bono Factoring Security"/>
    <n v="124107239.83000001"/>
    <n v="0"/>
    <e v="#N/A"/>
  </r>
  <r>
    <s v="2017-11-19"/>
    <x v="3"/>
    <s v="PAGARE NR"/>
    <s v="SCOTIABANK"/>
    <n v="1196665293"/>
    <n v="1200000000"/>
    <n v="1.9165000000000001E-2"/>
    <n v="2.64"/>
    <s v="2017-12-27"/>
    <n v="37"/>
    <n v="0.1"/>
    <n v="99.722106999999994"/>
    <s v="$"/>
    <s v="Deposito"/>
    <s v="Financieras"/>
    <s v="N-1+"/>
    <x v="8"/>
    <s v="Deposito Banco Scotiabank"/>
    <n v="119666529.30000001"/>
    <n v="0"/>
    <s v=""/>
  </r>
  <r>
    <s v="2017-11-19"/>
    <x v="3"/>
    <s v="PAGARE NR"/>
    <s v="INTERNACIO"/>
    <n v="99621439"/>
    <n v="100000000"/>
    <n v="1.5950000000000001E-3"/>
    <n v="3.6"/>
    <s v="2017-12-27"/>
    <n v="37"/>
    <n v="0.1"/>
    <n v="99.621438999999995"/>
    <s v="$"/>
    <s v="Deposito"/>
    <s v="Financieras"/>
    <s v="N-1"/>
    <x v="12"/>
    <s v="Deposito Banco Internacio"/>
    <n v="9962143.9000000004"/>
    <n v="0"/>
    <s v=""/>
  </r>
  <r>
    <s v="2017-11-19"/>
    <x v="3"/>
    <s v="PAGARE NR"/>
    <s v="SCOTIABANK"/>
    <n v="199403783"/>
    <n v="200000000"/>
    <n v="3.1930000000000001E-3"/>
    <n v="2.76"/>
    <s v="2017-12-28"/>
    <n v="38"/>
    <n v="0.11"/>
    <n v="99.701891000000003"/>
    <s v="$"/>
    <s v="Deposito"/>
    <s v="Financieras"/>
    <s v="N-1+"/>
    <x v="8"/>
    <s v="Deposito Banco Scotiabank"/>
    <n v="21934416.129999999"/>
    <n v="0"/>
    <s v=""/>
  </r>
  <r>
    <s v="2017-11-19"/>
    <x v="3"/>
    <s v="BSECK10108"/>
    <s v="BBSECURITY"/>
    <n v="757655838"/>
    <n v="28000"/>
    <n v="1.2134000000000001E-2"/>
    <n v="0.44"/>
    <s v="2018-01-01"/>
    <n v="42"/>
    <n v="0.12"/>
    <n v="100.28"/>
    <s v="UF"/>
    <s v="Bono Corporativo"/>
    <s v="Financieras"/>
    <s v="AA-"/>
    <x v="7"/>
    <s v="Bono Banco Security"/>
    <n v="90918700.560000002"/>
    <n v="-2.0943616438356035E-7"/>
    <s v=""/>
  </r>
  <r>
    <s v="2017-11-19"/>
    <x v="3"/>
    <s v="PAGARE NR"/>
    <s v="ESTADO"/>
    <n v="1096301809"/>
    <n v="1100000000"/>
    <n v="1.7558000000000001E-2"/>
    <n v="2.76"/>
    <s v="2018-01-02"/>
    <n v="43"/>
    <n v="0.12"/>
    <n v="99.663799999999995"/>
    <s v="$"/>
    <s v="Deposito"/>
    <s v="Financieras"/>
    <s v="N-1+"/>
    <x v="3"/>
    <s v="Deposito Banco Estado"/>
    <n v="131556217.08"/>
    <n v="0"/>
    <s v=""/>
  </r>
  <r>
    <s v="2017-11-19"/>
    <x v="3"/>
    <s v="PAGARE NR"/>
    <s v="SCOTIABANK"/>
    <n v="370566325"/>
    <n v="371816369"/>
    <n v="5.9350000000000002E-3"/>
    <n v="2.76"/>
    <s v="2018-01-02"/>
    <n v="43"/>
    <n v="0.12"/>
    <n v="99.663799999999995"/>
    <s v="$"/>
    <s v="Deposito"/>
    <s v="Financieras"/>
    <s v="N-1+"/>
    <x v="8"/>
    <s v="Deposito Banco Scotiabank"/>
    <n v="44467959"/>
    <n v="0"/>
    <s v=""/>
  </r>
  <r>
    <s v="2017-11-19"/>
    <x v="3"/>
    <s v="PAGARE NR"/>
    <s v="SANTANDER"/>
    <n v="996783711"/>
    <n v="1000000000"/>
    <n v="1.5963999999999999E-2"/>
    <n v="2.64"/>
    <s v="2018-01-02"/>
    <n v="43"/>
    <n v="0.12"/>
    <n v="99.678370999999999"/>
    <s v="$"/>
    <s v="Deposito"/>
    <s v="Financieras"/>
    <s v="N-1+"/>
    <x v="10"/>
    <s v="Deposito Banco Santander"/>
    <n v="119614045.31999999"/>
    <n v="0"/>
    <s v=""/>
  </r>
  <r>
    <s v="2017-11-19"/>
    <x v="3"/>
    <s v="PAGARE NR"/>
    <s v="BBVA"/>
    <n v="298991402"/>
    <n v="300000000"/>
    <n v="4.7879999999999997E-3"/>
    <n v="2.76"/>
    <s v="2018-01-02"/>
    <n v="43"/>
    <n v="0.12"/>
    <n v="99.663799999999995"/>
    <s v="$"/>
    <s v="Deposito"/>
    <s v="Financieras"/>
    <s v="N-1+"/>
    <x v="0"/>
    <s v="Deposito Banco BBVA"/>
    <n v="35878968.240000002"/>
    <n v="0"/>
    <s v=""/>
  </r>
  <r>
    <s v="2017-11-19"/>
    <x v="3"/>
    <s v="PAGARE NR"/>
    <s v="BBVA"/>
    <n v="1575500847"/>
    <n v="1580700000"/>
    <n v="2.5232999999999998E-2"/>
    <n v="2.64"/>
    <s v="2018-01-03"/>
    <n v="44"/>
    <n v="0.12"/>
    <n v="99.671085000000005"/>
    <s v="$"/>
    <s v="Deposito"/>
    <s v="Financieras"/>
    <s v="N-1+"/>
    <x v="0"/>
    <s v="Deposito Banco BBVA"/>
    <n v="189060101.63999999"/>
    <n v="0"/>
    <s v=""/>
  </r>
  <r>
    <s v="2017-11-19"/>
    <x v="3"/>
    <s v="PAGARE NR"/>
    <s v="SANTANDER"/>
    <n v="299013256"/>
    <n v="300000000"/>
    <n v="4.7889999999999999E-3"/>
    <n v="2.64"/>
    <s v="2018-01-03"/>
    <n v="44"/>
    <n v="0.12"/>
    <n v="99.671085000000005"/>
    <s v="$"/>
    <s v="Deposito"/>
    <s v="Financieras"/>
    <s v="N-1+"/>
    <x v="10"/>
    <s v="Deposito Banco Santander"/>
    <n v="35881590.719999999"/>
    <n v="0"/>
    <s v=""/>
  </r>
  <r>
    <s v="2017-11-19"/>
    <x v="3"/>
    <s v="PAGARE NR"/>
    <s v="CCB"/>
    <n v="1993123723"/>
    <n v="2000000000"/>
    <n v="3.1920999999999998E-2"/>
    <n v="2.76"/>
    <s v="2018-01-03"/>
    <n v="44"/>
    <n v="0.12"/>
    <n v="99.656186000000005"/>
    <s v="$"/>
    <s v="Deposito"/>
    <s v="Gobierno"/>
    <s v="N-1+"/>
    <x v="158"/>
    <s v="Deposito China Construction Bank"/>
    <n v="239174846.75999999"/>
    <n v="0"/>
    <s v=""/>
  </r>
  <r>
    <s v="2017-11-19"/>
    <x v="3"/>
    <s v="PAGARE NR"/>
    <s v="CHILE"/>
    <n v="57681651"/>
    <n v="57872000"/>
    <n v="9.2299999999999999E-4"/>
    <n v="2.64"/>
    <s v="2018-01-03"/>
    <n v="44"/>
    <n v="0.12"/>
    <n v="99.671086000000003"/>
    <s v="$"/>
    <s v="Deposito"/>
    <s v="Financieras"/>
    <s v="N-1+"/>
    <x v="16"/>
    <s v="Deposito Banco Chile"/>
    <n v="6921798.1200000001"/>
    <n v="0"/>
    <s v=""/>
  </r>
  <r>
    <s v="2017-11-19"/>
    <x v="3"/>
    <s v="PAGARE NR"/>
    <s v="BICE"/>
    <n v="502253874"/>
    <n v="503986650"/>
    <n v="8.0440000000000008E-3"/>
    <n v="2.76"/>
    <s v="2018-01-03"/>
    <n v="44"/>
    <n v="0.12"/>
    <n v="99.656186000000005"/>
    <s v="$"/>
    <s v="Deposito"/>
    <s v="Financieras"/>
    <s v="N-1+"/>
    <x v="2"/>
    <s v="Deposito Banco Bice"/>
    <n v="60270464.879999995"/>
    <n v="0"/>
    <s v=""/>
  </r>
  <r>
    <s v="2017-11-19"/>
    <x v="3"/>
    <s v="PAGARE NR"/>
    <s v="SCOTIABANK"/>
    <n v="19929715"/>
    <n v="20000000"/>
    <n v="3.19E-4"/>
    <n v="2.76"/>
    <s v="2018-01-04"/>
    <n v="45"/>
    <n v="0.13"/>
    <n v="99.648574999999994"/>
    <s v="$"/>
    <s v="Deposito"/>
    <s v="Financieras"/>
    <s v="N-1+"/>
    <x v="8"/>
    <s v="Deposito Banco Scotiabank"/>
    <n v="2590862.9500000002"/>
    <n v="0"/>
    <s v=""/>
  </r>
  <r>
    <s v="2017-11-19"/>
    <x v="3"/>
    <s v="PAGARE NR"/>
    <s v="SANTANDER"/>
    <n v="40385750"/>
    <n v="40537600"/>
    <n v="6.4599999999999998E-4"/>
    <n v="2.88"/>
    <s v="2018-01-05"/>
    <n v="46"/>
    <n v="0.13"/>
    <n v="99.625409000000005"/>
    <s v="$"/>
    <s v="Deposito"/>
    <s v="Financieras"/>
    <s v="N-1+"/>
    <x v="10"/>
    <s v="Deposito Banco Santander"/>
    <n v="5250147.5"/>
    <n v="0"/>
    <s v=""/>
  </r>
  <r>
    <s v="2017-11-19"/>
    <x v="3"/>
    <s v="PAGARE NR"/>
    <s v="CHILE"/>
    <n v="372711397"/>
    <n v="374054400"/>
    <n v="5.9690000000000003E-3"/>
    <n v="2.76"/>
    <s v="2018-01-05"/>
    <n v="46"/>
    <n v="0.13"/>
    <n v="99.640960000000007"/>
    <s v="$"/>
    <s v="Deposito"/>
    <s v="Financieras"/>
    <s v="N-1+"/>
    <x v="16"/>
    <s v="Deposito Banco Chile"/>
    <n v="48452481.609999999"/>
    <n v="0"/>
    <s v=""/>
  </r>
  <r>
    <s v="2017-11-19"/>
    <x v="3"/>
    <s v="PAGARE NR"/>
    <s v="BBVA"/>
    <n v="1395129014"/>
    <n v="1400000000"/>
    <n v="2.2343999999999999E-2"/>
    <n v="2.7"/>
    <s v="2018-01-05"/>
    <n v="46"/>
    <n v="0.13"/>
    <n v="99.652072000000004"/>
    <s v="$"/>
    <s v="Deposito"/>
    <s v="Financieras"/>
    <s v="N-1+"/>
    <x v="0"/>
    <s v="Deposito Banco BBVA"/>
    <n v="181366771.81999999"/>
    <n v="0"/>
    <s v=""/>
  </r>
  <r>
    <s v="2017-11-19"/>
    <x v="3"/>
    <s v="PAGARE NR"/>
    <s v="ESTADO"/>
    <n v="3088071161"/>
    <n v="3100000000"/>
    <n v="4.9458000000000002E-2"/>
    <n v="3.09"/>
    <s v="2018-01-08"/>
    <n v="49"/>
    <n v="0.14000000000000001"/>
    <n v="99.615198000000007"/>
    <s v="$"/>
    <s v="Deposito"/>
    <s v="Financieras"/>
    <s v="N-1+"/>
    <x v="3"/>
    <s v="Deposito Banco Estado"/>
    <n v="432329962.54000002"/>
    <n v="0"/>
    <s v=""/>
  </r>
  <r>
    <s v="2017-11-19"/>
    <x v="3"/>
    <s v="PAGARE NR"/>
    <s v="SECURITY"/>
    <n v="99618130"/>
    <n v="100000000"/>
    <n v="1.5950000000000001E-3"/>
    <n v="2.76"/>
    <s v="2018-01-08"/>
    <n v="49"/>
    <n v="0.14000000000000001"/>
    <n v="99.618129999999994"/>
    <s v="$"/>
    <s v="Deposito"/>
    <s v="Financieras"/>
    <s v="N-1+"/>
    <x v="7"/>
    <s v="Deposito Banco Security"/>
    <n v="13946538.200000001"/>
    <n v="0"/>
    <s v=""/>
  </r>
  <r>
    <s v="2017-11-19"/>
    <x v="3"/>
    <s v="PAGARE NR"/>
    <s v="INTERNACIO"/>
    <n v="398239780"/>
    <n v="400000000"/>
    <n v="6.378E-3"/>
    <n v="3.12"/>
    <s v="2018-01-09"/>
    <n v="50"/>
    <n v="0.14000000000000001"/>
    <n v="99.559944999999999"/>
    <s v="$"/>
    <s v="Deposito"/>
    <s v="Financieras"/>
    <s v="N-1"/>
    <x v="12"/>
    <s v="Deposito Banco Internacio"/>
    <n v="55753569.200000003"/>
    <n v="0"/>
    <s v=""/>
  </r>
  <r>
    <s v="2017-11-19"/>
    <x v="3"/>
    <s v="PAGARE NR"/>
    <s v="CHILE"/>
    <n v="498018890"/>
    <n v="500000000"/>
    <n v="7.9760000000000005E-3"/>
    <n v="2.88"/>
    <s v="2018-01-09"/>
    <n v="50"/>
    <n v="0.14000000000000001"/>
    <n v="99.603778000000005"/>
    <s v="$"/>
    <s v="Deposito"/>
    <s v="Financieras"/>
    <s v="N-1+"/>
    <x v="16"/>
    <s v="Deposito Banco Chile"/>
    <n v="69722644.600000009"/>
    <n v="0"/>
    <s v=""/>
  </r>
  <r>
    <s v="2017-11-19"/>
    <x v="3"/>
    <s v="PAGARE NR"/>
    <s v="BICE"/>
    <n v="298831569"/>
    <n v="300000000"/>
    <n v="4.7860000000000003E-3"/>
    <n v="2.76"/>
    <s v="2018-01-09"/>
    <n v="50"/>
    <n v="0.14000000000000001"/>
    <n v="99.610523000000001"/>
    <s v="$"/>
    <s v="Deposito"/>
    <s v="Financieras"/>
    <s v="N-1+"/>
    <x v="2"/>
    <s v="Deposito Banco Bice"/>
    <n v="41836419.660000004"/>
    <n v="0"/>
    <s v=""/>
  </r>
  <r>
    <s v="2017-11-19"/>
    <x v="3"/>
    <s v="PAGARE NR"/>
    <s v="BBVA"/>
    <n v="403422618"/>
    <n v="405000000"/>
    <n v="6.4609999999999997E-3"/>
    <n v="2.76"/>
    <s v="2018-01-09"/>
    <n v="50"/>
    <n v="0.14000000000000001"/>
    <n v="99.610522000000003"/>
    <s v="$"/>
    <s v="Deposito"/>
    <s v="Financieras"/>
    <s v="N-1+"/>
    <x v="0"/>
    <s v="Deposito Banco BBVA"/>
    <n v="56479166.520000003"/>
    <n v="0"/>
    <s v=""/>
  </r>
  <r>
    <s v="2017-11-19"/>
    <x v="3"/>
    <s v="PAGARE NR"/>
    <s v="BCI"/>
    <n v="799872498"/>
    <n v="803000000"/>
    <n v="1.281E-2"/>
    <n v="2.76"/>
    <s v="2018-01-09"/>
    <n v="50"/>
    <n v="0.14000000000000001"/>
    <n v="99.610522000000003"/>
    <s v="$"/>
    <s v="Deposito"/>
    <s v="Financieras"/>
    <s v="N-1+"/>
    <x v="9"/>
    <s v="Deposito Banco BCI"/>
    <n v="111982149.72000001"/>
    <n v="0"/>
    <s v=""/>
  </r>
  <r>
    <s v="2017-11-19"/>
    <x v="3"/>
    <s v="PAGARE NR"/>
    <s v="BICE"/>
    <n v="338649916"/>
    <n v="340000000"/>
    <n v="5.4229999999999999E-3"/>
    <n v="2.76"/>
    <s v="2018-01-10"/>
    <n v="51"/>
    <n v="0.14000000000000001"/>
    <n v="99.602915999999993"/>
    <s v="$"/>
    <s v="Deposito"/>
    <s v="Financieras"/>
    <s v="N-1+"/>
    <x v="2"/>
    <s v="Deposito Banco Bice"/>
    <n v="47410988.240000002"/>
    <n v="0"/>
    <s v=""/>
  </r>
  <r>
    <s v="2017-11-19"/>
    <x v="3"/>
    <s v="PAGARE NR"/>
    <s v="HSBC"/>
    <n v="743489703"/>
    <n v="747098106"/>
    <n v="1.1906999999999999E-2"/>
    <n v="3.36"/>
    <s v="2018-01-10"/>
    <n v="51"/>
    <n v="0.14000000000000001"/>
    <n v="99.517009999999999"/>
    <s v="$"/>
    <s v="Deposito"/>
    <s v="Financieras"/>
    <s v="N-1+"/>
    <x v="159"/>
    <s v="Deposito Banco Hsbc"/>
    <n v="104088558.42000002"/>
    <n v="0"/>
    <s v=""/>
  </r>
  <r>
    <s v="2017-11-19"/>
    <x v="3"/>
    <s v="PAGARE NR"/>
    <s v="SCOTIABANK"/>
    <n v="498100576"/>
    <n v="500000000"/>
    <n v="7.9769999999999997E-3"/>
    <n v="2.64"/>
    <s v="2018-01-10"/>
    <n v="51"/>
    <n v="0.14000000000000001"/>
    <n v="99.620114999999998"/>
    <s v="$"/>
    <s v="Deposito"/>
    <s v="Financieras"/>
    <s v="N-1+"/>
    <x v="8"/>
    <s v="Deposito Banco Scotiabank"/>
    <n v="69734080.640000001"/>
    <n v="0"/>
    <s v=""/>
  </r>
  <r>
    <s v="2017-11-19"/>
    <x v="3"/>
    <s v="PAGARE NR"/>
    <s v="INTERNACIO"/>
    <n v="199120551"/>
    <n v="200000000"/>
    <n v="3.189E-3"/>
    <n v="3"/>
    <s v="2018-01-11"/>
    <n v="52"/>
    <n v="0.15"/>
    <n v="99.560275000000004"/>
    <s v="$"/>
    <s v="Deposito"/>
    <s v="Financieras"/>
    <s v="N-1"/>
    <x v="12"/>
    <s v="Deposito Banco Internacio"/>
    <n v="29868082.649999999"/>
    <n v="0"/>
    <s v=""/>
  </r>
  <r>
    <s v="2017-11-19"/>
    <x v="3"/>
    <s v="PAGARE NR"/>
    <s v="ESTADO"/>
    <n v="461893095"/>
    <n v="463769921"/>
    <n v="7.3969999999999999E-3"/>
    <n v="2.76"/>
    <s v="2018-01-11"/>
    <n v="52"/>
    <n v="0.15"/>
    <n v="99.595309999999998"/>
    <s v="$"/>
    <s v="Deposito"/>
    <s v="Financieras"/>
    <s v="N-1+"/>
    <x v="3"/>
    <s v="Deposito Banco Estado"/>
    <n v="69283964.25"/>
    <n v="0"/>
    <s v=""/>
  </r>
  <r>
    <s v="2017-11-19"/>
    <x v="3"/>
    <s v="PAGARE NR"/>
    <s v="SANTANDER"/>
    <n v="219117960"/>
    <n v="220000000"/>
    <n v="3.509E-3"/>
    <n v="2.88"/>
    <s v="2018-01-12"/>
    <n v="53"/>
    <n v="0.15"/>
    <n v="99.599072000000007"/>
    <s v="$"/>
    <s v="Deposito"/>
    <s v="Financieras"/>
    <s v="N-1+"/>
    <x v="10"/>
    <s v="Deposito Banco Santander"/>
    <n v="32867694"/>
    <n v="0"/>
    <s v=""/>
  </r>
  <r>
    <s v="2017-11-19"/>
    <x v="3"/>
    <s v="PAGARE NR"/>
    <s v="SANTANDER"/>
    <n v="467964456"/>
    <n v="470000000"/>
    <n v="7.4939999999999998E-3"/>
    <n v="2.72"/>
    <s v="2018-01-15"/>
    <n v="56"/>
    <n v="0.16"/>
    <n v="99.566905000000006"/>
    <s v="$"/>
    <s v="Deposito"/>
    <s v="Financieras"/>
    <s v="N-1+"/>
    <x v="10"/>
    <s v="Deposito Banco Santander"/>
    <n v="74874312.960000008"/>
    <n v="0"/>
    <s v=""/>
  </r>
  <r>
    <s v="2017-11-19"/>
    <x v="3"/>
    <s v="PAGARE NR"/>
    <s v="BCI"/>
    <n v="274770422"/>
    <n v="276065720"/>
    <n v="4.4000000000000003E-3"/>
    <n v="2.92"/>
    <s v="2018-01-15"/>
    <n v="56"/>
    <n v="0.16"/>
    <n v="99.530799999999999"/>
    <s v="$"/>
    <s v="Deposito"/>
    <s v="Financieras"/>
    <s v="N-1+"/>
    <x v="9"/>
    <s v="Deposito Banco BCI"/>
    <n v="43963267.520000003"/>
    <n v="0"/>
    <s v=""/>
  </r>
  <r>
    <s v="2017-11-19"/>
    <x v="3"/>
    <s v="PAGARE NR"/>
    <s v="ESTADO"/>
    <n v="1194687622"/>
    <n v="1200000000"/>
    <n v="1.9134000000000002E-2"/>
    <n v="2.76"/>
    <s v="2018-01-16"/>
    <n v="57"/>
    <n v="0.16"/>
    <n v="99.557300999999995"/>
    <s v="$"/>
    <s v="Deposito"/>
    <s v="Financieras"/>
    <s v="N-1+"/>
    <x v="3"/>
    <s v="Deposito Banco Estado"/>
    <n v="191150019.52000001"/>
    <n v="0"/>
    <s v=""/>
  </r>
  <r>
    <s v="2017-11-19"/>
    <x v="3"/>
    <s v="PAGARE NR"/>
    <s v="BICE"/>
    <n v="1194687622"/>
    <n v="1200000000"/>
    <n v="1.9134000000000002E-2"/>
    <n v="2.76"/>
    <s v="2018-01-16"/>
    <n v="57"/>
    <n v="0.16"/>
    <n v="99.557300999999995"/>
    <s v="$"/>
    <s v="Deposito"/>
    <s v="Financieras"/>
    <s v="N-1+"/>
    <x v="2"/>
    <s v="Deposito Banco Bice"/>
    <n v="191150019.52000001"/>
    <n v="0"/>
    <s v=""/>
  </r>
  <r>
    <s v="2017-11-19"/>
    <x v="3"/>
    <s v="PAGARE NR"/>
    <s v="INTERNACIO"/>
    <n v="199021478"/>
    <n v="200000000"/>
    <n v="3.1870000000000002E-3"/>
    <n v="3"/>
    <s v="2018-01-17"/>
    <n v="58"/>
    <n v="0.16"/>
    <n v="99.510739000000001"/>
    <s v="$"/>
    <s v="Deposito"/>
    <s v="Financieras"/>
    <s v="N-1"/>
    <x v="12"/>
    <s v="Deposito Banco Internacio"/>
    <n v="31843436.48"/>
    <n v="0"/>
    <s v=""/>
  </r>
  <r>
    <s v="2017-11-19"/>
    <x v="3"/>
    <s v="PAGARE NR"/>
    <s v="SCOTIABANK"/>
    <n v="29864911"/>
    <n v="30000000"/>
    <n v="4.7800000000000002E-4"/>
    <n v="2.76"/>
    <s v="2018-01-17"/>
    <n v="58"/>
    <n v="0.16"/>
    <n v="99.549702999999994"/>
    <s v="$"/>
    <s v="Deposito"/>
    <s v="Financieras"/>
    <s v="N-1+"/>
    <x v="8"/>
    <s v="Deposito Banco Scotiabank"/>
    <n v="4778385.76"/>
    <n v="0"/>
    <s v=""/>
  </r>
  <r>
    <s v="2017-11-19"/>
    <x v="3"/>
    <s v="PAGARE NR"/>
    <s v="ESTADO"/>
    <n v="602976082"/>
    <n v="605796000"/>
    <n v="9.6570000000000007E-3"/>
    <n v="2.76"/>
    <s v="2018-01-19"/>
    <n v="60"/>
    <n v="0.17"/>
    <n v="99.534509999999997"/>
    <s v="$"/>
    <s v="Deposito"/>
    <s v="Financieras"/>
    <s v="N-1+"/>
    <x v="3"/>
    <s v="Deposito Banco Estado"/>
    <n v="102505933.94000001"/>
    <n v="0"/>
    <s v=""/>
  </r>
  <r>
    <s v="2017-11-19"/>
    <x v="3"/>
    <s v="PAGARE NR"/>
    <s v="CHILE"/>
    <n v="248779323"/>
    <n v="250000000"/>
    <n v="3.9839999999999997E-3"/>
    <n v="2.76"/>
    <s v="2018-01-22"/>
    <n v="63"/>
    <n v="0.18"/>
    <n v="99.511729000000003"/>
    <s v="$"/>
    <s v="Deposito"/>
    <s v="Financieras"/>
    <s v="N-1+"/>
    <x v="16"/>
    <s v="Deposito Banco Chile"/>
    <n v="44780278.140000001"/>
    <n v="0"/>
    <s v=""/>
  </r>
  <r>
    <s v="2017-11-19"/>
    <x v="3"/>
    <s v="PAGARE NR"/>
    <s v="CONSORCIO"/>
    <n v="398016551"/>
    <n v="400000000"/>
    <n v="6.3740000000000003E-3"/>
    <n v="2.76"/>
    <s v="2018-01-23"/>
    <n v="64"/>
    <n v="0.18"/>
    <n v="99.504137"/>
    <s v="$"/>
    <s v="Deposito"/>
    <s v="Financieras"/>
    <s v="N-1+"/>
    <x v="5"/>
    <s v="Deposito Banco Consorcio"/>
    <n v="71642979.179999992"/>
    <n v="0"/>
    <s v=""/>
  </r>
  <r>
    <s v="2017-11-19"/>
    <x v="3"/>
    <s v="PAGARE NR"/>
    <s v="CHILE"/>
    <n v="905148946"/>
    <n v="909729000"/>
    <n v="1.4496E-2"/>
    <n v="2.76"/>
    <s v="2018-01-24"/>
    <n v="65"/>
    <n v="0.18"/>
    <n v="99.496547000000007"/>
    <s v="$"/>
    <s v="Deposito"/>
    <s v="Financieras"/>
    <s v="N-1+"/>
    <x v="16"/>
    <s v="Deposito Banco Chile"/>
    <n v="162926810.28"/>
    <n v="0"/>
    <s v=""/>
  </r>
  <r>
    <s v="2017-11-19"/>
    <x v="3"/>
    <s v="PAGARE NR"/>
    <s v="BCI"/>
    <n v="2039368094"/>
    <n v="2050000000"/>
    <n v="3.2661999999999997E-2"/>
    <n v="2.76"/>
    <s v="2018-01-26"/>
    <n v="67"/>
    <n v="0.19"/>
    <n v="99.481369999999998"/>
    <s v="$"/>
    <s v="Deposito"/>
    <s v="Financieras"/>
    <s v="N-1+"/>
    <x v="9"/>
    <s v="Deposito Banco BCI"/>
    <n v="387479937.86000001"/>
    <n v="0"/>
    <s v=""/>
  </r>
  <r>
    <s v="2017-11-19"/>
    <x v="3"/>
    <s v="PAGARE NR"/>
    <s v="BCI"/>
    <n v="198870416"/>
    <n v="200000000"/>
    <n v="3.1849999999999999E-3"/>
    <n v="2.88"/>
    <s v="2018-01-29"/>
    <n v="70"/>
    <n v="0.19"/>
    <n v="99.435208000000003"/>
    <s v="$"/>
    <s v="Deposito"/>
    <s v="Financieras"/>
    <s v="N-1+"/>
    <x v="9"/>
    <s v="Deposito Banco BCI"/>
    <n v="37785379.039999999"/>
    <n v="0"/>
    <s v=""/>
  </r>
  <r>
    <s v="2017-11-19"/>
    <x v="3"/>
    <s v="PAGARE NR"/>
    <s v="SCOTIABANK"/>
    <n v="89407526"/>
    <n v="90000000"/>
    <n v="1.431E-3"/>
    <n v="3.36"/>
    <s v="2018-01-29"/>
    <n v="70"/>
    <n v="0.19"/>
    <n v="99.341695000000001"/>
    <s v="$"/>
    <s v="Deposito"/>
    <s v="Financieras"/>
    <s v="N-1+"/>
    <x v="8"/>
    <s v="Deposito Banco Scotiabank"/>
    <n v="16987429.940000001"/>
    <n v="0"/>
    <s v=""/>
  </r>
  <r>
    <s v="2017-11-19"/>
    <x v="3"/>
    <s v="PAGARE NR"/>
    <s v="RIPLEY"/>
    <n v="99365057"/>
    <n v="100000000"/>
    <n v="1.591E-3"/>
    <n v="3.24"/>
    <s v="2018-01-29"/>
    <n v="70"/>
    <n v="0.19"/>
    <n v="99.365056999999993"/>
    <s v="$"/>
    <s v="Deposito"/>
    <s v="Financieras"/>
    <s v="N-1+"/>
    <x v="1"/>
    <s v="Deposito Banco Ripley"/>
    <n v="18879360.830000002"/>
    <n v="0"/>
    <s v=""/>
  </r>
  <r>
    <s v="2017-11-19"/>
    <x v="3"/>
    <s v="PAGARE NR"/>
    <s v="SANTANDER"/>
    <n v="497141437"/>
    <n v="500000000"/>
    <n v="7.9620000000000003E-3"/>
    <n v="2.76"/>
    <s v="2018-02-02"/>
    <n v="74"/>
    <n v="0.21"/>
    <n v="99.428286999999997"/>
    <s v="$"/>
    <s v="Deposito"/>
    <s v="Financieras"/>
    <s v="N-1+"/>
    <x v="10"/>
    <s v="Deposito Banco Santander"/>
    <n v="104399701.77"/>
    <n v="0"/>
    <s v=""/>
  </r>
  <r>
    <s v="2017-11-19"/>
    <x v="3"/>
    <s v="PAGARE NR"/>
    <s v="SCOTIABANK"/>
    <n v="213836978"/>
    <n v="215120000"/>
    <n v="3.424E-3"/>
    <n v="2.88"/>
    <s v="2018-02-02"/>
    <n v="74"/>
    <n v="0.21"/>
    <n v="99.403577999999996"/>
    <s v="$"/>
    <s v="Deposito"/>
    <s v="Financieras"/>
    <s v="N-1+"/>
    <x v="8"/>
    <s v="Deposito Banco Scotiabank"/>
    <n v="44905765.379999995"/>
    <n v="0"/>
    <s v=""/>
  </r>
  <r>
    <s v="2017-11-19"/>
    <x v="3"/>
    <s v="PAGARE NR"/>
    <s v="INTERNACIO"/>
    <n v="253002921"/>
    <n v="254878400"/>
    <n v="4.052E-3"/>
    <n v="3.36"/>
    <s v="2018-02-02"/>
    <n v="74"/>
    <n v="0.21"/>
    <n v="99.264167"/>
    <s v="$"/>
    <s v="Deposito"/>
    <s v="Financieras"/>
    <s v="N-1"/>
    <x v="12"/>
    <s v="Deposito Banco Internacio"/>
    <n v="53130613.409999996"/>
    <n v="0"/>
    <s v=""/>
  </r>
  <r>
    <s v="2017-11-19"/>
    <x v="3"/>
    <s v="PAGARE NR"/>
    <s v="BCI"/>
    <n v="107157058"/>
    <n v="107800000"/>
    <n v="1.7160000000000001E-3"/>
    <n v="2.88"/>
    <s v="2018-02-02"/>
    <n v="74"/>
    <n v="0.21"/>
    <n v="99.403577999999996"/>
    <s v="$"/>
    <s v="Deposito"/>
    <s v="Financieras"/>
    <s v="N-1+"/>
    <x v="9"/>
    <s v="Deposito Banco BCI"/>
    <n v="22502982.18"/>
    <n v="0"/>
    <s v=""/>
  </r>
  <r>
    <s v="2017-11-19"/>
    <x v="3"/>
    <s v="PAGARE NR"/>
    <s v="BCI"/>
    <n v="99251643"/>
    <n v="100000000"/>
    <n v="1.5889999999999999E-3"/>
    <n v="3.48"/>
    <s v="2018-02-05"/>
    <n v="77"/>
    <n v="0.21"/>
    <n v="99.251643000000001"/>
    <s v="$"/>
    <s v="Deposito"/>
    <s v="Financieras"/>
    <s v="N-1+"/>
    <x v="9"/>
    <s v="Deposito Banco BCI"/>
    <n v="20842845.029999997"/>
    <n v="0"/>
    <s v=""/>
  </r>
  <r>
    <s v="2017-11-19"/>
    <x v="3"/>
    <s v="PAGARE NR"/>
    <s v="SANTANDER"/>
    <n v="99405555"/>
    <n v="100000000"/>
    <n v="1.5920000000000001E-3"/>
    <n v="2.76"/>
    <s v="2018-02-05"/>
    <n v="77"/>
    <n v="0.21"/>
    <n v="99.405555000000007"/>
    <s v="$"/>
    <s v="Deposito"/>
    <s v="Financieras"/>
    <s v="N-1+"/>
    <x v="10"/>
    <s v="Deposito Banco Santander"/>
    <n v="20875166.550000001"/>
    <n v="0"/>
    <s v=""/>
  </r>
  <r>
    <s v="2017-11-19"/>
    <x v="3"/>
    <s v="PAGARE NR"/>
    <s v="BICE"/>
    <n v="298115907"/>
    <n v="300000000"/>
    <n v="4.7739999999999996E-3"/>
    <n v="2.88"/>
    <s v="2018-02-06"/>
    <n v="78"/>
    <n v="0.22"/>
    <n v="99.371969000000007"/>
    <s v="$"/>
    <s v="Deposito"/>
    <s v="Financieras"/>
    <s v="N-1+"/>
    <x v="2"/>
    <s v="Deposito Banco Bice"/>
    <n v="65585499.539999999"/>
    <n v="0"/>
    <s v=""/>
  </r>
  <r>
    <s v="2017-11-19"/>
    <x v="3"/>
    <s v="PAGARE NR"/>
    <s v="BCI"/>
    <n v="149057954"/>
    <n v="150000000"/>
    <n v="2.3869999999999998E-3"/>
    <n v="2.88"/>
    <s v="2018-02-06"/>
    <n v="78"/>
    <n v="0.22"/>
    <n v="99.371969000000007"/>
    <s v="$"/>
    <s v="Deposito"/>
    <s v="Financieras"/>
    <s v="N-1+"/>
    <x v="9"/>
    <s v="Deposito Banco BCI"/>
    <n v="32792749.879999999"/>
    <n v="0"/>
    <s v=""/>
  </r>
  <r>
    <s v="2017-11-19"/>
    <x v="3"/>
    <s v="PAGARE NR"/>
    <s v="BCI"/>
    <n v="298125783"/>
    <n v="300000000"/>
    <n v="4.7739999999999996E-3"/>
    <n v="2.76"/>
    <s v="2018-02-09"/>
    <n v="81"/>
    <n v="0.22"/>
    <n v="99.375260999999995"/>
    <s v="$"/>
    <s v="Deposito"/>
    <s v="Financieras"/>
    <s v="N-1+"/>
    <x v="9"/>
    <s v="Deposito Banco BCI"/>
    <n v="65587672.259999998"/>
    <n v="0"/>
    <s v=""/>
  </r>
  <r>
    <s v="2017-11-19"/>
    <x v="3"/>
    <s v="PAGARE NR"/>
    <s v="CHILE"/>
    <n v="29788995"/>
    <n v="30000000"/>
    <n v="4.7699999999999999E-4"/>
    <n v="3"/>
    <s v="2018-02-12"/>
    <n v="84"/>
    <n v="0.23"/>
    <n v="99.29665"/>
    <s v="$"/>
    <s v="Deposito"/>
    <s v="Financieras"/>
    <s v="N-1+"/>
    <x v="16"/>
    <s v="Deposito Banco Chile"/>
    <n v="6851468.8500000006"/>
    <n v="0"/>
    <s v=""/>
  </r>
  <r>
    <s v="2017-11-19"/>
    <x v="3"/>
    <s v="PAGARE NR"/>
    <s v="SCOTIABANK"/>
    <n v="297973779"/>
    <n v="300000000"/>
    <n v="4.7720000000000002E-3"/>
    <n v="2.88"/>
    <s v="2018-02-12"/>
    <n v="84"/>
    <n v="0.23"/>
    <n v="99.324592999999993"/>
    <s v="$"/>
    <s v="Deposito"/>
    <s v="Financieras"/>
    <s v="N-1+"/>
    <x v="8"/>
    <s v="Deposito Banco Scotiabank"/>
    <n v="68533969.170000002"/>
    <n v="0"/>
    <s v=""/>
  </r>
  <r>
    <s v="2017-11-19"/>
    <x v="3"/>
    <s v="PAGARE NR"/>
    <s v="ITAUCORP"/>
    <n v="298012258"/>
    <n v="300000000"/>
    <n v="4.7720000000000002E-3"/>
    <n v="2.76"/>
    <s v="2018-02-14"/>
    <n v="86"/>
    <n v="0.24"/>
    <n v="99.337418999999997"/>
    <s v="$"/>
    <s v="Deposito"/>
    <s v="Financieras"/>
    <s v="N-1+"/>
    <x v="11"/>
    <s v="Deposito Banco Itaucorp"/>
    <n v="71522941.920000002"/>
    <n v="0"/>
    <s v=""/>
  </r>
  <r>
    <s v="2017-11-19"/>
    <x v="3"/>
    <s v="PAGARE NR"/>
    <s v="ITAUCORP"/>
    <n v="397319418"/>
    <n v="400000000"/>
    <n v="6.3629999999999997E-3"/>
    <n v="2.76"/>
    <s v="2018-02-15"/>
    <n v="87"/>
    <n v="0.24"/>
    <n v="99.329853999999997"/>
    <s v="$"/>
    <s v="Deposito"/>
    <s v="Financieras"/>
    <s v="N-1+"/>
    <x v="11"/>
    <s v="Deposito Banco Itaucorp"/>
    <n v="95356660.319999993"/>
    <n v="0"/>
    <s v=""/>
  </r>
  <r>
    <s v="2017-11-19"/>
    <x v="3"/>
    <s v="PAGARE NR"/>
    <s v="ITAUCORP"/>
    <n v="148904066"/>
    <n v="150000000"/>
    <n v="2.3839999999999998E-3"/>
    <n v="2.88"/>
    <s v="2018-02-19"/>
    <n v="91"/>
    <n v="0.25"/>
    <n v="99.269377000000006"/>
    <s v="$"/>
    <s v="Deposito"/>
    <s v="Financieras"/>
    <s v="N-1+"/>
    <x v="11"/>
    <s v="Deposito Banco Itaucorp"/>
    <n v="37226016.5"/>
    <n v="0"/>
    <s v=""/>
  </r>
  <r>
    <s v="2017-11-19"/>
    <x v="3"/>
    <s v="PAGARE NR"/>
    <s v="SCOTIABANK"/>
    <n v="248153736"/>
    <n v="250000000"/>
    <n v="3.9740000000000001E-3"/>
    <n v="2.88"/>
    <s v="2018-02-20"/>
    <n v="92"/>
    <n v="0.25"/>
    <n v="99.261493999999999"/>
    <s v="$"/>
    <s v="Deposito"/>
    <s v="Financieras"/>
    <s v="N-1+"/>
    <x v="8"/>
    <s v="Deposito Banco Scotiabank"/>
    <n v="62038434"/>
    <n v="0"/>
    <s v=""/>
  </r>
  <r>
    <s v="2017-11-19"/>
    <x v="3"/>
    <s v="PAGARE NR"/>
    <s v="RIPLEY"/>
    <n v="247958475"/>
    <n v="250000000"/>
    <n v="3.9709999999999997E-3"/>
    <n v="3.12"/>
    <s v="2018-02-22"/>
    <n v="94"/>
    <n v="0.26"/>
    <n v="99.183390000000003"/>
    <s v="$"/>
    <s v="Deposito"/>
    <s v="Financieras"/>
    <s v="N-1+"/>
    <x v="1"/>
    <s v="Deposito Banco Ripley"/>
    <n v="64469203.5"/>
    <n v="0"/>
    <s v=""/>
  </r>
  <r>
    <s v="2017-11-19"/>
    <x v="3"/>
    <s v="PAGARE NR"/>
    <s v="ITAUCORP"/>
    <n v="1230256369"/>
    <n v="1240000000"/>
    <n v="1.9702999999999998E-2"/>
    <n v="2.88"/>
    <s v="2018-02-26"/>
    <n v="98"/>
    <n v="0.27"/>
    <n v="99.214223000000004"/>
    <s v="$"/>
    <s v="Deposito"/>
    <s v="Financieras"/>
    <s v="N-1+"/>
    <x v="11"/>
    <s v="Deposito Banco Itaucorp"/>
    <n v="332169219.63"/>
    <n v="0"/>
    <s v=""/>
  </r>
  <r>
    <s v="2017-11-19"/>
    <x v="3"/>
    <s v="PAGARE NR"/>
    <s v="BCI"/>
    <n v="15245258"/>
    <n v="15366000"/>
    <n v="2.4399999999999999E-4"/>
    <n v="2.88"/>
    <s v="2018-02-26"/>
    <n v="98"/>
    <n v="0.27"/>
    <n v="99.214225999999996"/>
    <s v="$"/>
    <s v="Deposito"/>
    <s v="Financieras"/>
    <s v="N-1+"/>
    <x v="9"/>
    <s v="Deposito Banco BCI"/>
    <n v="4116219.66"/>
    <n v="0"/>
    <s v=""/>
  </r>
  <r>
    <s v="2017-11-19"/>
    <x v="3"/>
    <s v="PAGARE NR"/>
    <s v="SANTANDER"/>
    <n v="198412698"/>
    <n v="200000000"/>
    <n v="3.1770000000000001E-3"/>
    <n v="2.88"/>
    <s v="2018-02-27"/>
    <n v="99"/>
    <n v="0.27"/>
    <n v="99.206349000000003"/>
    <s v="$"/>
    <s v="Deposito"/>
    <s v="Financieras"/>
    <s v="N-1+"/>
    <x v="10"/>
    <s v="Deposito Banco Santander"/>
    <n v="53571428.460000001"/>
    <n v="0"/>
    <s v=""/>
  </r>
  <r>
    <s v="2017-11-19"/>
    <x v="3"/>
    <s v="PAGARE NR"/>
    <s v="SECURITY"/>
    <n v="49516553"/>
    <n v="50000000"/>
    <n v="7.9299999999999998E-4"/>
    <n v="3.48"/>
    <s v="2018-02-28"/>
    <n v="100"/>
    <n v="0.28000000000000003"/>
    <n v="99.033106000000004"/>
    <s v="$"/>
    <s v="Deposito"/>
    <s v="Financieras"/>
    <s v="N-1+"/>
    <x v="7"/>
    <s v="Deposito Banco Security"/>
    <n v="13864634.840000002"/>
    <n v="0"/>
    <s v=""/>
  </r>
  <r>
    <s v="2017-11-19"/>
    <x v="3"/>
    <s v="PAGARE NR"/>
    <s v="SCOTIABANK"/>
    <n v="99023627"/>
    <n v="100000000"/>
    <n v="1.585E-3"/>
    <n v="3.48"/>
    <s v="2018-03-01"/>
    <n v="101"/>
    <n v="0.28000000000000003"/>
    <n v="99.023627000000005"/>
    <s v="$"/>
    <s v="Deposito"/>
    <s v="Financieras"/>
    <s v="N-1+"/>
    <x v="8"/>
    <s v="Deposito Banco Scotiabank"/>
    <n v="27726615.560000002"/>
    <n v="0"/>
    <s v=""/>
  </r>
  <r>
    <s v="2017-11-19"/>
    <x v="3"/>
    <s v="PAGARE NR"/>
    <s v="BICE"/>
    <n v="991906047"/>
    <n v="1000000000"/>
    <n v="1.5886000000000001E-2"/>
    <n v="2.88"/>
    <s v="2018-03-01"/>
    <n v="101"/>
    <n v="0.28000000000000003"/>
    <n v="99.190603999999993"/>
    <s v="$"/>
    <s v="Deposito"/>
    <s v="Financieras"/>
    <s v="N-1+"/>
    <x v="2"/>
    <s v="Deposito Banco Bice"/>
    <n v="277733693.16000003"/>
    <n v="0"/>
    <s v=""/>
  </r>
  <r>
    <s v="2017-11-19"/>
    <x v="3"/>
    <s v="PAGARE NR"/>
    <s v="ESTADO"/>
    <n v="198365469"/>
    <n v="200000000"/>
    <n v="3.1770000000000001E-3"/>
    <n v="2.88"/>
    <s v="2018-03-02"/>
    <n v="102"/>
    <n v="0.28000000000000003"/>
    <n v="99.182733999999996"/>
    <s v="$"/>
    <s v="Deposito"/>
    <s v="Financieras"/>
    <s v="N-1+"/>
    <x v="3"/>
    <s v="Deposito Banco Estado"/>
    <n v="55542331.320000008"/>
    <n v="0"/>
    <s v=""/>
  </r>
  <r>
    <s v="2017-11-19"/>
    <x v="3"/>
    <s v="PAGARE NR"/>
    <s v="BCI"/>
    <n v="595299121"/>
    <n v="600000000"/>
    <n v="9.5340000000000008E-3"/>
    <n v="2.76"/>
    <s v="2018-03-02"/>
    <n v="102"/>
    <n v="0.28000000000000003"/>
    <n v="99.216520000000003"/>
    <s v="$"/>
    <s v="Deposito"/>
    <s v="Financieras"/>
    <s v="N-1+"/>
    <x v="9"/>
    <s v="Deposito Banco BCI"/>
    <n v="166683753.88000003"/>
    <n v="0"/>
    <s v=""/>
  </r>
  <r>
    <s v="2017-11-19"/>
    <x v="3"/>
    <s v="PAGARE NR"/>
    <s v="ESTADO"/>
    <n v="49571701"/>
    <n v="50000000"/>
    <n v="7.9299999999999998E-4"/>
    <n v="2.88"/>
    <s v="2018-03-07"/>
    <n v="107"/>
    <n v="0.3"/>
    <n v="99.143401999999995"/>
    <s v="$"/>
    <s v="Deposito"/>
    <s v="Financieras"/>
    <s v="N-1+"/>
    <x v="3"/>
    <s v="Deposito Banco Estado"/>
    <n v="14871510.299999999"/>
    <n v="0"/>
    <s v=""/>
  </r>
  <r>
    <s v="2017-11-19"/>
    <x v="3"/>
    <s v="PAGARE NR"/>
    <s v="RIPLEY"/>
    <n v="263780631"/>
    <n v="266560000"/>
    <n v="4.2240000000000003E-3"/>
    <n v="3.48"/>
    <s v="2018-03-08"/>
    <n v="108"/>
    <n v="0.3"/>
    <n v="98.957318999999998"/>
    <s v="$"/>
    <s v="Deposito"/>
    <s v="Financieras"/>
    <s v="N-1+"/>
    <x v="1"/>
    <s v="Deposito Banco Ripley"/>
    <n v="79134189.299999997"/>
    <n v="0"/>
    <s v=""/>
  </r>
  <r>
    <s v="2017-11-19"/>
    <x v="3"/>
    <s v="PAGARE NR"/>
    <s v="BCI"/>
    <n v="44610992"/>
    <n v="45000000"/>
    <n v="7.1400000000000001E-4"/>
    <n v="2.88"/>
    <s v="2018-03-08"/>
    <n v="108"/>
    <n v="0.3"/>
    <n v="99.135536999999999"/>
    <s v="$"/>
    <s v="Deposito"/>
    <s v="Financieras"/>
    <s v="N-1+"/>
    <x v="9"/>
    <s v="Deposito Banco BCI"/>
    <n v="13383297.6"/>
    <n v="0"/>
    <s v=""/>
  </r>
  <r>
    <s v="2017-11-19"/>
    <x v="3"/>
    <s v="PAGARE NR"/>
    <s v="BCI"/>
    <n v="99163719"/>
    <n v="100000000"/>
    <n v="1.588E-3"/>
    <n v="2.76"/>
    <s v="2018-03-09"/>
    <n v="109"/>
    <n v="0.3"/>
    <n v="99.163719"/>
    <s v="$"/>
    <s v="Deposito"/>
    <s v="Financieras"/>
    <s v="N-1+"/>
    <x v="9"/>
    <s v="Deposito Banco BCI"/>
    <n v="29749115.699999999"/>
    <n v="0"/>
    <s v=""/>
  </r>
  <r>
    <s v="2017-11-19"/>
    <x v="3"/>
    <s v="PAGARE NR"/>
    <s v="INTERNACIO"/>
    <n v="99050764"/>
    <n v="100000000"/>
    <n v="1.586E-3"/>
    <n v="3"/>
    <s v="2018-03-14"/>
    <n v="114"/>
    <n v="0.32"/>
    <n v="99.050764000000001"/>
    <s v="$"/>
    <s v="Deposito"/>
    <s v="Financieras"/>
    <s v="N-1"/>
    <x v="12"/>
    <s v="Deposito Banco Internacio"/>
    <n v="31696244.48"/>
    <n v="0"/>
    <s v=""/>
  </r>
  <r>
    <s v="2017-11-19"/>
    <x v="3"/>
    <s v="PAGARE NR"/>
    <s v="ITAUCORP"/>
    <n v="198176774"/>
    <n v="200000000"/>
    <n v="3.1740000000000002E-3"/>
    <n v="2.88"/>
    <s v="2018-03-14"/>
    <n v="114"/>
    <n v="0.32"/>
    <n v="99.088386999999997"/>
    <s v="$"/>
    <s v="Deposito"/>
    <s v="Financieras"/>
    <s v="N-1+"/>
    <x v="11"/>
    <s v="Deposito Banco Itaucorp"/>
    <n v="63416567.68"/>
    <n v="0"/>
    <s v=""/>
  </r>
  <r>
    <s v="2017-11-19"/>
    <x v="3"/>
    <s v="PAGARE NR"/>
    <s v="ITAUCORP"/>
    <n v="49517207"/>
    <n v="50000000"/>
    <n v="7.9299999999999998E-4"/>
    <n v="3"/>
    <s v="2018-03-16"/>
    <n v="116"/>
    <n v="0.32"/>
    <n v="99.034413999999998"/>
    <s v="$"/>
    <s v="Deposito"/>
    <s v="Financieras"/>
    <s v="N-1+"/>
    <x v="11"/>
    <s v="Deposito Banco Itaucorp"/>
    <n v="15845506.24"/>
    <n v="0"/>
    <s v=""/>
  </r>
  <r>
    <s v="2017-11-19"/>
    <x v="3"/>
    <s v="PAGARE NR"/>
    <s v="SANTANDER"/>
    <n v="198145359"/>
    <n v="200000000"/>
    <n v="3.173E-3"/>
    <n v="2.88"/>
    <s v="2018-03-16"/>
    <n v="116"/>
    <n v="0.32"/>
    <n v="99.072678999999994"/>
    <s v="$"/>
    <s v="Deposito"/>
    <s v="Financieras"/>
    <s v="N-1+"/>
    <x v="10"/>
    <s v="Deposito Banco Santander"/>
    <n v="63406514.880000003"/>
    <n v="0"/>
    <s v=""/>
  </r>
  <r>
    <s v="2017-11-19"/>
    <x v="3"/>
    <s v="PAGARE NR"/>
    <s v="RIPLEY"/>
    <n v="197980667"/>
    <n v="200000000"/>
    <n v="3.1700000000000001E-3"/>
    <n v="3.06"/>
    <s v="2018-03-19"/>
    <n v="119"/>
    <n v="0.33"/>
    <n v="98.990333000000007"/>
    <s v="$"/>
    <s v="Deposito"/>
    <s v="Financieras"/>
    <s v="N-1+"/>
    <x v="1"/>
    <s v="Deposito Banco Ripley"/>
    <n v="65333620.109999999"/>
    <n v="0"/>
    <s v=""/>
  </r>
  <r>
    <s v="2017-11-19"/>
    <x v="3"/>
    <s v="PAGARE NR"/>
    <s v="SCOTIABANK"/>
    <n v="395726343"/>
    <n v="400000000"/>
    <n v="6.3369999999999998E-3"/>
    <n v="3.12"/>
    <s v="2018-03-19"/>
    <n v="119"/>
    <n v="0.33"/>
    <n v="98.931584999999998"/>
    <s v="$"/>
    <s v="Deposito"/>
    <s v="Financieras"/>
    <s v="N-1+"/>
    <x v="8"/>
    <s v="Deposito Banco Scotiabank"/>
    <n v="130589693.19000001"/>
    <n v="0"/>
    <s v=""/>
  </r>
  <r>
    <s v="2017-11-19"/>
    <x v="3"/>
    <s v="PAGARE NR"/>
    <s v="FALABELLA"/>
    <n v="49520640"/>
    <n v="50000000"/>
    <n v="7.9299999999999998E-4"/>
    <n v="2.88"/>
    <s v="2018-03-20"/>
    <n v="120"/>
    <n v="0.33"/>
    <n v="99.04128"/>
    <s v="$"/>
    <s v="Deposito"/>
    <s v="Financieras"/>
    <s v="AA"/>
    <x v="44"/>
    <s v="Deposito Banco Falabella"/>
    <n v="16341811.200000001"/>
    <n v="0"/>
    <s v=""/>
  </r>
  <r>
    <s v="2017-11-19"/>
    <x v="3"/>
    <s v="PAGARE NR"/>
    <s v="ESTADO"/>
    <n v="99041280"/>
    <n v="100000000"/>
    <n v="1.586E-3"/>
    <n v="2.88"/>
    <s v="2018-03-20"/>
    <n v="120"/>
    <n v="0.33"/>
    <n v="99.04128"/>
    <s v="$"/>
    <s v="Deposito"/>
    <s v="Financieras"/>
    <s v="N-1+"/>
    <x v="3"/>
    <s v="Deposito Banco Estado"/>
    <n v="32683622.400000002"/>
    <n v="0"/>
    <s v=""/>
  </r>
  <r>
    <s v="2017-11-19"/>
    <x v="3"/>
    <s v="PAGARE NR"/>
    <s v="SCOTIABANK"/>
    <n v="890829059"/>
    <n v="900000000"/>
    <n v="1.4267E-2"/>
    <n v="3.18"/>
    <s v="2018-03-22"/>
    <n v="122"/>
    <n v="0.34"/>
    <n v="98.981005999999994"/>
    <s v="$"/>
    <s v="Deposito"/>
    <s v="Financieras"/>
    <s v="N-1+"/>
    <x v="8"/>
    <s v="Deposito Banco Scotiabank"/>
    <n v="302881880.06"/>
    <n v="0"/>
    <s v=""/>
  </r>
  <r>
    <s v="2017-11-19"/>
    <x v="3"/>
    <s v="PAGARE NR"/>
    <s v="ITAU"/>
    <n v="158428390"/>
    <n v="160000000"/>
    <n v="2.5370000000000002E-3"/>
    <n v="2.88"/>
    <s v="2018-03-23"/>
    <n v="123"/>
    <n v="0.34"/>
    <n v="99.017742999999996"/>
    <s v="$"/>
    <s v="Deposito"/>
    <s v="Financieras"/>
    <s v="N-1+"/>
    <x v="11"/>
    <s v="Deposito Banco Itau"/>
    <n v="53865652.600000001"/>
    <n v="0"/>
    <s v=""/>
  </r>
  <r>
    <s v="2017-11-19"/>
    <x v="3"/>
    <s v="PAGARE NR"/>
    <s v="ITAUCORP"/>
    <n v="74232926"/>
    <n v="75000000"/>
    <n v="1.188E-3"/>
    <n v="3"/>
    <s v="2018-03-23"/>
    <n v="123"/>
    <n v="0.34"/>
    <n v="98.977233999999996"/>
    <s v="$"/>
    <s v="Deposito"/>
    <s v="Financieras"/>
    <s v="N-1+"/>
    <x v="11"/>
    <s v="Deposito Banco Itaucorp"/>
    <n v="25239194.840000004"/>
    <n v="0"/>
    <s v=""/>
  </r>
  <r>
    <s v="2017-11-19"/>
    <x v="3"/>
    <s v="PAGARE NR"/>
    <s v="INTERNACIO"/>
    <n v="494471805"/>
    <n v="500000000"/>
    <n v="7.9190000000000007E-3"/>
    <n v="3.12"/>
    <s v="2018-03-28"/>
    <n v="128"/>
    <n v="0.35"/>
    <n v="98.894361000000004"/>
    <s v="$"/>
    <s v="Deposito"/>
    <s v="Financieras"/>
    <s v="N-1"/>
    <x v="12"/>
    <s v="Deposito Banco Internacio"/>
    <n v="173065131.75"/>
    <n v="0"/>
    <s v=""/>
  </r>
  <r>
    <s v="2017-11-19"/>
    <x v="3"/>
    <s v="PAGARE NR"/>
    <s v="SCOTIABANK"/>
    <n v="57028776"/>
    <n v="57621875"/>
    <n v="9.1299999999999997E-4"/>
    <n v="2.88"/>
    <s v="2018-03-29"/>
    <n v="129"/>
    <n v="0.36"/>
    <n v="98.970704999999995"/>
    <s v="$"/>
    <s v="Deposito"/>
    <s v="Financieras"/>
    <s v="N-1+"/>
    <x v="8"/>
    <s v="Deposito Banco Scotiabank"/>
    <n v="20530359.359999999"/>
    <n v="0"/>
    <s v=""/>
  </r>
  <r>
    <s v="2017-11-19"/>
    <x v="3"/>
    <s v="PAGARE NR"/>
    <s v="HSBC"/>
    <n v="197703998"/>
    <n v="200000000"/>
    <n v="3.166E-3"/>
    <n v="3.12"/>
    <s v="2018-04-02"/>
    <n v="133"/>
    <n v="0.37"/>
    <n v="98.851999000000006"/>
    <s v="$"/>
    <s v="Deposito"/>
    <s v="Financieras"/>
    <s v="N-1+"/>
    <x v="159"/>
    <s v="Deposito Banco Hsbc"/>
    <n v="73150479.260000005"/>
    <n v="0"/>
    <s v=""/>
  </r>
  <r>
    <s v="2017-11-19"/>
    <x v="3"/>
    <s v="PAGARE NR"/>
    <s v="INTERNACIO"/>
    <n v="123564998"/>
    <n v="125000000"/>
    <n v="1.9789999999999999E-3"/>
    <n v="3.12"/>
    <s v="2018-04-02"/>
    <n v="133"/>
    <n v="0.37"/>
    <n v="98.851997999999995"/>
    <s v="$"/>
    <s v="Deposito"/>
    <s v="Financieras"/>
    <s v="N-1"/>
    <x v="12"/>
    <s v="Deposito Banco Internacio"/>
    <n v="45719049.259999998"/>
    <n v="0"/>
    <s v=""/>
  </r>
  <r>
    <s v="2017-11-19"/>
    <x v="3"/>
    <s v="PAGARE NR"/>
    <s v="CONSORCIO"/>
    <n v="494193230"/>
    <n v="500000000"/>
    <n v="7.9150000000000002E-3"/>
    <n v="3"/>
    <s v="2018-04-09"/>
    <n v="140"/>
    <n v="0.39"/>
    <n v="98.838645999999997"/>
    <s v="$"/>
    <s v="Deposito"/>
    <s v="Financieras"/>
    <s v="N-1+"/>
    <x v="5"/>
    <s v="Deposito Banco Consorcio"/>
    <n v="192735359.70000002"/>
    <n v="0"/>
    <s v=""/>
  </r>
  <r>
    <s v="2017-11-19"/>
    <x v="3"/>
    <s v="PAGARE NR"/>
    <s v="CONSORCIO"/>
    <n v="29604874"/>
    <n v="30000000"/>
    <n v="4.7399999999999997E-4"/>
    <n v="3.36"/>
    <s v="2018-04-11"/>
    <n v="142"/>
    <n v="0.39"/>
    <n v="98.682912999999999"/>
    <s v="$"/>
    <s v="Deposito"/>
    <s v="Financieras"/>
    <s v="N-1+"/>
    <x v="5"/>
    <s v="Deposito Banco Consorcio"/>
    <n v="11545900.860000001"/>
    <n v="0"/>
    <s v=""/>
  </r>
  <r>
    <s v="2017-11-19"/>
    <x v="3"/>
    <s v="PAGARE NR"/>
    <s v="RIPLEY"/>
    <n v="148138394"/>
    <n v="150000000"/>
    <n v="2.372E-3"/>
    <n v="3.12"/>
    <s v="2018-04-13"/>
    <n v="144"/>
    <n v="0.4"/>
    <n v="98.758928999999995"/>
    <s v="$"/>
    <s v="Deposito"/>
    <s v="Financieras"/>
    <s v="N-1+"/>
    <x v="1"/>
    <s v="Deposito Banco Ripley"/>
    <n v="59255357.600000001"/>
    <n v="0"/>
    <s v=""/>
  </r>
  <r>
    <s v="2017-11-19"/>
    <x v="3"/>
    <s v="PAGARE NR"/>
    <s v="INTERNACIO"/>
    <n v="197353490"/>
    <n v="200000000"/>
    <n v="3.16E-3"/>
    <n v="3.24"/>
    <s v="2018-04-17"/>
    <n v="148"/>
    <n v="0.41"/>
    <n v="98.676744999999997"/>
    <s v="$"/>
    <s v="Deposito"/>
    <s v="Financieras"/>
    <s v="N-1"/>
    <x v="12"/>
    <s v="Deposito Banco Internacio"/>
    <n v="80914930.899999991"/>
    <n v="0"/>
    <s v=""/>
  </r>
  <r>
    <s v="2017-11-19"/>
    <x v="3"/>
    <s v="PAGARE NR"/>
    <s v="ITAUCORP"/>
    <n v="889328063"/>
    <n v="900000000"/>
    <n v="1.4243E-2"/>
    <n v="2.88"/>
    <s v="2018-04-18"/>
    <n v="149"/>
    <n v="0.41"/>
    <n v="98.814228999999997"/>
    <s v="$"/>
    <s v="Deposito"/>
    <s v="Financieras"/>
    <s v="N-1+"/>
    <x v="11"/>
    <s v="Deposito Banco Itaucorp"/>
    <n v="364624505.82999998"/>
    <n v="0"/>
    <s v=""/>
  </r>
  <r>
    <s v="2017-11-19"/>
    <x v="3"/>
    <s v="PAGARE NR"/>
    <s v="RIPLEY"/>
    <n v="295947492"/>
    <n v="300000000"/>
    <n v="4.7390000000000002E-3"/>
    <n v="3.12"/>
    <s v="2018-04-26"/>
    <n v="157"/>
    <n v="0.43"/>
    <n v="98.649163999999999"/>
    <s v="$"/>
    <s v="Deposito"/>
    <s v="Financieras"/>
    <s v="N-1+"/>
    <x v="1"/>
    <s v="Deposito Banco Ripley"/>
    <n v="127257421.56"/>
    <n v="0"/>
    <s v=""/>
  </r>
  <r>
    <s v="2017-11-19"/>
    <x v="3"/>
    <s v="PAGARE NR"/>
    <s v="SCOTIABANK"/>
    <n v="296076980"/>
    <n v="300000000"/>
    <n v="4.7410000000000004E-3"/>
    <n v="3"/>
    <s v="2018-04-27"/>
    <n v="158"/>
    <n v="0.44"/>
    <n v="98.692325999999994"/>
    <s v="$"/>
    <s v="Deposito"/>
    <s v="Financieras"/>
    <s v="N-1+"/>
    <x v="8"/>
    <s v="Deposito Banco Scotiabank"/>
    <n v="130273871.2"/>
    <n v="0"/>
    <s v=""/>
  </r>
  <r>
    <s v="2017-11-19"/>
    <x v="3"/>
    <s v="PAGARE NR"/>
    <s v="RIPLEY"/>
    <n v="394251809"/>
    <n v="400000000"/>
    <n v="6.3140000000000002E-3"/>
    <n v="3.24"/>
    <s v="2018-04-30"/>
    <n v="161"/>
    <n v="0.44"/>
    <n v="98.562951999999996"/>
    <s v="$"/>
    <s v="Deposito"/>
    <s v="Financieras"/>
    <s v="N-1+"/>
    <x v="1"/>
    <s v="Deposito Banco Ripley"/>
    <n v="173470795.96000001"/>
    <n v="0"/>
    <s v=""/>
  </r>
  <r>
    <s v="2017-11-19"/>
    <x v="3"/>
    <s v="PAGARE NR"/>
    <s v="CONSORCIO"/>
    <n v="492992927"/>
    <n v="500000000"/>
    <n v="7.8949999999999992E-3"/>
    <n v="3.12"/>
    <s v="2018-05-02"/>
    <n v="163"/>
    <n v="0.45"/>
    <n v="98.598585"/>
    <s v="$"/>
    <s v="Deposito"/>
    <s v="Financieras"/>
    <s v="N-1+"/>
    <x v="5"/>
    <s v="Deposito Banco Consorcio"/>
    <n v="221846817.15000001"/>
    <n v="0"/>
    <s v=""/>
  </r>
  <r>
    <s v="2017-11-19"/>
    <x v="3"/>
    <s v="PAGARE NR"/>
    <s v="RIPLEY"/>
    <n v="197100174"/>
    <n v="200000000"/>
    <n v="3.156E-3"/>
    <n v="3.18"/>
    <s v="2018-05-03"/>
    <n v="164"/>
    <n v="0.45"/>
    <n v="98.550087000000005"/>
    <s v="$"/>
    <s v="Deposito"/>
    <s v="Financieras"/>
    <s v="N-1+"/>
    <x v="1"/>
    <s v="Deposito Banco Ripley"/>
    <n v="88695078.299999997"/>
    <n v="0"/>
    <s v=""/>
  </r>
  <r>
    <s v="2017-11-19"/>
    <x v="3"/>
    <s v="PAGARE NR"/>
    <s v="RIPLEY"/>
    <n v="197055984"/>
    <n v="200000000"/>
    <n v="3.156E-3"/>
    <n v="3.24"/>
    <s v="2018-05-04"/>
    <n v="165"/>
    <n v="0.45"/>
    <n v="98.527991999999998"/>
    <s v="$"/>
    <s v="Deposito"/>
    <s v="Financieras"/>
    <s v="N-1+"/>
    <x v="1"/>
    <s v="Deposito Banco Ripley"/>
    <n v="88675192.799999997"/>
    <n v="0"/>
    <s v=""/>
  </r>
  <r>
    <s v="2017-11-19"/>
    <x v="3"/>
    <s v="PAGARE NR"/>
    <s v="SCOTIABANK"/>
    <n v="98635542"/>
    <n v="100000000"/>
    <n v="1.5790000000000001E-3"/>
    <n v="3"/>
    <s v="2018-05-04"/>
    <n v="165"/>
    <n v="0.45"/>
    <n v="98.635542000000001"/>
    <s v="$"/>
    <s v="Deposito"/>
    <s v="Financieras"/>
    <s v="N-1+"/>
    <x v="8"/>
    <s v="Deposito Banco Scotiabank"/>
    <n v="44385993.899999999"/>
    <n v="0"/>
    <s v=""/>
  </r>
  <r>
    <s v="2017-11-19"/>
    <x v="3"/>
    <s v="PAGARE NR"/>
    <s v="ESTADO"/>
    <n v="160468190"/>
    <n v="162688000"/>
    <n v="2.5699999999999998E-3"/>
    <n v="3"/>
    <s v="2018-05-04"/>
    <n v="165"/>
    <n v="0.45"/>
    <n v="98.635541000000003"/>
    <s v="$"/>
    <s v="Deposito"/>
    <s v="Financieras"/>
    <s v="N-1+"/>
    <x v="3"/>
    <s v="Deposito Banco Estado"/>
    <n v="72210685.5"/>
    <n v="0"/>
    <s v=""/>
  </r>
  <r>
    <s v="2017-11-19"/>
    <x v="3"/>
    <s v="PAGARE NR"/>
    <s v="RIPLEY"/>
    <n v="394124912"/>
    <n v="400000000"/>
    <n v="6.3119999999999999E-3"/>
    <n v="3.12"/>
    <s v="2018-05-10"/>
    <n v="171"/>
    <n v="0.47"/>
    <n v="98.531227999999999"/>
    <s v="$"/>
    <s v="Deposito"/>
    <s v="Financieras"/>
    <s v="N-1+"/>
    <x v="1"/>
    <s v="Deposito Banco Ripley"/>
    <n v="185238708.63999999"/>
    <n v="0"/>
    <s v=""/>
  </r>
  <r>
    <s v="2017-11-19"/>
    <x v="3"/>
    <s v="PAGARE NR"/>
    <s v="SECURITY"/>
    <n v="492772668"/>
    <n v="500000000"/>
    <n v="7.8919999999999997E-3"/>
    <n v="3"/>
    <s v="2018-05-14"/>
    <n v="175"/>
    <n v="0.48"/>
    <n v="98.554533000000006"/>
    <s v="$"/>
    <s v="Deposito"/>
    <s v="Financieras"/>
    <s v="N-1+"/>
    <x v="7"/>
    <s v="Deposito Banco Security"/>
    <n v="236530880.63999999"/>
    <n v="0"/>
    <s v=""/>
  </r>
  <r>
    <s v="2017-11-19"/>
    <x v="3"/>
    <s v="PAGARE NR"/>
    <s v="ESTADO"/>
    <n v="246204350"/>
    <n v="250000000"/>
    <n v="3.9430000000000003E-3"/>
    <n v="3"/>
    <s v="2018-05-23"/>
    <n v="184"/>
    <n v="0.51"/>
    <n v="98.481740000000002"/>
    <s v="$"/>
    <s v="Deposito"/>
    <s v="Financieras"/>
    <s v="N-1+"/>
    <x v="3"/>
    <s v="Deposito Banco Estado"/>
    <n v="125564218.5"/>
    <n v="0"/>
    <s v=""/>
  </r>
  <r>
    <s v="2017-11-19"/>
    <x v="3"/>
    <s v="PAGARE NR"/>
    <s v="ITAUCORP"/>
    <n v="49181618"/>
    <n v="50000000"/>
    <n v="7.8700000000000005E-4"/>
    <n v="3.12"/>
    <s v="2018-05-30"/>
    <n v="191"/>
    <n v="0.53"/>
    <n v="98.363236000000001"/>
    <s v="$"/>
    <s v="Deposito"/>
    <s v="Financieras"/>
    <s v="N-1+"/>
    <x v="11"/>
    <s v="Deposito Banco Itaucorp"/>
    <n v="26066257.540000003"/>
    <n v="0"/>
    <s v=""/>
  </r>
  <r>
    <s v="2017-11-19"/>
    <x v="3"/>
    <s v="PAGARE NR"/>
    <s v="BCI"/>
    <n v="196834249"/>
    <n v="200000000"/>
    <n v="3.1519999999999999E-3"/>
    <n v="3"/>
    <s v="2018-05-31"/>
    <n v="192"/>
    <n v="0.53"/>
    <n v="98.417124000000001"/>
    <s v="$"/>
    <s v="Deposito"/>
    <s v="Financieras"/>
    <s v="N-1+"/>
    <x v="9"/>
    <s v="Deposito Banco BCI"/>
    <n v="104322151.97"/>
    <n v="0"/>
    <s v=""/>
  </r>
  <r>
    <s v="2017-11-19"/>
    <x v="3"/>
    <s v="PAGARE NR"/>
    <s v="ITAUCORP"/>
    <n v="294963982"/>
    <n v="300000000"/>
    <n v="4.7239999999999999E-3"/>
    <n v="3.12"/>
    <s v="2018-06-04"/>
    <n v="196"/>
    <n v="0.54"/>
    <n v="98.321326999999997"/>
    <s v="$"/>
    <s v="Deposito"/>
    <s v="Financieras"/>
    <s v="N-1+"/>
    <x v="11"/>
    <s v="Deposito Banco Itaucorp"/>
    <n v="159280550.28"/>
    <n v="0"/>
    <s v=""/>
  </r>
  <r>
    <s v="2017-11-19"/>
    <x v="3"/>
    <s v="PAGARE NR"/>
    <s v="SANTANDER"/>
    <n v="491521259"/>
    <n v="500000000"/>
    <n v="7.8720000000000005E-3"/>
    <n v="3"/>
    <s v="2018-06-14"/>
    <n v="206"/>
    <n v="0.56999999999999995"/>
    <n v="98.304250999999994"/>
    <s v="$"/>
    <s v="Deposito"/>
    <s v="Financieras"/>
    <s v="N-1+"/>
    <x v="10"/>
    <s v="Deposito Banco Santander"/>
    <n v="280167117.63"/>
    <n v="0"/>
    <s v=""/>
  </r>
  <r>
    <s v="2017-11-19"/>
    <x v="3"/>
    <s v="PAGARE NR"/>
    <s v="CONSORCIO"/>
    <n v="392783262"/>
    <n v="400000000"/>
    <n v="6.2899999999999996E-3"/>
    <n v="3.12"/>
    <s v="2018-06-19"/>
    <n v="211"/>
    <n v="0.57999999999999996"/>
    <n v="98.195814999999996"/>
    <s v="$"/>
    <s v="Deposito"/>
    <s v="Financieras"/>
    <s v="N-1+"/>
    <x v="5"/>
    <s v="Deposito Banco Consorcio"/>
    <n v="227814291.95999998"/>
    <n v="0"/>
    <s v=""/>
  </r>
  <r>
    <s v="2017-11-19"/>
    <x v="3"/>
    <s v="PAGARE NR"/>
    <s v="INTERNACIO"/>
    <n v="294227261"/>
    <n v="300000000"/>
    <n v="4.712E-3"/>
    <n v="3.24"/>
    <s v="2018-06-25"/>
    <n v="217"/>
    <n v="0.6"/>
    <n v="98.075753000000006"/>
    <s v="$"/>
    <s v="Deposito"/>
    <s v="Financieras"/>
    <s v="N-1"/>
    <x v="12"/>
    <s v="Deposito Banco Internacio"/>
    <n v="176536356.59999999"/>
    <n v="0"/>
    <s v=""/>
  </r>
  <r>
    <s v="2017-11-19"/>
    <x v="3"/>
    <s v="PAGARE NR"/>
    <s v="ESTADO"/>
    <n v="55205589"/>
    <n v="56291667"/>
    <n v="8.8400000000000002E-4"/>
    <n v="3.12"/>
    <s v="2018-07-04"/>
    <n v="226"/>
    <n v="0.62"/>
    <n v="98.070622999999998"/>
    <s v="$"/>
    <s v="Deposito"/>
    <s v="Financieras"/>
    <s v="N-1+"/>
    <x v="3"/>
    <s v="Deposito Banco Estado"/>
    <n v="34227465.18"/>
    <n v="0"/>
    <s v=""/>
  </r>
  <r>
    <s v="2017-11-19"/>
    <x v="3"/>
    <s v="PAGARE NR"/>
    <s v="INTERNACIO"/>
    <n v="48994630"/>
    <n v="50000000"/>
    <n v="7.8399999999999997E-4"/>
    <n v="3.24"/>
    <s v="2018-07-05"/>
    <n v="227"/>
    <n v="0.62"/>
    <n v="97.989260000000002"/>
    <s v="$"/>
    <s v="Deposito"/>
    <s v="Financieras"/>
    <s v="N-1"/>
    <x v="12"/>
    <s v="Deposito Banco Internacio"/>
    <n v="30376670.600000001"/>
    <n v="0"/>
    <s v=""/>
  </r>
  <r>
    <s v="2017-11-19"/>
    <x v="3"/>
    <s v="PAGARE NR"/>
    <s v="ITAUCORP"/>
    <n v="19610791"/>
    <n v="20000000"/>
    <n v="3.1399999999999999E-4"/>
    <n v="3.12"/>
    <s v="2018-07-06"/>
    <n v="228"/>
    <n v="0.63"/>
    <n v="98.053955000000002"/>
    <s v="$"/>
    <s v="Deposito"/>
    <s v="Financieras"/>
    <s v="N-1+"/>
    <x v="11"/>
    <s v="Deposito Banco Itaucorp"/>
    <n v="12354798.33"/>
    <n v="0"/>
    <s v=""/>
  </r>
  <r>
    <s v="2017-11-19"/>
    <x v="3"/>
    <s v="PAGARE NR"/>
    <s v="ITAUCORP"/>
    <n v="686202750"/>
    <n v="700000000"/>
    <n v="1.099E-2"/>
    <n v="3.12"/>
    <s v="2018-07-09"/>
    <n v="231"/>
    <n v="0.64"/>
    <n v="98.028964000000002"/>
    <s v="$"/>
    <s v="Deposito"/>
    <s v="Financieras"/>
    <s v="N-1+"/>
    <x v="11"/>
    <s v="Deposito Banco Itaucorp"/>
    <n v="439169760"/>
    <n v="0"/>
    <s v=""/>
  </r>
  <r>
    <s v="2017-11-19"/>
    <x v="3"/>
    <s v="PAGARE NR"/>
    <s v="HSBC"/>
    <n v="108885801"/>
    <n v="111000000"/>
    <n v="1.743E-3"/>
    <n v="3"/>
    <s v="2018-07-10"/>
    <n v="232"/>
    <n v="0.64"/>
    <n v="98.095315999999997"/>
    <s v="$"/>
    <s v="Deposito"/>
    <s v="Financieras"/>
    <s v="N-1+"/>
    <x v="159"/>
    <s v="Deposito Banco Hsbc"/>
    <n v="69686912.640000001"/>
    <n v="0"/>
    <s v=""/>
  </r>
  <r>
    <s v="2017-11-19"/>
    <x v="3"/>
    <s v="PAGARE NR"/>
    <s v="RIPLEY"/>
    <n v="390701309"/>
    <n v="400000000"/>
    <n v="6.2570000000000004E-3"/>
    <n v="3.36"/>
    <s v="2018-08-01"/>
    <n v="254"/>
    <n v="0.7"/>
    <n v="97.675326999999996"/>
    <s v="$"/>
    <s v="Deposito"/>
    <s v="Financieras"/>
    <s v="N-1+"/>
    <x v="1"/>
    <s v="Deposito Banco Ripley"/>
    <n v="273490916.30000001"/>
    <n v="0"/>
    <s v=""/>
  </r>
  <r>
    <s v="2017-11-19"/>
    <x v="3"/>
    <s v="PAGARE NR"/>
    <s v="ITAUCORP"/>
    <n v="97796323"/>
    <n v="100000000"/>
    <n v="1.5659999999999999E-3"/>
    <n v="3.12"/>
    <s v="2018-08-06"/>
    <n v="259"/>
    <n v="0.71"/>
    <n v="97.796323000000001"/>
    <s v="$"/>
    <s v="Deposito"/>
    <s v="Financieras"/>
    <s v="N-1+"/>
    <x v="11"/>
    <s v="Deposito Banco Itaucorp"/>
    <n v="69435389.329999998"/>
    <n v="0"/>
    <s v=""/>
  </r>
  <r>
    <s v="2017-11-19"/>
    <x v="3"/>
    <s v="PAGARE NR"/>
    <s v="SECURITY"/>
    <n v="781906680"/>
    <n v="800000000"/>
    <n v="1.2522999999999999E-2"/>
    <n v="3.12"/>
    <s v="2018-08-13"/>
    <n v="266"/>
    <n v="0.73"/>
    <n v="97.738335000000006"/>
    <s v="$"/>
    <s v="Deposito"/>
    <s v="Financieras"/>
    <s v="N-1+"/>
    <x v="7"/>
    <s v="Deposito Banco Security"/>
    <n v="570791876.39999998"/>
    <n v="0"/>
    <s v=""/>
  </r>
  <r>
    <s v="2017-11-19"/>
    <x v="3"/>
    <s v="PAGARE NR"/>
    <s v="ITAUCORP"/>
    <n v="586281024"/>
    <n v="600000000"/>
    <n v="9.3889999999999998E-3"/>
    <n v="3.12"/>
    <s v="2018-08-16"/>
    <n v="269"/>
    <n v="0.74"/>
    <n v="97.713504"/>
    <s v="$"/>
    <s v="Deposito"/>
    <s v="Financieras"/>
    <s v="N-1+"/>
    <x v="11"/>
    <s v="Deposito Banco Itaucorp"/>
    <n v="433847957.75999999"/>
    <n v="0"/>
    <s v=""/>
  </r>
  <r>
    <s v="2017-11-19"/>
    <x v="3"/>
    <s v="PAGARE NR"/>
    <s v="SECURITY"/>
    <n v="973754082"/>
    <n v="1000000000"/>
    <n v="1.5594999999999999E-2"/>
    <n v="3.12"/>
    <s v="2018-09-26"/>
    <n v="310"/>
    <n v="0.85"/>
    <n v="97.375407999999993"/>
    <s v="$"/>
    <s v="Deposito"/>
    <s v="Financieras"/>
    <s v="N-1+"/>
    <x v="7"/>
    <s v="Deposito Banco Security"/>
    <n v="827690969.69999993"/>
    <n v="0"/>
    <s v=""/>
  </r>
  <r>
    <s v="2017-11-19"/>
    <x v="3"/>
    <s v="PAGARE NR"/>
    <s v="SCOTIABANK"/>
    <n v="408528519"/>
    <n v="420000000"/>
    <n v="6.5430000000000002E-3"/>
    <n v="3.12"/>
    <s v="2018-10-09"/>
    <n v="323"/>
    <n v="0.89"/>
    <n v="97.268694999999994"/>
    <s v="$"/>
    <s v="Deposito"/>
    <s v="Financieras"/>
    <s v="N-1+"/>
    <x v="8"/>
    <s v="Deposito Banco Scotiabank"/>
    <n v="363590381.91000003"/>
    <n v="0"/>
    <s v=""/>
  </r>
  <r>
    <s v="2017-11-19"/>
    <x v="3"/>
    <s v="PAGARE NR"/>
    <s v="SCOTIABANK"/>
    <n v="388779815"/>
    <n v="400000000"/>
    <n v="6.2259999999999998E-3"/>
    <n v="3.12"/>
    <s v="2018-10-18"/>
    <n v="332"/>
    <n v="0.91"/>
    <n v="97.194952999999998"/>
    <s v="$"/>
    <s v="Deposito"/>
    <s v="Financieras"/>
    <s v="N-1+"/>
    <x v="8"/>
    <s v="Deposito Banco Scotiabank"/>
    <n v="353789631.65000004"/>
    <n v="0"/>
    <s v=""/>
  </r>
  <r>
    <s v="2017-11-19"/>
    <x v="3"/>
    <s v="PAGARE NR"/>
    <s v="SCOTIABANK"/>
    <n v="145584424"/>
    <n v="150000000"/>
    <n v="2.3310000000000002E-3"/>
    <n v="3.24"/>
    <s v="2018-10-22"/>
    <n v="336"/>
    <n v="0.92"/>
    <n v="97.056281999999996"/>
    <s v="$"/>
    <s v="Deposito"/>
    <s v="Financieras"/>
    <s v="N-1+"/>
    <x v="8"/>
    <s v="Deposito Banco Scotiabank"/>
    <n v="133937670.08000001"/>
    <n v="0"/>
    <s v=""/>
  </r>
  <r>
    <s v="2017-11-19"/>
    <x v="4"/>
    <s v="PAGARE R"/>
    <s v="CONSORCIO"/>
    <n v="399984.45"/>
    <n v="400000"/>
    <n v="1.0309E-2"/>
    <n v="1.4"/>
    <s v="2017-11-20"/>
    <n v="0"/>
    <n v="0"/>
    <m/>
    <s v="US$"/>
    <s v="Deposito"/>
    <s v="Financieras"/>
    <s v="N-1+"/>
    <x v="5"/>
    <s v="Deposito Banco Consorcio"/>
    <n v="0"/>
    <n v="0"/>
    <s v=""/>
  </r>
  <r>
    <s v="2017-11-19"/>
    <x v="4"/>
    <s v="PAGARE NR"/>
    <s v="SANTANDER"/>
    <n v="1589183.2694000001"/>
    <n v="1000000000"/>
    <n v="4.0960999999999997E-2"/>
    <n v="2.52"/>
    <s v="2017-11-20"/>
    <n v="0"/>
    <n v="0"/>
    <n v="0.158918"/>
    <s v="$"/>
    <s v="Deposito"/>
    <s v="Financieras"/>
    <s v="N-1+"/>
    <x v="10"/>
    <s v="Deposito Banco Santander"/>
    <n v="0"/>
    <n v="0"/>
    <s v=""/>
  </r>
  <r>
    <s v="2017-11-19"/>
    <x v="4"/>
    <s v="PAGARE R"/>
    <s v="CCB"/>
    <n v="500666.61"/>
    <n v="500708.33"/>
    <n v="1.2904000000000001E-2"/>
    <n v="1.5"/>
    <s v="2017-11-21"/>
    <n v="1"/>
    <n v="0.01"/>
    <m/>
    <s v="US$"/>
    <s v="Deposito"/>
    <s v="Gobierno"/>
    <s v="AAA"/>
    <x v="158"/>
    <s v="Deposito CCB"/>
    <n v="5006.6661000000004"/>
    <n v="0"/>
    <s v=""/>
  </r>
  <r>
    <s v="2017-11-19"/>
    <x v="4"/>
    <s v="PAGARE R"/>
    <s v="CONSORCIO"/>
    <n v="99989.17"/>
    <n v="100000"/>
    <n v="2.5769999999999999E-3"/>
    <n v="1.3"/>
    <s v="2017-11-22"/>
    <n v="2"/>
    <n v="0.01"/>
    <m/>
    <s v="US$"/>
    <s v="Deposito"/>
    <s v="Financieras"/>
    <s v="N-1+"/>
    <x v="5"/>
    <s v="Deposito Banco Consorcio"/>
    <n v="999.89170000000001"/>
    <n v="0"/>
    <s v=""/>
  </r>
  <r>
    <s v="2017-11-19"/>
    <x v="4"/>
    <s v="PAGARE R"/>
    <s v="BBVA"/>
    <n v="99987.92"/>
    <n v="100000"/>
    <n v="2.5769999999999999E-3"/>
    <n v="1.45"/>
    <s v="2017-11-22"/>
    <n v="2"/>
    <n v="0.01"/>
    <m/>
    <s v="US$"/>
    <s v="Deposito"/>
    <s v="Financieras"/>
    <s v="N-1+"/>
    <x v="0"/>
    <s v="Deposito Banco BBVA"/>
    <n v="999.87919999999997"/>
    <n v="0"/>
    <s v=""/>
  </r>
  <r>
    <s v="2017-11-19"/>
    <x v="4"/>
    <s v="PAGARE R"/>
    <s v="CCB"/>
    <n v="899812.54"/>
    <n v="900000"/>
    <n v="2.3192999999999998E-2"/>
    <n v="1.5"/>
    <s v="2017-11-24"/>
    <n v="4"/>
    <n v="0.01"/>
    <m/>
    <s v="US$"/>
    <s v="Deposito"/>
    <s v="Gobierno"/>
    <s v="AAA"/>
    <x v="158"/>
    <s v="Deposito CCB"/>
    <n v="8998.1254000000008"/>
    <n v="0"/>
    <s v=""/>
  </r>
  <r>
    <s v="2017-11-19"/>
    <x v="4"/>
    <s v="PAGARE R"/>
    <s v="BBVA"/>
    <n v="1000083.32"/>
    <n v="1000416.68"/>
    <n v="2.5777000000000001E-2"/>
    <n v="1.5"/>
    <s v="2017-11-27"/>
    <n v="7"/>
    <n v="0.02"/>
    <m/>
    <s v="US$"/>
    <s v="Deposito"/>
    <s v="Financieras"/>
    <s v="N-1+"/>
    <x v="0"/>
    <s v="Deposito Banco BBVA"/>
    <n v="20001.666399999998"/>
    <n v="0"/>
    <s v=""/>
  </r>
  <r>
    <s v="2017-11-19"/>
    <x v="4"/>
    <s v="PAGARE R"/>
    <s v="BBVA"/>
    <n v="899554.72"/>
    <n v="900000"/>
    <n v="2.3185999999999998E-2"/>
    <n v="1.98"/>
    <s v="2017-11-28"/>
    <n v="8"/>
    <n v="0.02"/>
    <m/>
    <s v="US$"/>
    <s v="Deposito"/>
    <s v="Financieras"/>
    <s v="N-1+"/>
    <x v="0"/>
    <s v="Deposito Banco BBVA"/>
    <n v="17991.094399999998"/>
    <n v="0"/>
    <s v=""/>
  </r>
  <r>
    <s v="2017-11-19"/>
    <x v="4"/>
    <s v="PAGARE R"/>
    <s v="CHILE"/>
    <n v="499819.51"/>
    <n v="500000"/>
    <n v="1.2883E-2"/>
    <n v="1.3"/>
    <s v="2017-11-29"/>
    <n v="9"/>
    <n v="0.03"/>
    <m/>
    <s v="US$"/>
    <s v="Deposito"/>
    <s v="Financieras"/>
    <s v="N-1+"/>
    <x v="16"/>
    <s v="Deposito Banco Chile"/>
    <n v="14994.585299999999"/>
    <n v="0"/>
    <s v=""/>
  </r>
  <r>
    <s v="2017-11-19"/>
    <x v="4"/>
    <s v="PAGARE R"/>
    <s v="CONSORCIO"/>
    <n v="2998584"/>
    <n v="3000000"/>
    <n v="7.7288999999999997E-2"/>
    <n v="1.7"/>
    <s v="2017-11-29"/>
    <n v="9"/>
    <n v="0.03"/>
    <m/>
    <s v="US$"/>
    <s v="Deposito"/>
    <s v="Financieras"/>
    <s v="N-1+"/>
    <x v="5"/>
    <s v="Deposito Banco Consorcio"/>
    <n v="89957.51999999999"/>
    <n v="0"/>
    <s v=""/>
  </r>
  <r>
    <s v="2017-11-19"/>
    <x v="4"/>
    <s v="PAGARE NR"/>
    <s v="SCOTIABANK"/>
    <n v="1429212.1628"/>
    <n v="900000000"/>
    <n v="3.6838000000000003E-2"/>
    <n v="2.64"/>
    <s v="2017-11-30"/>
    <n v="10"/>
    <n v="0.03"/>
    <n v="0.158801"/>
    <s v="$"/>
    <s v="Deposito"/>
    <s v="Financieras"/>
    <s v="N-1+"/>
    <x v="8"/>
    <s v="Deposito Banco Scotiabank"/>
    <n v="42876.364884000002"/>
    <n v="0"/>
    <s v=""/>
  </r>
  <r>
    <s v="2017-11-19"/>
    <x v="4"/>
    <s v="PAGARE NR"/>
    <s v="BICE"/>
    <n v="3969901.5638000001"/>
    <n v="2500000000"/>
    <n v="0.102325"/>
    <n v="2.52"/>
    <s v="2017-12-01"/>
    <n v="11"/>
    <n v="0.03"/>
    <n v="0.15879599999999999"/>
    <s v="$"/>
    <s v="Deposito"/>
    <s v="Financieras"/>
    <s v="N-1+"/>
    <x v="2"/>
    <s v="Deposito Banco Bice"/>
    <n v="119097.04691400001"/>
    <n v="0"/>
    <s v=""/>
  </r>
  <r>
    <s v="2017-11-19"/>
    <x v="4"/>
    <s v="PAGARE NR"/>
    <s v="SECURITY"/>
    <n v="1154897.9369999999"/>
    <n v="727472672"/>
    <n v="2.9766999999999998E-2"/>
    <n v="2.64"/>
    <s v="2017-12-04"/>
    <n v="14"/>
    <n v="0.04"/>
    <n v="0.15875400000000001"/>
    <s v="$"/>
    <s v="Deposito"/>
    <s v="Financieras"/>
    <s v="N-1+"/>
    <x v="7"/>
    <s v="Deposito Banco Security"/>
    <n v="46195.917479999996"/>
    <n v="0"/>
    <s v=""/>
  </r>
  <r>
    <s v="2017-11-19"/>
    <x v="4"/>
    <s v="PAGARE NR"/>
    <s v="SCOTIABANK"/>
    <n v="2857329.8993000002"/>
    <n v="1800000000"/>
    <n v="7.3648000000000005E-2"/>
    <n v="2.52"/>
    <s v="2017-12-06"/>
    <n v="16"/>
    <n v="0.05"/>
    <n v="0.15873999999999999"/>
    <s v="$"/>
    <s v="Deposito"/>
    <s v="Financieras"/>
    <s v="N-1+"/>
    <x v="8"/>
    <s v="Deposito Banco Scotiabank"/>
    <n v="142866.49496500002"/>
    <n v="0"/>
    <s v=""/>
  </r>
  <r>
    <s v="2017-11-19"/>
    <x v="4"/>
    <s v="PAGARE NR"/>
    <s v="SANTANDER"/>
    <n v="873073.02489999996"/>
    <n v="550000000"/>
    <n v="2.2502999999999999E-2"/>
    <n v="2.52"/>
    <s v="2017-12-06"/>
    <n v="16"/>
    <n v="0.05"/>
    <n v="0.15873999999999999"/>
    <s v="$"/>
    <s v="Deposito"/>
    <s v="Financieras"/>
    <s v="N-1+"/>
    <x v="10"/>
    <s v="Deposito Banco Santander"/>
    <n v="43653.651245000001"/>
    <n v="0"/>
    <s v=""/>
  </r>
  <r>
    <s v="2017-11-19"/>
    <x v="4"/>
    <s v="PAGARE R"/>
    <s v="SANTANDER"/>
    <n v="1798920.65"/>
    <n v="1800000"/>
    <n v="4.6366999999999998E-2"/>
    <n v="1.2"/>
    <s v="2017-12-07"/>
    <n v="17"/>
    <n v="0.05"/>
    <m/>
    <s v="US$"/>
    <s v="Deposito"/>
    <s v="Financieras"/>
    <s v="N-1+"/>
    <x v="10"/>
    <s v="Deposito Banco Santander"/>
    <n v="89946.032500000001"/>
    <n v="0"/>
    <s v=""/>
  </r>
  <r>
    <s v="2017-11-19"/>
    <x v="4"/>
    <s v="PAGARE R"/>
    <s v="SECURITY"/>
    <n v="999375.39"/>
    <n v="1000000"/>
    <n v="2.5759000000000001E-2"/>
    <n v="1.25"/>
    <s v="2017-12-07"/>
    <n v="17"/>
    <n v="0.05"/>
    <m/>
    <s v="US$"/>
    <s v="Deposito"/>
    <s v="Financieras"/>
    <s v="N-1+"/>
    <x v="7"/>
    <s v="Deposito Banco Security"/>
    <n v="49968.769500000002"/>
    <n v="0"/>
    <s v=""/>
  </r>
  <r>
    <s v="2017-11-19"/>
    <x v="4"/>
    <s v="PAGARE R"/>
    <s v="TANNER SF"/>
    <n v="299670.36"/>
    <n v="300000"/>
    <n v="7.724E-3"/>
    <n v="2.2000000000000002"/>
    <s v="2017-12-07"/>
    <n v="17"/>
    <n v="0.05"/>
    <m/>
    <s v="US$"/>
    <s v="Deposito"/>
    <s v="Financieras"/>
    <s v="A+"/>
    <x v="45"/>
    <s v="Efecto de Comercio Tanner"/>
    <n v="14983.518"/>
    <n v="0"/>
    <s v=""/>
  </r>
  <r>
    <s v="2017-11-19"/>
    <x v="4"/>
    <s v="PAGARE R"/>
    <s v="CCB"/>
    <n v="1500686.87"/>
    <n v="1502062.5"/>
    <n v="3.8679999999999999E-2"/>
    <n v="1.5"/>
    <s v="2017-12-11"/>
    <n v="21"/>
    <n v="0.06"/>
    <m/>
    <s v="US$"/>
    <s v="Deposito"/>
    <s v="Gobierno"/>
    <s v="AAA"/>
    <x v="158"/>
    <s v="Deposito CCB"/>
    <n v="90041.212200000009"/>
    <n v="0"/>
    <s v=""/>
  </r>
  <r>
    <s v="2017-11-19"/>
    <x v="4"/>
    <s v="PAGARE R"/>
    <s v="CCB"/>
    <n v="1003065.83"/>
    <n v="1004250"/>
    <n v="2.5853999999999999E-2"/>
    <n v="1.7"/>
    <s v="2017-12-14"/>
    <n v="24"/>
    <n v="7.0000000000000007E-2"/>
    <m/>
    <s v="US$"/>
    <s v="Deposito"/>
    <s v="Gobierno"/>
    <s v="AAA"/>
    <x v="158"/>
    <s v="Deposito CCB"/>
    <n v="70214.608099999998"/>
    <n v="0"/>
    <s v=""/>
  </r>
  <r>
    <s v="2017-11-19"/>
    <x v="4"/>
    <s v="PAGARE NR"/>
    <s v="BCI"/>
    <n v="1913041.649"/>
    <n v="1206000000"/>
    <n v="4.9308999999999999E-2"/>
    <n v="2.64"/>
    <s v="2017-12-15"/>
    <n v="25"/>
    <n v="7.0000000000000007E-2"/>
    <n v="0.15862699999999999"/>
    <s v="$"/>
    <s v="Deposito"/>
    <s v="Financieras"/>
    <s v="N-1+"/>
    <x v="9"/>
    <s v="Deposito Banco BCI"/>
    <n v="133912.91543000002"/>
    <n v="0"/>
    <s v=""/>
  </r>
  <r>
    <s v="2017-11-19"/>
    <x v="4"/>
    <s v="PAGARE R"/>
    <s v="BICE"/>
    <n v="500058.53"/>
    <n v="500639.85"/>
    <n v="1.2888999999999999E-2"/>
    <n v="1.35"/>
    <s v="2017-12-20"/>
    <n v="30"/>
    <n v="0.08"/>
    <m/>
    <s v="US$"/>
    <s v="Deposito"/>
    <s v="Financieras"/>
    <s v="N-1+"/>
    <x v="2"/>
    <s v="Deposito Banco Bice"/>
    <n v="40004.682400000005"/>
    <n v="0"/>
    <s v=""/>
  </r>
  <r>
    <s v="2017-11-19"/>
    <x v="4"/>
    <s v="PAGARE NR"/>
    <s v="ESTADO"/>
    <n v="4118620.7719999999"/>
    <n v="2600000000"/>
    <n v="0.106159"/>
    <n v="2.7"/>
    <s v="2018-01-02"/>
    <n v="43"/>
    <n v="0.12"/>
    <n v="0.15840799999999999"/>
    <s v="$"/>
    <s v="Deposito"/>
    <s v="Financieras"/>
    <s v="N-1+"/>
    <x v="3"/>
    <s v="Deposito Banco Estado"/>
    <n v="494234.49263999995"/>
    <n v="0"/>
    <s v=""/>
  </r>
  <r>
    <s v="2017-11-19"/>
    <x v="4"/>
    <s v="PAGARE NR"/>
    <s v="BBVA"/>
    <n v="1267346.3056000001"/>
    <n v="800000000"/>
    <n v="3.2666000000000001E-2"/>
    <n v="2.64"/>
    <s v="2018-01-02"/>
    <n v="43"/>
    <n v="0.12"/>
    <n v="0.158418"/>
    <s v="$"/>
    <s v="Deposito"/>
    <s v="Financieras"/>
    <s v="N-1+"/>
    <x v="0"/>
    <s v="Deposito Banco BBVA"/>
    <n v="152081.55667200001"/>
    <n v="0"/>
    <s v=""/>
  </r>
  <r>
    <s v="2017-11-19"/>
    <x v="4"/>
    <s v="PAGARE NR"/>
    <s v="FALABELLA"/>
    <n v="3168134.1809"/>
    <n v="2000000000"/>
    <n v="8.1658999999999995E-2"/>
    <n v="2.64"/>
    <s v="2018-01-03"/>
    <n v="44"/>
    <n v="0.12"/>
    <n v="0.15840599999999999"/>
    <s v="$"/>
    <s v="Deposito"/>
    <s v="Financieras"/>
    <s v="AA"/>
    <x v="44"/>
    <s v="Deposito Banco Falabella"/>
    <n v="380176.101708"/>
    <n v="0"/>
    <s v=""/>
  </r>
  <r>
    <s v="2017-11-19"/>
    <x v="4"/>
    <s v="PAGARE NR"/>
    <s v="FALABELLA"/>
    <n v="1266580.3848999999"/>
    <n v="800000000"/>
    <n v="3.2646000000000001E-2"/>
    <n v="2.76"/>
    <s v="2018-01-08"/>
    <n v="49"/>
    <n v="0.14000000000000001"/>
    <n v="0.15832199999999999"/>
    <s v="$"/>
    <s v="Deposito"/>
    <s v="Financieras"/>
    <s v="AA"/>
    <x v="44"/>
    <s v="Deposito Banco Falabella"/>
    <n v="177321.25388600002"/>
    <n v="0"/>
    <s v=""/>
  </r>
  <r>
    <s v="2017-11-19"/>
    <x v="4"/>
    <s v="PAGARE R"/>
    <s v="BBVA"/>
    <n v="897942.22"/>
    <n v="900000"/>
    <n v="2.3144000000000001E-2"/>
    <n v="1.65"/>
    <s v="2018-01-08"/>
    <n v="49"/>
    <n v="0.14000000000000001"/>
    <m/>
    <s v="US$"/>
    <s v="Deposito"/>
    <s v="Financieras"/>
    <s v="N-1+"/>
    <x v="0"/>
    <s v="Deposito Banco BBVA"/>
    <n v="125711.91080000001"/>
    <n v="0"/>
    <s v=""/>
  </r>
  <r>
    <s v="2017-11-19"/>
    <x v="4"/>
    <s v="PAGARE NR"/>
    <s v="ESTADO"/>
    <n v="791129.36690000002"/>
    <n v="500000000"/>
    <n v="2.0390999999999999E-2"/>
    <n v="2.76"/>
    <s v="2018-01-16"/>
    <n v="57"/>
    <n v="0.16"/>
    <n v="0.158225"/>
    <s v="$"/>
    <s v="Deposito"/>
    <s v="Financieras"/>
    <s v="N-1+"/>
    <x v="3"/>
    <s v="Deposito Banco Estado"/>
    <n v="126580.69870400001"/>
    <n v="0"/>
    <s v=""/>
  </r>
  <r>
    <s v="2017-11-19"/>
    <x v="5"/>
    <s v="PAGARE NR"/>
    <s v="BCI"/>
    <n v="402704683"/>
    <n v="403000000"/>
    <n v="4.2867000000000002E-2"/>
    <n v="2.64"/>
    <s v="2017-11-29"/>
    <n v="9"/>
    <n v="0.03"/>
    <n v="99.926720000000003"/>
    <s v="$"/>
    <s v="Deposito"/>
    <s v="Financieras"/>
    <s v="N-1+"/>
    <x v="9"/>
    <s v="Deposito Banco BCI"/>
    <n v="12081140.49"/>
    <n v="0"/>
    <s v=""/>
  </r>
  <r>
    <s v="2017-11-19"/>
    <x v="5"/>
    <s v="PAGARE NR"/>
    <s v="BCI"/>
    <n v="49717604"/>
    <n v="50000000"/>
    <n v="5.2919999999999998E-3"/>
    <n v="2.88"/>
    <s v="2018-01-29"/>
    <n v="70"/>
    <n v="0.19"/>
    <n v="99.435208000000003"/>
    <s v="$"/>
    <s v="Deposito"/>
    <s v="Financieras"/>
    <s v="N-1+"/>
    <x v="9"/>
    <s v="Deposito Banco BCI"/>
    <n v="9446344.7599999998"/>
    <n v="0"/>
    <s v=""/>
  </r>
  <r>
    <s v="2017-11-19"/>
    <x v="5"/>
    <s v="PAGARE R"/>
    <s v="SANTANDER"/>
    <n v="132965862"/>
    <n v="5000"/>
    <n v="1.4154E-2"/>
    <n v="1.36"/>
    <s v="2018-02-06"/>
    <n v="78"/>
    <n v="0.22"/>
    <m/>
    <s v="UF"/>
    <s v="Deposito"/>
    <s v="Financieras"/>
    <s v="N-1+"/>
    <x v="10"/>
    <s v="Deposito Banco Santander"/>
    <n v="29252489.640000001"/>
    <n v="0"/>
    <s v=""/>
  </r>
  <r>
    <s v="2017-11-19"/>
    <x v="5"/>
    <s v="PAGARE NR"/>
    <s v="BBVA"/>
    <n v="347839914"/>
    <n v="350000000"/>
    <n v="3.7026999999999997E-2"/>
    <n v="2.76"/>
    <s v="2018-02-08"/>
    <n v="80"/>
    <n v="0.22"/>
    <n v="99.382831999999993"/>
    <s v="$"/>
    <s v="Deposito"/>
    <s v="Financieras"/>
    <s v="N-1+"/>
    <x v="0"/>
    <s v="Deposito Banco BBVA"/>
    <n v="76524781.079999998"/>
    <n v="0"/>
    <s v=""/>
  </r>
  <r>
    <s v="2017-11-19"/>
    <x v="5"/>
    <s v="PAGARE NR"/>
    <s v="INTERNACIO"/>
    <n v="99050764"/>
    <n v="100000000"/>
    <n v="1.0543E-2"/>
    <n v="3"/>
    <s v="2018-03-14"/>
    <n v="114"/>
    <n v="0.32"/>
    <n v="99.050764000000001"/>
    <s v="$"/>
    <s v="Deposito"/>
    <s v="Financieras"/>
    <s v="N-1"/>
    <x v="12"/>
    <s v="Deposito Banco Internacio"/>
    <n v="31696244.48"/>
    <n v="0"/>
    <s v=""/>
  </r>
  <r>
    <s v="2017-11-19"/>
    <x v="5"/>
    <s v="PAGARE NR"/>
    <s v="BICE"/>
    <n v="198145359"/>
    <n v="200000000"/>
    <n v="2.1092E-2"/>
    <n v="2.88"/>
    <s v="2018-03-16"/>
    <n v="116"/>
    <n v="0.32"/>
    <n v="99.072678999999994"/>
    <s v="$"/>
    <s v="Deposito"/>
    <s v="Financieras"/>
    <s v="N-1+"/>
    <x v="2"/>
    <s v="Deposito Banco Bice"/>
    <n v="63406514.880000003"/>
    <n v="0"/>
    <s v=""/>
  </r>
  <r>
    <s v="2017-11-19"/>
    <x v="5"/>
    <s v="PAGARE NR"/>
    <s v="SANTANDER"/>
    <n v="99072680"/>
    <n v="100000000"/>
    <n v="1.0546E-2"/>
    <n v="2.88"/>
    <s v="2018-03-16"/>
    <n v="116"/>
    <n v="0.32"/>
    <n v="99.072680000000005"/>
    <s v="$"/>
    <s v="Deposito"/>
    <s v="Financieras"/>
    <s v="N-1+"/>
    <x v="10"/>
    <s v="Deposito Banco Santander"/>
    <n v="31703257.600000001"/>
    <n v="0"/>
    <s v=""/>
  </r>
  <r>
    <s v="2017-11-19"/>
    <x v="5"/>
    <s v="PAGARE NR"/>
    <s v="RIPLEY"/>
    <n v="197941410"/>
    <n v="200000000"/>
    <n v="2.1069999999999998E-2"/>
    <n v="3.12"/>
    <s v="2018-03-19"/>
    <n v="119"/>
    <n v="0.33"/>
    <n v="98.970704999999995"/>
    <s v="$"/>
    <s v="Deposito"/>
    <s v="Financieras"/>
    <s v="N-1+"/>
    <x v="1"/>
    <s v="Deposito Banco Ripley"/>
    <n v="65320665.300000004"/>
    <n v="0"/>
    <s v=""/>
  </r>
  <r>
    <s v="2017-11-19"/>
    <x v="5"/>
    <s v="PAGARE NR"/>
    <s v="FALABELLA"/>
    <n v="247603201"/>
    <n v="250000000"/>
    <n v="2.6356999999999998E-2"/>
    <n v="2.88"/>
    <s v="2018-03-20"/>
    <n v="120"/>
    <n v="0.33"/>
    <n v="99.04128"/>
    <s v="$"/>
    <s v="Deposito"/>
    <s v="Financieras"/>
    <s v="AA"/>
    <x v="44"/>
    <s v="Deposito Banco Falabella"/>
    <n v="81709056.329999998"/>
    <n v="0"/>
    <s v=""/>
  </r>
  <r>
    <s v="2017-11-19"/>
    <x v="5"/>
    <s v="PAGARE NR"/>
    <s v="INTERNACIO"/>
    <n v="197872867"/>
    <n v="200000000"/>
    <n v="2.1062999999999998E-2"/>
    <n v="3"/>
    <s v="2018-03-28"/>
    <n v="128"/>
    <n v="0.35"/>
    <n v="98.936432999999994"/>
    <s v="$"/>
    <s v="Deposito"/>
    <s v="Financieras"/>
    <s v="N-1"/>
    <x v="12"/>
    <s v="Deposito Banco Internacio"/>
    <n v="69255503.450000003"/>
    <n v="0"/>
    <s v=""/>
  </r>
  <r>
    <s v="2017-11-19"/>
    <x v="5"/>
    <s v="PAGARE NR"/>
    <s v="RIPLEY"/>
    <n v="296276788"/>
    <n v="300000000"/>
    <n v="3.1537999999999997E-2"/>
    <n v="3.12"/>
    <s v="2018-04-13"/>
    <n v="144"/>
    <n v="0.4"/>
    <n v="98.758928999999995"/>
    <s v="$"/>
    <s v="Deposito"/>
    <s v="Financieras"/>
    <s v="N-1+"/>
    <x v="1"/>
    <s v="Deposito Banco Ripley"/>
    <n v="118510715.2"/>
    <n v="0"/>
    <s v=""/>
  </r>
  <r>
    <s v="2017-11-19"/>
    <x v="5"/>
    <s v="PAGARE NR"/>
    <s v="CONSORCIO"/>
    <n v="195736851"/>
    <n v="200000000"/>
    <n v="2.0836E-2"/>
    <n v="3.24"/>
    <s v="2018-07-19"/>
    <n v="241"/>
    <n v="0.66"/>
    <n v="97.868425000000002"/>
    <s v="$"/>
    <s v="Deposito"/>
    <s v="Financieras"/>
    <s v="N-1+"/>
    <x v="5"/>
    <s v="Deposito Banco Consorcio"/>
    <n v="129186321.66000001"/>
    <n v="0"/>
    <s v=""/>
  </r>
  <r>
    <s v="2017-11-19"/>
    <x v="5"/>
    <s v="BTU0300120"/>
    <s v="BTU"/>
    <n v="197214801"/>
    <n v="7000"/>
    <n v="2.0993000000000001E-2"/>
    <n v="0.86"/>
    <s v="2020-01-01"/>
    <n v="772"/>
    <n v="2.04"/>
    <n v="104.42"/>
    <s v="UF"/>
    <s v="Bono de Gobierno"/>
    <s v="Gobierno"/>
    <s v="AAA"/>
    <x v="35"/>
    <s v="Bono Tesorería en UF"/>
    <n v="402318194.04000002"/>
    <n v="0"/>
    <s v=""/>
  </r>
  <r>
    <s v="2017-11-19"/>
    <x v="5"/>
    <s v="BTP0450321"/>
    <s v="BTP"/>
    <n v="4066419248"/>
    <n v="3930000000"/>
    <n v="0.432869"/>
    <n v="3.72"/>
    <s v="2021-03-01"/>
    <n v="1197"/>
    <n v="3.06"/>
    <n v="102.48"/>
    <s v="$"/>
    <s v="Bono de Gobierno"/>
    <s v="Gobierno"/>
    <s v="AAA"/>
    <x v="35"/>
    <s v="Bono Tesorería en CLP"/>
    <n v="12443242898.880001"/>
    <n v="-1.3496323967197095E-4"/>
    <s v=""/>
  </r>
  <r>
    <s v="2017-11-19"/>
    <x v="5"/>
    <s v="BTU0150321"/>
    <s v="BTU"/>
    <n v="946020053"/>
    <n v="35000"/>
    <n v="0.100703"/>
    <n v="1.19"/>
    <s v="2021-03-01"/>
    <n v="1197"/>
    <n v="3.2"/>
    <n v="101"/>
    <s v="UF"/>
    <s v="Bono de Gobierno"/>
    <s v="Gobierno"/>
    <s v="AAA"/>
    <x v="35"/>
    <s v="Bono Tesorería en UF"/>
    <n v="3027264169.6000004"/>
    <n v="0"/>
    <s v=""/>
  </r>
  <r>
    <s v="2017-11-19"/>
    <x v="5"/>
    <s v="BCP0600322"/>
    <s v="BCP"/>
    <n v="570670799"/>
    <n v="520000000"/>
    <n v="6.0747000000000002E-2"/>
    <n v="3.88"/>
    <s v="2022-03-01"/>
    <n v="1562"/>
    <n v="3.81"/>
    <n v="108.34"/>
    <s v="$"/>
    <s v="Bono de Gobierno"/>
    <s v="Gobierno"/>
    <s v="AAA"/>
    <x v="157"/>
    <s v="Bono Bullet Bco Central En Pesos"/>
    <n v="2174255744.1900001"/>
    <n v="0"/>
    <s v=""/>
  </r>
  <r>
    <s v="2017-11-19"/>
    <x v="5"/>
    <s v="BTU0150326"/>
    <s v="BTU"/>
    <n v="629818669"/>
    <n v="24000"/>
    <n v="6.7044000000000006E-2"/>
    <n v="1.76"/>
    <s v="2026-03-01"/>
    <n v="3023"/>
    <n v="7.79"/>
    <n v="98.07"/>
    <s v="UF"/>
    <s v="Bono de Gobierno"/>
    <s v="Gobierno"/>
    <s v="AAA"/>
    <x v="35"/>
    <s v="Bono Tesorería en UF"/>
    <n v="4906287431.5100002"/>
    <n v="1.5781399614121073E-4"/>
    <s v=""/>
  </r>
  <r>
    <s v="2017-11-19"/>
    <x v="5"/>
    <s v="BTP0500335"/>
    <s v="BTP"/>
    <n v="347911927"/>
    <n v="340000000"/>
    <n v="3.7034999999999998E-2"/>
    <n v="4.95"/>
    <s v="2035-03-01"/>
    <n v="6310"/>
    <n v="11.69"/>
    <n v="101.24"/>
    <s v="$"/>
    <s v="Bono de Gobierno"/>
    <s v="Gobierno"/>
    <s v="AAA"/>
    <x v="35"/>
    <s v="Bono Tesorería en CLP"/>
    <n v="4067090426.6299996"/>
    <n v="-8.7171280172369919E-5"/>
    <s v=""/>
  </r>
  <r>
    <s v="2017-11-19"/>
    <x v="5"/>
    <s v="BTU0200335"/>
    <s v="BTU"/>
    <n v="171124536"/>
    <n v="6500"/>
    <n v="1.8216E-2"/>
    <n v="2.13"/>
    <s v="2035-03-01"/>
    <n v="6310"/>
    <n v="14.61"/>
    <n v="98.28"/>
    <s v="UF"/>
    <s v="Bono de Gobierno"/>
    <s v="Gobierno"/>
    <s v="AAA"/>
    <x v="35"/>
    <s v="Bono Tesorería en UF"/>
    <n v="2500129470.96"/>
    <n v="0"/>
    <s v=""/>
  </r>
  <r>
    <s v="2017-11-19"/>
    <x v="6"/>
    <s v="LEBAC2017"/>
    <s v="LEBAC"/>
    <n v="63168863"/>
    <n v="1795171"/>
    <n v="2.9710000000000001E-3"/>
    <n v="0"/>
    <s v="2017-12-20"/>
    <n v="30"/>
    <n v="0"/>
    <n v="97.772199999999998"/>
    <s v="ARS"/>
    <s v="Bono de Gobierno"/>
    <s v="Gobierno"/>
    <s v="AAA"/>
    <x v="160"/>
    <s v="Lebac"/>
    <n v="0"/>
    <n v="0"/>
    <e v="#N/A"/>
  </r>
  <r>
    <s v="2017-11-19"/>
    <x v="6"/>
    <s v="PAGARE NR"/>
    <s v="SCOTIABANK"/>
    <n v="5911450"/>
    <n v="5934564"/>
    <n v="2.7799999999999998E-4"/>
    <n v="2.76"/>
    <s v="2018-01-09"/>
    <n v="50"/>
    <n v="0.14000000000000001"/>
    <n v="99.610517999999999"/>
    <s v="$"/>
    <s v="Deposito"/>
    <s v="Financieras"/>
    <s v="N-1+"/>
    <x v="8"/>
    <s v="Deposito Banco Scotiabank"/>
    <n v="827603.00000000012"/>
    <n v="0"/>
    <s v=""/>
  </r>
  <r>
    <s v="2017-11-19"/>
    <x v="6"/>
    <s v="PAGARE NR"/>
    <s v="BCI"/>
    <n v="19852299"/>
    <n v="20000000"/>
    <n v="9.3300000000000002E-4"/>
    <n v="2.88"/>
    <s v="2018-02-20"/>
    <n v="92"/>
    <n v="0.25"/>
    <n v="99.261494999999996"/>
    <s v="$"/>
    <s v="Deposito"/>
    <s v="Financieras"/>
    <s v="N-1+"/>
    <x v="9"/>
    <s v="Deposito Banco BCI"/>
    <n v="4963074.75"/>
    <n v="0"/>
    <s v=""/>
  </r>
  <r>
    <s v="2017-11-19"/>
    <x v="6"/>
    <s v="PAGARE NR"/>
    <s v="SCOTIABANK"/>
    <n v="11063688"/>
    <n v="11178750"/>
    <n v="5.1999999999999995E-4"/>
    <n v="2.88"/>
    <s v="2018-03-29"/>
    <n v="129"/>
    <n v="0.36"/>
    <n v="98.970707000000004"/>
    <s v="$"/>
    <s v="Deposito"/>
    <s v="Financieras"/>
    <s v="N-1+"/>
    <x v="8"/>
    <s v="Deposito Banco Scotiabank"/>
    <n v="3982927.6799999997"/>
    <n v="0"/>
    <s v=""/>
  </r>
  <r>
    <s v="2017-11-19"/>
    <x v="6"/>
    <s v="BTU0300120"/>
    <s v="BTU"/>
    <n v="718425347"/>
    <n v="25500"/>
    <n v="3.3792000000000003E-2"/>
    <n v="0.86"/>
    <s v="2020-01-01"/>
    <n v="772"/>
    <n v="2.04"/>
    <n v="104.42"/>
    <s v="UF"/>
    <s v="Bono de Gobierno"/>
    <s v="Gobierno"/>
    <s v="AAA"/>
    <x v="35"/>
    <s v="Bono Tesorería en UF"/>
    <n v="1465587707.8800001"/>
    <n v="0"/>
    <s v=""/>
  </r>
  <r>
    <s v="2017-11-19"/>
    <x v="6"/>
    <s v="BBOTS-P1A"/>
    <s v="BOSTONSEC"/>
    <n v="90114129"/>
    <n v="20000"/>
    <n v="4.2379999999999996E-3"/>
    <n v="5.23"/>
    <s v="2022-11-25"/>
    <n v="1831"/>
    <n v="2.2000000000000002"/>
    <n v="102.22"/>
    <s v="UF"/>
    <s v="Bono Corporativo"/>
    <s v="Financieras"/>
    <s v="A"/>
    <x v="161"/>
    <s v="Bono Boston Securitizadora P1A"/>
    <n v="198251083.80000001"/>
    <n v="9.5385128515462913E-7"/>
    <s v=""/>
  </r>
  <r>
    <s v="2017-11-19"/>
    <x v="6"/>
    <s v="CERO010320"/>
    <s v="CERO"/>
    <n v="12353"/>
    <n v="0.48"/>
    <n v="0"/>
    <n v="1.58"/>
    <s v="2020-03-01"/>
    <n v="832"/>
    <n v="2.2799999999999998"/>
    <n v="1.57"/>
    <s v="UF"/>
    <s v="Bono de Gobierno"/>
    <s v="Gobierno"/>
    <s v="AAA"/>
    <x v="157"/>
    <s v="Bono Cero Cupon Banco Central de Chile"/>
    <n v="28164.839999999997"/>
    <n v="0"/>
    <e v="#N/A"/>
  </r>
  <r>
    <s v="2017-11-19"/>
    <x v="6"/>
    <s v="SANT0920"/>
    <s v="SANT-CHILE"/>
    <n v="438497516"/>
    <n v="430000000"/>
    <n v="2.0625000000000001E-2"/>
    <n v="0"/>
    <s v="2020-09-22"/>
    <n v="1037"/>
    <n v="2.61"/>
    <n v="100.947"/>
    <s v="$"/>
    <s v="Bono Corporativo"/>
    <s v="Financieras"/>
    <s v="AAA"/>
    <x v="10"/>
    <s v="Bono Banco Santander"/>
    <n v="1144478516.76"/>
    <n v="0"/>
    <e v="#N/A"/>
  </r>
  <r>
    <s v="2017-11-19"/>
    <x v="6"/>
    <s v="BTP0450321"/>
    <s v="BTP"/>
    <n v="10352861791"/>
    <n v="10005000000"/>
    <n v="0.48696200000000001"/>
    <n v="3.72"/>
    <s v="2021-03-01"/>
    <n v="1197"/>
    <n v="3.06"/>
    <n v="102.48"/>
    <s v="$"/>
    <s v="Bono de Gobierno"/>
    <s v="Gobierno"/>
    <s v="AAA"/>
    <x v="35"/>
    <s v="Bono Tesorería en CLP"/>
    <n v="31679757080.459999"/>
    <n v="-1.5182877294780251E-4"/>
    <s v=""/>
  </r>
  <r>
    <s v="2017-11-19"/>
    <x v="6"/>
    <s v="BTU0150321"/>
    <s v="BTU"/>
    <n v="3784080214"/>
    <n v="140000"/>
    <n v="0.17799000000000001"/>
    <n v="1.19"/>
    <s v="2021-03-01"/>
    <n v="1197"/>
    <n v="3.2"/>
    <n v="101"/>
    <s v="UF"/>
    <s v="Bono de Gobierno"/>
    <s v="Gobierno"/>
    <s v="AAA"/>
    <x v="35"/>
    <s v="Bono Tesorería en UF"/>
    <n v="12109056684.800001"/>
    <n v="0"/>
    <s v=""/>
  </r>
  <r>
    <s v="2017-11-19"/>
    <x v="6"/>
    <s v="BVL2CX0625"/>
    <s v="BVL"/>
    <n v="71546019"/>
    <n v="6000"/>
    <n v="3.3649999999999999E-3"/>
    <n v="2.63"/>
    <s v="2025-06-05"/>
    <n v="2754"/>
    <n v="3.66"/>
    <n v="99.54"/>
    <s v="UF"/>
    <s v="Bono de Gobierno"/>
    <s v="Gobierno"/>
    <s v="AAA"/>
    <x v="162"/>
    <s v="Bono Ministerio De Vivienda Leasing"/>
    <n v="261858429.54000002"/>
    <n v="2.5000342068991704E-6"/>
    <e v="#N/A"/>
  </r>
  <r>
    <s v="2017-11-19"/>
    <x v="6"/>
    <s v="BVL2BV0925"/>
    <s v="BVL"/>
    <n v="2333139"/>
    <n v="127"/>
    <n v="1.0900000000000001E-4"/>
    <n v="2.65"/>
    <s v="2025-09-05"/>
    <n v="2846"/>
    <n v="3.78"/>
    <n v="98.53"/>
    <s v="UF"/>
    <s v="Bono de Gobierno"/>
    <s v="Gobierno"/>
    <s v="AAA"/>
    <x v="162"/>
    <s v="Bono Ministerio De Vivienda Leasing"/>
    <n v="8819265.4199999999"/>
    <n v="8.3493855453887988E-8"/>
    <e v="#N/A"/>
  </r>
  <r>
    <s v="2017-11-19"/>
    <x v="6"/>
    <s v="BCP0600322"/>
    <s v="BCP"/>
    <n v="1953450044"/>
    <n v="1780000000"/>
    <n v="9.1883000000000006E-2"/>
    <n v="3.88"/>
    <s v="2022-03-01"/>
    <n v="1562"/>
    <n v="3.81"/>
    <n v="108.34"/>
    <s v="$"/>
    <s v="Bono de Gobierno"/>
    <s v="Gobierno"/>
    <s v="AAA"/>
    <x v="157"/>
    <s v="Bono Bullet Bco Central En Pesos"/>
    <n v="7442644667.6400003"/>
    <n v="0"/>
    <s v=""/>
  </r>
  <r>
    <s v="2017-11-19"/>
    <x v="6"/>
    <s v="BVL2CW0928"/>
    <s v="BVL"/>
    <n v="6071901"/>
    <n v="300"/>
    <n v="2.8499999999999999E-4"/>
    <n v="2.85"/>
    <s v="2028-09-05"/>
    <n v="3942"/>
    <n v="5.14"/>
    <n v="98.26"/>
    <s v="UF"/>
    <s v="Bono de Gobierno"/>
    <s v="Gobierno"/>
    <s v="AAA"/>
    <x v="162"/>
    <s v="Bono Ministerio De Vivienda Leasing"/>
    <n v="31209571.139999997"/>
    <n v="2.9555512138052602E-7"/>
    <e v="#N/A"/>
  </r>
  <r>
    <s v="2017-11-19"/>
    <x v="6"/>
    <s v="BVL2CW0629"/>
    <s v="BVL"/>
    <n v="21348911"/>
    <n v="1000"/>
    <n v="1.0039999999999999E-3"/>
    <n v="2.9"/>
    <s v="2029-06-05"/>
    <n v="4215"/>
    <n v="5.47"/>
    <n v="97.88"/>
    <s v="UF"/>
    <s v="Bono de Gobierno"/>
    <s v="Gobierno"/>
    <s v="AAA"/>
    <x v="162"/>
    <s v="Bono Ministerio De Vivienda Leasing"/>
    <n v="116778543.17"/>
    <n v="1.1074159757986161E-6"/>
    <e v="#N/A"/>
  </r>
  <r>
    <s v="2017-11-19"/>
    <x v="6"/>
    <s v="BTU0150326"/>
    <s v="BTU"/>
    <n v="2243729006"/>
    <n v="85500"/>
    <n v="0.10553700000000001"/>
    <n v="1.76"/>
    <s v="2026-03-01"/>
    <n v="3023"/>
    <n v="7.79"/>
    <n v="98.07"/>
    <s v="UF"/>
    <s v="Bono de Gobierno"/>
    <s v="Gobierno"/>
    <s v="AAA"/>
    <x v="35"/>
    <s v="Bono Tesorería en UF"/>
    <n v="17478648956.740002"/>
    <n v="2.4842216620062877E-4"/>
    <s v=""/>
  </r>
  <r>
    <s v="2017-11-19"/>
    <x v="6"/>
    <s v="BFAL-B0510"/>
    <s v="BBFALABELL"/>
    <n v="29477201"/>
    <n v="1000"/>
    <n v="1.3860000000000001E-3"/>
    <n v="2.65"/>
    <s v="2035-05-15"/>
    <n v="6385"/>
    <n v="9.07"/>
    <n v="110.47"/>
    <s v="UF"/>
    <s v="Bono Corporativo"/>
    <s v="Financieras"/>
    <s v="AA"/>
    <x v="44"/>
    <s v="Bono Banco Falabella"/>
    <n v="267358213.07000002"/>
    <n v="1.2441469235134275E-6"/>
    <s v=""/>
  </r>
  <r>
    <s v="2017-11-19"/>
    <x v="6"/>
    <s v="BTP0500335"/>
    <s v="BTP"/>
    <n v="1079550246"/>
    <n v="1055000000"/>
    <n v="5.0777999999999997E-2"/>
    <n v="4.95"/>
    <s v="2035-03-01"/>
    <n v="6310"/>
    <n v="11.69"/>
    <n v="101.24"/>
    <s v="$"/>
    <s v="Bono de Gobierno"/>
    <s v="Gobierno"/>
    <s v="AAA"/>
    <x v="35"/>
    <s v="Bono Tesorería en CLP"/>
    <n v="12619942375.74"/>
    <n v="-1.1951892168469284E-4"/>
    <s v=""/>
  </r>
  <r>
    <s v="2017-11-19"/>
    <x v="6"/>
    <s v="BTU0200335"/>
    <s v="BTU"/>
    <n v="368575922"/>
    <n v="14000"/>
    <n v="1.7336000000000001E-2"/>
    <n v="2.13"/>
    <s v="2035-03-01"/>
    <n v="6310"/>
    <n v="14.61"/>
    <n v="98.28"/>
    <s v="UF"/>
    <s v="Bono de Gobierno"/>
    <s v="Gobierno"/>
    <s v="AAA"/>
    <x v="35"/>
    <s v="Bono Tesorería en UF"/>
    <n v="5384894220.4200001"/>
    <n v="0"/>
    <s v=""/>
  </r>
  <r>
    <s v="2017-11-19"/>
    <x v="7"/>
    <s v="CFIPGMISTR"/>
    <s v="FIP GM"/>
    <n v="29771924.901700001"/>
    <n v="29550766.9617979"/>
    <n v="3.39E-4"/>
    <n v="0"/>
    <m/>
    <n v="-43057"/>
    <n v="0"/>
    <n v="1.007484"/>
    <s v="$"/>
    <s v="Cuota de Fondo"/>
    <s v="Financieras"/>
    <s v="BBB"/>
    <x v="70"/>
    <s v="Cuotas de Fondo Caja Gabriela Mistral"/>
    <n v="0"/>
    <n v="0"/>
    <e v="#N/A"/>
  </r>
  <r>
    <s v="2017-11-19"/>
    <x v="7"/>
    <s v="CFIPLAPOL1"/>
    <s v="FIP LP 01"/>
    <n v="20553020.845899999"/>
    <n v="20528079.229659963"/>
    <n v="2.34E-4"/>
    <n v="0"/>
    <m/>
    <n v="-43057"/>
    <n v="0"/>
    <n v="1.001215"/>
    <s v="$"/>
    <s v="Cuota de Fondo"/>
    <s v="Financieras"/>
    <s v="C"/>
    <x v="71"/>
    <s v="Cuotas de Fondo La Polar"/>
    <n v="0"/>
    <n v="0"/>
    <e v="#N/A"/>
  </r>
  <r>
    <s v="2017-11-19"/>
    <x v="7"/>
    <s v="CFIAMERIS"/>
    <s v="FIP AMERIS"/>
    <n v="26935339.038400002"/>
    <n v="26727.90640818638"/>
    <n v="3.0699999999999998E-4"/>
    <n v="0"/>
    <s v="2021-10-16"/>
    <n v="1426"/>
    <n v="0"/>
    <n v="1007.7609"/>
    <s v="$"/>
    <s v="Cuota de Fondo"/>
    <s v="Financieras"/>
    <s v="BB"/>
    <x v="72"/>
    <s v="Cuotas de FIP Ameris"/>
    <n v="0"/>
    <n v="0"/>
    <e v="#N/A"/>
  </r>
  <r>
    <s v="2017-11-19"/>
    <x v="7"/>
    <s v="PAGARE NR"/>
    <s v="FNSBLE"/>
    <n v="12306136.514799999"/>
    <n v="12312941.87780186"/>
    <n v="1.3999999999999999E-4"/>
    <n v="6.6360000000000001"/>
    <s v="2017-11-22"/>
    <n v="2"/>
    <n v="0.01"/>
    <n v="99.944730000000007"/>
    <s v="$"/>
    <s v="Factura"/>
    <s v="Alimentos"/>
    <s v="BB"/>
    <x v="73"/>
    <s v="Factura Servicios Agroindustriales Subsole"/>
    <n v="123061.365148"/>
    <n v="0"/>
    <s v=""/>
  </r>
  <r>
    <s v="2017-11-19"/>
    <x v="7"/>
    <s v="PAGARE NR"/>
    <s v="FAESCOND"/>
    <n v="7024218.0107000005"/>
    <n v="7027603.7696421379"/>
    <n v="8.0000000000000007E-5"/>
    <n v="5.7839999999999998"/>
    <s v="2017-11-22"/>
    <n v="2"/>
    <n v="0.01"/>
    <n v="99.951822000000007"/>
    <s v="$"/>
    <s v="Factura"/>
    <s v="Financieras"/>
    <s v="AA+"/>
    <x v="74"/>
    <s v="Factura Minera Escondida"/>
    <n v="70242.180107000007"/>
    <n v="0"/>
    <s v=""/>
  </r>
  <r>
    <s v="2017-11-19"/>
    <x v="7"/>
    <s v="PAGARE NR"/>
    <s v="BBVA"/>
    <n v="8865195.9277999997"/>
    <n v="8867678.1682568584"/>
    <n v="1.01E-4"/>
    <n v="2.52"/>
    <s v="2017-11-23"/>
    <n v="3"/>
    <n v="0.01"/>
    <n v="99.972008000000002"/>
    <s v="$"/>
    <s v="Deposito"/>
    <s v="Financieras"/>
    <s v="N-1+"/>
    <x v="0"/>
    <s v="Deposito Banco BBVA"/>
    <n v="88651.959277999995"/>
    <n v="0"/>
    <s v=""/>
  </r>
  <r>
    <s v="2017-11-19"/>
    <x v="7"/>
    <s v="PAGARE NR"/>
    <s v="RIPLEY"/>
    <n v="886147.78249999997"/>
    <n v="886457.9275551138"/>
    <n v="1.0000000000000001E-5"/>
    <n v="2.52"/>
    <s v="2017-11-24"/>
    <n v="4"/>
    <n v="0.01"/>
    <n v="99.965012999999999"/>
    <s v="$"/>
    <s v="Deposito"/>
    <s v="Financieras"/>
    <s v="N-1+"/>
    <x v="1"/>
    <s v="Deposito Banco Ripley"/>
    <n v="8861.4778249999999"/>
    <n v="0"/>
    <s v=""/>
  </r>
  <r>
    <s v="2017-11-19"/>
    <x v="7"/>
    <s v="PAGARE NR"/>
    <s v="BICE"/>
    <n v="6498623.6331000002"/>
    <n v="6503172.6673805593"/>
    <n v="7.3999999999999996E-5"/>
    <n v="2.52"/>
    <s v="2017-11-29"/>
    <n v="9"/>
    <n v="0.03"/>
    <n v="99.930048999999997"/>
    <s v="$"/>
    <s v="Deposito"/>
    <s v="Financieras"/>
    <s v="N-1+"/>
    <x v="2"/>
    <s v="Deposito Banco Bice"/>
    <n v="194958.70899300001"/>
    <n v="0"/>
    <s v=""/>
  </r>
  <r>
    <s v="2017-11-19"/>
    <x v="7"/>
    <s v="PAGARE NR"/>
    <s v="BCI"/>
    <n v="96166573.854499996"/>
    <n v="96237096.398756996"/>
    <n v="1.0950000000000001E-3"/>
    <n v="2.64"/>
    <s v="2017-11-29"/>
    <n v="9"/>
    <n v="0.03"/>
    <n v="99.926720000000003"/>
    <s v="$"/>
    <s v="Deposito"/>
    <s v="Financieras"/>
    <s v="N-1+"/>
    <x v="9"/>
    <s v="Deposito Banco BCI"/>
    <n v="2884997.2156349998"/>
    <n v="0"/>
    <s v=""/>
  </r>
  <r>
    <s v="2017-11-19"/>
    <x v="7"/>
    <s v="PAGARE NR"/>
    <s v="FAESCOND"/>
    <n v="2524805.9515999998"/>
    <n v="2528896.1629910599"/>
    <n v="2.9E-5"/>
    <n v="5.8319999999999999"/>
    <s v="2017-11-29"/>
    <n v="9"/>
    <n v="0.03"/>
    <n v="99.838261000000003"/>
    <s v="$"/>
    <s v="Factura"/>
    <s v="Financieras"/>
    <s v="AA+"/>
    <x v="74"/>
    <s v="Factura Minera Escondida"/>
    <n v="75744.178547999996"/>
    <n v="0"/>
    <s v=""/>
  </r>
  <r>
    <s v="2017-11-19"/>
    <x v="7"/>
    <s v="BHER-A1212"/>
    <s v="LOS HEROES"/>
    <n v="16805548.573899999"/>
    <n v="16250370.430982791"/>
    <n v="1.9100000000000001E-4"/>
    <n v="5.17"/>
    <s v="2017-12-01"/>
    <n v="11"/>
    <n v="0.03"/>
    <n v="100.05"/>
    <s v="$"/>
    <s v="Bono Corporativo"/>
    <s v="Financieras"/>
    <s v="A-"/>
    <x v="75"/>
    <s v="Bono Los Heroes C.C.A.F."/>
    <n v="504166.45721699996"/>
    <n v="3.3490410958904759E-9"/>
    <s v=""/>
  </r>
  <r>
    <s v="2017-11-19"/>
    <x v="7"/>
    <s v="BEST-H1207"/>
    <s v="BBESTADO"/>
    <n v="2010254.1303999999"/>
    <m/>
    <n v="2.3E-5"/>
    <n v="-0.08"/>
    <s v="2017-12-01"/>
    <n v="11"/>
    <n v="0.03"/>
    <n v="100.12"/>
    <s v="UF"/>
    <s v="Bono Corporativo"/>
    <s v="Financieras"/>
    <s v="AAA"/>
    <x v="3"/>
    <s v="Bono Banco Estado"/>
    <n v="60307.623911999995"/>
    <n v="0"/>
    <s v=""/>
  </r>
  <r>
    <s v="2017-11-19"/>
    <x v="7"/>
    <s v="BSODI-H"/>
    <s v="SODIMAC"/>
    <n v="4407190.9296000004"/>
    <m/>
    <n v="5.0000000000000002E-5"/>
    <n v="1.5"/>
    <s v="2017-12-03"/>
    <n v="13"/>
    <n v="0.04"/>
    <n v="100.06"/>
    <s v="UF"/>
    <s v="Bono Corporativo"/>
    <s v="Consumo"/>
    <s v="AA"/>
    <x v="4"/>
    <s v="Bono Sodimac"/>
    <n v="176287.63718400002"/>
    <n v="-3.9589041095890477E-8"/>
    <s v=""/>
  </r>
  <r>
    <s v="2017-11-19"/>
    <x v="7"/>
    <s v="PAGARE NR"/>
    <s v="FHUACHI"/>
    <n v="4120385.4997"/>
    <n v="4133482.8535176562"/>
    <n v="4.6999999999999997E-5"/>
    <n v="7.1520000000000001"/>
    <s v="2017-12-05"/>
    <n v="15"/>
    <n v="0.04"/>
    <n v="99.683139999999995"/>
    <s v="$"/>
    <s v="Factura"/>
    <s v="Industriales"/>
    <s v="A+"/>
    <x v="76"/>
    <s v="Factura Compañía Siderúrgica Huachipato"/>
    <n v="164815.41998800001"/>
    <n v="0"/>
    <s v=""/>
  </r>
  <r>
    <s v="2017-11-19"/>
    <x v="7"/>
    <s v="PAGARE NR"/>
    <s v="CONSORCIO"/>
    <n v="589938.94330000004"/>
    <n v="590631.13348488754"/>
    <n v="6.9999999999999999E-6"/>
    <n v="2.64"/>
    <s v="2017-12-05"/>
    <n v="15"/>
    <n v="0.04"/>
    <n v="99.882805000000005"/>
    <s v="$"/>
    <s v="Deposito"/>
    <s v="Financieras"/>
    <s v="N-1+"/>
    <x v="5"/>
    <s v="Deposito Banco Consorcio"/>
    <n v="23597.557732000001"/>
    <n v="0"/>
    <s v=""/>
  </r>
  <r>
    <s v="2017-11-19"/>
    <x v="7"/>
    <s v="BVL3CV1217"/>
    <s v="BVL"/>
    <n v="1398844"/>
    <n v="2051"/>
    <n v="1.5E-5"/>
    <n v="-2.78"/>
    <s v="2017-12-05"/>
    <n v="15"/>
    <n v="0.04"/>
    <n v="100.26"/>
    <s v="UF"/>
    <s v="Bono de Gobierno"/>
    <s v="Gobierno"/>
    <s v="AAA"/>
    <x v="162"/>
    <s v="Bono Ministerio De Vivienda Leasing"/>
    <n v="55953.760000000002"/>
    <n v="6.3616438356164177E-9"/>
    <e v="#N/A"/>
  </r>
  <r>
    <s v="2017-11-19"/>
    <x v="7"/>
    <s v="PAGARE NR"/>
    <s v="CHILE"/>
    <n v="29968034"/>
    <n v="30000000"/>
    <n v="3.4099999999999999E-4"/>
    <n v="2.4"/>
    <s v="2017-12-05"/>
    <n v="15"/>
    <n v="0.04"/>
    <n v="99.893445999999997"/>
    <s v="$"/>
    <s v="Deposito"/>
    <s v="Financieras"/>
    <s v="N-1+"/>
    <x v="16"/>
    <s v="Deposito Banco Chile"/>
    <n v="1198721.3600000001"/>
    <n v="0"/>
    <s v=""/>
  </r>
  <r>
    <s v="2017-11-19"/>
    <x v="7"/>
    <s v="PAGARE NR"/>
    <s v="FAESCOND"/>
    <n v="1742299.5066"/>
    <n v="1747432.3093896627"/>
    <n v="2.0000000000000002E-5"/>
    <n v="5.8920000000000003"/>
    <s v="2017-12-07"/>
    <n v="17"/>
    <n v="0.05"/>
    <n v="99.706265999999999"/>
    <s v="$"/>
    <s v="Factura"/>
    <s v="Financieras"/>
    <s v="AA+"/>
    <x v="74"/>
    <s v="Factura Minera Escondida"/>
    <n v="87114.975330000001"/>
    <n v="0"/>
    <s v=""/>
  </r>
  <r>
    <s v="2017-11-19"/>
    <x v="7"/>
    <s v="PAGARE NR"/>
    <s v="FNSBLE"/>
    <n v="25046319.573399998"/>
    <n v="25159328.736653574"/>
    <n v="2.8499999999999999E-4"/>
    <n v="6.7679999999999998"/>
    <s v="2017-12-13"/>
    <n v="23"/>
    <n v="7.0000000000000007E-2"/>
    <n v="99.550826000000001"/>
    <s v="$"/>
    <s v="Factura"/>
    <s v="Alimentos"/>
    <s v="BB"/>
    <x v="73"/>
    <s v="Factura Servicios Agroindustriales Subsole"/>
    <n v="1753242.370138"/>
    <n v="0"/>
    <s v=""/>
  </r>
  <r>
    <s v="2017-11-19"/>
    <x v="7"/>
    <s v="BFSEC-A"/>
    <s v="FACSECU"/>
    <n v="596577068.81239998"/>
    <n v="15000"/>
    <n v="6.7910000000000002E-3"/>
    <n v="-2.08"/>
    <s v="2017-12-15"/>
    <n v="25"/>
    <n v="7.0000000000000007E-2"/>
    <n v="100.43"/>
    <s v="UF"/>
    <s v="Bono Corporativo"/>
    <s v="Financieras"/>
    <s v="A+"/>
    <x v="6"/>
    <s v="Bono Factoring Security"/>
    <n v="41760394.816868"/>
    <n v="0"/>
    <e v="#N/A"/>
  </r>
  <r>
    <s v="2017-11-19"/>
    <x v="7"/>
    <s v="PAGARE NR"/>
    <s v="FARAUCO"/>
    <n v="3075005.7958"/>
    <n v="3090492.5630888948"/>
    <n v="3.4999999999999997E-5"/>
    <n v="6.2519999999999998"/>
    <s v="2017-12-18"/>
    <n v="28"/>
    <n v="0.08"/>
    <n v="99.498890000000003"/>
    <s v="$"/>
    <s v="Factura"/>
    <s v="Materiales Basicos"/>
    <s v="AA-"/>
    <x v="30"/>
    <s v="Factura Celulosa Arauco"/>
    <n v="246000.46366400001"/>
    <n v="0"/>
    <s v=""/>
  </r>
  <r>
    <s v="2017-11-19"/>
    <x v="7"/>
    <s v="PAGARE NR"/>
    <s v="FAESCOND"/>
    <n v="275099.92210000003"/>
    <n v="276600.88017019071"/>
    <n v="3.0000000000000001E-6"/>
    <n v="5.952"/>
    <s v="2017-12-22"/>
    <n v="32"/>
    <n v="0.09"/>
    <n v="99.457356000000004"/>
    <s v="$"/>
    <s v="Factura"/>
    <s v="Financieras"/>
    <s v="AA+"/>
    <x v="74"/>
    <s v="Factura Minera Escondida"/>
    <n v="24758.992989000002"/>
    <n v="0"/>
    <s v=""/>
  </r>
  <r>
    <s v="2017-11-19"/>
    <x v="7"/>
    <s v="PAGARE NR"/>
    <s v="FSMXPOR"/>
    <n v="892546.41390000004"/>
    <n v="898990.61233880371"/>
    <n v="1.0000000000000001E-5"/>
    <n v="6.84"/>
    <s v="2017-12-27"/>
    <n v="37"/>
    <n v="0.1"/>
    <n v="99.283174000000002"/>
    <s v="$"/>
    <s v="Factura"/>
    <s v="Industriales"/>
    <s v="BBB-"/>
    <x v="77"/>
    <s v="Factura Multiexport"/>
    <n v="89254.641390000004"/>
    <n v="0"/>
    <s v=""/>
  </r>
  <r>
    <s v="2017-11-19"/>
    <x v="7"/>
    <s v="PAGARE NR"/>
    <s v="FAESCOND"/>
    <n v="1002586.3827"/>
    <n v="1010152.5872307724"/>
    <n v="1.1E-5"/>
    <n v="6.7919999999999998"/>
    <s v="2017-12-29"/>
    <n v="39"/>
    <n v="0.11"/>
    <n v="99.250984000000003"/>
    <s v="$"/>
    <s v="Factura"/>
    <s v="Financieras"/>
    <s v="AA+"/>
    <x v="74"/>
    <s v="Factura Minera Escondida"/>
    <n v="110284.50209699999"/>
    <n v="0"/>
    <s v=""/>
  </r>
  <r>
    <s v="2017-11-19"/>
    <x v="7"/>
    <s v="STD47O0103"/>
    <s v="SANTANDER"/>
    <n v="157951"/>
    <n v="260"/>
    <n v="9.9999999999999995E-7"/>
    <n v="0.87"/>
    <s v="2018-01-01"/>
    <n v="42"/>
    <n v="0.11"/>
    <n v="100.6"/>
    <s v="UF"/>
    <s v="Letra Hipotecaria"/>
    <s v="Financieras"/>
    <s v="AAA"/>
    <x v="10"/>
    <s v="Lh Sant-Chile-47O (01/03)"/>
    <n v="17374.61"/>
    <n v="0"/>
    <e v="#N/A"/>
  </r>
  <r>
    <s v="2017-11-19"/>
    <x v="7"/>
    <s v="BSECK10108"/>
    <s v="BBSECURITY"/>
    <n v="19165425.5097"/>
    <m/>
    <n v="2.1800000000000001E-4"/>
    <n v="0.66"/>
    <s v="2018-01-01"/>
    <n v="42"/>
    <n v="0.12"/>
    <n v="100.26"/>
    <s v="UF"/>
    <s v="Bono Corporativo"/>
    <s v="Financieras"/>
    <s v="AA-"/>
    <x v="7"/>
    <s v="Bono Banco Security"/>
    <n v="2299851.0611640001"/>
    <n v="-3.7627397260273737E-9"/>
    <s v=""/>
  </r>
  <r>
    <s v="2017-11-19"/>
    <x v="7"/>
    <s v="PAGARE NR"/>
    <s v="BCI"/>
    <n v="860983"/>
    <n v="864019"/>
    <n v="9.0000000000000002E-6"/>
    <n v="2.76"/>
    <s v="2018-01-04"/>
    <n v="45"/>
    <n v="0.13"/>
    <n v="99.648617999999999"/>
    <s v="$"/>
    <s v="Deposito"/>
    <s v="Financieras"/>
    <s v="N-1+"/>
    <x v="9"/>
    <s v="Deposito Banco BCI"/>
    <n v="111927.79000000001"/>
    <n v="0"/>
    <s v=""/>
  </r>
  <r>
    <s v="2017-11-19"/>
    <x v="7"/>
    <s v="PAGARE NR"/>
    <s v="BBVA"/>
    <n v="2945356.9303000001"/>
    <n v="2955970.0451420783"/>
    <n v="3.4E-5"/>
    <n v="2.76"/>
    <s v="2018-01-05"/>
    <n v="46"/>
    <n v="0.13"/>
    <n v="99.640960000000007"/>
    <s v="$"/>
    <s v="Deposito"/>
    <s v="Financieras"/>
    <s v="N-1+"/>
    <x v="0"/>
    <s v="Deposito Banco BBVA"/>
    <n v="382896.40093900001"/>
    <n v="0"/>
    <s v=""/>
  </r>
  <r>
    <s v="2017-11-19"/>
    <x v="7"/>
    <s v="PAGARE NR"/>
    <s v="SCOTIABANK"/>
    <n v="2944737.2464999999"/>
    <n v="2956025.4208024186"/>
    <n v="3.4E-5"/>
    <n v="2.76"/>
    <s v="2018-01-08"/>
    <n v="49"/>
    <n v="0.14000000000000001"/>
    <n v="99.618129999999994"/>
    <s v="$"/>
    <s v="Deposito"/>
    <s v="Financieras"/>
    <s v="N-1+"/>
    <x v="8"/>
    <s v="Deposito Banco Scotiabank"/>
    <n v="412263.21451000002"/>
    <n v="0"/>
    <s v=""/>
  </r>
  <r>
    <s v="2017-11-19"/>
    <x v="7"/>
    <s v="PAGARE NR"/>
    <s v="SCOTIABANK"/>
    <n v="588699.57579999999"/>
    <n v="591001.37841859588"/>
    <n v="6.9999999999999999E-6"/>
    <n v="2.76"/>
    <s v="2018-01-09"/>
    <n v="50"/>
    <n v="0.14000000000000001"/>
    <n v="99.610524999999996"/>
    <s v="$"/>
    <s v="Deposito"/>
    <s v="Financieras"/>
    <s v="N-1+"/>
    <x v="8"/>
    <s v="Deposito Banco Scotiabank"/>
    <n v="82417.940612000006"/>
    <n v="0"/>
    <s v=""/>
  </r>
  <r>
    <s v="2017-11-19"/>
    <x v="7"/>
    <s v="PAGARE NR"/>
    <s v="BBVA"/>
    <n v="883049.36369999999"/>
    <n v="886502.08542725956"/>
    <n v="1.0000000000000001E-5"/>
    <n v="2.76"/>
    <s v="2018-01-09"/>
    <n v="50"/>
    <n v="0.14000000000000001"/>
    <n v="99.610523000000001"/>
    <s v="$"/>
    <s v="Deposito"/>
    <s v="Financieras"/>
    <s v="N-1+"/>
    <x v="0"/>
    <s v="Deposito Banco BBVA"/>
    <n v="123626.91091800001"/>
    <n v="0"/>
    <s v=""/>
  </r>
  <r>
    <s v="2017-11-19"/>
    <x v="7"/>
    <s v="PAGARE NR"/>
    <s v="BICE"/>
    <n v="5888854.8092999998"/>
    <n v="5911880.2230282445"/>
    <n v="6.7000000000000002E-5"/>
    <n v="2.76"/>
    <s v="2018-01-09"/>
    <n v="50"/>
    <n v="0.14000000000000001"/>
    <n v="99.610523000000001"/>
    <s v="$"/>
    <s v="Deposito"/>
    <s v="Financieras"/>
    <s v="N-1+"/>
    <x v="2"/>
    <s v="Deposito Banco Bice"/>
    <n v="824439.67330200004"/>
    <n v="0"/>
    <s v=""/>
  </r>
  <r>
    <s v="2017-11-19"/>
    <x v="7"/>
    <s v="PAGARE NR"/>
    <s v="BCI"/>
    <n v="5888854.8092999998"/>
    <n v="5911880.2230282445"/>
    <n v="6.7000000000000002E-5"/>
    <n v="2.76"/>
    <s v="2018-01-09"/>
    <n v="50"/>
    <n v="0.14000000000000001"/>
    <n v="99.610523000000001"/>
    <s v="$"/>
    <s v="Deposito"/>
    <s v="Financieras"/>
    <s v="N-1+"/>
    <x v="9"/>
    <s v="Deposito Banco BCI"/>
    <n v="824439.67330200004"/>
    <n v="0"/>
    <s v=""/>
  </r>
  <r>
    <s v="2017-11-19"/>
    <x v="7"/>
    <s v="PAGARE NR"/>
    <s v="BCI"/>
    <n v="1314531549"/>
    <n v="1320000000"/>
    <n v="1.4962E-2"/>
    <n v="2.88"/>
    <s v="2018-01-10"/>
    <n v="51"/>
    <n v="0.14000000000000001"/>
    <n v="99.585723000000002"/>
    <s v="$"/>
    <s v="Deposito"/>
    <s v="Financieras"/>
    <s v="N-1+"/>
    <x v="9"/>
    <s v="Deposito Banco BCI"/>
    <n v="184034416.86000001"/>
    <n v="0"/>
    <s v=""/>
  </r>
  <r>
    <s v="2017-11-19"/>
    <x v="7"/>
    <s v="PAGARE NR"/>
    <s v="BICE"/>
    <n v="1766718.4112"/>
    <n v="1773455.5026000522"/>
    <n v="2.0000000000000002E-5"/>
    <n v="2.64"/>
    <s v="2018-01-10"/>
    <n v="51"/>
    <n v="0.14000000000000001"/>
    <n v="99.620114999999998"/>
    <s v="$"/>
    <s v="Deposito"/>
    <s v="Financieras"/>
    <s v="N-1+"/>
    <x v="2"/>
    <s v="Deposito Banco Bice"/>
    <n v="247340.57756800001"/>
    <n v="0"/>
    <s v=""/>
  </r>
  <r>
    <s v="2017-11-19"/>
    <x v="7"/>
    <s v="PAGARE NR"/>
    <s v="ESTADO"/>
    <n v="5888235.1255000001"/>
    <n v="5911709.5783902565"/>
    <n v="6.7000000000000002E-5"/>
    <n v="2.76"/>
    <s v="2018-01-10"/>
    <n v="51"/>
    <n v="0.14000000000000001"/>
    <n v="99.602915999999993"/>
    <s v="$"/>
    <s v="Deposito"/>
    <s v="Financieras"/>
    <s v="N-1+"/>
    <x v="3"/>
    <s v="Deposito Banco Estado"/>
    <n v="824352.91757000005"/>
    <n v="0"/>
    <s v=""/>
  </r>
  <r>
    <s v="2017-11-19"/>
    <x v="7"/>
    <s v="PAGARE NR"/>
    <s v="ESTADO"/>
    <n v="25713158.103399999"/>
    <n v="25817639.249518484"/>
    <n v="2.9300000000000002E-4"/>
    <n v="2.76"/>
    <s v="2018-01-11"/>
    <n v="52"/>
    <n v="0.15"/>
    <n v="99.595310999999995"/>
    <s v="$"/>
    <s v="Deposito"/>
    <s v="Financieras"/>
    <s v="N-1+"/>
    <x v="3"/>
    <s v="Deposito Banco Estado"/>
    <n v="3856973.7155099995"/>
    <n v="0"/>
    <s v=""/>
  </r>
  <r>
    <s v="2017-11-19"/>
    <x v="7"/>
    <s v="PAGARE NR"/>
    <s v="INTERNACIO"/>
    <n v="880154"/>
    <n v="884000"/>
    <n v="1.0000000000000001E-5"/>
    <n v="2.76"/>
    <s v="2018-01-15"/>
    <n v="56"/>
    <n v="0.16"/>
    <n v="99.564931999999999"/>
    <s v="$"/>
    <s v="Deposito"/>
    <s v="Financieras"/>
    <s v="N-1"/>
    <x v="12"/>
    <s v="Deposito Banco Internacio"/>
    <n v="140824.64000000001"/>
    <n v="0"/>
    <s v=""/>
  </r>
  <r>
    <s v="2017-11-19"/>
    <x v="7"/>
    <s v="PAGARE NR"/>
    <s v="SANTANDER"/>
    <n v="1417216.7683000001"/>
    <n v="1423409.9966954216"/>
    <n v="1.5999999999999999E-5"/>
    <n v="2.76"/>
    <s v="2018-01-15"/>
    <n v="56"/>
    <n v="0.16"/>
    <n v="99.564902000000004"/>
    <s v="$"/>
    <s v="Deposito"/>
    <s v="Financieras"/>
    <s v="N-1+"/>
    <x v="10"/>
    <s v="Deposito Banco Santander"/>
    <n v="226754.68292800002"/>
    <n v="0"/>
    <s v=""/>
  </r>
  <r>
    <s v="2017-11-19"/>
    <x v="7"/>
    <s v="PAGARE R"/>
    <s v="BICE"/>
    <n v="345868290"/>
    <n v="13000"/>
    <n v="3.9360000000000003E-3"/>
    <n v="1.57"/>
    <s v="2018-01-16"/>
    <n v="57"/>
    <n v="0.16"/>
    <m/>
    <s v="UF"/>
    <s v="Deposito"/>
    <s v="Financieras"/>
    <s v="N-1+"/>
    <x v="2"/>
    <s v="Deposito Banco Bice"/>
    <n v="55338926.399999999"/>
    <n v="0"/>
    <s v=""/>
  </r>
  <r>
    <s v="2017-11-19"/>
    <x v="7"/>
    <s v="PAGARE NR"/>
    <s v="CHILE"/>
    <n v="125539548.37890001"/>
    <n v="126155529.24311465"/>
    <n v="1.4289999999999999E-3"/>
    <n v="2.76"/>
    <s v="2018-01-22"/>
    <n v="63"/>
    <n v="0.18"/>
    <n v="99.511729000000003"/>
    <s v="$"/>
    <s v="Deposito"/>
    <s v="Financieras"/>
    <s v="N-1+"/>
    <x v="16"/>
    <s v="Deposito Banco Chile"/>
    <n v="22597118.708202001"/>
    <n v="0"/>
    <s v=""/>
  </r>
  <r>
    <s v="2017-11-19"/>
    <x v="7"/>
    <s v="PAGARE NR"/>
    <s v="SECURITY"/>
    <n v="8823677.1155999992"/>
    <n v="8867648.5034948848"/>
    <n v="1E-4"/>
    <n v="2.76"/>
    <s v="2018-01-23"/>
    <n v="64"/>
    <n v="0.18"/>
    <n v="99.504137"/>
    <s v="$"/>
    <s v="Deposito"/>
    <s v="Financieras"/>
    <s v="N-1+"/>
    <x v="7"/>
    <s v="Deposito Banco Security"/>
    <n v="1588261.8808079998"/>
    <n v="0"/>
    <s v=""/>
  </r>
  <r>
    <s v="2017-11-19"/>
    <x v="7"/>
    <s v="BCCA-C0912"/>
    <s v="ARAUCANA"/>
    <n v="5887138.3327000001"/>
    <n v="8547182.9530608673"/>
    <n v="6.7000000000000002E-5"/>
    <n v="309.26"/>
    <s v="2018-01-27"/>
    <n v="68"/>
    <n v="0.18"/>
    <n v="78.16"/>
    <s v="$"/>
    <s v="Bono Corporativo"/>
    <s v="Financieras"/>
    <s v="B"/>
    <x v="78"/>
    <s v="Bono La Araucana C.C.A.F."/>
    <n v="1059684.899886"/>
    <n v="0"/>
    <s v=""/>
  </r>
  <r>
    <s v="2017-11-19"/>
    <x v="7"/>
    <s v="BCCA-E0115"/>
    <s v="ARAUCANA"/>
    <n v="11486950.0802"/>
    <n v="16676003.130343428"/>
    <n v="1.3100000000000001E-4"/>
    <n v="309.26"/>
    <s v="2018-01-27"/>
    <n v="68"/>
    <n v="0.18"/>
    <n v="78.19"/>
    <s v="$"/>
    <s v="Bono Corporativo"/>
    <s v="Financieras"/>
    <s v="B"/>
    <x v="78"/>
    <s v="Bono La Araucana C.C.A.F."/>
    <n v="2067651.0144359998"/>
    <n v="0"/>
    <s v=""/>
  </r>
  <r>
    <s v="2017-11-19"/>
    <x v="7"/>
    <s v="BCCAR-A"/>
    <s v="ARAUCANA"/>
    <n v="293439.91690000001"/>
    <n v="426032.09716043365"/>
    <n v="3.0000000000000001E-6"/>
    <n v="309.26"/>
    <s v="2018-01-27"/>
    <n v="68"/>
    <n v="0.18"/>
    <n v="78"/>
    <s v="$"/>
    <s v="Bono Corporativo"/>
    <s v="Financieras"/>
    <s v="B"/>
    <x v="78"/>
    <s v="Bono Caja De Compensacion La Araucana"/>
    <n v="52819.185041999997"/>
    <n v="0"/>
    <e v="#N/A"/>
  </r>
  <r>
    <s v="2017-11-19"/>
    <x v="7"/>
    <s v="BCCAR-B"/>
    <s v="ARAUCANA"/>
    <n v="1467199.5845000001"/>
    <n v="2130157.3312698449"/>
    <n v="1.7E-5"/>
    <n v="309.26"/>
    <s v="2018-01-27"/>
    <n v="68"/>
    <n v="0.18"/>
    <n v="78.180000000000007"/>
    <s v="$"/>
    <s v="Bono Corporativo"/>
    <s v="Financieras"/>
    <s v="B"/>
    <x v="78"/>
    <s v="Bono Caja De Compensacion La Araucana"/>
    <n v="264095.92521000002"/>
    <n v="0"/>
    <s v=""/>
  </r>
  <r>
    <s v="2017-11-19"/>
    <x v="7"/>
    <s v="PAGARE NR"/>
    <s v="SCOTIABANK"/>
    <n v="14703236.668400001"/>
    <n v="14779889.609911885"/>
    <n v="1.6699999999999999E-4"/>
    <n v="2.76"/>
    <s v="2018-01-26"/>
    <n v="67"/>
    <n v="0.19"/>
    <n v="99.481369999999998"/>
    <s v="$"/>
    <s v="Deposito"/>
    <s v="Financieras"/>
    <s v="N-1+"/>
    <x v="8"/>
    <s v="Deposito Banco Scotiabank"/>
    <n v="2793614.9669960001"/>
    <n v="0"/>
    <s v=""/>
  </r>
  <r>
    <s v="2017-11-19"/>
    <x v="7"/>
    <s v="PAGARE NR"/>
    <s v="BCI"/>
    <n v="135768005.88679999"/>
    <n v="136506584.31667224"/>
    <n v="1.5449999999999999E-3"/>
    <n v="2.88"/>
    <s v="2018-01-26"/>
    <n v="67"/>
    <n v="0.19"/>
    <n v="99.458943000000005"/>
    <s v="$"/>
    <s v="Deposito"/>
    <s v="Financieras"/>
    <s v="N-1+"/>
    <x v="9"/>
    <s v="Deposito Banco BCI"/>
    <n v="25795921.118492"/>
    <n v="0"/>
    <s v=""/>
  </r>
  <r>
    <s v="2017-11-19"/>
    <x v="7"/>
    <s v="PAGARE NR"/>
    <s v="BCI"/>
    <n v="310177541.99839997"/>
    <n v="311939350.49486297"/>
    <n v="3.5300000000000002E-3"/>
    <n v="2.88"/>
    <s v="2018-01-29"/>
    <n v="70"/>
    <n v="0.19"/>
    <n v="99.435208000000003"/>
    <s v="$"/>
    <s v="Deposito"/>
    <s v="Financieras"/>
    <s v="N-1+"/>
    <x v="9"/>
    <s v="Deposito Banco BCI"/>
    <n v="58933732.979695998"/>
    <n v="0"/>
    <s v=""/>
  </r>
  <r>
    <s v="2017-11-19"/>
    <x v="7"/>
    <s v="PAGARE NR"/>
    <s v="ESTADO"/>
    <n v="3202567"/>
    <n v="3220000"/>
    <n v="3.6000000000000001E-5"/>
    <n v="2.76"/>
    <s v="2018-01-29"/>
    <n v="70"/>
    <n v="0.19"/>
    <n v="99.458601999999999"/>
    <s v="$"/>
    <s v="Deposito"/>
    <s v="Financieras"/>
    <s v="N-1+"/>
    <x v="3"/>
    <s v="Deposito Banco Estado"/>
    <n v="608487.73"/>
    <n v="0"/>
    <s v=""/>
  </r>
  <r>
    <s v="2017-11-19"/>
    <x v="7"/>
    <s v="PAGARE NR"/>
    <s v="SCOTIABANK"/>
    <n v="4997749.5566999996"/>
    <n v="5024954.0043957783"/>
    <n v="5.7000000000000003E-5"/>
    <n v="2.76"/>
    <s v="2018-01-29"/>
    <n v="70"/>
    <n v="0.19"/>
    <n v="99.458613"/>
    <s v="$"/>
    <s v="Deposito"/>
    <s v="Financieras"/>
    <s v="N-1+"/>
    <x v="8"/>
    <s v="Deposito Banco Scotiabank"/>
    <n v="949572.41577299999"/>
    <n v="0"/>
    <s v=""/>
  </r>
  <r>
    <s v="2017-11-19"/>
    <x v="7"/>
    <s v="BSTDY30208"/>
    <s v="BBSANT-CHI"/>
    <n v="3206863.4786999999"/>
    <m/>
    <n v="3.6000000000000001E-5"/>
    <n v="1"/>
    <s v="2018-02-01"/>
    <n v="73"/>
    <n v="0.2"/>
    <n v="100.54"/>
    <s v="UF"/>
    <s v="Bono Corporativo"/>
    <s v="Financieras"/>
    <s v="AAA"/>
    <x v="10"/>
    <s v="Bono Banco Santander"/>
    <n v="641372.69574"/>
    <n v="-3.6157808219177753E-8"/>
    <s v=""/>
  </r>
  <r>
    <s v="2017-11-19"/>
    <x v="7"/>
    <s v="PAGARE R"/>
    <s v="SANTANDER"/>
    <n v="31752669.567200001"/>
    <m/>
    <n v="3.6099999999999999E-4"/>
    <n v="1.36"/>
    <s v="2018-02-06"/>
    <n v="78"/>
    <n v="0.22"/>
    <n v="1068.9784"/>
    <s v="UF"/>
    <s v="Deposito"/>
    <s v="Financieras"/>
    <s v="N-1+"/>
    <x v="10"/>
    <s v="Deposito Banco Santander"/>
    <n v="6985587.3047839999"/>
    <n v="0"/>
    <s v=""/>
  </r>
  <r>
    <s v="2017-11-19"/>
    <x v="7"/>
    <s v="PAGARE NR"/>
    <s v="BBVA"/>
    <n v="94816351.902899995"/>
    <n v="95405162.033345968"/>
    <n v="1.0790000000000001E-3"/>
    <n v="2.76"/>
    <s v="2018-02-08"/>
    <n v="80"/>
    <n v="0.22"/>
    <n v="99.382831999999993"/>
    <s v="$"/>
    <s v="Deposito"/>
    <s v="Financieras"/>
    <s v="N-1+"/>
    <x v="0"/>
    <s v="Deposito Banco BBVA"/>
    <n v="20859597.418637998"/>
    <n v="0"/>
    <s v=""/>
  </r>
  <r>
    <s v="2017-11-19"/>
    <x v="7"/>
    <s v="PAGARE NR"/>
    <s v="SCOTIABANK"/>
    <n v="11736810.4902"/>
    <n v="11824132.417511266"/>
    <n v="1.34E-4"/>
    <n v="2.88"/>
    <s v="2018-02-20"/>
    <n v="92"/>
    <n v="0.25"/>
    <n v="99.261493999999999"/>
    <s v="$"/>
    <s v="Deposito"/>
    <s v="Financieras"/>
    <s v="N-1+"/>
    <x v="8"/>
    <s v="Deposito Banco Scotiabank"/>
    <n v="2934202.62255"/>
    <n v="0"/>
    <s v=""/>
  </r>
  <r>
    <s v="2017-11-19"/>
    <x v="7"/>
    <s v="PAGARE NR"/>
    <s v="ITAUCORP"/>
    <n v="4692245.4610000001"/>
    <n v="4729408.0617937203"/>
    <n v="5.3000000000000001E-5"/>
    <n v="2.88"/>
    <s v="2018-02-26"/>
    <n v="98"/>
    <n v="0.27"/>
    <n v="99.214223000000004"/>
    <s v="$"/>
    <s v="Deposito"/>
    <s v="Financieras"/>
    <s v="N-1+"/>
    <x v="11"/>
    <s v="Deposito Banco Itaucorp"/>
    <n v="1266906.2744700001"/>
    <n v="0"/>
    <s v=""/>
  </r>
  <r>
    <s v="2017-11-19"/>
    <x v="7"/>
    <s v="PAGARE NR"/>
    <s v="SECURITY"/>
    <n v="476190"/>
    <n v="480000"/>
    <n v="5.0000000000000004E-6"/>
    <n v="2.88"/>
    <s v="2018-02-27"/>
    <n v="99"/>
    <n v="0.27"/>
    <n v="99.206249999999997"/>
    <s v="$"/>
    <s v="Deposito"/>
    <s v="Financieras"/>
    <s v="N-1+"/>
    <x v="7"/>
    <s v="Deposito Banco Security"/>
    <n v="128571.3"/>
    <n v="0"/>
    <s v=""/>
  </r>
  <r>
    <s v="2017-11-19"/>
    <x v="7"/>
    <s v="PAGARE NR"/>
    <s v="SECURITY"/>
    <n v="2932343.5712000001"/>
    <n v="2956036.9165832754"/>
    <n v="3.3000000000000003E-5"/>
    <n v="2.88"/>
    <s v="2018-02-28"/>
    <n v="100"/>
    <n v="0.28000000000000003"/>
    <n v="99.198475999999999"/>
    <s v="$"/>
    <s v="Deposito"/>
    <s v="Financieras"/>
    <s v="N-1+"/>
    <x v="7"/>
    <s v="Deposito Banco Security"/>
    <n v="821056.19993600016"/>
    <n v="0"/>
    <s v=""/>
  </r>
  <r>
    <s v="2017-11-19"/>
    <x v="7"/>
    <s v="PAGARE NR"/>
    <s v="BICE"/>
    <n v="7330239.2444000002"/>
    <n v="7390054.0462038126"/>
    <n v="8.2999999999999998E-5"/>
    <n v="2.88"/>
    <s v="2018-03-01"/>
    <n v="101"/>
    <n v="0.28000000000000003"/>
    <n v="99.190603999999993"/>
    <s v="$"/>
    <s v="Deposito"/>
    <s v="Financieras"/>
    <s v="N-1+"/>
    <x v="2"/>
    <s v="Deposito Banco Bice"/>
    <n v="2052466.9884320002"/>
    <n v="0"/>
    <s v=""/>
  </r>
  <r>
    <s v="2017-11-19"/>
    <x v="7"/>
    <s v="PAGARE NR"/>
    <s v="BCI"/>
    <n v="14660478.488700001"/>
    <n v="14780108.092407625"/>
    <n v="1.6699999999999999E-4"/>
    <n v="2.88"/>
    <s v="2018-03-01"/>
    <n v="101"/>
    <n v="0.28000000000000003"/>
    <n v="99.190603999999993"/>
    <s v="$"/>
    <s v="Deposito"/>
    <s v="Financieras"/>
    <s v="N-1+"/>
    <x v="9"/>
    <s v="Deposito Banco BCI"/>
    <n v="4104933.9768360006"/>
    <n v="0"/>
    <s v=""/>
  </r>
  <r>
    <s v="2017-11-19"/>
    <x v="7"/>
    <s v="BVL3AV0618"/>
    <s v="BVL"/>
    <n v="10607432"/>
    <n v="5365"/>
    <n v="1.2E-4"/>
    <n v="1.8"/>
    <s v="2018-06-05"/>
    <n v="197"/>
    <n v="0.28999999999999998"/>
    <n v="100.35"/>
    <s v="UF"/>
    <s v="Bono de Gobierno"/>
    <s v="Gobierno"/>
    <s v="AAA"/>
    <x v="162"/>
    <s v="Bono Ministerio De Vivienda Leasing"/>
    <n v="3076155.28"/>
    <n v="5.3954699213234141E-8"/>
    <e v="#N/A"/>
  </r>
  <r>
    <s v="2017-11-19"/>
    <x v="7"/>
    <s v="PAGARE NR"/>
    <s v="BCI"/>
    <n v="5860969.0399000002"/>
    <n v="5912076.6963629127"/>
    <n v="6.7000000000000002E-5"/>
    <n v="2.88"/>
    <s v="2018-03-08"/>
    <n v="108"/>
    <n v="0.3"/>
    <n v="99.135537999999997"/>
    <s v="$"/>
    <s v="Deposito"/>
    <s v="Financieras"/>
    <s v="N-1+"/>
    <x v="9"/>
    <s v="Deposito Banco BCI"/>
    <n v="1758290.7119700001"/>
    <n v="0"/>
    <s v=""/>
  </r>
  <r>
    <s v="2017-11-19"/>
    <x v="7"/>
    <s v="PAGARE NR"/>
    <s v="BCI"/>
    <n v="12295840.9409"/>
    <n v="12404044.21569613"/>
    <n v="1.3899999999999999E-4"/>
    <n v="2.88"/>
    <s v="2018-03-09"/>
    <n v="109"/>
    <n v="0.3"/>
    <n v="99.127678000000003"/>
    <s v="$"/>
    <s v="Deposito"/>
    <s v="Financieras"/>
    <s v="N-1+"/>
    <x v="9"/>
    <s v="Deposito Banco BCI"/>
    <n v="3688752.2822699999"/>
    <n v="0"/>
    <s v=""/>
  </r>
  <r>
    <s v="2017-11-19"/>
    <x v="7"/>
    <s v="PAGARE NR"/>
    <s v="BBVA"/>
    <n v="14645606.078400001"/>
    <n v="14780345.779752634"/>
    <n v="1.6699999999999999E-4"/>
    <n v="2.88"/>
    <s v="2018-03-14"/>
    <n v="114"/>
    <n v="0.32"/>
    <n v="99.088386"/>
    <s v="$"/>
    <s v="Deposito"/>
    <s v="Financieras"/>
    <s v="N-1+"/>
    <x v="0"/>
    <s v="Deposito Banco BBVA"/>
    <n v="4686593.945088"/>
    <n v="0"/>
    <s v=""/>
  </r>
  <r>
    <s v="2017-11-19"/>
    <x v="7"/>
    <s v="PAGARE NR"/>
    <s v="INTERNACIO"/>
    <n v="35113528.695100002"/>
    <n v="35450033.288812511"/>
    <n v="3.9899999999999999E-4"/>
    <n v="3"/>
    <s v="2018-03-14"/>
    <n v="114"/>
    <n v="0.32"/>
    <n v="99.050763500000002"/>
    <s v="$"/>
    <s v="Deposito"/>
    <s v="Financieras"/>
    <s v="N-1"/>
    <x v="12"/>
    <s v="Deposito Banco Internacio"/>
    <n v="11236329.182432001"/>
    <n v="0"/>
    <s v=""/>
  </r>
  <r>
    <s v="2017-11-19"/>
    <x v="7"/>
    <s v="PAGARE NR"/>
    <s v="ITAUCORP"/>
    <n v="5711625.2527999999"/>
    <n v="5764172.2540399441"/>
    <n v="6.4999999999999994E-5"/>
    <n v="2.88"/>
    <s v="2018-03-14"/>
    <n v="114"/>
    <n v="0.32"/>
    <n v="99.088386"/>
    <s v="$"/>
    <s v="Deposito"/>
    <s v="Financieras"/>
    <s v="N-1+"/>
    <x v="11"/>
    <s v="Deposito Banco Itaucorp"/>
    <n v="1827720.0808959999"/>
    <n v="0"/>
    <s v=""/>
  </r>
  <r>
    <s v="2017-11-19"/>
    <x v="7"/>
    <s v="PAGARE NR"/>
    <s v="SANTANDER"/>
    <n v="23658587.908399999"/>
    <n v="23880032.223220363"/>
    <n v="2.6899999999999998E-4"/>
    <n v="2.88"/>
    <s v="2018-03-16"/>
    <n v="116"/>
    <n v="0.32"/>
    <n v="99.072680000000005"/>
    <s v="$"/>
    <s v="Deposito"/>
    <s v="Financieras"/>
    <s v="N-1+"/>
    <x v="10"/>
    <s v="Deposito Banco Santander"/>
    <n v="7570748.1306879995"/>
    <n v="0"/>
    <s v=""/>
  </r>
  <r>
    <s v="2017-11-19"/>
    <x v="7"/>
    <s v="PAGARE NR"/>
    <s v="BICE"/>
    <n v="47317175.816799998"/>
    <n v="47760064.928511724"/>
    <n v="5.3899999999999998E-4"/>
    <n v="2.88"/>
    <s v="2018-03-16"/>
    <n v="116"/>
    <n v="0.32"/>
    <n v="99.072678999999994"/>
    <s v="$"/>
    <s v="Deposito"/>
    <s v="Financieras"/>
    <s v="N-1+"/>
    <x v="2"/>
    <s v="Deposito Banco Bice"/>
    <n v="15141496.261375999"/>
    <n v="0"/>
    <s v=""/>
  </r>
  <r>
    <s v="2017-11-19"/>
    <x v="7"/>
    <s v="PAGARE NR"/>
    <s v="SCOTIABANK"/>
    <n v="5855391.8859999999"/>
    <n v="5911603.6700858185"/>
    <n v="6.7000000000000002E-5"/>
    <n v="2.88"/>
    <s v="2018-03-19"/>
    <n v="119"/>
    <n v="0.33"/>
    <n v="99.049127999999996"/>
    <s v="$"/>
    <s v="Deposito"/>
    <s v="Financieras"/>
    <s v="N-1+"/>
    <x v="8"/>
    <s v="Deposito Banco Scotiabank"/>
    <n v="1932279.32238"/>
    <n v="0"/>
    <s v=""/>
  </r>
  <r>
    <s v="2017-11-19"/>
    <x v="7"/>
    <s v="PAGARE NR"/>
    <s v="RIPLEY"/>
    <n v="53118875.7601"/>
    <n v="53671311.94949764"/>
    <n v="6.0499999999999996E-4"/>
    <n v="3.12"/>
    <s v="2018-03-19"/>
    <n v="119"/>
    <n v="0.33"/>
    <n v="98.970704499999997"/>
    <s v="$"/>
    <s v="Deposito"/>
    <s v="Financieras"/>
    <s v="N-1+"/>
    <x v="1"/>
    <s v="Deposito Banco Ripley"/>
    <n v="17529229.000833001"/>
    <n v="0"/>
    <s v=""/>
  </r>
  <r>
    <s v="2017-11-19"/>
    <x v="7"/>
    <s v="PAGARE NR"/>
    <s v="ITAUCORP"/>
    <n v="14295484.751700001"/>
    <n v="14432721.458906738"/>
    <n v="1.63E-4"/>
    <n v="2.88"/>
    <s v="2018-03-19"/>
    <n v="119"/>
    <n v="0.33"/>
    <n v="99.049127999999996"/>
    <s v="$"/>
    <s v="Deposito"/>
    <s v="Financieras"/>
    <s v="N-1+"/>
    <x v="11"/>
    <s v="Deposito Banco Itaucorp"/>
    <n v="4717509.9680610001"/>
    <n v="0"/>
    <s v=""/>
  </r>
  <r>
    <s v="2017-11-19"/>
    <x v="7"/>
    <s v="PAGARE NR"/>
    <s v="FALABELLA"/>
    <n v="59128522.805"/>
    <n v="59700887.150323585"/>
    <n v="6.7299999999999999E-4"/>
    <n v="2.88"/>
    <s v="2018-03-20"/>
    <n v="120"/>
    <n v="0.33"/>
    <n v="99.04128"/>
    <s v="$"/>
    <s v="Deposito"/>
    <s v="Financieras"/>
    <s v="AA"/>
    <x v="44"/>
    <s v="Deposito Banco Falabella"/>
    <n v="19512412.525650002"/>
    <n v="0"/>
    <s v=""/>
  </r>
  <r>
    <s v="2017-11-19"/>
    <x v="7"/>
    <s v="PAGARE NR"/>
    <s v="ITAU"/>
    <n v="4682950.2045"/>
    <n v="4729405.1173717426"/>
    <n v="5.3000000000000001E-5"/>
    <n v="2.88"/>
    <s v="2018-03-23"/>
    <n v="123"/>
    <n v="0.34"/>
    <n v="99.017742999999996"/>
    <s v="$"/>
    <s v="Deposito"/>
    <s v="Financieras"/>
    <s v="N-1+"/>
    <x v="11"/>
    <s v="Deposito Banco Itau"/>
    <n v="1592203.0695300002"/>
    <n v="0"/>
    <s v=""/>
  </r>
  <r>
    <s v="2017-11-19"/>
    <x v="7"/>
    <s v="PAGARE NR"/>
    <s v="INTERNACIO"/>
    <n v="47252118.065099999"/>
    <n v="47760078.499215752"/>
    <n v="5.3799999999999996E-4"/>
    <n v="3"/>
    <s v="2018-03-28"/>
    <n v="128"/>
    <n v="0.35"/>
    <n v="98.936432999999994"/>
    <s v="$"/>
    <s v="Deposito"/>
    <s v="Financieras"/>
    <s v="N-1"/>
    <x v="12"/>
    <s v="Deposito Banco Internacio"/>
    <n v="16538241.322784999"/>
    <n v="0"/>
    <s v=""/>
  </r>
  <r>
    <s v="2017-11-19"/>
    <x v="7"/>
    <s v="PAGARE NR"/>
    <s v="SCOTIABANK"/>
    <n v="4383624.6462000003"/>
    <n v="4429214.2383281142"/>
    <n v="5.0000000000000002E-5"/>
    <n v="2.88"/>
    <s v="2018-03-29"/>
    <n v="129"/>
    <n v="0.36"/>
    <n v="98.970707000000004"/>
    <s v="$"/>
    <s v="Deposito"/>
    <s v="Financieras"/>
    <s v="N-1+"/>
    <x v="8"/>
    <s v="Deposito Banco Scotiabank"/>
    <n v="1578104.8726320001"/>
    <n v="0"/>
    <s v=""/>
  </r>
  <r>
    <s v="2017-11-19"/>
    <x v="7"/>
    <s v="BHER-C0413"/>
    <s v="LOS HEROES"/>
    <n v="1344932.9524000001"/>
    <n v="10658634.64119583"/>
    <n v="1.5E-5"/>
    <n v="5.55"/>
    <s v="2018-04-01"/>
    <n v="132"/>
    <n v="0.36"/>
    <n v="100.16"/>
    <s v="$"/>
    <s v="Bono Corporativo"/>
    <s v="Financieras"/>
    <s v="A-"/>
    <x v="75"/>
    <s v="Bono Los Heroes C.C.A.F."/>
    <n v="484175.86286400002"/>
    <n v="-6.2876712328765652E-10"/>
    <s v=""/>
  </r>
  <r>
    <s v="2017-11-19"/>
    <x v="7"/>
    <s v="CERO010418"/>
    <s v="CERO"/>
    <n v="236555999"/>
    <n v="8904.9599999999991"/>
    <n v="2.6919999999999999E-3"/>
    <n v="1.1200000000000001"/>
    <s v="2018-04-01"/>
    <n v="132"/>
    <n v="0.36"/>
    <n v="1.54"/>
    <s v="UF"/>
    <s v="Bono de Gobierno"/>
    <s v="Gobierno"/>
    <s v="AAA"/>
    <x v="157"/>
    <s v="Bono Cero"/>
    <n v="85160159.640000001"/>
    <n v="1.2412701369862953E-6"/>
    <e v="#N/A"/>
  </r>
  <r>
    <s v="2017-11-19"/>
    <x v="7"/>
    <s v="BBBVJ40413"/>
    <s v="BBBVA"/>
    <n v="41956379.525300004"/>
    <m/>
    <n v="4.7800000000000002E-4"/>
    <n v="1.24"/>
    <s v="2018-04-01"/>
    <n v="132"/>
    <n v="0.36"/>
    <n v="100.63"/>
    <s v="UF"/>
    <s v="Bono Corporativo"/>
    <s v="Financieras"/>
    <s v="AA"/>
    <x v="0"/>
    <s v="Bono Banco BBVA"/>
    <n v="15104296.629108001"/>
    <n v="-1.8033041095890345E-7"/>
    <s v=""/>
  </r>
  <r>
    <s v="2017-11-19"/>
    <x v="7"/>
    <s v="BBNS-P0413"/>
    <s v="BBSCOTIABA"/>
    <n v="59853346.9498"/>
    <m/>
    <n v="6.8099999999999996E-4"/>
    <n v="1"/>
    <s v="2018-04-01"/>
    <n v="132"/>
    <n v="0.36"/>
    <n v="100.9"/>
    <s v="UF"/>
    <s v="Bono Corporativo"/>
    <s v="Financieras"/>
    <s v="AAA"/>
    <x v="8"/>
    <s v="Bono Scotiabank"/>
    <n v="21547204.901928"/>
    <n v="2.2836821917808192E-7"/>
    <s v=""/>
  </r>
  <r>
    <s v="2017-11-19"/>
    <x v="7"/>
    <s v="PAGARE NR"/>
    <s v="INTERNACIO"/>
    <n v="11693432.626700001"/>
    <n v="11824009.299780734"/>
    <n v="1.3300000000000001E-4"/>
    <n v="3"/>
    <s v="2018-04-02"/>
    <n v="133"/>
    <n v="0.37"/>
    <n v="98.895664999999994"/>
    <s v="$"/>
    <s v="Deposito"/>
    <s v="Financieras"/>
    <s v="N-1"/>
    <x v="12"/>
    <s v="Deposito Banco Internacio"/>
    <n v="4326570.0718790004"/>
    <n v="0"/>
    <s v=""/>
  </r>
  <r>
    <s v="2017-11-19"/>
    <x v="7"/>
    <s v="PAGARE NR"/>
    <s v="SECURITY"/>
    <n v="14620818.7278"/>
    <n v="14779893.240777161"/>
    <n v="1.66E-4"/>
    <n v="2.88"/>
    <s v="2018-04-04"/>
    <n v="135"/>
    <n v="0.37"/>
    <n v="98.92371"/>
    <s v="$"/>
    <s v="Deposito"/>
    <s v="Financieras"/>
    <s v="N-1+"/>
    <x v="7"/>
    <s v="Deposito Banco Security"/>
    <n v="5409702.9292860003"/>
    <n v="0"/>
    <s v=""/>
  </r>
  <r>
    <s v="2017-11-19"/>
    <x v="7"/>
    <s v="BBBVM21011"/>
    <s v="BBBVA"/>
    <n v="26522265.405099999"/>
    <m/>
    <n v="3.0200000000000002E-4"/>
    <n v="1.4"/>
    <s v="2018-04-09"/>
    <n v="140"/>
    <n v="0.38"/>
    <n v="100.61"/>
    <s v="UF"/>
    <s v="Bono Corporativo"/>
    <s v="Financieras"/>
    <s v="AA"/>
    <x v="0"/>
    <s v="Bono Banco BBVA"/>
    <n v="10078460.853938"/>
    <n v="1.3321095890410708E-8"/>
    <s v=""/>
  </r>
  <r>
    <s v="2017-11-19"/>
    <x v="7"/>
    <s v="PAGARE NR"/>
    <s v="CONSORCIO"/>
    <n v="6423641.8975999998"/>
    <n v="6503252.2403140748"/>
    <n v="7.2999999999999999E-5"/>
    <n v="3.12"/>
    <s v="2018-04-11"/>
    <n v="142"/>
    <n v="0.39"/>
    <n v="98.775837999999993"/>
    <s v="$"/>
    <s v="Deposito"/>
    <s v="Financieras"/>
    <s v="N-1+"/>
    <x v="5"/>
    <s v="Deposito Banco Consorcio"/>
    <n v="2505220.3400639999"/>
    <n v="0"/>
    <s v=""/>
  </r>
  <r>
    <s v="2017-11-19"/>
    <x v="7"/>
    <s v="PAGARE NR"/>
    <s v="ESTADO"/>
    <n v="12652083.409600001"/>
    <n v="12797835.526814137"/>
    <n v="1.44E-4"/>
    <n v="2.88"/>
    <s v="2018-04-12"/>
    <n v="143"/>
    <n v="0.39"/>
    <n v="98.861119000000002"/>
    <s v="$"/>
    <s v="Deposito"/>
    <s v="Financieras"/>
    <s v="N-1+"/>
    <x v="3"/>
    <s v="Deposito Banco Estado"/>
    <n v="4934312.5297440002"/>
    <n v="0"/>
    <s v=""/>
  </r>
  <r>
    <s v="2017-11-19"/>
    <x v="7"/>
    <s v="PAGARE NR"/>
    <s v="BICECORP"/>
    <n v="2919330.2122"/>
    <n v="2956016.4754358563"/>
    <n v="3.3000000000000003E-5"/>
    <n v="3.12"/>
    <s v="2018-04-13"/>
    <n v="144"/>
    <n v="0.4"/>
    <n v="98.758928999999995"/>
    <s v="$"/>
    <s v="Deposito"/>
    <s v="Financieras"/>
    <s v="N-1+"/>
    <x v="13"/>
    <s v="Deposito Banco Bice"/>
    <n v="1167732.08488"/>
    <n v="0"/>
    <s v=""/>
  </r>
  <r>
    <s v="2017-11-19"/>
    <x v="7"/>
    <s v="PAGARE NR"/>
    <s v="RIPLEY"/>
    <n v="70751426.650399998"/>
    <n v="71640536.574089423"/>
    <n v="8.0500000000000005E-4"/>
    <n v="3.12"/>
    <s v="2018-04-13"/>
    <n v="144"/>
    <n v="0.4"/>
    <n v="98.758928999999995"/>
    <s v="$"/>
    <s v="Deposito"/>
    <s v="Financieras"/>
    <s v="N-1+"/>
    <x v="1"/>
    <s v="Deposito Banco Ripley"/>
    <n v="28300570.660160001"/>
    <n v="0"/>
    <s v=""/>
  </r>
  <r>
    <s v="2017-11-19"/>
    <x v="7"/>
    <s v="BBECP-B"/>
    <s v="BICECORP"/>
    <n v="3927555.6962000001"/>
    <n v="15369372.521861276"/>
    <n v="4.5000000000000003E-5"/>
    <n v="3.39"/>
    <s v="2018-07-15"/>
    <n v="237"/>
    <n v="0.4"/>
    <n v="100.55"/>
    <s v="$"/>
    <s v="Bono Corporativo"/>
    <s v="Financieras"/>
    <s v="AA"/>
    <x v="13"/>
    <s v="Bono Bice B"/>
    <n v="1571022.2784800001"/>
    <n v="0"/>
    <s v=""/>
  </r>
  <r>
    <s v="2017-11-19"/>
    <x v="7"/>
    <s v="PAGARE NR"/>
    <s v="INTERNACIO"/>
    <n v="5836181.6893999996"/>
    <n v="5911546.2785082813"/>
    <n v="6.6000000000000005E-5"/>
    <n v="3.12"/>
    <s v="2018-04-17"/>
    <n v="148"/>
    <n v="0.41"/>
    <n v="98.725128999999995"/>
    <s v="$"/>
    <s v="Deposito"/>
    <s v="Financieras"/>
    <s v="N-1"/>
    <x v="12"/>
    <s v="Deposito Banco Internacio"/>
    <n v="2392834.4926539995"/>
    <n v="0"/>
    <s v=""/>
  </r>
  <r>
    <s v="2017-11-19"/>
    <x v="7"/>
    <s v="PAGARE NR"/>
    <s v="ITAUCORP"/>
    <n v="26970172.912"/>
    <n v="27293815.055739593"/>
    <n v="3.0699999999999998E-4"/>
    <n v="2.88"/>
    <s v="2018-04-18"/>
    <n v="149"/>
    <n v="0.41"/>
    <n v="98.814228999999997"/>
    <s v="$"/>
    <s v="Deposito"/>
    <s v="Financieras"/>
    <s v="N-1+"/>
    <x v="11"/>
    <s v="Deposito Banco Itaucorp"/>
    <n v="11057770.893919999"/>
    <n v="0"/>
    <s v=""/>
  </r>
  <r>
    <s v="2017-11-19"/>
    <x v="7"/>
    <s v="BVL3AV0918"/>
    <s v="BVL"/>
    <n v="9433007"/>
    <n v="3585"/>
    <n v="1.07E-4"/>
    <n v="1.72"/>
    <s v="2018-09-05"/>
    <n v="289"/>
    <n v="0.41"/>
    <n v="100.52"/>
    <s v="UF"/>
    <s v="Bono de Gobierno"/>
    <s v="Gobierno"/>
    <s v="AAA"/>
    <x v="162"/>
    <s v="Bono Ministerio De Vivienda Leasing"/>
    <n v="3867532.8699999996"/>
    <n v="4.0287159769685899E-8"/>
    <e v="#N/A"/>
  </r>
  <r>
    <s v="2017-11-19"/>
    <x v="7"/>
    <s v="BCNO-L1114"/>
    <s v="BBCONSORC"/>
    <n v="73215858.452800006"/>
    <m/>
    <n v="8.3299999999999997E-4"/>
    <n v="1.19"/>
    <s v="2018-05-01"/>
    <n v="162"/>
    <n v="0.44"/>
    <n v="100.45"/>
    <s v="UF"/>
    <s v="Bono Corporativo"/>
    <s v="Financieras"/>
    <s v="AA-"/>
    <x v="5"/>
    <s v="Bono Banco Consorcio"/>
    <n v="32214977.719232004"/>
    <n v="1.2395371953218586E-7"/>
    <s v=""/>
  </r>
  <r>
    <s v="2017-11-19"/>
    <x v="7"/>
    <s v="BHER-E0813"/>
    <s v="LOS HEROES"/>
    <n v="21751233.839899998"/>
    <m/>
    <n v="2.4800000000000001E-4"/>
    <n v="2.2999999999999998"/>
    <s v="2018-08-01"/>
    <n v="254"/>
    <n v="0.44"/>
    <n v="100.6"/>
    <s v="UF"/>
    <s v="Bono Corporativo"/>
    <s v="Financieras"/>
    <s v="A-"/>
    <x v="75"/>
    <s v="Bono Los Heroes C.C.A.F."/>
    <n v="9570542.889556"/>
    <n v="9.9451198440582426E-8"/>
    <s v=""/>
  </r>
  <r>
    <s v="2017-11-19"/>
    <x v="7"/>
    <s v="BCENC-E"/>
    <s v="CENCOSUD"/>
    <n v="35672040.166500002"/>
    <n v="1000"/>
    <n v="4.06E-4"/>
    <n v="1.75"/>
    <s v="2018-05-07"/>
    <n v="168"/>
    <n v="0.46"/>
    <n v="100.8"/>
    <s v="UF"/>
    <s v="Bono Corporativo"/>
    <s v="Consumo"/>
    <s v="AA-"/>
    <x v="14"/>
    <s v="Bono Cencosud S.A."/>
    <n v="16409138.476590002"/>
    <n v="4.136377035036893E-8"/>
    <s v=""/>
  </r>
  <r>
    <s v="2017-11-19"/>
    <x v="7"/>
    <s v="PAGARE NR"/>
    <s v="BCI"/>
    <n v="739463"/>
    <n v="750000"/>
    <n v="7.9999999999999996E-6"/>
    <n v="3"/>
    <s v="2018-05-09"/>
    <n v="170"/>
    <n v="0.47"/>
    <n v="98.595066000000003"/>
    <s v="$"/>
    <s v="Deposito"/>
    <s v="Financieras"/>
    <s v="N-1+"/>
    <x v="9"/>
    <s v="Deposito Banco BCI"/>
    <n v="347547.61"/>
    <n v="0"/>
    <s v=""/>
  </r>
  <r>
    <s v="2017-11-19"/>
    <x v="7"/>
    <s v="PAGARE NR"/>
    <s v="BBVA"/>
    <n v="49321338"/>
    <n v="50000000"/>
    <n v="5.6099999999999998E-4"/>
    <n v="2.88"/>
    <s v="2018-05-10"/>
    <n v="171"/>
    <n v="0.47"/>
    <n v="98.642675999999994"/>
    <s v="$"/>
    <s v="Deposito"/>
    <s v="Financieras"/>
    <s v="N-1+"/>
    <x v="0"/>
    <s v="Deposito Banco BBVA"/>
    <n v="23181028.859999999"/>
    <n v="0"/>
    <s v=""/>
  </r>
  <r>
    <s v="2017-11-19"/>
    <x v="7"/>
    <s v="PAGARE NR"/>
    <s v="CONSORCIO"/>
    <n v="29096631.4549"/>
    <n v="29560625.977632534"/>
    <n v="3.3100000000000002E-4"/>
    <n v="3.12"/>
    <s v="2018-05-22"/>
    <n v="183"/>
    <n v="0.5"/>
    <n v="98.430363"/>
    <s v="$"/>
    <s v="Deposito"/>
    <s v="Financieras"/>
    <s v="N-1+"/>
    <x v="5"/>
    <s v="Deposito Banco Consorcio"/>
    <n v="14548315.72745"/>
    <n v="0"/>
    <s v=""/>
  </r>
  <r>
    <s v="2017-11-19"/>
    <x v="7"/>
    <s v="PAGARE NR"/>
    <s v="ESTADO"/>
    <n v="10188840.447699999"/>
    <n v="10345918.493262999"/>
    <n v="1.16E-4"/>
    <n v="3"/>
    <s v="2018-05-23"/>
    <n v="184"/>
    <n v="0.51"/>
    <n v="98.481739000000005"/>
    <s v="$"/>
    <s v="Deposito"/>
    <s v="Financieras"/>
    <s v="N-1+"/>
    <x v="3"/>
    <s v="Deposito Banco Estado"/>
    <n v="5196308.628327"/>
    <n v="0"/>
    <s v=""/>
  </r>
  <r>
    <s v="2017-11-19"/>
    <x v="7"/>
    <s v="BPLZA-I"/>
    <s v="PLAZA S.A."/>
    <n v="540983.92599999998"/>
    <m/>
    <n v="6.0000000000000002E-6"/>
    <n v="0.95"/>
    <s v="2018-05-30"/>
    <n v="191"/>
    <n v="0.51"/>
    <n v="101.29"/>
    <s v="UF"/>
    <s v="Bono Corporativo"/>
    <s v="Consumo"/>
    <s v="AA"/>
    <x v="15"/>
    <s v="Bono Plaza S.A."/>
    <n v="275901.80225999997"/>
    <n v="0"/>
    <e v="#N/A"/>
  </r>
  <r>
    <s v="2017-11-19"/>
    <x v="7"/>
    <s v="BITAAA0613"/>
    <s v="BBITAU"/>
    <n v="2169512.8577999999"/>
    <n v="2069040.755916866"/>
    <n v="2.5000000000000001E-5"/>
    <n v="3.24"/>
    <s v="2018-06-01"/>
    <n v="193"/>
    <n v="0.51"/>
    <n v="101.71"/>
    <s v="$"/>
    <s v="Bono Corporativo"/>
    <s v="Financieras"/>
    <s v="AA"/>
    <x v="11"/>
    <s v="Bono Banco Itaucorp"/>
    <n v="1106451.5574779999"/>
    <n v="0"/>
    <s v=""/>
  </r>
  <r>
    <s v="2017-11-19"/>
    <x v="7"/>
    <s v="BBNS-R0613"/>
    <s v="BBSCOTIABA"/>
    <n v="811785.73080000002"/>
    <m/>
    <n v="9.0000000000000002E-6"/>
    <n v="0.97"/>
    <s v="2018-06-01"/>
    <n v="193"/>
    <n v="0.52"/>
    <n v="101.31"/>
    <s v="UF"/>
    <s v="Bono Corporativo"/>
    <s v="Financieras"/>
    <s v="AAA"/>
    <x v="8"/>
    <s v="Bono Scotiabank"/>
    <n v="422128.58001600002"/>
    <n v="0"/>
    <s v=""/>
  </r>
  <r>
    <s v="2017-11-19"/>
    <x v="7"/>
    <s v="BCHIUI0611"/>
    <s v="BBCHILE"/>
    <n v="33857814.649999999"/>
    <n v="1000"/>
    <n v="3.8499999999999998E-4"/>
    <n v="0.96"/>
    <s v="2018-06-01"/>
    <n v="193"/>
    <n v="0.52"/>
    <n v="101.15"/>
    <s v="UF"/>
    <s v="Bono Corporativo"/>
    <s v="Financieras"/>
    <s v="AAA"/>
    <x v="16"/>
    <s v="Bono Banco Chile"/>
    <n v="17606063.618000001"/>
    <n v="2.2274371525520979E-8"/>
    <e v="#N/A"/>
  </r>
  <r>
    <s v="2017-11-19"/>
    <x v="7"/>
    <s v="BQUIN-G"/>
    <s v="QUINENCO"/>
    <n v="71252740.350799993"/>
    <m/>
    <n v="8.1099999999999998E-4"/>
    <n v="1.55"/>
    <s v="2018-12-01"/>
    <n v="376"/>
    <n v="0.52"/>
    <n v="100.99"/>
    <s v="UF"/>
    <s v="Bono Corporativo"/>
    <s v="Diversificados"/>
    <s v="AA"/>
    <x v="17"/>
    <s v="Bono Quinenco"/>
    <n v="37051424.982415996"/>
    <n v="7.4481378938425977E-7"/>
    <s v=""/>
  </r>
  <r>
    <s v="2017-11-19"/>
    <x v="7"/>
    <s v="BCNO-C0613"/>
    <s v="BBCONSORC"/>
    <n v="31138878.740499999"/>
    <m/>
    <n v="3.5500000000000001E-4"/>
    <n v="1.55"/>
    <s v="2018-06-15"/>
    <n v="207"/>
    <n v="0.56000000000000005"/>
    <n v="101.18"/>
    <s v="UF"/>
    <s v="Bono Corporativo"/>
    <s v="Financieras"/>
    <s v="AA-"/>
    <x v="5"/>
    <s v="Bono Banco Consorcio"/>
    <n v="17437772.09468"/>
    <n v="8.7437310762275671E-8"/>
    <s v=""/>
  </r>
  <r>
    <s v="2017-11-19"/>
    <x v="7"/>
    <s v="BCAJ-I0315"/>
    <s v="LOS ANDES"/>
    <n v="28206389.801100001"/>
    <n v="69466814.726753607"/>
    <n v="3.2000000000000003E-4"/>
    <n v="4.1100000000000003"/>
    <s v="2018-09-15"/>
    <n v="299"/>
    <n v="0.56000000000000005"/>
    <n v="100.59999999999998"/>
    <s v="$"/>
    <s v="Bono Corporativo"/>
    <s v="Financieras"/>
    <s v="AA-"/>
    <x v="18"/>
    <s v="Bono Caja Los Andes"/>
    <n v="15795578.288616002"/>
    <n v="0"/>
    <s v=""/>
  </r>
  <r>
    <s v="2017-11-19"/>
    <x v="7"/>
    <s v="BSKSA-B"/>
    <s v="SK"/>
    <n v="7803773.9596999995"/>
    <m/>
    <n v="8.8999999999999995E-5"/>
    <n v="1.7"/>
    <s v="2018-09-15"/>
    <n v="299"/>
    <n v="0.56000000000000005"/>
    <n v="101.58"/>
    <s v="UF"/>
    <s v="Bono Corporativo"/>
    <s v="Industriales"/>
    <s v="A+"/>
    <x v="19"/>
    <s v="Bono Sk"/>
    <n v="4370113.4174319999"/>
    <n v="1.1041616764955943E-8"/>
    <s v=""/>
  </r>
  <r>
    <s v="2017-11-19"/>
    <x v="7"/>
    <s v="BSTDE20111"/>
    <s v="BBSANT-CHI"/>
    <n v="36406190.734499998"/>
    <m/>
    <n v="4.15E-4"/>
    <n v="1.1599999999999999"/>
    <s v="2018-07-01"/>
    <n v="223"/>
    <n v="0.6"/>
    <n v="101.41"/>
    <s v="UF"/>
    <s v="Bono Corporativo"/>
    <s v="Financieras"/>
    <s v="AAA"/>
    <x v="10"/>
    <s v="Bono Banco Santander"/>
    <n v="21843714.440699998"/>
    <n v="1.0956632982119477E-7"/>
    <s v=""/>
  </r>
  <r>
    <s v="2017-11-19"/>
    <x v="7"/>
    <s v="BBCIAB0708"/>
    <s v="BBCREDITO"/>
    <n v="36141586.178900003"/>
    <m/>
    <n v="4.1100000000000002E-4"/>
    <n v="1.21"/>
    <s v="2018-07-01"/>
    <n v="223"/>
    <n v="0.61"/>
    <n v="99.27"/>
    <s v="UF"/>
    <s v="Bono Corporativo"/>
    <s v="Financieras"/>
    <s v="AA+"/>
    <x v="9"/>
    <s v="Bono BCI"/>
    <n v="22046367.569129001"/>
    <n v="1.9232547945205454E-7"/>
    <s v=""/>
  </r>
  <r>
    <s v="2017-11-19"/>
    <x v="7"/>
    <s v="FAL50Q0104"/>
    <s v="FALABELLA"/>
    <n v="17096837"/>
    <n v="5310"/>
    <n v="1.94E-4"/>
    <n v="2.34"/>
    <s v="2019-01-01"/>
    <n v="407"/>
    <n v="0.63"/>
    <n v="101.55"/>
    <s v="UF"/>
    <s v="Letra Hipotecaria"/>
    <s v="Financieras"/>
    <s v="AA-"/>
    <x v="44"/>
    <s v="Lh Falabella-50Q"/>
    <n v="10771007.310000001"/>
    <n v="9.2947351670965973E-8"/>
    <e v="#N/A"/>
  </r>
  <r>
    <s v="2017-11-19"/>
    <x v="7"/>
    <s v="PAGARE NR"/>
    <s v="CONSORCIO"/>
    <n v="46742872.905299999"/>
    <n v="47760933.013204202"/>
    <n v="5.3200000000000003E-4"/>
    <n v="3.24"/>
    <s v="2018-07-19"/>
    <n v="241"/>
    <n v="0.66"/>
    <n v="97.868425000000002"/>
    <s v="$"/>
    <s v="Deposito"/>
    <s v="Financieras"/>
    <s v="N-1+"/>
    <x v="5"/>
    <s v="Deposito Banco Consorcio"/>
    <n v="30850296.117497999"/>
    <n v="0"/>
    <s v=""/>
  </r>
  <r>
    <s v="2017-11-19"/>
    <x v="7"/>
    <s v="BCHIAI0213"/>
    <s v="BBCHILE"/>
    <n v="4852743.5559"/>
    <m/>
    <n v="5.5000000000000002E-5"/>
    <n v="1.1000000000000001"/>
    <s v="2018-08-01"/>
    <n v="254"/>
    <n v="0.69"/>
    <n v="101.56"/>
    <s v="UF"/>
    <s v="Bono Corporativo"/>
    <s v="Financieras"/>
    <s v="AAA"/>
    <x v="16"/>
    <s v="Bono Banco Chile"/>
    <n v="3348393.0535709998"/>
    <n v="1.2296781737084306E-8"/>
    <s v=""/>
  </r>
  <r>
    <s v="2017-11-19"/>
    <x v="7"/>
    <s v="BCTOR-F"/>
    <s v="CONCHATORO"/>
    <n v="27724298.269099999"/>
    <n v="500"/>
    <n v="3.1500000000000001E-4"/>
    <n v="1.72"/>
    <s v="2018-11-05"/>
    <n v="350"/>
    <n v="0.7"/>
    <n v="101.23"/>
    <s v="UF"/>
    <s v="Bono Corporativo"/>
    <s v="Consumo"/>
    <s v="AA-"/>
    <x v="20"/>
    <s v="Bono Concha Y Toro"/>
    <n v="19407008.788369998"/>
    <n v="3.1855487092200479E-8"/>
    <s v=""/>
  </r>
  <r>
    <s v="2017-11-19"/>
    <x v="7"/>
    <s v="BCAJ-J1215"/>
    <s v="LOS ANDES"/>
    <n v="70143157.609300002"/>
    <n v="1000"/>
    <n v="7.9799999999999999E-4"/>
    <n v="2.57"/>
    <s v="2019-06-01"/>
    <n v="558"/>
    <n v="0.76"/>
    <n v="100.87"/>
    <s v="UF"/>
    <s v="Bono Corporativo"/>
    <s v="Financieras"/>
    <s v="AA-"/>
    <x v="18"/>
    <s v="Bono Caja Los Andes"/>
    <n v="53308799.783068001"/>
    <n v="1.9563562543401408E-7"/>
    <s v=""/>
  </r>
  <r>
    <s v="2017-11-19"/>
    <x v="7"/>
    <s v="BESTJ31008"/>
    <s v="BBESTADO"/>
    <n v="44979692.303599998"/>
    <n v="1500"/>
    <n v="5.1199999999999998E-4"/>
    <n v="1.29"/>
    <s v="2018-10-01"/>
    <n v="315"/>
    <n v="0.85"/>
    <n v="101.86"/>
    <s v="UF"/>
    <s v="Bono Corporativo"/>
    <s v="Financieras"/>
    <s v="AAA"/>
    <x v="3"/>
    <s v="Bono Banco Estado"/>
    <n v="38232738.458059996"/>
    <n v="-4.6697437252099896E-8"/>
    <s v=""/>
  </r>
  <r>
    <s v="2017-11-19"/>
    <x v="7"/>
    <s v="BAGUA-R"/>
    <s v="AGUAS"/>
    <n v="20794026.033399999"/>
    <m/>
    <n v="2.3699999999999999E-4"/>
    <n v="1.9"/>
    <s v="2019-04-01"/>
    <n v="497"/>
    <n v="0.85"/>
    <n v="101.17"/>
    <s v="UF"/>
    <s v="Bono Corporativo"/>
    <s v="Servicios Basicos"/>
    <s v="AA+"/>
    <x v="21"/>
    <s v="Bono Aguas Andinas"/>
    <n v="17674922.128389999"/>
    <n v="4.318227967267489E-8"/>
    <s v=""/>
  </r>
  <r>
    <s v="2017-11-19"/>
    <x v="7"/>
    <s v="BCHIUN1011"/>
    <s v="BBCHILE"/>
    <n v="37788073.122199997"/>
    <m/>
    <n v="4.2999999999999999E-4"/>
    <n v="1.21"/>
    <s v="2018-10-01"/>
    <n v="315"/>
    <n v="0.86"/>
    <n v="101.68"/>
    <s v="UF"/>
    <s v="Bono Corporativo"/>
    <s v="Financieras"/>
    <s v="AAA"/>
    <x v="16"/>
    <s v="Bono Banco Chile"/>
    <n v="32497742.885091998"/>
    <n v="0"/>
    <s v=""/>
  </r>
  <r>
    <s v="2017-11-19"/>
    <x v="7"/>
    <s v="BSECM10109"/>
    <s v="BBSECURITY"/>
    <n v="1564081.8203"/>
    <m/>
    <n v="1.8E-5"/>
    <n v="1.46"/>
    <s v="2019-07-01"/>
    <n v="588"/>
    <n v="0.86"/>
    <n v="101.29"/>
    <s v="UF"/>
    <s v="Bono Corporativo"/>
    <s v="Financieras"/>
    <s v="AA-"/>
    <x v="7"/>
    <s v="Bono Banco Security"/>
    <n v="1345110.365458"/>
    <n v="3.293870713220284E-9"/>
    <s v=""/>
  </r>
  <r>
    <s v="2017-11-19"/>
    <x v="7"/>
    <s v="BSCCH-B"/>
    <s v="SCCH"/>
    <n v="98092398.515400007"/>
    <n v="96657540.524193078"/>
    <n v="1.1169999999999999E-3"/>
    <n v="3.71"/>
    <s v="2018-10-15"/>
    <n v="329"/>
    <n v="0.89"/>
    <n v="101.02"/>
    <s v="$"/>
    <s v="Bono Corporativo"/>
    <s v="Financieras"/>
    <s v="AAA"/>
    <x v="22"/>
    <s v="Bono Banco Santander Consumer Finance"/>
    <n v="87302234.678706005"/>
    <n v="-1.0579350162507417E-7"/>
    <s v=""/>
  </r>
  <r>
    <s v="2017-11-19"/>
    <x v="7"/>
    <s v="BSAES-G"/>
    <s v="SAESA"/>
    <n v="44636653"/>
    <n v="10000"/>
    <n v="5.0799999999999999E-4"/>
    <n v="1.31"/>
    <s v="2026-12-01"/>
    <n v="3298"/>
    <n v="0.9"/>
    <n v="100.26"/>
    <s v="UF"/>
    <s v="Bono Corporativo"/>
    <s v="Servicios Basicos"/>
    <s v="AA+"/>
    <x v="163"/>
    <s v="Bono Saesa-G Flotante Tab Uf 360"/>
    <n v="40172987.700000003"/>
    <n v="2.9207189318257078E-7"/>
    <s v=""/>
  </r>
  <r>
    <s v="2017-11-19"/>
    <x v="7"/>
    <s v="BEMCA-N"/>
    <s v="EM.CAROZZI"/>
    <n v="1308252.9628000001"/>
    <n v="2554445.668148336"/>
    <n v="1.5E-5"/>
    <n v="3.89"/>
    <s v="2019-05-15"/>
    <n v="541"/>
    <n v="0.97"/>
    <n v="102.35"/>
    <s v="$"/>
    <s v="Bono Corporativo"/>
    <s v="Consumo"/>
    <s v="A"/>
    <x v="80"/>
    <s v="Bono Carozzi"/>
    <n v="1269005.3739160001"/>
    <n v="0"/>
    <e v="#N/A"/>
  </r>
  <r>
    <s v="2017-11-19"/>
    <x v="7"/>
    <s v="BBCIS-P26A"/>
    <s v="BCI SECURI"/>
    <n v="497589155.59100002"/>
    <n v="745764410.33186185"/>
    <n v="5.6629999999999996E-3"/>
    <n v="6.81"/>
    <s v="2020-07-01"/>
    <n v="954"/>
    <n v="0.98"/>
    <n v="100.17"/>
    <s v="$"/>
    <s v="Bono Corporativo"/>
    <s v="Financieras"/>
    <s v="AA"/>
    <x v="39"/>
    <s v="Bono BCI"/>
    <n v="487637372.47918004"/>
    <n v="-5.8930541719209423E-7"/>
    <s v=""/>
  </r>
  <r>
    <s v="2017-11-19"/>
    <x v="7"/>
    <s v="BHER-G0914"/>
    <s v="LOS HEROES"/>
    <n v="1711732.8485999999"/>
    <m/>
    <n v="1.9000000000000001E-5"/>
    <n v="2.79"/>
    <s v="2019-09-01"/>
    <n v="650"/>
    <n v="1.01"/>
    <n v="99.72"/>
    <s v="UF"/>
    <s v="Bono Corporativo"/>
    <s v="Financieras"/>
    <s v="A-"/>
    <x v="75"/>
    <s v="Bono Los Heroes C.C.A.F."/>
    <n v="1728850.1770859999"/>
    <n v="6.0919611204996805E-9"/>
    <s v=""/>
  </r>
  <r>
    <s v="2017-11-19"/>
    <x v="7"/>
    <s v="BSAES-I"/>
    <s v="SAESA"/>
    <n v="9052944"/>
    <n v="1000"/>
    <n v="1.03E-4"/>
    <n v="1.74"/>
    <s v="2019-09-20"/>
    <n v="669"/>
    <n v="1.07"/>
    <n v="101.33"/>
    <s v="UF"/>
    <s v="Bono Corporativo"/>
    <s v="Servicios Basicos"/>
    <s v="AA+"/>
    <x v="163"/>
    <s v="Bono Saesa"/>
    <n v="9686650.0800000001"/>
    <n v="0"/>
    <e v="#N/A"/>
  </r>
  <r>
    <s v="2017-11-19"/>
    <x v="7"/>
    <s v="BTU0300119"/>
    <s v="BTU"/>
    <n v="275906710"/>
    <n v="10000"/>
    <n v="3.14E-3"/>
    <n v="0.93"/>
    <s v="2019-01-01"/>
    <n v="407"/>
    <n v="1.0900000000000001"/>
    <n v="102.26"/>
    <s v="UF"/>
    <s v="Bono de Gobierno"/>
    <s v="Gobierno"/>
    <s v="AAA"/>
    <x v="35"/>
    <s v="Bono Tesorería en UF"/>
    <n v="300738313.90000004"/>
    <n v="1.4454166097618136E-6"/>
    <s v=""/>
  </r>
  <r>
    <s v="2017-11-19"/>
    <x v="7"/>
    <s v="BESTJ50109"/>
    <s v="BBESTADO"/>
    <n v="53804941.364799999"/>
    <n v="1500"/>
    <n v="6.1200000000000002E-4"/>
    <n v="1.24"/>
    <s v="2019-01-01"/>
    <n v="407"/>
    <n v="1.0900000000000001"/>
    <n v="102.42"/>
    <s v="UF"/>
    <s v="Bono Corporativo"/>
    <s v="Financieras"/>
    <s v="AAA"/>
    <x v="3"/>
    <s v="Bono Banco Estado"/>
    <n v="58647386.087632"/>
    <n v="0"/>
    <s v=""/>
  </r>
  <r>
    <s v="2017-11-19"/>
    <x v="7"/>
    <s v="BESTK30114"/>
    <s v="BBESTADO"/>
    <n v="3265113.7524999999"/>
    <m/>
    <n v="3.6999999999999998E-5"/>
    <n v="1.21"/>
    <s v="2019-01-01"/>
    <n v="407"/>
    <n v="1.0900000000000001"/>
    <n v="102.24"/>
    <s v="UF"/>
    <s v="Bono Corporativo"/>
    <s v="Financieras"/>
    <s v="AAA"/>
    <x v="3"/>
    <s v="Bono Banco Estado"/>
    <n v="3558973.9902250003"/>
    <n v="4.2504496488778545E-9"/>
    <s v=""/>
  </r>
  <r>
    <s v="2017-11-19"/>
    <x v="7"/>
    <s v="BTANN-P"/>
    <s v="TANNER SF"/>
    <n v="11645896.7018"/>
    <m/>
    <n v="1.3300000000000001E-4"/>
    <n v="2.2000000000000002"/>
    <s v="2019-04-01"/>
    <n v="497"/>
    <n v="1.1000000000000001"/>
    <n v="101.61"/>
    <s v="UF"/>
    <s v="Bono Corporativo"/>
    <s v="Financieras"/>
    <s v="A+"/>
    <x v="45"/>
    <s v="Bono SF Tanner S.A."/>
    <n v="12810486.37198"/>
    <n v="9.1982949533512037E-8"/>
    <s v=""/>
  </r>
  <r>
    <s v="2017-11-19"/>
    <x v="7"/>
    <s v="BENAP-B"/>
    <s v="ENAP"/>
    <n v="36281242.719499998"/>
    <n v="1000"/>
    <n v="4.1199999999999999E-4"/>
    <n v="1.5"/>
    <s v="2019-01-12"/>
    <n v="418"/>
    <n v="1.1100000000000001"/>
    <n v="103.33"/>
    <s v="UF"/>
    <s v="Bono Corporativo"/>
    <s v="Energia"/>
    <s v="AA+"/>
    <x v="23"/>
    <s v="Bonos Enap"/>
    <n v="40272179.418645002"/>
    <n v="9.6454462271179404E-8"/>
    <s v=""/>
  </r>
  <r>
    <s v="2017-11-19"/>
    <x v="7"/>
    <s v="BFORU-AR"/>
    <s v="LEAS FORUM"/>
    <n v="399557996"/>
    <n v="380000000"/>
    <n v="4.548E-3"/>
    <n v="3.66"/>
    <s v="2019-01-16"/>
    <n v="422"/>
    <n v="1.1100000000000001"/>
    <n v="102.92"/>
    <s v="$"/>
    <s v="Bono Corporativo"/>
    <s v="Financieras"/>
    <s v="AA"/>
    <x v="33"/>
    <s v="Bono Forum Servicios Financieros"/>
    <n v="443509375.56000006"/>
    <n v="1.0634523763142646E-6"/>
    <s v=""/>
  </r>
  <r>
    <s v="2017-11-19"/>
    <x v="7"/>
    <s v="BCAJ-O0816"/>
    <s v="LOS ANDES"/>
    <n v="668229231.69379997"/>
    <n v="649170278.24509001"/>
    <n v="7.6059999999999999E-3"/>
    <n v="4.32"/>
    <s v="2020-02-01"/>
    <n v="803"/>
    <n v="1.1499999999999999"/>
    <n v="101.29"/>
    <s v="$"/>
    <s v="Bono Corporativo"/>
    <s v="Financieras"/>
    <s v="AA-"/>
    <x v="18"/>
    <s v="Bono Caja Los Andes"/>
    <n v="768463616.4478699"/>
    <n v="0"/>
    <s v=""/>
  </r>
  <r>
    <s v="2017-11-19"/>
    <x v="7"/>
    <s v="BBIC580314"/>
    <s v="BBICE"/>
    <n v="8101125.8468000004"/>
    <m/>
    <n v="9.2E-5"/>
    <n v="1.35"/>
    <s v="2019-03-01"/>
    <n v="466"/>
    <n v="1.26"/>
    <n v="102.09"/>
    <s v="UF"/>
    <s v="Bono Corporativo"/>
    <s v="Financieras"/>
    <s v="AA"/>
    <x v="2"/>
    <s v="Bono Banco Bice"/>
    <n v="10207418.566968001"/>
    <n v="-1.207453156756337E-7"/>
    <e v="#N/A"/>
  </r>
  <r>
    <s v="2017-11-19"/>
    <x v="7"/>
    <s v="BCTCH-Q"/>
    <s v="TELEFONOS"/>
    <n v="170284490.81690001"/>
    <n v="164605882.61130583"/>
    <n v="1.9380000000000001E-3"/>
    <n v="3.81"/>
    <s v="2019-03-14"/>
    <n v="479"/>
    <n v="1.27"/>
    <n v="102.41"/>
    <s v="$"/>
    <s v="Bono Corporativo"/>
    <s v="Comunicaciones"/>
    <s v="AA"/>
    <x v="40"/>
    <s v="Bono Ctc"/>
    <n v="216261303.33746302"/>
    <n v="-2.5767767256978693E-7"/>
    <s v=""/>
  </r>
  <r>
    <s v="2017-11-19"/>
    <x v="7"/>
    <s v="FAL48Q0605"/>
    <s v="FALABELLA"/>
    <n v="6907148"/>
    <n v="1030"/>
    <n v="7.7999999999999999E-5"/>
    <n v="2.84"/>
    <s v="2020-06-01"/>
    <n v="924"/>
    <n v="1.28"/>
    <n v="102.45"/>
    <s v="UF"/>
    <s v="Letra Hipotecaria"/>
    <s v="Financieras"/>
    <s v="AA-"/>
    <x v="44"/>
    <s v="Lh Falabella-48Q"/>
    <n v="8841149.4399999995"/>
    <n v="-1.7749692415369628E-7"/>
    <e v="#N/A"/>
  </r>
  <r>
    <s v="2017-11-19"/>
    <x v="7"/>
    <s v="BBANM-I"/>
    <s v="BANMEDICA"/>
    <n v="459517798.03890002"/>
    <n v="571851333.07120788"/>
    <n v="5.2300000000000003E-3"/>
    <n v="4.0599999999999996"/>
    <s v="2020-04-10"/>
    <n v="872"/>
    <n v="1.32"/>
    <n v="103.09"/>
    <s v="$"/>
    <s v="Bono Corporativo"/>
    <s v="Salud"/>
    <s v="AA-"/>
    <x v="24"/>
    <s v="Bono Banmedica"/>
    <n v="606563493.4113481"/>
    <n v="0"/>
    <s v=""/>
  </r>
  <r>
    <s v="2017-11-19"/>
    <x v="7"/>
    <s v="BRPL-A0414"/>
    <s v="BBRIPLEY"/>
    <n v="143590867.3732"/>
    <m/>
    <n v="1.634E-3"/>
    <n v="1.56"/>
    <s v="2019-04-01"/>
    <n v="497"/>
    <n v="1.34"/>
    <n v="102.43"/>
    <s v="UF"/>
    <s v="Bono Corporativo"/>
    <s v="Financieras"/>
    <s v="A+"/>
    <x v="1"/>
    <s v="Bono Bancario Ripley"/>
    <n v="192411762.28008801"/>
    <n v="4.5580414716554248E-7"/>
    <s v=""/>
  </r>
  <r>
    <s v="2017-11-19"/>
    <x v="7"/>
    <s v="BBNS-U0414"/>
    <s v="BBSCOTIABA"/>
    <n v="2422963.5172000001"/>
    <m/>
    <n v="2.8E-5"/>
    <n v="1.49"/>
    <s v="2019-04-01"/>
    <n v="497"/>
    <n v="1.34"/>
    <n v="102.03"/>
    <s v="UF"/>
    <s v="Bono Corporativo"/>
    <s v="Financieras"/>
    <s v="AAA"/>
    <x v="8"/>
    <s v="Bono Scotiabank"/>
    <n v="3246771.1130480003"/>
    <n v="0"/>
    <e v="#N/A"/>
  </r>
  <r>
    <s v="2017-11-19"/>
    <x v="7"/>
    <s v="BCNO-H0414"/>
    <s v="BBCONSORC"/>
    <n v="93440911.446400002"/>
    <n v="500"/>
    <n v="1.0629999999999999E-3"/>
    <n v="1.6"/>
    <s v="2019-04-01"/>
    <n v="497"/>
    <n v="1.34"/>
    <n v="101.84999999999998"/>
    <s v="UF"/>
    <s v="Bono Corporativo"/>
    <s v="Financieras"/>
    <s v="AA-"/>
    <x v="5"/>
    <s v="Bono Banco Consorcio"/>
    <n v="125210821.33817601"/>
    <n v="0"/>
    <s v=""/>
  </r>
  <r>
    <s v="2017-11-19"/>
    <x v="7"/>
    <s v="BBCIS-P30A"/>
    <s v="BCI SECURI"/>
    <n v="1045764502.0251"/>
    <n v="1036014830.2217301"/>
    <n v="1.1903E-2"/>
    <n v="5.66"/>
    <s v="2020-04-01"/>
    <n v="863"/>
    <n v="1.36"/>
    <n v="100.18"/>
    <s v="$"/>
    <s v="Bono Corporativo"/>
    <s v="Financieras"/>
    <s v="AA"/>
    <x v="39"/>
    <s v="Bono BCI"/>
    <n v="1422239722.7541361"/>
    <n v="0"/>
    <s v=""/>
  </r>
  <r>
    <s v="2017-11-19"/>
    <x v="7"/>
    <s v="BMETR-H"/>
    <s v="METRO"/>
    <n v="995212.125"/>
    <m/>
    <n v="1.1E-5"/>
    <n v="1.56"/>
    <s v="2020-07-15"/>
    <n v="968"/>
    <n v="1.36"/>
    <n v="103.66"/>
    <s v="UF"/>
    <s v="Bono Corporativo"/>
    <s v="Transporte"/>
    <s v="AA-"/>
    <x v="25"/>
    <s v="Bono Metro"/>
    <n v="1353488.49"/>
    <n v="3.1156589425449752E-9"/>
    <s v=""/>
  </r>
  <r>
    <s v="2017-11-19"/>
    <x v="7"/>
    <s v="MASISA0519"/>
    <s v="MASISA"/>
    <n v="67509520.880899996"/>
    <m/>
    <n v="7.6800000000000002E-4"/>
    <n v="0"/>
    <s v="2019-05-05"/>
    <n v="531"/>
    <n v="1.39"/>
    <n v="104.1628"/>
    <s v="$"/>
    <s v="Bono Corporativo"/>
    <s v="Materiales Basicos"/>
    <s v="BBB-"/>
    <x v="81"/>
    <s v="Bono Masisa"/>
    <n v="93838234.024450988"/>
    <n v="0"/>
    <e v="#N/A"/>
  </r>
  <r>
    <s v="2017-11-19"/>
    <x v="7"/>
    <s v="BBBVJ51113"/>
    <s v="BBBVA"/>
    <n v="27325831"/>
    <n v="1000"/>
    <n v="3.1100000000000002E-4"/>
    <n v="1.38"/>
    <s v="2019-05-01"/>
    <n v="527"/>
    <n v="1.42"/>
    <n v="102.29"/>
    <s v="UF"/>
    <s v="Bono Corporativo"/>
    <s v="Financieras"/>
    <s v="AA"/>
    <x v="0"/>
    <s v="Bono Banco BBVA"/>
    <n v="38802680.019999996"/>
    <n v="0"/>
    <s v=""/>
  </r>
  <r>
    <s v="2017-11-19"/>
    <x v="7"/>
    <s v="BSALF-M"/>
    <s v="SALFACORP"/>
    <n v="83691509.631400004"/>
    <m/>
    <n v="9.5299999999999996E-4"/>
    <n v="3.22"/>
    <s v="2019-05-10"/>
    <n v="536"/>
    <n v="1.43"/>
    <n v="103.2"/>
    <s v="UF"/>
    <s v="Bono Corporativo"/>
    <s v="Industriales"/>
    <s v="BBB"/>
    <x v="82"/>
    <s v="Bono Salfacorp"/>
    <n v="119678858.772902"/>
    <n v="4.1456818700181522E-7"/>
    <s v=""/>
  </r>
  <r>
    <s v="2017-11-19"/>
    <x v="7"/>
    <s v="UEDWA60899"/>
    <s v="BBEDWARDS"/>
    <n v="11870393.3298"/>
    <m/>
    <n v="1.35E-4"/>
    <n v="1.82"/>
    <s v="2020-08-01"/>
    <n v="985"/>
    <n v="1.44"/>
    <n v="107.27"/>
    <s v="UF"/>
    <s v="Bono Corporativo"/>
    <s v="Financieras"/>
    <s v="AAA"/>
    <x v="26"/>
    <s v="Bono Banco Edwards"/>
    <n v="17093366.394912001"/>
    <n v="2.012367001012157E-8"/>
    <s v=""/>
  </r>
  <r>
    <s v="2017-11-19"/>
    <x v="7"/>
    <s v="BSTDSE0614"/>
    <s v="BBSANT-CHI"/>
    <n v="51078865.373899996"/>
    <n v="48450673.144402809"/>
    <n v="5.8200000000000005E-4"/>
    <n v="3.6"/>
    <s v="2019-06-01"/>
    <n v="558"/>
    <n v="1.45"/>
    <n v="102.78000000000002"/>
    <s v="$"/>
    <s v="Bono Corporativo"/>
    <s v="Financieras"/>
    <s v="AAA"/>
    <x v="10"/>
    <s v="Bono Banco Santander"/>
    <n v="74064354.792154998"/>
    <n v="1.756557868358242E-7"/>
    <s v=""/>
  </r>
  <r>
    <s v="2017-11-19"/>
    <x v="7"/>
    <s v="BPLZA-M"/>
    <s v="PLAZA S.A."/>
    <n v="48671119.814199999"/>
    <n v="1000"/>
    <n v="5.5400000000000002E-4"/>
    <n v="1.57"/>
    <s v="2020-08-15"/>
    <n v="999"/>
    <n v="1.45"/>
    <n v="102.75"/>
    <s v="UF"/>
    <s v="Bono Corporativo"/>
    <s v="Consumo"/>
    <s v="AA"/>
    <x v="15"/>
    <s v="Bono Plaza S.A."/>
    <n v="70573123.730590001"/>
    <n v="-8.3429179173218714E-8"/>
    <s v=""/>
  </r>
  <r>
    <s v="2017-11-19"/>
    <x v="7"/>
    <s v="BANDI-C"/>
    <s v="EMB ANDINA"/>
    <n v="42360447.338200003"/>
    <n v="2000"/>
    <n v="4.8099999999999998E-4"/>
    <n v="1.64"/>
    <s v="2020-08-16"/>
    <n v="1000"/>
    <n v="1.45"/>
    <n v="102.65"/>
    <s v="UF"/>
    <s v="Bono Corporativo"/>
    <s v="Industriales"/>
    <s v="AA"/>
    <x v="27"/>
    <s v="Bono Embotelladora Andina"/>
    <n v="61422648.640390001"/>
    <n v="0"/>
    <s v=""/>
  </r>
  <r>
    <s v="2017-11-19"/>
    <x v="7"/>
    <s v="BITA-N0612"/>
    <s v="BBITAU"/>
    <n v="2470059.4833"/>
    <m/>
    <n v="2.8E-5"/>
    <n v="1.6"/>
    <s v="2019-06-01"/>
    <n v="558"/>
    <n v="1.48"/>
    <n v="102.78"/>
    <s v="UF"/>
    <s v="Bono Corporativo"/>
    <s v="Financieras"/>
    <s v="AA"/>
    <x v="11"/>
    <s v="Bono Banco Itaucorp"/>
    <n v="3655688.035284"/>
    <n v="8.6050665655001658E-9"/>
    <s v=""/>
  </r>
  <r>
    <s v="2017-11-19"/>
    <x v="7"/>
    <s v="BSECB30614"/>
    <s v="BBSECURITY"/>
    <n v="13677170"/>
    <n v="500"/>
    <n v="1.55E-4"/>
    <n v="1.59"/>
    <s v="2019-06-01"/>
    <n v="558"/>
    <n v="1.49"/>
    <n v="101.36"/>
    <s v="UF"/>
    <s v="Bono Corporativo"/>
    <s v="Financieras"/>
    <s v="AA-"/>
    <x v="7"/>
    <s v="Bono Banco Security"/>
    <n v="20378983.300000001"/>
    <n v="0"/>
    <e v="#N/A"/>
  </r>
  <r>
    <s v="2017-11-19"/>
    <x v="7"/>
    <s v="BCTOR-J"/>
    <s v="CONCHATORO"/>
    <n v="2406232.0556000001"/>
    <m/>
    <n v="2.6999999999999999E-5"/>
    <n v="1.7"/>
    <s v="2020-09-01"/>
    <n v="1016"/>
    <n v="1.5"/>
    <n v="101.18"/>
    <s v="UF"/>
    <s v="Bono Corporativo"/>
    <s v="Consumo"/>
    <s v="AA-"/>
    <x v="20"/>
    <s v="Concha Y Toro"/>
    <n v="3609348.0833999999"/>
    <n v="-2.0994101511065569E-8"/>
    <e v="#N/A"/>
  </r>
  <r>
    <s v="2017-11-19"/>
    <x v="7"/>
    <s v="BFORU-AT"/>
    <s v="LEAS FORUM"/>
    <n v="474408223.10070002"/>
    <n v="455659464.01730889"/>
    <n v="5.3990000000000002E-3"/>
    <n v="3.59"/>
    <s v="2019-06-25"/>
    <n v="582"/>
    <n v="1.52"/>
    <n v="102.08"/>
    <s v="$"/>
    <s v="Bono Corporativo"/>
    <s v="Financieras"/>
    <s v="AA"/>
    <x v="33"/>
    <s v="Bono Forum Servicios Financieros"/>
    <n v="721100499.11306405"/>
    <n v="0"/>
    <s v=""/>
  </r>
  <r>
    <s v="2017-11-19"/>
    <x v="7"/>
    <s v="BCAJ-Q0117"/>
    <s v="LOS ANDES"/>
    <n v="117144117.3979"/>
    <n v="113971131.46542928"/>
    <n v="1.333E-3"/>
    <n v="4.5199999999999996"/>
    <s v="2020-07-02"/>
    <n v="955"/>
    <n v="1.53"/>
    <n v="100.84"/>
    <s v="$"/>
    <s v="Bono Corporativo"/>
    <s v="Financieras"/>
    <s v="AA-"/>
    <x v="18"/>
    <s v="Bono Caja Los Andes"/>
    <n v="179230499.61878699"/>
    <n v="-4.2438972958057822E-7"/>
    <s v=""/>
  </r>
  <r>
    <s v="2017-11-19"/>
    <x v="7"/>
    <s v="BSECN10109"/>
    <s v="BBSECURITY"/>
    <n v="13799481"/>
    <n v="500"/>
    <n v="1.5699999999999999E-4"/>
    <n v="1.55"/>
    <s v="2019-07-01"/>
    <n v="588"/>
    <n v="1.57"/>
    <n v="102.28"/>
    <s v="UF"/>
    <s v="Bono Corporativo"/>
    <s v="Financieras"/>
    <s v="AA-"/>
    <x v="7"/>
    <s v="Bono Banco Security"/>
    <n v="21665185.170000002"/>
    <n v="0"/>
    <s v=""/>
  </r>
  <r>
    <s v="2017-11-19"/>
    <x v="7"/>
    <s v="ABNA200101"/>
    <s v="SCOTIABANK"/>
    <n v="606170"/>
    <n v="80"/>
    <n v="6.0000000000000002E-6"/>
    <n v="3.37"/>
    <s v="2021-01-01"/>
    <n v="1138"/>
    <n v="1.59"/>
    <n v="105.55"/>
    <s v="UF"/>
    <s v="Letra Hipotecaria"/>
    <s v="Financieras"/>
    <s v="AA"/>
    <x v="8"/>
    <s v="Letras Scotiabank"/>
    <n v="963810.3"/>
    <n v="-1.1824871153865836E-8"/>
    <e v="#N/A"/>
  </r>
  <r>
    <s v="2017-11-19"/>
    <x v="7"/>
    <s v="ABNE200101"/>
    <s v="SCOTIABANK"/>
    <n v="3438343"/>
    <n v="490"/>
    <n v="3.8999999999999999E-5"/>
    <n v="3.32"/>
    <s v="2021-01-01"/>
    <n v="1138"/>
    <n v="1.59"/>
    <n v="104.11"/>
    <s v="UF"/>
    <s v="Letra Hipotecaria"/>
    <s v="Financieras"/>
    <s v="AA"/>
    <x v="8"/>
    <s v="Letras Scotiabank"/>
    <n v="5466965.3700000001"/>
    <n v="-4.4772664201661715E-8"/>
    <e v="#N/A"/>
  </r>
  <r>
    <s v="2017-11-19"/>
    <x v="7"/>
    <s v="FAL48Q0106"/>
    <s v="FALABELLA"/>
    <n v="11123111"/>
    <n v="1420"/>
    <n v="1.26E-4"/>
    <n v="2.83"/>
    <s v="2021-01-01"/>
    <n v="1138"/>
    <n v="1.61"/>
    <n v="103.08"/>
    <s v="UF"/>
    <s v="Letra Hipotecaria"/>
    <s v="Financieras"/>
    <s v="AA-"/>
    <x v="44"/>
    <s v="Lh Falabella-48Q"/>
    <n v="17908208.710000001"/>
    <n v="-3.147362763609144E-7"/>
    <e v="#N/A"/>
  </r>
  <r>
    <s v="2017-11-19"/>
    <x v="7"/>
    <s v="BSECR10611"/>
    <s v="BBSECURITY"/>
    <n v="2789816.3054999998"/>
    <m/>
    <n v="3.1999999999999999E-5"/>
    <n v="1.63"/>
    <s v="2021-06-01"/>
    <n v="1289"/>
    <n v="1.7"/>
    <n v="102.28"/>
    <s v="UF"/>
    <s v="Bono Corporativo"/>
    <s v="Financieras"/>
    <s v="AA-"/>
    <x v="7"/>
    <s v="Bono Banco Security"/>
    <n v="4742687.7193499999"/>
    <n v="2.7994667893382617E-8"/>
    <s v=""/>
  </r>
  <r>
    <s v="2017-11-19"/>
    <x v="7"/>
    <s v="BKOEM-C"/>
    <s v="EMBONOR"/>
    <n v="7221794.5856999997"/>
    <m/>
    <n v="8.2000000000000001E-5"/>
    <n v="1.56"/>
    <s v="2019-09-01"/>
    <n v="650"/>
    <n v="1.75"/>
    <n v="101.28"/>
    <s v="UF"/>
    <s v="Bono Corporativo"/>
    <s v="Consumo"/>
    <s v="AA-"/>
    <x v="28"/>
    <s v="Bono Embonor"/>
    <n v="12638140.524975"/>
    <n v="0"/>
    <s v=""/>
  </r>
  <r>
    <s v="2017-11-19"/>
    <x v="7"/>
    <s v="BTANN-S"/>
    <s v="TANNER SF"/>
    <n v="209718330.90009999"/>
    <n v="6500"/>
    <n v="2.3869999999999998E-3"/>
    <n v="2.2200000000000002"/>
    <s v="2019-12-15"/>
    <n v="755"/>
    <n v="1.76"/>
    <n v="101.17"/>
    <s v="UF"/>
    <s v="Bono Corporativo"/>
    <s v="Financieras"/>
    <s v="A+"/>
    <x v="45"/>
    <s v="Bono SF Tanner S.A."/>
    <n v="369104262.38417602"/>
    <n v="1.3027355061222168E-6"/>
    <s v=""/>
  </r>
  <r>
    <s v="2017-11-19"/>
    <x v="7"/>
    <s v="BCSMU-P"/>
    <s v="SMU"/>
    <n v="46222900.242700003"/>
    <m/>
    <n v="5.2599999999999999E-4"/>
    <n v="2.52"/>
    <s v="2019-09-25"/>
    <n v="674"/>
    <n v="1.8"/>
    <n v="100.85"/>
    <s v="UF"/>
    <s v="Bono Corporativo"/>
    <s v="Consumo"/>
    <s v="BB-"/>
    <x v="84"/>
    <s v="Bono SMU S.A."/>
    <n v="83201220.43686001"/>
    <n v="0"/>
    <e v="#N/A"/>
  </r>
  <r>
    <s v="2017-11-19"/>
    <x v="7"/>
    <s v="BFLIN-I"/>
    <s v="FACTORLINE"/>
    <n v="381373980.90609998"/>
    <n v="23000"/>
    <n v="4.3410000000000002E-3"/>
    <n v="2.62"/>
    <s v="2021-04-01"/>
    <n v="1228"/>
    <n v="1.8"/>
    <n v="102.07"/>
    <s v="UF"/>
    <s v="Bono Corporativo"/>
    <s v="Financieras"/>
    <s v="A+"/>
    <x v="29"/>
    <s v="Bono Factorline"/>
    <n v="686473165.63098001"/>
    <n v="2.4181167240231345E-6"/>
    <s v=""/>
  </r>
  <r>
    <s v="2017-11-19"/>
    <x v="7"/>
    <s v="BARAU-Q"/>
    <s v="ARAUCO"/>
    <n v="354459.11300000001"/>
    <m/>
    <n v="3.9999999999999998E-6"/>
    <n v="1.65"/>
    <s v="2021-04-01"/>
    <n v="1228"/>
    <n v="1.82"/>
    <n v="102.42"/>
    <s v="UF"/>
    <s v="Bono Corporativo"/>
    <s v="Materiales Basicos"/>
    <s v="AA-"/>
    <x v="30"/>
    <s v="Bono Celulosa Arauco"/>
    <n v="645115.5856600001"/>
    <n v="0"/>
    <s v=""/>
  </r>
  <r>
    <s v="2017-11-19"/>
    <x v="7"/>
    <s v="BSOND-E"/>
    <s v="SONDA"/>
    <n v="25151435.026900001"/>
    <n v="24558313.685979385"/>
    <n v="2.8600000000000001E-4"/>
    <n v="4.21"/>
    <s v="2019-11-01"/>
    <n v="711"/>
    <n v="1.87"/>
    <n v="102.15"/>
    <s v="$"/>
    <s v="Bono Corporativo"/>
    <s v="Tecnologia"/>
    <s v="AA-"/>
    <x v="41"/>
    <s v="Bono Sonda"/>
    <n v="47033183.500303008"/>
    <n v="0"/>
    <s v=""/>
  </r>
  <r>
    <s v="2017-11-19"/>
    <x v="7"/>
    <s v="BBBVM31113"/>
    <s v="BBBVA"/>
    <n v="74816969.582399994"/>
    <m/>
    <n v="8.52E-4"/>
    <n v="1.63"/>
    <s v="2019-11-01"/>
    <n v="711"/>
    <n v="1.9"/>
    <n v="102.58"/>
    <s v="UF"/>
    <s v="Bono Corporativo"/>
    <s v="Financieras"/>
    <s v="AA"/>
    <x v="0"/>
    <s v="Bono Banco BBVA"/>
    <n v="142152242.20655999"/>
    <n v="-1.4830919198184353E-6"/>
    <s v=""/>
  </r>
  <r>
    <s v="2017-11-19"/>
    <x v="7"/>
    <s v="BFRON-C"/>
    <s v="FRONTEL"/>
    <n v="4906656.0433999998"/>
    <m/>
    <n v="5.5999999999999999E-5"/>
    <n v="1.68"/>
    <s v="2021-05-15"/>
    <n v="1272"/>
    <n v="1.94"/>
    <n v="101.57"/>
    <s v="UF"/>
    <s v="Bono Corporativo"/>
    <s v="Energia"/>
    <s v="AA+"/>
    <x v="31"/>
    <s v="Bono Frontel"/>
    <n v="9518912.724196"/>
    <n v="0"/>
    <s v=""/>
  </r>
  <r>
    <s v="2017-11-19"/>
    <x v="7"/>
    <s v="BBBVP20714"/>
    <s v="BBBVA"/>
    <n v="1570898.3417"/>
    <n v="1477469.8279820383"/>
    <n v="1.8E-5"/>
    <n v="3.93"/>
    <s v="2020-01-01"/>
    <n v="772"/>
    <n v="1.98"/>
    <n v="103.96"/>
    <s v="$"/>
    <s v="Bono Corporativo"/>
    <s v="Financieras"/>
    <s v="AA"/>
    <x v="0"/>
    <s v="Bono Banco BBVA"/>
    <n v="3110378.7165660001"/>
    <n v="7.3316950815711152E-9"/>
    <s v=""/>
  </r>
  <r>
    <s v="2017-11-19"/>
    <x v="7"/>
    <s v="BSTDP20115"/>
    <s v="BBSANT-CHI"/>
    <n v="20922634"/>
    <n v="20000000"/>
    <n v="2.3800000000000001E-4"/>
    <n v="3.93"/>
    <s v="2020-01-01"/>
    <n v="772"/>
    <n v="1.99"/>
    <n v="102.56"/>
    <s v="$"/>
    <s v="Bono Corporativo"/>
    <s v="Financieras"/>
    <s v="AAA"/>
    <x v="10"/>
    <s v="Bono Banco Santander"/>
    <n v="41636041.659999996"/>
    <n v="0"/>
    <e v="#N/A"/>
  </r>
  <r>
    <s v="2017-11-19"/>
    <x v="7"/>
    <s v="FAL62V0102"/>
    <s v="FALABELLA"/>
    <n v="15334810"/>
    <n v="1700"/>
    <n v="1.74E-4"/>
    <n v="3.38"/>
    <s v="2022-01-01"/>
    <n v="1503"/>
    <n v="2.0299999999999998"/>
    <n v="105.59"/>
    <s v="UF"/>
    <s v="Letra Hipotecaria"/>
    <s v="Financieras"/>
    <s v="AA-"/>
    <x v="44"/>
    <s v="Lh Falabella-62V"/>
    <n v="31129664.299999997"/>
    <n v="1.0868626492947636E-7"/>
    <e v="#N/A"/>
  </r>
  <r>
    <s v="2017-11-19"/>
    <x v="7"/>
    <s v="BTU0300120"/>
    <s v="BTU"/>
    <n v="47095082.112800002"/>
    <m/>
    <n v="5.3600000000000002E-4"/>
    <n v="0.86"/>
    <s v="2020-01-01"/>
    <n v="772"/>
    <n v="2.04"/>
    <n v="104.42"/>
    <s v="UF"/>
    <s v="Bono de Gobierno"/>
    <s v="Gobierno"/>
    <s v="AAA"/>
    <x v="35"/>
    <s v="Bono Tesorería en UF"/>
    <n v="96073967.510112002"/>
    <n v="0"/>
    <s v=""/>
  </r>
  <r>
    <s v="2017-11-19"/>
    <x v="7"/>
    <s v="BCOSJ-A"/>
    <s v="TECNOCONTR"/>
    <n v="266997174.3964"/>
    <n v="2500"/>
    <n v="3.0379999999999999E-3"/>
    <n v="1.79"/>
    <s v="2021-06-30"/>
    <n v="1318"/>
    <n v="2.09"/>
    <n v="102.38"/>
    <s v="UF"/>
    <s v="Bono Corporativo"/>
    <s v="Construccion"/>
    <s v="AAA"/>
    <x v="32"/>
    <s v="Bono Constructora San Jose"/>
    <n v="558024094.48847592"/>
    <n v="1.3011500372026209E-6"/>
    <s v=""/>
  </r>
  <r>
    <s v="2017-11-19"/>
    <x v="7"/>
    <s v="UCHIC20100"/>
    <s v="BBCHILE"/>
    <n v="95460421.817100003"/>
    <m/>
    <n v="1.0870000000000001E-3"/>
    <n v="1.78"/>
    <s v="2022-01-01"/>
    <n v="1503"/>
    <n v="2.09"/>
    <n v="109.7"/>
    <s v="UF"/>
    <s v="Bono Corporativo"/>
    <s v="Financieras"/>
    <s v="AA"/>
    <x v="16"/>
    <s v="Bono Subordinado Banco Chile"/>
    <n v="199512281.59773898"/>
    <n v="-2.3243104362754961E-7"/>
    <s v=""/>
  </r>
  <r>
    <s v="2017-11-19"/>
    <x v="7"/>
    <s v="BSONA-C"/>
    <s v="SONACOL"/>
    <n v="2813603.0531000001"/>
    <n v="2726212.9343518834"/>
    <n v="3.1999999999999999E-5"/>
    <n v="4.2"/>
    <s v="2021-12-01"/>
    <n v="1472"/>
    <n v="2.12"/>
    <n v="101.01"/>
    <s v="$"/>
    <s v="Bono Corporativo"/>
    <s v="Energia"/>
    <s v="AA"/>
    <x v="42"/>
    <s v="Bono Sociedad Nacional De Oleoductos"/>
    <n v="5964838.4725720007"/>
    <n v="0"/>
    <s v=""/>
  </r>
  <r>
    <s v="2017-11-19"/>
    <x v="7"/>
    <s v="BRPL-L0315"/>
    <s v="BBRIPLEY"/>
    <n v="14358072.811899999"/>
    <n v="13893018.332991976"/>
    <n v="1.63E-4"/>
    <n v="4.25"/>
    <s v="2020-03-01"/>
    <n v="832"/>
    <n v="2.16"/>
    <n v="102.19"/>
    <s v="$"/>
    <s v="Bono Corporativo"/>
    <s v="Financieras"/>
    <s v="A+"/>
    <x v="1"/>
    <s v="Bono Bancario Ripley"/>
    <n v="31013437.273704"/>
    <n v="0"/>
    <e v="#N/A"/>
  </r>
  <r>
    <s v="2017-11-19"/>
    <x v="7"/>
    <s v="BSTDP40315"/>
    <s v="BBSANT-CHI"/>
    <n v="28104940.994199999"/>
    <n v="27296851.286968384"/>
    <n v="3.2000000000000003E-4"/>
    <n v="3.95"/>
    <s v="2020-03-01"/>
    <n v="832"/>
    <n v="2.17"/>
    <n v="101.91"/>
    <s v="$"/>
    <s v="Bono Corporativo"/>
    <s v="Financieras"/>
    <s v="AAA"/>
    <x v="10"/>
    <s v="Bono Banco Santander"/>
    <n v="60987721.957413994"/>
    <n v="1.4232007744262099E-7"/>
    <s v=""/>
  </r>
  <r>
    <s v="2017-11-19"/>
    <x v="7"/>
    <s v="BRPL-K0315"/>
    <s v="BBRIPLEY"/>
    <n v="951078719.34560001"/>
    <n v="32000"/>
    <n v="1.0825E-2"/>
    <n v="1.84"/>
    <s v="2020-03-01"/>
    <n v="832"/>
    <n v="2.2200000000000002"/>
    <n v="101.67"/>
    <s v="UF"/>
    <s v="Bono Corporativo"/>
    <s v="Financieras"/>
    <s v="A+"/>
    <x v="1"/>
    <s v="Bono Bancario Ripley"/>
    <n v="2111394756.9472322"/>
    <n v="0"/>
    <s v=""/>
  </r>
  <r>
    <s v="2017-11-19"/>
    <x v="7"/>
    <s v="BPARC-L"/>
    <s v="P.ARAUCO"/>
    <n v="3699654.8432999998"/>
    <m/>
    <n v="4.1999999999999998E-5"/>
    <n v="1.71"/>
    <s v="2020-03-01"/>
    <n v="832"/>
    <n v="2.2200000000000002"/>
    <n v="101.3"/>
    <s v="UF"/>
    <s v="Bono Corporativo"/>
    <s v="Consumo"/>
    <s v="AA-"/>
    <x v="43"/>
    <s v="Bono Parque Arauco"/>
    <n v="8213233.7521259999"/>
    <n v="0"/>
    <s v=""/>
  </r>
  <r>
    <s v="2017-11-19"/>
    <x v="7"/>
    <s v="BFORU-AX"/>
    <s v="LEAS FORUM"/>
    <n v="562860572.61880004"/>
    <n v="545981778.39703918"/>
    <n v="6.4070000000000004E-3"/>
    <n v="4.2"/>
    <s v="2020-04-01"/>
    <n v="863"/>
    <n v="2.2400000000000002"/>
    <n v="102.38"/>
    <s v="$"/>
    <s v="Bono Corporativo"/>
    <s v="Financieras"/>
    <s v="AA"/>
    <x v="33"/>
    <s v="Bono Forum Servicios Financieros"/>
    <n v="1260807682.6661122"/>
    <n v="-1.4731553957204221E-6"/>
    <s v=""/>
  </r>
  <r>
    <s v="2017-11-19"/>
    <x v="7"/>
    <s v="BITAAI0415"/>
    <s v="BBITAU"/>
    <n v="2473777.5858999998"/>
    <m/>
    <n v="2.8E-5"/>
    <n v="1.69"/>
    <s v="2020-04-01"/>
    <n v="863"/>
    <n v="2.2799999999999998"/>
    <n v="104.1"/>
    <s v="UF"/>
    <s v="Bono Corporativo"/>
    <s v="Financieras"/>
    <s v="AA"/>
    <x v="11"/>
    <s v="Bono Banco Itaucorp"/>
    <n v="5640212.8958519995"/>
    <n v="0"/>
    <s v=""/>
  </r>
  <r>
    <s v="2017-11-19"/>
    <x v="7"/>
    <s v="BCNO-O1114"/>
    <s v="BBCONSORC"/>
    <n v="38747458.704800002"/>
    <n v="37255906.205407463"/>
    <n v="4.4099999999999999E-4"/>
    <n v="4.25"/>
    <s v="2020-05-01"/>
    <n v="893"/>
    <n v="2.31"/>
    <n v="103.7"/>
    <s v="$"/>
    <s v="Bono Corporativo"/>
    <s v="Financieras"/>
    <s v="AA-"/>
    <x v="5"/>
    <s v="Bono Banco Consorcio"/>
    <n v="89506629.608088002"/>
    <n v="-3.0494406034522139E-7"/>
    <s v=""/>
  </r>
  <r>
    <s v="2017-11-19"/>
    <x v="7"/>
    <s v="LATAIR0920"/>
    <s v="LATAM AIR"/>
    <n v="14690335.839600001"/>
    <m/>
    <n v="1.6699999999999999E-4"/>
    <n v="0"/>
    <s v="2020-06-09"/>
    <n v="932"/>
    <n v="2.31"/>
    <n v="105.96339999999999"/>
    <s v="$"/>
    <s v="Bono Corporativo"/>
    <s v="Transporte"/>
    <s v="BB"/>
    <x v="87"/>
    <s v="Bono LATAM Airlines"/>
    <n v="33934675.789476"/>
    <n v="0"/>
    <e v="#N/A"/>
  </r>
  <r>
    <s v="2017-11-19"/>
    <x v="7"/>
    <s v="BBIC480510"/>
    <s v="BBICE"/>
    <n v="30514380.072799999"/>
    <m/>
    <n v="3.4699999999999998E-4"/>
    <n v="1.59"/>
    <s v="2020-05-01"/>
    <n v="893"/>
    <n v="2.36"/>
    <n v="104.58"/>
    <s v="UF"/>
    <s v="Bono Corporativo"/>
    <s v="Financieras"/>
    <s v="AA"/>
    <x v="2"/>
    <s v="Bono Bancario Bice 48"/>
    <n v="72013936.971808001"/>
    <n v="-1.6526116171362604E-7"/>
    <s v=""/>
  </r>
  <r>
    <s v="2017-11-19"/>
    <x v="7"/>
    <s v="BFAL-A0510"/>
    <s v="BBFALABELL"/>
    <n v="45421812.823600002"/>
    <m/>
    <n v="5.1699999999999999E-4"/>
    <n v="1.66"/>
    <s v="2020-05-15"/>
    <n v="907"/>
    <n v="2.41"/>
    <n v="103.93"/>
    <s v="UF"/>
    <s v="Bono Corporativo"/>
    <s v="Financieras"/>
    <s v="AA"/>
    <x v="44"/>
    <s v="Bono Banco Falabella"/>
    <n v="109466568.90487601"/>
    <n v="0"/>
    <s v=""/>
  </r>
  <r>
    <s v="2017-11-19"/>
    <x v="7"/>
    <s v="BFAL-F0615"/>
    <s v="BBFALABELL"/>
    <n v="2860237.3577999999"/>
    <n v="2723185.6855874602"/>
    <n v="3.3000000000000003E-5"/>
    <n v="4.2699999999999996"/>
    <s v="2020-06-30"/>
    <n v="953"/>
    <n v="2.42"/>
    <n v="102.87"/>
    <s v="$"/>
    <s v="Bono Corporativo"/>
    <s v="Financieras"/>
    <s v="AA"/>
    <x v="44"/>
    <s v="Bono Banco Falabella"/>
    <n v="6921774.4058759995"/>
    <n v="0"/>
    <s v=""/>
  </r>
  <r>
    <s v="2017-11-19"/>
    <x v="7"/>
    <s v="BSECZ10715"/>
    <s v="BBSECURITY"/>
    <n v="28617918.3464"/>
    <n v="27297952.860798426"/>
    <n v="3.2600000000000001E-4"/>
    <n v="4.1399999999999997"/>
    <s v="2020-07-01"/>
    <n v="954"/>
    <n v="2.4300000000000002"/>
    <n v="102.76"/>
    <s v="$"/>
    <s v="Bono Corporativo"/>
    <s v="Financieras"/>
    <s v="AA-"/>
    <x v="7"/>
    <s v="Bono Banco Security"/>
    <n v="69541541.581752002"/>
    <n v="-8.1151600654200023E-8"/>
    <s v=""/>
  </r>
  <r>
    <s v="2017-11-19"/>
    <x v="7"/>
    <s v="BQUIN-I"/>
    <s v="QUINENCO"/>
    <n v="834094.34629999998"/>
    <m/>
    <n v="9.0000000000000002E-6"/>
    <n v="2"/>
    <s v="2021-06-01"/>
    <n v="1289"/>
    <n v="2.4300000000000002"/>
    <n v="104.08"/>
    <s v="UF"/>
    <s v="Bono Corporativo"/>
    <s v="Diversificados"/>
    <s v="AA"/>
    <x v="17"/>
    <s v="Bono Quinenco"/>
    <n v="2026849.2615090001"/>
    <n v="0"/>
    <s v=""/>
  </r>
  <r>
    <s v="2017-11-19"/>
    <x v="7"/>
    <s v="BSECB40615"/>
    <s v="BBSECURITY"/>
    <n v="588515999.546"/>
    <n v="15000"/>
    <n v="6.6990000000000001E-3"/>
    <n v="1.72"/>
    <s v="2020-06-01"/>
    <n v="924"/>
    <n v="2.4500000000000002"/>
    <n v="101.31"/>
    <s v="UF"/>
    <s v="Bono Corporativo"/>
    <s v="Financieras"/>
    <s v="AA-"/>
    <x v="7"/>
    <s v="Bono Banco Security"/>
    <n v="1441864198.8877001"/>
    <n v="-1.6795606871823541E-6"/>
    <s v=""/>
  </r>
  <r>
    <s v="2017-11-19"/>
    <x v="7"/>
    <s v="BCOR-R0110"/>
    <s v="BBCORPBANC"/>
    <n v="846488.02159999998"/>
    <m/>
    <n v="1.0000000000000001E-5"/>
    <n v="1.69"/>
    <s v="2020-07-09"/>
    <n v="962"/>
    <n v="2.5"/>
    <n v="105.86"/>
    <s v="UF"/>
    <s v="Bono Corporativo"/>
    <s v="Financieras"/>
    <s v="AA"/>
    <x v="11"/>
    <s v="Bono Corpbanca"/>
    <n v="2116220.054"/>
    <n v="2.5548163471311848E-9"/>
    <s v=""/>
  </r>
  <r>
    <s v="2017-11-19"/>
    <x v="7"/>
    <s v="BCORAI0710"/>
    <s v="BBCORPBANC"/>
    <n v="126558979.6417"/>
    <n v="500"/>
    <n v="1.4400000000000001E-3"/>
    <n v="1.71"/>
    <s v="2020-07-01"/>
    <n v="954"/>
    <n v="2.5099999999999998"/>
    <n v="103.26"/>
    <s v="UF"/>
    <s v="Bono Corporativo"/>
    <s v="Financieras"/>
    <s v="AA"/>
    <x v="11"/>
    <s v="Bono Corpbanca"/>
    <n v="317663038.90066695"/>
    <n v="2.9542518466150987E-6"/>
    <s v=""/>
  </r>
  <r>
    <s v="2017-11-19"/>
    <x v="7"/>
    <s v="CHI0210103"/>
    <s v="CHILE"/>
    <n v="1633934"/>
    <n v="160"/>
    <n v="1.8E-5"/>
    <n v="2.99"/>
    <s v="2023-01-01"/>
    <n v="1868"/>
    <n v="2.54"/>
    <n v="105.04"/>
    <s v="UF"/>
    <s v="Letra Hipotecaria"/>
    <s v="Financieras"/>
    <s v="AAA"/>
    <x v="16"/>
    <s v="Lh Chile-021"/>
    <n v="4150192.36"/>
    <n v="-9.3466037590033824E-9"/>
    <e v="#N/A"/>
  </r>
  <r>
    <s v="2017-11-19"/>
    <x v="7"/>
    <s v="BTANN-U"/>
    <s v="TANNER SF"/>
    <n v="57489770.385200001"/>
    <m/>
    <n v="6.5399999999999996E-4"/>
    <n v="2.48"/>
    <s v="2020-08-01"/>
    <n v="985"/>
    <n v="2.61"/>
    <n v="100.05"/>
    <s v="UF"/>
    <s v="Bono Corporativo"/>
    <s v="Financieras"/>
    <s v="A+"/>
    <x v="45"/>
    <s v="Bono SF Tanner S.A."/>
    <n v="150048300.70537201"/>
    <n v="-1.7429540898079338E-7"/>
    <s v=""/>
  </r>
  <r>
    <s v="2017-11-19"/>
    <x v="7"/>
    <s v="BCORBW0914"/>
    <s v="BBCORPBANC"/>
    <n v="306907543.8563"/>
    <n v="295952388.27106929"/>
    <n v="3.493E-3"/>
    <n v="4.03"/>
    <s v="2020-09-01"/>
    <n v="1016"/>
    <n v="2.61"/>
    <n v="102.6"/>
    <s v="$"/>
    <s v="Bono Corporativo"/>
    <s v="Financieras"/>
    <s v="AA"/>
    <x v="11"/>
    <s v="Bono Corpbanca"/>
    <n v="801028689.46494293"/>
    <n v="0"/>
    <s v=""/>
  </r>
  <r>
    <s v="2017-11-19"/>
    <x v="7"/>
    <s v="SANT0920"/>
    <s v="SANT-CHILE"/>
    <n v="264015664.5932"/>
    <n v="258899383.01192161"/>
    <n v="3.0049999999999999E-3"/>
    <n v="0"/>
    <s v="2020-09-22"/>
    <n v="1037"/>
    <n v="2.61"/>
    <n v="100.947"/>
    <s v="$"/>
    <s v="Bono Corporativo"/>
    <s v="Financieras"/>
    <s v="AAA"/>
    <x v="10"/>
    <s v="Bono Banco Santander"/>
    <n v="689080884.58825195"/>
    <n v="0"/>
    <e v="#N/A"/>
  </r>
  <r>
    <s v="2017-11-19"/>
    <x v="7"/>
    <s v="BFORU-AZ"/>
    <s v="LEAS FORUM"/>
    <n v="89950716.088799998"/>
    <n v="500"/>
    <n v="1.024E-3"/>
    <n v="2"/>
    <s v="2020-08-01"/>
    <n v="985"/>
    <n v="2.62"/>
    <n v="100.51"/>
    <s v="UF"/>
    <s v="Bono Corporativo"/>
    <s v="Financieras"/>
    <s v="AA"/>
    <x v="33"/>
    <s v="Bono Forum Servicios Financieros"/>
    <n v="235670876.15265602"/>
    <n v="2.7405317979802228E-7"/>
    <s v=""/>
  </r>
  <r>
    <s v="2017-11-19"/>
    <x v="7"/>
    <s v="BTMOV-I"/>
    <s v="MOVISTAR"/>
    <n v="2390739.9615000002"/>
    <m/>
    <n v="2.6999999999999999E-5"/>
    <n v="1.73"/>
    <s v="2020-08-14"/>
    <n v="998"/>
    <n v="2.66"/>
    <n v="100.57"/>
    <s v="UF"/>
    <s v="Bono Corporativo"/>
    <s v="Comunicaciones"/>
    <s v="AA"/>
    <x v="34"/>
    <s v="Bono Movistar"/>
    <n v="6359368.2975900006"/>
    <n v="2.2036050040953463E-8"/>
    <s v=""/>
  </r>
  <r>
    <s v="2017-11-19"/>
    <x v="7"/>
    <s v="BARAU-J"/>
    <s v="ARAUCO"/>
    <n v="1239987.2117999999"/>
    <m/>
    <n v="1.4E-5"/>
    <n v="1.68"/>
    <s v="2020-09-01"/>
    <n v="1016"/>
    <n v="2.67"/>
    <n v="104.17"/>
    <s v="UF"/>
    <s v="Bono Corporativo"/>
    <s v="Materiales Basicos"/>
    <s v="AA-"/>
    <x v="30"/>
    <s v="Bono Celulosa Arauco"/>
    <n v="3310765.8555059996"/>
    <n v="0"/>
    <s v=""/>
  </r>
  <r>
    <s v="2017-11-19"/>
    <x v="7"/>
    <s v="BTANN-X"/>
    <s v="TANNER SF"/>
    <n v="113694434.97319999"/>
    <m/>
    <n v="1.294E-3"/>
    <n v="2.48"/>
    <s v="2020-09-10"/>
    <n v="1025"/>
    <n v="2.68"/>
    <n v="103.34"/>
    <s v="UF"/>
    <s v="Bono Corporativo"/>
    <s v="Financieras"/>
    <s v="A+"/>
    <x v="45"/>
    <s v="Bono Tanner"/>
    <n v="304701085.728176"/>
    <n v="0"/>
    <e v="#N/A"/>
  </r>
  <r>
    <s v="2017-11-19"/>
    <x v="7"/>
    <s v="BCNO-U0915"/>
    <s v="BBCONSORC"/>
    <n v="129379106.1364"/>
    <m/>
    <n v="1.4729999999999999E-3"/>
    <n v="1.91"/>
    <s v="2020-09-01"/>
    <n v="1016"/>
    <n v="2.7"/>
    <n v="101.03"/>
    <s v="UF"/>
    <s v="Bono Corporativo"/>
    <s v="Financieras"/>
    <s v="AA-"/>
    <x v="5"/>
    <s v="Bono Banco Consorcio"/>
    <n v="349323586.56828004"/>
    <n v="4.0621237666901989E-7"/>
    <s v=""/>
  </r>
  <r>
    <s v="2017-11-19"/>
    <x v="7"/>
    <s v="BSTDP80315"/>
    <s v="BBSANT-CHI"/>
    <n v="29721596.892099999"/>
    <m/>
    <n v="3.3799999999999998E-4"/>
    <n v="1.67"/>
    <s v="2020-09-01"/>
    <n v="1016"/>
    <n v="2.7"/>
    <n v="101.58"/>
    <s v="UF"/>
    <s v="Bono Corporativo"/>
    <s v="Financieras"/>
    <s v="AAA"/>
    <x v="10"/>
    <s v="Bono Banco Santander"/>
    <n v="80248311.608669996"/>
    <n v="-1.8652355304595233E-7"/>
    <s v=""/>
  </r>
  <r>
    <s v="2017-11-19"/>
    <x v="7"/>
    <s v="BHER-M0117"/>
    <s v="LOS HEROES"/>
    <n v="72394072.830899999"/>
    <m/>
    <n v="8.2399999999999997E-4"/>
    <n v="3.04"/>
    <s v="2022-01-05"/>
    <n v="1507"/>
    <n v="2.7"/>
    <n v="102.52"/>
    <s v="UF"/>
    <s v="Bono Corporativo"/>
    <s v="Financieras"/>
    <s v="A-"/>
    <x v="75"/>
    <s v="Bono Caja Los Heroes"/>
    <n v="195463996.64342999"/>
    <n v="0"/>
    <e v="#N/A"/>
  </r>
  <r>
    <s v="2017-11-19"/>
    <x v="7"/>
    <s v="BCAJ-L1215"/>
    <s v="LOS ANDES"/>
    <n v="623069796.44879997"/>
    <n v="15000"/>
    <n v="7.0910000000000001E-3"/>
    <n v="2.06"/>
    <s v="2020-12-01"/>
    <n v="1107"/>
    <n v="2.84"/>
    <n v="105.48"/>
    <s v="UF"/>
    <s v="Bono Corporativo"/>
    <s v="Financieras"/>
    <s v="AA-"/>
    <x v="18"/>
    <s v="Bono Caja Los Andes"/>
    <n v="1769518221.9145918"/>
    <n v="-2.0557437974722455E-6"/>
    <s v=""/>
  </r>
  <r>
    <s v="2017-11-19"/>
    <x v="7"/>
    <s v="BBIC640116"/>
    <s v="BBICE"/>
    <n v="65126639.190499999"/>
    <n v="61537193.741317242"/>
    <n v="7.4200000000000004E-4"/>
    <n v="4.25"/>
    <s v="2021-01-01"/>
    <n v="1138"/>
    <n v="2.85"/>
    <n v="103.64"/>
    <s v="$"/>
    <s v="Bono Corporativo"/>
    <s v="Financieras"/>
    <s v="AA"/>
    <x v="2"/>
    <s v="Bono Banco Bice"/>
    <n v="185610921.69292501"/>
    <n v="-4.3223787234581938E-7"/>
    <s v=""/>
  </r>
  <r>
    <s v="2017-11-19"/>
    <x v="7"/>
    <s v="BUDC-A"/>
    <s v="UDECONCE"/>
    <n v="143149772.7924"/>
    <m/>
    <n v="1.629E-3"/>
    <n v="3.4"/>
    <s v="2021-11-10"/>
    <n v="1451"/>
    <n v="2.87"/>
    <n v="107.03"/>
    <s v="UF"/>
    <s v="Bono Corporativo"/>
    <s v="Educación"/>
    <s v="A-"/>
    <x v="89"/>
    <s v="Bono Universidad De Concepcion"/>
    <n v="410839847.91418803"/>
    <n v="0"/>
    <s v=""/>
  </r>
  <r>
    <s v="2017-11-19"/>
    <x v="7"/>
    <s v="BBOTS-P2D"/>
    <s v="BOSTONSEC"/>
    <n v="70517199"/>
    <n v="14000"/>
    <n v="8.0199999999999998E-4"/>
    <n v="4.66"/>
    <s v="2024-01-25"/>
    <n v="2257"/>
    <n v="2.95"/>
    <n v="100.95"/>
    <s v="UF"/>
    <s v="Bono Corporativo"/>
    <s v="Financieras"/>
    <s v="A"/>
    <x v="161"/>
    <s v="Bono Boston Securitizadora P2D"/>
    <n v="208025737.05000001"/>
    <n v="2.4097799578005017E-7"/>
    <s v=""/>
  </r>
  <r>
    <s v="2017-11-19"/>
    <x v="7"/>
    <s v="BENJO-C"/>
    <s v="ENJOY"/>
    <n v="5874911.6694999998"/>
    <m/>
    <n v="6.7000000000000002E-5"/>
    <n v="4.3899999999999997"/>
    <s v="2024-06-20"/>
    <n v="2404"/>
    <n v="3"/>
    <n v="101.03"/>
    <s v="UF"/>
    <s v="Bono Corporativo"/>
    <s v="Entretenimiento"/>
    <s v="BBB-"/>
    <x v="90"/>
    <s v="Bono Enjoy"/>
    <n v="17624735.008499999"/>
    <n v="2.0404058740633136E-8"/>
    <s v=""/>
  </r>
  <r>
    <s v="2017-11-19"/>
    <x v="7"/>
    <s v="BSTDR40915"/>
    <s v="BBSANT-CHI"/>
    <n v="57469008.216600001"/>
    <n v="54592707.875299782"/>
    <n v="6.5399999999999996E-4"/>
    <n v="4.2"/>
    <s v="2021-03-01"/>
    <n v="1197"/>
    <n v="3.02"/>
    <n v="104.04"/>
    <s v="$"/>
    <s v="Bono Corporativo"/>
    <s v="Financieras"/>
    <s v="AAA"/>
    <x v="10"/>
    <s v="Bono Banco Santander"/>
    <n v="173556404.814132"/>
    <n v="0"/>
    <s v=""/>
  </r>
  <r>
    <s v="2017-11-19"/>
    <x v="7"/>
    <s v="BTP0450321"/>
    <s v="BTP"/>
    <n v="5163486317.8457003"/>
    <n v="4990262942.6591082"/>
    <n v="5.8771999999999998E-2"/>
    <n v="3.72"/>
    <s v="2021-03-01"/>
    <n v="1197"/>
    <n v="3.06"/>
    <n v="102.48"/>
    <s v="$"/>
    <s v="Bono de Gobierno"/>
    <s v="Gobierno"/>
    <s v="AAA"/>
    <x v="35"/>
    <s v="Bono Tesorería en CLP"/>
    <n v="15800268132.607843"/>
    <n v="-1.8324388029637321E-5"/>
    <s v=""/>
  </r>
  <r>
    <s v="2017-11-19"/>
    <x v="7"/>
    <s v="BCHIS-P18A"/>
    <s v="BANCHILSEC"/>
    <n v="128497474.134"/>
    <n v="124988915.29245219"/>
    <n v="1.4630000000000001E-3"/>
    <n v="5.48"/>
    <s v="2022-03-01"/>
    <n v="1562"/>
    <n v="3.07"/>
    <n v="101.52"/>
    <s v="$"/>
    <s v="Bono Corporativo"/>
    <s v="Financieras"/>
    <s v="AA"/>
    <x v="46"/>
    <s v="Bono Banchile Securitizadora"/>
    <n v="394487245.59138"/>
    <n v="-4.5759744121737894E-7"/>
    <s v=""/>
  </r>
  <r>
    <s v="2017-11-19"/>
    <x v="7"/>
    <s v="BENGE-B"/>
    <s v="ENLASA"/>
    <n v="70403179.287400007"/>
    <n v="1000"/>
    <n v="8.0199999999999998E-4"/>
    <n v="1.92"/>
    <s v="2023-11-15"/>
    <n v="2186"/>
    <n v="3.09"/>
    <n v="104.83"/>
    <s v="UF"/>
    <s v="Bono Corporativo"/>
    <s v="Servicios Basicos"/>
    <s v="AA"/>
    <x v="36"/>
    <s v="Bono Enlasa Generacion"/>
    <n v="217545823.99806601"/>
    <n v="2.2956976526777616E-7"/>
    <s v=""/>
  </r>
  <r>
    <s v="2017-11-19"/>
    <x v="7"/>
    <s v="BCSMU-G"/>
    <s v="SMU"/>
    <n v="81680223.534299999"/>
    <m/>
    <n v="9.3000000000000005E-4"/>
    <n v="3.49"/>
    <s v="2021-03-25"/>
    <n v="1221"/>
    <n v="3.13"/>
    <n v="103.09"/>
    <s v="UF"/>
    <s v="Bono Corporativo"/>
    <s v="Consumo"/>
    <s v="BB-"/>
    <x v="84"/>
    <s v="Bono SMU S.A."/>
    <n v="255659099.662359"/>
    <n v="0"/>
    <e v="#N/A"/>
  </r>
  <r>
    <s v="2017-11-19"/>
    <x v="7"/>
    <s v="BCSMU-K"/>
    <s v="SMU"/>
    <n v="85825062.360499993"/>
    <m/>
    <n v="9.77E-4"/>
    <n v="3.49"/>
    <s v="2021-03-25"/>
    <n v="1221"/>
    <n v="3.13"/>
    <n v="103.09"/>
    <s v="UF"/>
    <s v="Bono Corporativo"/>
    <s v="Consumo"/>
    <s v="BB-"/>
    <x v="84"/>
    <s v="Bono SMU S.A."/>
    <n v="268632445.18836498"/>
    <n v="0"/>
    <e v="#N/A"/>
  </r>
  <r>
    <s v="2017-11-19"/>
    <x v="7"/>
    <s v="BMGAS-F"/>
    <s v="METROGAS"/>
    <n v="635175.85809999995"/>
    <m/>
    <n v="6.9999999999999999E-6"/>
    <n v="1.86"/>
    <s v="2024-08-01"/>
    <n v="2446"/>
    <n v="3.18"/>
    <n v="113.12"/>
    <s v="UF"/>
    <s v="Bono Corporativo"/>
    <s v="Energia"/>
    <s v="AA-"/>
    <x v="37"/>
    <s v="Bono Metrogas"/>
    <n v="2019859.2287580001"/>
    <n v="0"/>
    <s v=""/>
  </r>
  <r>
    <s v="2017-11-19"/>
    <x v="7"/>
    <s v="BTU0150321"/>
    <s v="BTU"/>
    <n v="11303125633.584101"/>
    <n v="380500"/>
    <n v="0.12865799999999999"/>
    <n v="1.19"/>
    <s v="2021-03-01"/>
    <n v="1197"/>
    <n v="3.2"/>
    <n v="101"/>
    <s v="UF"/>
    <s v="Bono de Gobierno"/>
    <s v="Gobierno"/>
    <s v="AAA"/>
    <x v="35"/>
    <s v="Bono Tesorería en UF"/>
    <n v="36170002027.469124"/>
    <n v="0"/>
    <s v=""/>
  </r>
  <r>
    <s v="2017-11-19"/>
    <x v="7"/>
    <s v="BBOTS-P3F"/>
    <s v="BOSTONSEC"/>
    <n v="67375957"/>
    <n v="11000"/>
    <n v="7.6599999999999997E-4"/>
    <n v="6.68"/>
    <s v="2024-11-25"/>
    <n v="2562"/>
    <n v="3.2"/>
    <n v="93.49"/>
    <s v="UF"/>
    <s v="Bono Corporativo"/>
    <s v="Financieras"/>
    <s v="A"/>
    <x v="161"/>
    <s v="Bonos Boston Securitizadora P3F"/>
    <n v="215603062.40000001"/>
    <n v="2.4958664699717971E-7"/>
    <s v=""/>
  </r>
  <r>
    <s v="2017-11-19"/>
    <x v="7"/>
    <s v="BCAPS-G"/>
    <s v="CAP"/>
    <n v="538499533.97370005"/>
    <n v="15000"/>
    <n v="6.1289999999999999E-3"/>
    <n v="3.42"/>
    <s v="2021-07-01"/>
    <n v="1319"/>
    <n v="3.24"/>
    <n v="109.09999999999998"/>
    <s v="UF"/>
    <s v="Bono Corporativo"/>
    <s v="Industriales"/>
    <s v="A+"/>
    <x v="47"/>
    <s v="Bono CAP"/>
    <n v="1744738490.0747883"/>
    <n v="0"/>
    <s v=""/>
  </r>
  <r>
    <s v="2017-11-19"/>
    <x v="7"/>
    <s v="UEST-A0799"/>
    <s v="BBESTADO"/>
    <n v="106124132.83589999"/>
    <m/>
    <n v="1.2080000000000001E-3"/>
    <n v="2.13"/>
    <s v="2024-07-01"/>
    <n v="2415"/>
    <n v="3.28"/>
    <n v="114.3"/>
    <s v="UF"/>
    <s v="Bono Corporativo"/>
    <s v="Financieras"/>
    <s v="AA"/>
    <x v="3"/>
    <s v="Bono Banco Estado"/>
    <n v="348087155.70175195"/>
    <n v="8.0483026479592011E-7"/>
    <s v=""/>
  </r>
  <r>
    <s v="2017-11-19"/>
    <x v="7"/>
    <s v="BBBVJ71215"/>
    <s v="BBBVA"/>
    <n v="154002019.04280001"/>
    <m/>
    <n v="1.753E-3"/>
    <n v="1.7"/>
    <s v="2021-06-09"/>
    <n v="1297"/>
    <n v="3.36"/>
    <n v="104.35"/>
    <s v="UF"/>
    <s v="Bono Corporativo"/>
    <s v="Financieras"/>
    <s v="AA"/>
    <x v="0"/>
    <s v="Bono Banco BBVA"/>
    <n v="517446783.98380804"/>
    <n v="4.7901773694927977E-6"/>
    <s v=""/>
  </r>
  <r>
    <s v="2017-11-19"/>
    <x v="7"/>
    <s v="BFALA-O"/>
    <s v="FALAB.SACI"/>
    <n v="59865687.745099999"/>
    <n v="58447131.445074148"/>
    <n v="6.8199999999999999E-4"/>
    <n v="4.5"/>
    <s v="2022-04-15"/>
    <n v="1607"/>
    <n v="3.37"/>
    <n v="101.94"/>
    <s v="$"/>
    <s v="Bono Corporativo"/>
    <s v="Consumo"/>
    <s v="AA"/>
    <x v="38"/>
    <s v="Bono Falabella"/>
    <n v="201747367.70098701"/>
    <n v="0"/>
    <s v=""/>
  </r>
  <r>
    <s v="2017-11-19"/>
    <x v="7"/>
    <s v="UBCIF10599"/>
    <s v="BBCREDITO"/>
    <n v="77490669.721300006"/>
    <m/>
    <n v="8.8199999999999997E-4"/>
    <n v="1.87"/>
    <s v="2024-05-01"/>
    <n v="2354"/>
    <n v="3.38"/>
    <n v="115.83"/>
    <s v="UF"/>
    <s v="Bono Corporativo"/>
    <s v="Financieras"/>
    <s v="AA-"/>
    <x v="9"/>
    <s v="Bono Subordinado Bci"/>
    <n v="261918463.657994"/>
    <n v="2.7981223224971591E-7"/>
    <e v="#N/A"/>
  </r>
  <r>
    <s v="2017-11-19"/>
    <x v="7"/>
    <s v="BTANN-Z"/>
    <s v="TANNER SF"/>
    <n v="237606967.80450001"/>
    <m/>
    <n v="2.7049999999999999E-3"/>
    <n v="2.4500000000000002"/>
    <s v="2021-07-05"/>
    <n v="1323"/>
    <n v="3.41"/>
    <n v="102.68"/>
    <s v="UF"/>
    <s v="Bono Corporativo"/>
    <s v="Financieras"/>
    <s v="A+"/>
    <x v="45"/>
    <s v="Bono SF Tanner S.A."/>
    <n v="810239760.21334505"/>
    <n v="0"/>
    <e v="#N/A"/>
  </r>
  <r>
    <s v="2017-11-19"/>
    <x v="7"/>
    <s v="BCAPS-H"/>
    <s v="CAP"/>
    <n v="548615558.02550006"/>
    <n v="10000"/>
    <n v="6.2440000000000004E-3"/>
    <n v="3.24"/>
    <s v="2021-09-01"/>
    <n v="1381"/>
    <n v="3.41"/>
    <n v="110.25"/>
    <s v="UF"/>
    <s v="Bono Corporativo"/>
    <s v="Industriales"/>
    <s v="A+"/>
    <x v="47"/>
    <s v="Bono CAP"/>
    <n v="1870779052.8669553"/>
    <n v="-2.1655107006840766E-6"/>
    <s v=""/>
  </r>
  <r>
    <s v="2017-11-19"/>
    <x v="7"/>
    <s v="BCORBX0914"/>
    <s v="BBCORPBANC"/>
    <n v="84781166.030000001"/>
    <n v="81906455.043230757"/>
    <n v="9.6500000000000004E-4"/>
    <n v="4.34"/>
    <s v="2021-09-01"/>
    <n v="1381"/>
    <n v="3.46"/>
    <n v="102.41"/>
    <s v="$"/>
    <s v="Bono Corporativo"/>
    <s v="Financieras"/>
    <s v="AA"/>
    <x v="11"/>
    <s v="Bono Corpbanca"/>
    <n v="293342834.46380001"/>
    <n v="-6.7930230607457755E-7"/>
    <e v="#N/A"/>
  </r>
  <r>
    <s v="2017-11-19"/>
    <x v="7"/>
    <s v="EST4170105"/>
    <s v="ESTADO"/>
    <n v="36918682"/>
    <n v="2840"/>
    <n v="4.2000000000000002E-4"/>
    <n v="2.84"/>
    <s v="2025-01-01"/>
    <n v="2599"/>
    <n v="3.48"/>
    <n v="104.97"/>
    <s v="UF"/>
    <s v="Letra Hipotecaria"/>
    <s v="Financieras"/>
    <s v="AAA"/>
    <x v="3"/>
    <s v="Lh Estado-417"/>
    <n v="128477013.36"/>
    <n v="-1.4865757289202449E-7"/>
    <e v="#N/A"/>
  </r>
  <r>
    <s v="2017-11-19"/>
    <x v="7"/>
    <s v="RPLG0E0105"/>
    <s v="RIPLEY"/>
    <n v="3417445"/>
    <n v="270"/>
    <n v="3.8000000000000002E-5"/>
    <n v="2.92"/>
    <s v="2025-01-01"/>
    <n v="2599"/>
    <n v="3.49"/>
    <n v="103.68"/>
    <s v="UF"/>
    <s v="Letra Hipotecaria"/>
    <s v="Financieras"/>
    <s v="A"/>
    <x v="1"/>
    <s v="Lh Ripley-G0E (01/05)"/>
    <n v="11926883.050000001"/>
    <n v="0"/>
    <e v="#N/A"/>
  </r>
  <r>
    <s v="2017-11-19"/>
    <x v="7"/>
    <s v="BINDE-A"/>
    <s v="CFIRENTAS"/>
    <n v="343521810.24070001"/>
    <n v="3500"/>
    <n v="3.9100000000000003E-3"/>
    <n v="1.97"/>
    <s v="2021-07-15"/>
    <n v="1333"/>
    <n v="3.5"/>
    <n v="101.13"/>
    <s v="UF"/>
    <s v="Bono Corporativo"/>
    <s v="Construccion"/>
    <s v="AA-"/>
    <x v="48"/>
    <s v="Bono Fondo de Inversion Independencia Rentas Inmobiliarias"/>
    <n v="1202326335.8424501"/>
    <n v="0"/>
    <e v="#N/A"/>
  </r>
  <r>
    <s v="2017-11-19"/>
    <x v="7"/>
    <s v="BTMOV-K"/>
    <s v="MOVISTAR"/>
    <n v="167743594.17500001"/>
    <n v="163804265.39644"/>
    <n v="1.9090000000000001E-3"/>
    <n v="4.45"/>
    <s v="2021-09-13"/>
    <n v="1393"/>
    <n v="3.5"/>
    <n v="101.51"/>
    <s v="$"/>
    <s v="Bono Corporativo"/>
    <s v="Comunicaciones"/>
    <s v="AA"/>
    <x v="34"/>
    <s v="Bono Movistar"/>
    <n v="587102579.61250007"/>
    <n v="-6.7961846338576864E-7"/>
    <s v=""/>
  </r>
  <r>
    <s v="2017-11-19"/>
    <x v="7"/>
    <s v="BBCIE20811"/>
    <s v="BBCREDITO"/>
    <n v="813882606.75639999"/>
    <n v="30000"/>
    <n v="9.2630000000000004E-3"/>
    <n v="2.4900000000000002"/>
    <s v="2021-08-01"/>
    <n v="1350"/>
    <n v="3.52"/>
    <n v="100.43"/>
    <s v="UF"/>
    <s v="Bono Corporativo"/>
    <s v="Financieras"/>
    <s v="AA+"/>
    <x v="9"/>
    <s v="Bono BCI"/>
    <n v="2864866775.7825279"/>
    <n v="-2.3221745458093298E-5"/>
    <s v=""/>
  </r>
  <r>
    <s v="2017-11-19"/>
    <x v="7"/>
    <s v="BSECB50816"/>
    <s v="BBSECURITY"/>
    <n v="112342040.1355"/>
    <m/>
    <n v="1.279E-3"/>
    <n v="1.81"/>
    <s v="2021-08-01"/>
    <n v="1350"/>
    <n v="3.54"/>
    <n v="102.11"/>
    <s v="UF"/>
    <s v="Bono Corporativo"/>
    <s v="Financieras"/>
    <s v="AA-"/>
    <x v="7"/>
    <s v="Bono Banco Security"/>
    <n v="397690822.07967001"/>
    <n v="-4.598779359398147E-7"/>
    <e v="#N/A"/>
  </r>
  <r>
    <s v="2017-11-19"/>
    <x v="7"/>
    <s v="AUPIST0622"/>
    <s v="RUTAMAIPO"/>
    <n v="31648717.703600001"/>
    <m/>
    <n v="3.6000000000000002E-4"/>
    <n v="0"/>
    <s v="2022-06-15"/>
    <n v="1668"/>
    <n v="3.55"/>
    <n v="107.9584"/>
    <s v="$"/>
    <s v="Bono Corporativo"/>
    <s v="Consecionaria"/>
    <s v="A"/>
    <x v="94"/>
    <s v="Bono Ruta del Maipo"/>
    <n v="112352947.84777999"/>
    <n v="0"/>
    <e v="#N/A"/>
  </r>
  <r>
    <s v="2017-11-19"/>
    <x v="7"/>
    <s v="BITA-K0911"/>
    <s v="BBITAU"/>
    <n v="38877465.390699998"/>
    <m/>
    <n v="4.4299999999999998E-4"/>
    <n v="1.82"/>
    <s v="2021-09-01"/>
    <n v="1381"/>
    <n v="3.56"/>
    <n v="105.99"/>
    <s v="UF"/>
    <s v="Bono Corporativo"/>
    <s v="Financieras"/>
    <s v="AA"/>
    <x v="11"/>
    <s v="Bono Banco Itaucorp"/>
    <n v="138403776.790892"/>
    <n v="4.8071388100636584E-7"/>
    <s v=""/>
  </r>
  <r>
    <s v="2017-11-19"/>
    <x v="7"/>
    <s v="BFORU-BA"/>
    <s v="LEAS FORUM"/>
    <n v="695380368.77059996"/>
    <n v="680906228.32106435"/>
    <n v="7.9150000000000002E-3"/>
    <n v="4.62"/>
    <s v="2021-10-15"/>
    <n v="1425"/>
    <n v="3.58"/>
    <n v="101.64"/>
    <s v="$"/>
    <s v="Bono Corporativo"/>
    <s v="Financieras"/>
    <s v="AA"/>
    <x v="33"/>
    <s v="Bono Forum Servicios Financieros"/>
    <n v="2489461720.1987481"/>
    <n v="-2.8789617720729182E-6"/>
    <e v="#N/A"/>
  </r>
  <r>
    <s v="2017-11-19"/>
    <x v="7"/>
    <s v="BFALA-Q"/>
    <s v="FALAB.SACI"/>
    <n v="1191654496.0367999"/>
    <n v="1136512858.3184268"/>
    <n v="1.3563E-2"/>
    <n v="4.42"/>
    <s v="2021-11-25"/>
    <n v="1466"/>
    <n v="3.6"/>
    <n v="102.33"/>
    <s v="$"/>
    <s v="Bono Corporativo"/>
    <s v="Consumo"/>
    <s v="AA"/>
    <x v="38"/>
    <s v="Bono Falabella"/>
    <n v="4289956185.7324796"/>
    <n v="-9.9339037691403376E-6"/>
    <e v="#N/A"/>
  </r>
  <r>
    <s v="2017-11-19"/>
    <x v="7"/>
    <s v="BNAVI-A"/>
    <s v="NAVIERA"/>
    <n v="102379964.3387"/>
    <m/>
    <n v="1.165E-3"/>
    <n v="3.61"/>
    <s v="2025-02-16"/>
    <n v="2645"/>
    <n v="3.63"/>
    <n v="102.06"/>
    <s v="UF"/>
    <s v="Bono Corporativo"/>
    <s v="Transporte"/>
    <s v="BBB+"/>
    <x v="95"/>
    <s v="Bono Naviera"/>
    <n v="371639270.54948097"/>
    <n v="4.2957886799484558E-7"/>
    <s v=""/>
  </r>
  <r>
    <s v="2017-11-19"/>
    <x v="7"/>
    <s v="BMELI-A"/>
    <s v="MELIPILLA"/>
    <n v="40354101.904799998"/>
    <m/>
    <n v="4.5899999999999999E-4"/>
    <n v="6.1"/>
    <s v="2024-12-01"/>
    <n v="2568"/>
    <n v="3.66"/>
    <n v="101.37"/>
    <s v="UF"/>
    <s v="Bono Corporativo"/>
    <s v="Consecionaria"/>
    <s v="BBB+"/>
    <x v="96"/>
    <s v="Bono Autopista Melipilla"/>
    <n v="147696012.97156799"/>
    <n v="1.7056442889317105E-7"/>
    <s v=""/>
  </r>
  <r>
    <s v="2017-11-19"/>
    <x v="7"/>
    <s v="ENJOY0522"/>
    <s v="ENJOY"/>
    <n v="57905476.934100002"/>
    <m/>
    <n v="6.5899999999999997E-4"/>
    <n v="0"/>
    <s v="2022-05-16"/>
    <n v="1638"/>
    <n v="3.72"/>
    <n v="107.5051"/>
    <s v="$"/>
    <s v="Bono Corporativo"/>
    <s v="Entretenimiento"/>
    <s v="BBB-"/>
    <x v="90"/>
    <s v="Bono Enjoy"/>
    <n v="215408374.19485202"/>
    <n v="0"/>
    <e v="#N/A"/>
  </r>
  <r>
    <s v="2017-11-19"/>
    <x v="7"/>
    <s v="BSECK21111"/>
    <s v="BBSECURITY"/>
    <n v="197046844"/>
    <n v="7000"/>
    <n v="2.2420000000000001E-3"/>
    <n v="1.84"/>
    <s v="2021-11-01"/>
    <n v="1442"/>
    <n v="3.74"/>
    <n v="105.37"/>
    <s v="UF"/>
    <s v="Bono Corporativo"/>
    <s v="Financieras"/>
    <s v="AA-"/>
    <x v="7"/>
    <s v="Bono Banco Security"/>
    <n v="736955196.56000006"/>
    <n v="0"/>
    <s v=""/>
  </r>
  <r>
    <s v="2017-11-19"/>
    <x v="7"/>
    <s v="BCAJ-V0917"/>
    <s v="LOS ANDES"/>
    <n v="124346585.06730001"/>
    <n v="124668119.10660122"/>
    <n v="1.4159999999999999E-3"/>
    <n v="5.07"/>
    <s v="2022-09-25"/>
    <n v="1770"/>
    <n v="3.74"/>
    <n v="99.04"/>
    <s v="$"/>
    <s v="Bono Corporativo"/>
    <s v="Financieras"/>
    <s v="AA-"/>
    <x v="18"/>
    <s v="Bono Caja Los Andes"/>
    <n v="465056228.15170205"/>
    <n v="-5.3716697600772269E-7"/>
    <e v="#N/A"/>
  </r>
  <r>
    <s v="2017-11-19"/>
    <x v="7"/>
    <s v="BANOR-B2"/>
    <s v="AUTONORTE"/>
    <n v="701964673.56869996"/>
    <n v="20000"/>
    <n v="7.9889999999999996E-3"/>
    <n v="1.89"/>
    <s v="2024-12-30"/>
    <n v="2597"/>
    <n v="3.75"/>
    <n v="114.48"/>
    <s v="UF"/>
    <s v="Bono Corporativo"/>
    <s v="Concesionaria"/>
    <s v="AAA"/>
    <x v="49"/>
    <s v="Autopista Norte"/>
    <n v="2632367525.8826246"/>
    <n v="0"/>
    <s v=""/>
  </r>
  <r>
    <s v="2017-11-19"/>
    <x v="7"/>
    <s v="BRPLC-D"/>
    <s v="RIPLEYCORP"/>
    <n v="1062942640"/>
    <n v="40000"/>
    <n v="1.2099E-2"/>
    <n v="2.15"/>
    <s v="2021-10-15"/>
    <n v="1425"/>
    <n v="3.77"/>
    <n v="99.44"/>
    <s v="UF"/>
    <s v="Bono Corporativo"/>
    <s v="Consumo"/>
    <s v="A+"/>
    <x v="97"/>
    <s v="Bono Ripley"/>
    <n v="4007293752.8000002"/>
    <n v="0"/>
    <s v=""/>
  </r>
  <r>
    <s v="2017-11-19"/>
    <x v="7"/>
    <s v="BSECZ20816"/>
    <s v="BBSECURITY"/>
    <n v="1555935313.8002"/>
    <n v="1484855413.7796178"/>
    <n v="1.771E-2"/>
    <n v="4.5"/>
    <s v="2022-02-01"/>
    <n v="1534"/>
    <n v="3.77"/>
    <n v="103.14"/>
    <s v="$"/>
    <s v="Bono Corporativo"/>
    <s v="Financieras"/>
    <s v="AA-"/>
    <x v="7"/>
    <s v="Bono Banco Security"/>
    <n v="5865876133.0267544"/>
    <n v="-1.356671168576566E-5"/>
    <e v="#N/A"/>
  </r>
  <r>
    <s v="2017-11-19"/>
    <x v="7"/>
    <s v="BCP0600322"/>
    <s v="BCP"/>
    <n v="136278042.82879999"/>
    <n v="124177691.70653509"/>
    <n v="1.5510000000000001E-3"/>
    <n v="3.88"/>
    <s v="2022-03-01"/>
    <n v="1562"/>
    <n v="3.81"/>
    <n v="108.34"/>
    <s v="$"/>
    <s v="Bono de Gobierno"/>
    <s v="Gobierno"/>
    <s v="AAA"/>
    <x v="157"/>
    <s v="Bono Bullet Bco Central En Pesos"/>
    <n v="519219343.177728"/>
    <n v="0"/>
    <s v=""/>
  </r>
  <r>
    <s v="2017-11-19"/>
    <x v="7"/>
    <s v="BCENC-P"/>
    <s v="CENCOSUD"/>
    <n v="303942096.91869998"/>
    <n v="302364770.80801153"/>
    <n v="3.4589999999999998E-3"/>
    <n v="4.5999999999999996"/>
    <s v="2022-11-07"/>
    <n v="1813"/>
    <n v="3.87"/>
    <n v="100.37"/>
    <s v="$"/>
    <s v="Bono Corporativo"/>
    <s v="Consumo"/>
    <s v="AA-"/>
    <x v="14"/>
    <s v="Bono Cencosud S.A."/>
    <n v="1176255915.0753689"/>
    <n v="-2.6522556964617628E-6"/>
    <s v=""/>
  </r>
  <r>
    <s v="2017-11-19"/>
    <x v="7"/>
    <s v="BGASC-F2"/>
    <s v="GASCO"/>
    <n v="10741123.624700001"/>
    <m/>
    <n v="1.22E-4"/>
    <n v="2.08"/>
    <s v="2025-12-01"/>
    <n v="2933"/>
    <n v="3.87"/>
    <n v="120.49"/>
    <s v="UF"/>
    <s v="Bono Corporativo"/>
    <s v="Servicios Basicos"/>
    <s v="A"/>
    <x v="99"/>
    <s v="Bono GASCO"/>
    <n v="41568148.427589007"/>
    <n v="4.7849549981413719E-8"/>
    <s v=""/>
  </r>
  <r>
    <s v="2017-11-19"/>
    <x v="7"/>
    <s v="DES4820106"/>
    <s v="DESARROLLO"/>
    <n v="15929618"/>
    <n v="1060"/>
    <n v="1.8100000000000001E-4"/>
    <n v="3.11"/>
    <s v="2026-01-01"/>
    <n v="2964"/>
    <n v="3.92"/>
    <n v="106.65"/>
    <s v="UF"/>
    <s v="Letra Hipotecaria"/>
    <s v="Financieras"/>
    <s v="AA-"/>
    <x v="8"/>
    <s v="Lh Desarrollo-S48"/>
    <n v="62444102.560000002"/>
    <n v="7.193617572118315E-8"/>
    <e v="#N/A"/>
  </r>
  <r>
    <s v="2017-11-19"/>
    <x v="7"/>
    <s v="BOT45B0106"/>
    <s v="BOSTON"/>
    <n v="15460756"/>
    <n v="1050"/>
    <n v="1.75E-4"/>
    <n v="3.1"/>
    <s v="2026-01-01"/>
    <n v="2964"/>
    <n v="3.95"/>
    <n v="105.41"/>
    <s v="UF"/>
    <s v="Letra Hipotecaria"/>
    <s v="Financieras"/>
    <s v="AA-"/>
    <x v="11"/>
    <s v="Lh Boston-45B"/>
    <n v="61069986.200000003"/>
    <n v="6.9898058590209745E-8"/>
    <e v="#N/A"/>
  </r>
  <r>
    <s v="2017-11-19"/>
    <x v="7"/>
    <s v="BSECS-12A3"/>
    <s v="SECURITSEC"/>
    <n v="244658409"/>
    <n v="14500"/>
    <n v="2.784E-3"/>
    <n v="3.88"/>
    <s v="2026-04-01"/>
    <n v="3054"/>
    <n v="3.99"/>
    <n v="103.16"/>
    <s v="UF"/>
    <s v="Bono Corporativo"/>
    <s v="Financieras"/>
    <s v="AAA"/>
    <x v="164"/>
    <s v="Bono Banco Security"/>
    <n v="976187051.91000009"/>
    <n v="2.2534125793542909E-6"/>
    <s v=""/>
  </r>
  <r>
    <s v="2017-11-19"/>
    <x v="7"/>
    <s v="BLATM-A"/>
    <s v="LTM"/>
    <n v="181926635.14390001"/>
    <m/>
    <n v="2.0709999999999999E-3"/>
    <n v="3.47"/>
    <s v="2022-06-01"/>
    <n v="1654"/>
    <n v="4.0199999999999996"/>
    <n v="107.34"/>
    <s v="UF"/>
    <s v="Bono Corporativo"/>
    <s v="Transporte"/>
    <s v="BBB-"/>
    <x v="87"/>
    <s v="Bono LATAM Airlines"/>
    <n v="731345073.27847791"/>
    <n v="0"/>
    <e v="#N/A"/>
  </r>
  <r>
    <s v="2017-11-19"/>
    <x v="7"/>
    <s v="BBANM-Q"/>
    <s v="BANMEDICA"/>
    <n v="997776084.17760003"/>
    <n v="31000"/>
    <n v="1.1357000000000001E-2"/>
    <n v="2.14"/>
    <s v="2023-12-01"/>
    <n v="2202"/>
    <n v="4.03"/>
    <n v="101.42"/>
    <s v="UF"/>
    <s v="Bono Corporativo"/>
    <s v="Salud"/>
    <s v="AA-"/>
    <x v="24"/>
    <s v="Bono Banmedica"/>
    <n v="4021037619.2357283"/>
    <n v="0"/>
    <s v=""/>
  </r>
  <r>
    <s v="2017-11-19"/>
    <x v="7"/>
    <s v="BINT-G0617"/>
    <s v="BBINTERNAC"/>
    <n v="1275762284.8066001"/>
    <n v="1255261698.2244587"/>
    <n v="1.4520999999999999E-2"/>
    <n v="4.6100000000000003"/>
    <s v="2022-06-01"/>
    <n v="1654"/>
    <n v="4.07"/>
    <n v="99.56"/>
    <s v="$"/>
    <s v="Bono Corporativo"/>
    <s v="Financieras"/>
    <s v="A+"/>
    <x v="12"/>
    <s v="Bono Banco Internacional"/>
    <n v="5192352499.1628628"/>
    <n v="0"/>
    <e v="#N/A"/>
  </r>
  <r>
    <s v="2017-11-19"/>
    <x v="7"/>
    <s v="BSTDE60412"/>
    <s v="BBSANT-CHI"/>
    <n v="154699037.28040001"/>
    <n v="1000"/>
    <n v="1.761E-3"/>
    <n v="1.7"/>
    <s v="2022-04-01"/>
    <n v="1593"/>
    <n v="4.08"/>
    <n v="107.53"/>
    <s v="UF"/>
    <s v="Bono Corporativo"/>
    <s v="Financieras"/>
    <s v="AAA"/>
    <x v="10"/>
    <s v="Bono Banco Santander"/>
    <n v="631172072.10403204"/>
    <n v="1.4565771297620814E-6"/>
    <s v=""/>
  </r>
  <r>
    <s v="2017-11-19"/>
    <x v="7"/>
    <s v="BMASI-E"/>
    <s v="MASISA"/>
    <n v="513519.85460000002"/>
    <m/>
    <n v="6.0000000000000002E-6"/>
    <n v="4.74"/>
    <s v="2026-10-15"/>
    <n v="3251"/>
    <n v="4.09"/>
    <n v="100.03"/>
    <s v="UF"/>
    <s v="Bono Corporativo"/>
    <s v="Materiales Basicos"/>
    <s v="BBB"/>
    <x v="81"/>
    <s v="Bono Masisa"/>
    <n v="2100296.2053140001"/>
    <n v="-4.9836557380264941E-9"/>
    <e v="#N/A"/>
  </r>
  <r>
    <s v="2017-11-19"/>
    <x v="7"/>
    <s v="BFORU-BF"/>
    <s v="LEAS FORUM"/>
    <n v="360976136.37580001"/>
    <n v="11000"/>
    <n v="4.1079999999999997E-3"/>
    <n v="1.86"/>
    <s v="2022-03-01"/>
    <n v="1562"/>
    <n v="4.1100000000000003"/>
    <n v="100.16"/>
    <s v="UF"/>
    <s v="Bono Corporativo"/>
    <s v="Financieras"/>
    <s v="AA"/>
    <x v="33"/>
    <s v="Bono Forum Servicios Financieros"/>
    <n v="1483611920.5045381"/>
    <n v="1.0280307965656933E-5"/>
    <e v="#N/A"/>
  </r>
  <r>
    <s v="2017-11-19"/>
    <x v="7"/>
    <s v="BECOP-H"/>
    <s v="COPEC"/>
    <n v="138348437.4161"/>
    <n v="136513690.68304604"/>
    <n v="1.575E-3"/>
    <n v="4.62"/>
    <s v="2023-09-15"/>
    <n v="2125"/>
    <n v="4.12"/>
    <n v="100.51"/>
    <s v="$"/>
    <s v="Bono Corporativo"/>
    <s v="Materiales Basicos"/>
    <s v="AA-"/>
    <x v="50"/>
    <s v="Bono Empresas Copec"/>
    <n v="569995562.15433204"/>
    <n v="-1.3167018807203554E-6"/>
    <s v=""/>
  </r>
  <r>
    <s v="2017-11-19"/>
    <x v="7"/>
    <s v="BITAAF0614"/>
    <s v="BBITAU"/>
    <n v="55479277.8807"/>
    <m/>
    <n v="6.3100000000000005E-4"/>
    <n v="1.81"/>
    <s v="2022-06-01"/>
    <n v="1654"/>
    <n v="4.18"/>
    <n v="107.1"/>
    <s v="UF"/>
    <s v="Bono Corporativo"/>
    <s v="Financieras"/>
    <s v="AA"/>
    <x v="11"/>
    <s v="Bono Banco Itaucorp"/>
    <n v="231903381.54132599"/>
    <n v="0"/>
    <s v=""/>
  </r>
  <r>
    <s v="2017-11-19"/>
    <x v="7"/>
    <s v="UCHID10402"/>
    <s v="BBCHILE"/>
    <n v="269649062.97500002"/>
    <n v="10000"/>
    <n v="3.0690000000000001E-3"/>
    <n v="2.0499999999999998"/>
    <s v="2026-04-01"/>
    <n v="3054"/>
    <n v="4.24"/>
    <n v="110.4"/>
    <s v="UF"/>
    <s v="Bono Corporativo"/>
    <s v="Financieras"/>
    <s v="AA"/>
    <x v="16"/>
    <s v="Bono Subordinado Banco Chile"/>
    <n v="1143312027.0140002"/>
    <n v="0"/>
    <s v=""/>
  </r>
  <r>
    <s v="2017-11-19"/>
    <x v="7"/>
    <s v="BCFSA-C"/>
    <s v="CONSOR FIN"/>
    <n v="801052703.08430004"/>
    <n v="25000"/>
    <n v="9.1179999999999994E-3"/>
    <n v="2.0699999999999998"/>
    <s v="2022-05-15"/>
    <n v="1637"/>
    <n v="4.33"/>
    <n v="97.6"/>
    <s v="UF"/>
    <s v="Bono Corporativo"/>
    <s v="Financieras"/>
    <s v="AA-"/>
    <x v="51"/>
    <s v="Bono Consorcio Financiero"/>
    <n v="3468558204.3550191"/>
    <n v="7.9945072648535656E-6"/>
    <e v="#N/A"/>
  </r>
  <r>
    <s v="2017-11-19"/>
    <x v="7"/>
    <s v="DES4820107"/>
    <s v="DESARROLLO"/>
    <n v="331161"/>
    <n v="20"/>
    <n v="3.0000000000000001E-6"/>
    <n v="3.19"/>
    <s v="2027-01-01"/>
    <n v="3329"/>
    <n v="4.37"/>
    <n v="107.02"/>
    <s v="UF"/>
    <s v="Letra Hipotecaria"/>
    <s v="Financieras"/>
    <s v="AA-"/>
    <x v="8"/>
    <s v="Lh Desarrollo-482"/>
    <n v="1447173.57"/>
    <n v="2.6557561242724363E-9"/>
    <e v="#N/A"/>
  </r>
  <r>
    <s v="2017-11-19"/>
    <x v="7"/>
    <s v="BREDS-E"/>
    <s v="RED SALUD"/>
    <n v="46565246.812399998"/>
    <m/>
    <n v="5.2999999999999998E-4"/>
    <n v="2.14"/>
    <s v="2022-06-30"/>
    <n v="1683"/>
    <n v="4.38"/>
    <n v="101.11"/>
    <s v="UF"/>
    <s v="Bono Corporativo"/>
    <s v="Salud"/>
    <s v="A-"/>
    <x v="101"/>
    <s v="Bono Red Salud"/>
    <n v="203955781.03831199"/>
    <n v="2.3531526201094013E-7"/>
    <e v="#N/A"/>
  </r>
  <r>
    <s v="2017-11-19"/>
    <x v="7"/>
    <s v="BFORU-BH"/>
    <s v="LEAS FORUM"/>
    <n v="13432190"/>
    <n v="500"/>
    <n v="1.5200000000000001E-4"/>
    <n v="1.9"/>
    <s v="2022-07-01"/>
    <n v="1684"/>
    <n v="4.41"/>
    <n v="99.99"/>
    <s v="UF"/>
    <s v="Bono Corporativo"/>
    <s v="Financieras"/>
    <s v="AA"/>
    <x v="33"/>
    <s v="Bono Forum Servicios Financieros"/>
    <n v="59235957.899999999"/>
    <n v="0"/>
    <e v="#N/A"/>
  </r>
  <r>
    <s v="2017-11-19"/>
    <x v="7"/>
    <s v="BBCIF20812"/>
    <s v="BBCREDITO"/>
    <n v="316648269.90069997"/>
    <n v="10000"/>
    <n v="3.6029999999999999E-3"/>
    <n v="2.48"/>
    <s v="2022-08-01"/>
    <n v="1715"/>
    <n v="4.42"/>
    <n v="100.58"/>
    <s v="UF"/>
    <s v="Bono Corporativo"/>
    <s v="Financieras"/>
    <s v="AA+"/>
    <x v="9"/>
    <s v="Bono BCI"/>
    <n v="1399585352.9610939"/>
    <n v="-1.6135119730990713E-6"/>
    <s v=""/>
  </r>
  <r>
    <s v="2017-11-19"/>
    <x v="7"/>
    <s v="BJUMB-B2"/>
    <s v="JUMBO"/>
    <n v="128477509.57799999"/>
    <m/>
    <n v="1.462E-3"/>
    <n v="1.98"/>
    <s v="2026-09-01"/>
    <n v="3207"/>
    <n v="4.5599999999999996"/>
    <n v="121.11"/>
    <s v="UF"/>
    <s v="Bono Corporativo"/>
    <s v="Retail"/>
    <s v="AA-"/>
    <x v="14"/>
    <s v="Bono Jumbo"/>
    <n v="585857443.67567992"/>
    <n v="1.3472332073329755E-6"/>
    <s v=""/>
  </r>
  <r>
    <s v="2017-11-19"/>
    <x v="7"/>
    <s v="BACEN-A1"/>
    <s v="AUTOCENTRA"/>
    <n v="148965514.1302"/>
    <m/>
    <n v="1.696E-3"/>
    <n v="1.92"/>
    <s v="2026-12-15"/>
    <n v="3312"/>
    <n v="4.59"/>
    <n v="115.64"/>
    <s v="UF"/>
    <s v="Bono Corporativo"/>
    <s v="Concesionaria"/>
    <s v="AA"/>
    <x v="52"/>
    <s v="Bono Autopista Central"/>
    <n v="683751709.85761797"/>
    <n v="0"/>
    <s v=""/>
  </r>
  <r>
    <s v="2017-11-19"/>
    <x v="7"/>
    <s v="BSECK31112"/>
    <s v="BBSECURITY"/>
    <n v="432193708"/>
    <n v="15000"/>
    <n v="4.9189999999999998E-3"/>
    <n v="1.84"/>
    <s v="2022-11-01"/>
    <n v="1807"/>
    <n v="4.5999999999999996"/>
    <n v="107.84"/>
    <s v="UF"/>
    <s v="Bono Corporativo"/>
    <s v="Financieras"/>
    <s v="AA-"/>
    <x v="7"/>
    <s v="Bono Banco Security"/>
    <n v="1988091056.8"/>
    <n v="-2.2523214145584696E-6"/>
    <s v=""/>
  </r>
  <r>
    <s v="2017-11-19"/>
    <x v="7"/>
    <s v="BESVA-D1"/>
    <s v="ESVAL"/>
    <n v="56940486.096100003"/>
    <m/>
    <n v="6.4800000000000003E-4"/>
    <n v="2.09"/>
    <s v="2027-06-01"/>
    <n v="3480"/>
    <n v="4.62"/>
    <n v="118.23"/>
    <s v="UF"/>
    <s v="Bono Corporativo"/>
    <s v="Servicios Basicos"/>
    <s v="AA"/>
    <x v="53"/>
    <s v="Bono Esval"/>
    <n v="263065045.76398203"/>
    <n v="0"/>
    <s v=""/>
  </r>
  <r>
    <s v="2017-11-19"/>
    <x v="7"/>
    <s v="DES4020707"/>
    <s v="DESARROLLO"/>
    <n v="37165437"/>
    <n v="2260"/>
    <n v="4.2299999999999998E-4"/>
    <n v="2.99"/>
    <s v="2027-07-01"/>
    <n v="3510"/>
    <n v="4.6500000000000004"/>
    <n v="104.61"/>
    <s v="UF"/>
    <s v="Letra Hipotecaria"/>
    <s v="Financieras"/>
    <s v="AA-"/>
    <x v="8"/>
    <s v="Lh Desarrollo-402"/>
    <n v="172819282.05000001"/>
    <n v="5.9726345125696011E-7"/>
    <e v="#N/A"/>
  </r>
  <r>
    <s v="2017-11-19"/>
    <x v="7"/>
    <s v="BESAL-B"/>
    <s v="ESSAL"/>
    <n v="51437638.135899998"/>
    <m/>
    <n v="5.8500000000000002E-4"/>
    <n v="1.99"/>
    <s v="2028-06-01"/>
    <n v="3846"/>
    <n v="4.6500000000000004"/>
    <n v="118.74"/>
    <s v="UF"/>
    <s v="Bono Corporativo"/>
    <s v="Servicios Basicos"/>
    <s v="AA+"/>
    <x v="54"/>
    <s v="Bono Essal"/>
    <n v="239185017.33193502"/>
    <n v="5.4696101740695143E-7"/>
    <s v=""/>
  </r>
  <r>
    <s v="2017-11-19"/>
    <x v="7"/>
    <s v="UEST-C0405"/>
    <s v="BBESTADO"/>
    <n v="79247228.533399999"/>
    <m/>
    <n v="9.0200000000000002E-4"/>
    <n v="2.13"/>
    <s v="2027-04-01"/>
    <n v="3419"/>
    <n v="4.71"/>
    <n v="111.17"/>
    <s v="UF"/>
    <s v="Bono Corporativo"/>
    <s v="Financieras"/>
    <s v="AA"/>
    <x v="3"/>
    <s v="Bono Subordinado Banco Estado"/>
    <n v="373254446.39231402"/>
    <n v="8.5877810812837974E-7"/>
    <s v=""/>
  </r>
  <r>
    <s v="2017-11-19"/>
    <x v="7"/>
    <s v="BCHIUS0212"/>
    <s v="BBCHILE"/>
    <n v="71148404.275700003"/>
    <m/>
    <n v="8.0999999999999996E-4"/>
    <n v="1.85"/>
    <s v="2023-02-01"/>
    <n v="1899"/>
    <n v="4.79"/>
    <n v="107.46"/>
    <s v="UF"/>
    <s v="Bono Corporativo"/>
    <s v="Financieras"/>
    <s v="AAA"/>
    <x v="16"/>
    <s v="Bono Banco Chile"/>
    <n v="340800856.48060304"/>
    <n v="-1.1770443469661894E-6"/>
    <s v=""/>
  </r>
  <r>
    <s v="2017-11-19"/>
    <x v="7"/>
    <s v="BANSM-A"/>
    <s v="AGUAS NSUR"/>
    <n v="169235891.9269"/>
    <m/>
    <n v="1.926E-3"/>
    <n v="1.95"/>
    <s v="2028-03-21"/>
    <n v="3774"/>
    <n v="4.8600000000000003"/>
    <n v="109.97"/>
    <s v="UF"/>
    <s v="Bono Corporativo"/>
    <s v="Utilities"/>
    <s v="AA+"/>
    <x v="55"/>
    <s v="Bono Aguas Nuevo Sur"/>
    <n v="822486434.76473403"/>
    <n v="0"/>
    <s v=""/>
  </r>
  <r>
    <s v="2017-11-19"/>
    <x v="7"/>
    <s v="BCAJ-U0517"/>
    <s v="LOS ANDES"/>
    <n v="704867572.87909997"/>
    <n v="23000"/>
    <n v="8.0230000000000006E-3"/>
    <n v="2.39"/>
    <s v="2024-05-05"/>
    <n v="2358"/>
    <n v="4.93"/>
    <n v="99.32"/>
    <s v="UF"/>
    <s v="Bono Corporativo"/>
    <s v="Financieras"/>
    <s v="AA-"/>
    <x v="18"/>
    <s v="Bono Caja Los Andes"/>
    <n v="3474997134.2939625"/>
    <n v="3.9594408689804959E-6"/>
    <e v="#N/A"/>
  </r>
  <r>
    <s v="2017-11-19"/>
    <x v="7"/>
    <s v="USECE10506"/>
    <s v="BBSECURITY"/>
    <n v="13975076.042199999"/>
    <m/>
    <n v="1.5899999999999999E-4"/>
    <n v="2.23"/>
    <s v="2028-05-01"/>
    <n v="3815"/>
    <n v="4.95"/>
    <n v="108.72"/>
    <s v="UF"/>
    <s v="Bono Corporativo"/>
    <s v="Financieras"/>
    <s v="A"/>
    <x v="7"/>
    <s v="Bono Banco Security"/>
    <n v="69176626.408889994"/>
    <n v="1.4960505719971037E-7"/>
    <s v=""/>
  </r>
  <r>
    <s v="2017-11-19"/>
    <x v="7"/>
    <s v="BANUE-A"/>
    <s v="AGUAS NUEV"/>
    <n v="151701393.34200001"/>
    <m/>
    <n v="1.727E-3"/>
    <n v="2.1800000000000002"/>
    <s v="2028-05-15"/>
    <n v="3829"/>
    <n v="4.99"/>
    <n v="109.06"/>
    <s v="UF"/>
    <s v="Bono Corporativo"/>
    <s v="Servicios Basicos"/>
    <s v="AA-"/>
    <x v="55"/>
    <s v="Bono Aguas Nuevas"/>
    <n v="756989952.7765801"/>
    <n v="0"/>
    <s v=""/>
  </r>
  <r>
    <s v="2017-11-19"/>
    <x v="7"/>
    <s v="LBTYA 0124"/>
    <s v="VTR FIN"/>
    <n v="28928285.140700001"/>
    <m/>
    <n v="3.2899999999999997E-4"/>
    <n v="0"/>
    <s v="2024-01-15"/>
    <n v="2247"/>
    <n v="5.04"/>
    <n v="105.1323"/>
    <s v="$"/>
    <s v="Bono Corporativo"/>
    <s v="Comunicaciones"/>
    <s v="BB+"/>
    <x v="109"/>
    <s v="Bono VTR USD"/>
    <n v="145798557.109128"/>
    <n v="0"/>
    <e v="#N/A"/>
  </r>
  <r>
    <s v="2017-11-19"/>
    <x v="7"/>
    <s v="UFAL-A0607"/>
    <s v="BBFALABELL"/>
    <n v="202967158.50049999"/>
    <m/>
    <n v="2.31E-3"/>
    <n v="2.2799999999999998"/>
    <s v="2028-06-15"/>
    <n v="3860"/>
    <n v="5.09"/>
    <n v="108.7"/>
    <s v="UF"/>
    <s v="Bono Corporativo"/>
    <s v="Financieras"/>
    <s v="A+"/>
    <x v="44"/>
    <s v="Bono Subordinado Banco Falabella"/>
    <n v="1033102836.767545"/>
    <n v="1.1891564865671611E-6"/>
    <s v=""/>
  </r>
  <r>
    <s v="2017-11-19"/>
    <x v="7"/>
    <s v="BSECK41013"/>
    <s v="BBSECURITY"/>
    <n v="29105394"/>
    <n v="1000"/>
    <n v="3.3100000000000002E-4"/>
    <n v="2.04"/>
    <s v="2023-10-01"/>
    <n v="2141"/>
    <n v="5.34"/>
    <n v="108.59"/>
    <s v="UF"/>
    <s v="Bono Corporativo"/>
    <s v="Financieras"/>
    <s v="AA-"/>
    <x v="7"/>
    <s v="Bono Banco Security"/>
    <n v="155422803.96000001"/>
    <n v="0"/>
    <s v=""/>
  </r>
  <r>
    <s v="2017-11-19"/>
    <x v="7"/>
    <s v="BTMOV-F"/>
    <s v="MOVISTAR"/>
    <n v="737717804.23829997"/>
    <n v="20000"/>
    <n v="8.397E-3"/>
    <n v="2.09"/>
    <s v="2023-10-04"/>
    <n v="2144"/>
    <n v="5.35"/>
    <n v="108.15"/>
    <s v="UF"/>
    <s v="Bono Corporativo"/>
    <s v="Comunicaciones"/>
    <s v="AA"/>
    <x v="34"/>
    <s v="Bono Movistar"/>
    <n v="3946790252.6749043"/>
    <n v="4.5438570009129547E-6"/>
    <s v=""/>
  </r>
  <r>
    <s v="2017-11-19"/>
    <x v="7"/>
    <s v="BBANM-D"/>
    <s v="BANMEDICA"/>
    <n v="282409158.04570001"/>
    <n v="10000"/>
    <n v="3.2139999999999998E-3"/>
    <n v="2.37"/>
    <s v="2029-05-02"/>
    <n v="4181"/>
    <n v="5.36"/>
    <n v="104.63"/>
    <s v="UF"/>
    <s v="Bono Corporativo"/>
    <s v="Salud"/>
    <s v="AA-"/>
    <x v="24"/>
    <s v="Bonos Banmedica"/>
    <n v="1513713087.1249521"/>
    <n v="3.4704982782421663E-6"/>
    <s v=""/>
  </r>
  <r>
    <s v="2017-11-19"/>
    <x v="7"/>
    <s v="BBBVK51113"/>
    <s v="BBBVA"/>
    <n v="14499759"/>
    <n v="500"/>
    <n v="1.65E-4"/>
    <n v="1.95"/>
    <s v="2023-11-01"/>
    <n v="2172"/>
    <n v="5.44"/>
    <n v="108.53"/>
    <s v="UF"/>
    <s v="Bono Corporativo"/>
    <s v="Financieras"/>
    <s v="AA"/>
    <x v="0"/>
    <s v="Bono Banco BBVA"/>
    <n v="78878688.960000008"/>
    <n v="0"/>
    <s v=""/>
  </r>
  <r>
    <s v="2017-11-19"/>
    <x v="7"/>
    <s v="BCOOB20609"/>
    <s v="COOPEUCH"/>
    <n v="43374078"/>
    <n v="2000"/>
    <n v="4.9299999999999995E-4"/>
    <n v="2.21"/>
    <s v="2029-06-01"/>
    <n v="4211"/>
    <n v="5.52"/>
    <n v="113.23"/>
    <s v="UF"/>
    <s v="Bono Corporativo"/>
    <s v="Financieras"/>
    <s v="AA-"/>
    <x v="61"/>
    <s v="Bono Coopeuch"/>
    <n v="239424910.55999997"/>
    <n v="0"/>
    <e v="#N/A"/>
  </r>
  <r>
    <s v="2017-11-19"/>
    <x v="7"/>
    <s v="GEOPAR0924"/>
    <s v="GEOPARK"/>
    <n v="75456851.963499993"/>
    <m/>
    <n v="8.5899999999999995E-4"/>
    <n v="0"/>
    <s v="2024-09-21"/>
    <n v="2497"/>
    <n v="5.59"/>
    <n v="102.80589999999999"/>
    <s v="$"/>
    <s v="Bono Corporativo"/>
    <s v="Energia"/>
    <s v="BB"/>
    <x v="114"/>
    <s v="Bono GeoPark"/>
    <n v="421803802.47596496"/>
    <n v="0"/>
    <e v="#N/A"/>
  </r>
  <r>
    <s v="2017-11-19"/>
    <x v="7"/>
    <s v="BCHIUU0212"/>
    <s v="BBCHILE"/>
    <n v="174863098.03299999"/>
    <m/>
    <n v="1.99E-3"/>
    <n v="1.98"/>
    <s v="2024-02-01"/>
    <n v="2264"/>
    <n v="5.62"/>
    <n v="108.04"/>
    <s v="UF"/>
    <s v="Bono Corporativo"/>
    <s v="Financieras"/>
    <s v="AAA"/>
    <x v="16"/>
    <s v="Bono Banco Chile"/>
    <n v="982730610.94545996"/>
    <n v="1.1300757427790271E-6"/>
    <e v="#N/A"/>
  </r>
  <r>
    <s v="2017-11-19"/>
    <x v="7"/>
    <s v="BAVNO-A1"/>
    <s v="AUTOVESNOR"/>
    <n v="1238493312.1152999"/>
    <n v="40000"/>
    <n v="1.4097E-2"/>
    <n v="2.54"/>
    <s v="2028-12-15"/>
    <n v="4043"/>
    <n v="5.62"/>
    <n v="115.65"/>
    <s v="UF"/>
    <s v="Bono Corporativo"/>
    <s v="Concesionaria"/>
    <s v="A"/>
    <x v="115"/>
    <s v="Bono Vespucio Norte Express"/>
    <n v="6960332414.087986"/>
    <n v="0"/>
    <s v=""/>
  </r>
  <r>
    <s v="2017-11-19"/>
    <x v="7"/>
    <s v="BAMAI-A1"/>
    <s v="AUTOMAIPO"/>
    <n v="90458967.7148"/>
    <m/>
    <n v="1.0300000000000001E-3"/>
    <n v="2.92"/>
    <s v="2025-06-15"/>
    <n v="2764"/>
    <n v="5.66"/>
    <n v="111"/>
    <s v="UF"/>
    <s v="Bono Corporativo"/>
    <s v="Concesionaria"/>
    <s v="A"/>
    <x v="116"/>
    <s v="Bono Autopista del Maipo"/>
    <n v="511997757.26576799"/>
    <n v="5.8892659149945212E-7"/>
    <e v="#N/A"/>
  </r>
  <r>
    <s v="2017-11-19"/>
    <x v="7"/>
    <s v="BMASI-L"/>
    <s v="MASISA"/>
    <n v="92109567.247299999"/>
    <m/>
    <n v="1.0480000000000001E-3"/>
    <n v="3.26"/>
    <s v="2029-12-15"/>
    <n v="4408"/>
    <n v="5.71"/>
    <n v="112.72"/>
    <s v="UF"/>
    <s v="Bono Corporativo"/>
    <s v="Materiales Basicos"/>
    <s v="BBB"/>
    <x v="81"/>
    <s v="Bono Masisa"/>
    <n v="525945628.98208296"/>
    <n v="1.5640890687334366E-5"/>
    <e v="#N/A"/>
  </r>
  <r>
    <s v="2017-11-19"/>
    <x v="7"/>
    <s v="DES45F0105"/>
    <s v="DESARROLLO"/>
    <n v="22278698"/>
    <n v="1229.9949999999999"/>
    <n v="2.5300000000000002E-4"/>
    <n v="3.04"/>
    <s v="2030-01-01"/>
    <n v="4425"/>
    <n v="5.72"/>
    <n v="108.26"/>
    <s v="UF"/>
    <s v="Letra Hipotecaria"/>
    <s v="Financieras"/>
    <s v="AA-"/>
    <x v="8"/>
    <s v="Lh Desarrollo-45F"/>
    <n v="127434152.55999999"/>
    <n v="1.4584194746392787E-7"/>
    <e v="#N/A"/>
  </r>
  <r>
    <s v="2017-11-19"/>
    <x v="7"/>
    <s v="BCENC-J"/>
    <s v="CENCOSUD"/>
    <n v="1076913638.9827001"/>
    <n v="25000"/>
    <n v="1.2258E-2"/>
    <n v="2.54"/>
    <s v="2029-10-15"/>
    <n v="4347"/>
    <n v="5.73"/>
    <n v="118.42"/>
    <s v="UF"/>
    <s v="Bono Corporativo"/>
    <s v="Consumo"/>
    <s v="AA-"/>
    <x v="14"/>
    <s v="Bono Cencosud S.A."/>
    <n v="6170715151.3708725"/>
    <n v="0"/>
    <s v=""/>
  </r>
  <r>
    <s v="2017-11-19"/>
    <x v="7"/>
    <s v="BBIC590314"/>
    <s v="BBICE"/>
    <n v="85138695.6998"/>
    <m/>
    <n v="9.6900000000000003E-4"/>
    <n v="2.0499999999999998"/>
    <s v="2024-03-01"/>
    <n v="2293"/>
    <n v="5.75"/>
    <n v="105.6"/>
    <s v="UF"/>
    <s v="Bono Corporativo"/>
    <s v="Financieras"/>
    <s v="AA"/>
    <x v="2"/>
    <s v="Bono Banco Bice"/>
    <n v="489547500.27385002"/>
    <n v="0"/>
    <s v=""/>
  </r>
  <r>
    <s v="2017-11-19"/>
    <x v="7"/>
    <s v="BIELC-D"/>
    <s v="ELECDELSUR"/>
    <n v="86055837.026500002"/>
    <m/>
    <n v="9.7999999999999997E-4"/>
    <n v="2.2799999999999998"/>
    <s v="2029-06-30"/>
    <n v="4240"/>
    <n v="5.78"/>
    <n v="115.95"/>
    <s v="UF"/>
    <s v="Bono Corporativo"/>
    <s v="Energia"/>
    <s v="AA-"/>
    <x v="56"/>
    <s v="Bono Distribuidora Del Sur"/>
    <n v="497402738.01317"/>
    <n v="-5.7222426920323735E-7"/>
    <s v=""/>
  </r>
  <r>
    <s v="2017-11-19"/>
    <x v="7"/>
    <s v="BITAAG0614"/>
    <s v="BBITAU"/>
    <n v="120161058.56479999"/>
    <m/>
    <n v="1.3680000000000001E-3"/>
    <n v="2.1"/>
    <s v="2024-06-01"/>
    <n v="2385"/>
    <n v="5.85"/>
    <n v="108.24"/>
    <s v="UF"/>
    <s v="Bono Corporativo"/>
    <s v="Financieras"/>
    <s v="AA"/>
    <x v="11"/>
    <s v="Bono Banco Itaucorp"/>
    <n v="702942192.60407996"/>
    <n v="0"/>
    <e v="#N/A"/>
  </r>
  <r>
    <s v="2017-11-19"/>
    <x v="7"/>
    <s v="BENDE-M"/>
    <s v="ENDESA"/>
    <n v="154281824.87130001"/>
    <m/>
    <n v="1.756E-3"/>
    <n v="2.1800000000000002"/>
    <s v="2029-12-15"/>
    <n v="4408"/>
    <n v="5.9"/>
    <n v="115.38"/>
    <s v="UF"/>
    <s v="Bono Corporativo"/>
    <s v="Energia"/>
    <s v="AA"/>
    <x v="57"/>
    <s v="Bono Endesa"/>
    <n v="910262766.74067008"/>
    <n v="3.1251171936037883E-6"/>
    <s v=""/>
  </r>
  <r>
    <s v="2017-11-19"/>
    <x v="7"/>
    <s v="BSOQU-H"/>
    <s v="SOQUIMICH"/>
    <n v="1355723335.3657999"/>
    <n v="35000"/>
    <n v="1.5431E-2"/>
    <n v="2.57"/>
    <s v="2030-01-05"/>
    <n v="4429"/>
    <n v="5.9"/>
    <n v="113.83"/>
    <s v="UF"/>
    <s v="Bono Corporativo"/>
    <s v="Materiales Basicos"/>
    <s v="A+"/>
    <x v="58"/>
    <s v="Bono SQM"/>
    <n v="7998767678.6582203"/>
    <n v="9.1877774129566875E-6"/>
    <e v="#N/A"/>
  </r>
  <r>
    <s v="2017-11-19"/>
    <x v="7"/>
    <s v="BARAU-F"/>
    <s v="ARAUCO"/>
    <n v="158973734.4492"/>
    <n v="500"/>
    <n v="1.8090000000000001E-3"/>
    <n v="2.14"/>
    <s v="2029-10-30"/>
    <n v="4362"/>
    <n v="5.95"/>
    <n v="112.66"/>
    <s v="UF"/>
    <s v="Bono Corporativo"/>
    <s v="Materiales Basicos"/>
    <s v="AA-"/>
    <x v="30"/>
    <s v="Bono Celulosa Arauco"/>
    <n v="945893719.97274005"/>
    <n v="1.0825378848626179E-6"/>
    <s v=""/>
  </r>
  <r>
    <s v="2017-11-19"/>
    <x v="7"/>
    <s v="BSECK50614"/>
    <s v="BBSECURITY"/>
    <n v="978929400"/>
    <n v="35000"/>
    <n v="1.1142000000000001E-2"/>
    <n v="2.17"/>
    <s v="2024-06-01"/>
    <n v="2385"/>
    <n v="5.96"/>
    <n v="103.53"/>
    <s v="UF"/>
    <s v="Bono Corporativo"/>
    <s v="Financieras"/>
    <s v="AA-"/>
    <x v="7"/>
    <s v="Bono Banco Security"/>
    <n v="5834419224"/>
    <n v="0"/>
    <s v=""/>
  </r>
  <r>
    <s v="2017-11-19"/>
    <x v="7"/>
    <s v="BESVA-M"/>
    <s v="ESVAL"/>
    <n v="217575302"/>
    <n v="7000"/>
    <n v="2.4759999999999999E-3"/>
    <n v="2.4500000000000002"/>
    <s v="2030-01-27"/>
    <n v="4451"/>
    <n v="5.97"/>
    <n v="114.78"/>
    <s v="UF"/>
    <s v="Bono Corporativo"/>
    <s v="Servicios Basicos"/>
    <s v="AA"/>
    <x v="53"/>
    <s v="Bono Esval"/>
    <n v="1298924552.9400001"/>
    <n v="1.4910244597136491E-6"/>
    <s v=""/>
  </r>
  <r>
    <s v="2017-11-19"/>
    <x v="7"/>
    <s v="ENTEL3024"/>
    <s v="ENTEL"/>
    <n v="22600986.932599999"/>
    <m/>
    <n v="2.5700000000000001E-4"/>
    <n v="0"/>
    <s v="2024-10-30"/>
    <n v="2536"/>
    <n v="5.99"/>
    <n v="104.7458"/>
    <s v="$"/>
    <s v="Bono Corporativo"/>
    <s v="Telecomunicaciones"/>
    <s v="A+"/>
    <x v="118"/>
    <s v="Bono Entel"/>
    <n v="135379911.72627401"/>
    <n v="0"/>
    <e v="#N/A"/>
  </r>
  <r>
    <s v="2017-11-19"/>
    <x v="7"/>
    <s v="BSKSA-C"/>
    <s v="SK"/>
    <n v="143199941.46329999"/>
    <m/>
    <n v="1.6299999999999999E-3"/>
    <n v="2.4500000000000002"/>
    <s v="2030-03-15"/>
    <n v="4498"/>
    <n v="6.06"/>
    <n v="117.61"/>
    <s v="UF"/>
    <s v="Bono Corporativo"/>
    <s v="Industriales"/>
    <s v="A+"/>
    <x v="19"/>
    <s v="Bono Sk"/>
    <n v="867791645.26759791"/>
    <n v="1.9906015649195934E-6"/>
    <e v="#N/A"/>
  </r>
  <r>
    <s v="2017-11-19"/>
    <x v="7"/>
    <s v="BBNS-X0814"/>
    <s v="BBSCOTIABA"/>
    <n v="85247509.077500001"/>
    <m/>
    <n v="9.7000000000000005E-4"/>
    <n v="2.12"/>
    <s v="2024-08-01"/>
    <n v="2446"/>
    <n v="6.09"/>
    <n v="105.48"/>
    <s v="UF"/>
    <s v="Bono Corporativo"/>
    <s v="Financieras"/>
    <s v="AAA"/>
    <x v="8"/>
    <s v="Bono Scotiabank"/>
    <n v="519157330.28197497"/>
    <n v="5.9599865176171393E-7"/>
    <s v=""/>
  </r>
  <r>
    <s v="2017-11-19"/>
    <x v="7"/>
    <s v="UBCIS11205"/>
    <s v="BBCREDITO"/>
    <n v="82484521.426200002"/>
    <m/>
    <n v="9.3899999999999995E-4"/>
    <n v="2.35"/>
    <s v="2030-12-01"/>
    <n v="4759"/>
    <n v="6.18"/>
    <n v="113.32"/>
    <s v="UF"/>
    <s v="Bono Corporativo"/>
    <s v="Financieras"/>
    <s v="AA-"/>
    <x v="9"/>
    <s v="Bono Subordinado Bci"/>
    <n v="509754342.41391599"/>
    <n v="1.1700336877102805E-6"/>
    <s v=""/>
  </r>
  <r>
    <s v="2017-11-19"/>
    <x v="7"/>
    <s v="UBCIS21205"/>
    <s v="BBCREDITO"/>
    <n v="59272201.333400004"/>
    <m/>
    <n v="6.7500000000000004E-4"/>
    <n v="2.35"/>
    <s v="2030-12-01"/>
    <n v="4759"/>
    <n v="6.18"/>
    <n v="113.32"/>
    <s v="UF"/>
    <s v="Bono Corporativo"/>
    <s v="Financieras"/>
    <s v="AA-"/>
    <x v="9"/>
    <s v="Bono Subordinado Bci"/>
    <n v="366302204.240412"/>
    <n v="8.4107852950419522E-7"/>
    <e v="#N/A"/>
  </r>
  <r>
    <s v="2017-11-19"/>
    <x v="7"/>
    <s v="BEMCA-J"/>
    <s v="EM.CAROZZI"/>
    <n v="41809074.826099999"/>
    <m/>
    <n v="4.7600000000000002E-4"/>
    <n v="2.34"/>
    <s v="2030-04-23"/>
    <n v="4537"/>
    <n v="6.2"/>
    <n v="117.78"/>
    <s v="UF"/>
    <s v="Bono Corporativo"/>
    <s v="Consumo"/>
    <s v="A"/>
    <x v="80"/>
    <s v="Bono Carozzi"/>
    <n v="259216263.92182001"/>
    <n v="2.9763384003351334E-7"/>
    <s v=""/>
  </r>
  <r>
    <s v="2017-11-19"/>
    <x v="7"/>
    <s v="BRPLY-E"/>
    <s v="RIPLEY S.A"/>
    <n v="108028682.73890001"/>
    <m/>
    <n v="1.23E-3"/>
    <n v="2.48"/>
    <s v="2030-06-10"/>
    <n v="4585"/>
    <n v="6.2"/>
    <n v="115.83"/>
    <s v="UF"/>
    <s v="Bono Corporativo"/>
    <s v="Consumo"/>
    <s v="A"/>
    <x v="97"/>
    <s v="Bono Ripley"/>
    <n v="669777832.98118007"/>
    <n v="7.6882251859145441E-7"/>
    <s v=""/>
  </r>
  <r>
    <s v="2017-11-19"/>
    <x v="7"/>
    <s v="BPLZA-C"/>
    <s v="PLAZA S.A."/>
    <n v="123534273.2748"/>
    <m/>
    <n v="1.4059999999999999E-3"/>
    <n v="2.4700000000000002"/>
    <s v="2030-05-02"/>
    <n v="4546"/>
    <n v="6.28"/>
    <n v="112.86"/>
    <s v="UF"/>
    <s v="Bono Corporativo"/>
    <s v="Consumo"/>
    <s v="AA"/>
    <x v="15"/>
    <s v="Bono Plaza S.A."/>
    <n v="775795236.16574407"/>
    <n v="0"/>
    <s v=""/>
  </r>
  <r>
    <s v="2017-11-19"/>
    <x v="7"/>
    <s v="BECOP-G"/>
    <s v="COPEC"/>
    <n v="264565429.71360001"/>
    <n v="7000"/>
    <n v="3.0109999999999998E-3"/>
    <n v="2.2000000000000002"/>
    <s v="2024-10-15"/>
    <n v="2521"/>
    <n v="6.35"/>
    <n v="103.13"/>
    <s v="UF"/>
    <s v="Bono Corporativo"/>
    <s v="Materiales Basicos"/>
    <s v="AA-"/>
    <x v="50"/>
    <s v="Bono Copec"/>
    <n v="1679990478.68136"/>
    <n v="3.8529241232277404E-6"/>
    <s v=""/>
  </r>
  <r>
    <s v="2017-11-19"/>
    <x v="7"/>
    <s v="BSTDR61215"/>
    <s v="BBSANT-CHI"/>
    <n v="76138274.883599997"/>
    <m/>
    <n v="8.6700000000000004E-4"/>
    <n v="2.15"/>
    <s v="2024-12-01"/>
    <n v="2568"/>
    <n v="6.4"/>
    <n v="103.27"/>
    <s v="UF"/>
    <s v="Bono Corporativo"/>
    <s v="Financieras"/>
    <s v="AAA"/>
    <x v="10"/>
    <s v="Bono Banco Santander"/>
    <n v="487284959.25503999"/>
    <n v="1.119615231771053E-6"/>
    <e v="#N/A"/>
  </r>
  <r>
    <s v="2017-11-19"/>
    <x v="7"/>
    <s v="BBCIJ21014"/>
    <s v="BBCREDITO"/>
    <n v="215481577.46759999"/>
    <m/>
    <n v="2.4529999999999999E-3"/>
    <n v="2.27"/>
    <s v="2024-10-01"/>
    <n v="2507"/>
    <n v="6.43"/>
    <n v="98.37"/>
    <s v="UF"/>
    <s v="Bono Corporativo"/>
    <s v="Financieras"/>
    <s v="AA+"/>
    <x v="9"/>
    <s v="Bono BCI"/>
    <n v="1385546543.1166677"/>
    <n v="1.5916693337249801E-6"/>
    <s v=""/>
  </r>
  <r>
    <s v="2017-11-19"/>
    <x v="7"/>
    <s v="BRITA-F"/>
    <s v="SANTA RITA"/>
    <n v="5685398.3898999998"/>
    <m/>
    <n v="6.4999999999999994E-5"/>
    <n v="2.86"/>
    <s v="2030-09-15"/>
    <n v="4682"/>
    <n v="6.49"/>
    <n v="109.98"/>
    <s v="UF"/>
    <s v="Bono Corporativo"/>
    <s v="Consumo"/>
    <s v="A+"/>
    <x v="121"/>
    <s v="Bono Santa Rita"/>
    <n v="36898235.550451003"/>
    <n v="4.256752144873513E-8"/>
    <s v=""/>
  </r>
  <r>
    <s v="2017-11-19"/>
    <x v="7"/>
    <s v="BESTO30315"/>
    <s v="BBESTADO"/>
    <n v="122433328.85430001"/>
    <n v="500"/>
    <n v="1.3929999999999999E-3"/>
    <n v="2.16"/>
    <s v="2025-03-01"/>
    <n v="2658"/>
    <n v="6.58"/>
    <n v="105.52"/>
    <s v="UF"/>
    <s v="Bono Corporativo"/>
    <s v="Financieras"/>
    <s v="AAA"/>
    <x v="3"/>
    <s v="Bono Banco Estado"/>
    <n v="805611303.86129403"/>
    <n v="9.2479296244986503E-7"/>
    <e v="#N/A"/>
  </r>
  <r>
    <s v="2017-11-19"/>
    <x v="7"/>
    <s v="BSOND-C"/>
    <s v="SONDA"/>
    <n v="1355219515.3064001"/>
    <n v="40000"/>
    <n v="1.5424999999999999E-2"/>
    <n v="2.46"/>
    <s v="2030-12-01"/>
    <n v="4759"/>
    <n v="6.61"/>
    <n v="113.63"/>
    <s v="UF"/>
    <s v="Bono Corporativo"/>
    <s v="Tecnologia"/>
    <s v="AA-"/>
    <x v="41"/>
    <s v="Bono Sonda"/>
    <n v="8958000996.1753044"/>
    <n v="1.0272478165661078E-5"/>
    <s v=""/>
  </r>
  <r>
    <s v="2017-11-19"/>
    <x v="7"/>
    <s v="USECJ11206"/>
    <s v="BBSECURITY"/>
    <n v="64165528.494599998"/>
    <m/>
    <n v="7.2999999999999996E-4"/>
    <n v="2.44"/>
    <s v="2031-12-01"/>
    <n v="5124"/>
    <n v="6.61"/>
    <n v="103.63"/>
    <s v="UF"/>
    <s v="Bono Corporativo"/>
    <s v="Financieras"/>
    <s v="A"/>
    <x v="7"/>
    <s v="Bono Subordinado Banco Security"/>
    <n v="424134143.34930599"/>
    <n v="0"/>
    <s v=""/>
  </r>
  <r>
    <s v="2017-11-19"/>
    <x v="7"/>
    <s v="BSECK60315"/>
    <s v="BBSECURITY"/>
    <n v="348268896.67210001"/>
    <n v="6000"/>
    <n v="3.9630000000000004E-3"/>
    <n v="2.25"/>
    <s v="2025-03-01"/>
    <n v="2658"/>
    <n v="6.62"/>
    <n v="103.4"/>
    <s v="UF"/>
    <s v="Bono Corporativo"/>
    <s v="Financieras"/>
    <s v="AA-"/>
    <x v="7"/>
    <s v="Bono Banco Security"/>
    <n v="2305540095.9693022"/>
    <n v="2.6468374187192282E-6"/>
    <s v=""/>
  </r>
  <r>
    <s v="2017-11-19"/>
    <x v="7"/>
    <s v="BBBVK80714"/>
    <s v="BBBVA"/>
    <n v="161012709.52309999"/>
    <m/>
    <n v="1.833E-3"/>
    <n v="2.16"/>
    <s v="2025-07-01"/>
    <n v="2780"/>
    <n v="6.72"/>
    <n v="109.1"/>
    <s v="UF"/>
    <s v="Bono Corporativo"/>
    <s v="Financieras"/>
    <s v="AA"/>
    <x v="0"/>
    <s v="Bono Banco BBVA"/>
    <n v="1082005407.9952319"/>
    <n v="2.4831570330622083E-6"/>
    <s v=""/>
  </r>
  <r>
    <s v="2017-11-19"/>
    <x v="7"/>
    <s v="BBNSAB0515"/>
    <s v="BBSCOTIABA"/>
    <n v="130078620.7076"/>
    <m/>
    <n v="1.4809999999999999E-3"/>
    <n v="2.29"/>
    <s v="2025-05-01"/>
    <n v="2719"/>
    <n v="6.74"/>
    <n v="104.92"/>
    <s v="UF"/>
    <s v="Bono Corporativo"/>
    <s v="Financieras"/>
    <s v="AAA"/>
    <x v="8"/>
    <s v="Bono Scotiabank"/>
    <n v="876729903.569224"/>
    <n v="1.9854203366492192E-6"/>
    <s v=""/>
  </r>
  <r>
    <s v="2017-11-19"/>
    <x v="7"/>
    <s v="BESTO50615"/>
    <s v="BBESTADO"/>
    <n v="195024662.45199999"/>
    <m/>
    <n v="2.2200000000000002E-3"/>
    <n v="2.16"/>
    <s v="2025-06-01"/>
    <n v="2750"/>
    <n v="6.74"/>
    <n v="105.65"/>
    <s v="UF"/>
    <s v="Bono Corporativo"/>
    <s v="Financieras"/>
    <s v="AAA"/>
    <x v="3"/>
    <s v="Bono Banco Estado"/>
    <n v="1314466224.9264801"/>
    <n v="3.0156353361134993E-6"/>
    <e v="#N/A"/>
  </r>
  <r>
    <s v="2017-11-19"/>
    <x v="7"/>
    <s v="BCORAN0710"/>
    <s v="BBCORPBANC"/>
    <n v="155043518.51550001"/>
    <m/>
    <n v="1.7650000000000001E-3"/>
    <n v="2.25"/>
    <s v="2025-07-01"/>
    <n v="2780"/>
    <n v="6.82"/>
    <n v="105.24"/>
    <s v="UF"/>
    <s v="Bono Corporativo"/>
    <s v="Financieras"/>
    <s v="AA"/>
    <x v="11"/>
    <s v="Bono Banco Itaucorp"/>
    <n v="1057396796.2757101"/>
    <n v="0"/>
    <e v="#N/A"/>
  </r>
  <r>
    <s v="2017-11-19"/>
    <x v="7"/>
    <s v="BMGAS-D2"/>
    <s v="METROGAS"/>
    <n v="30578884.6732"/>
    <m/>
    <n v="3.48E-4"/>
    <n v="2.37"/>
    <s v="2026-06-01"/>
    <n v="3115"/>
    <n v="6.82"/>
    <n v="130.13999999999999"/>
    <s v="UF"/>
    <s v="Bono Corporativo"/>
    <s v="Energia"/>
    <s v="AA-"/>
    <x v="37"/>
    <s v="Bono Metrogas"/>
    <n v="208547993.47122401"/>
    <n v="4.7827998446875551E-7"/>
    <s v=""/>
  </r>
  <r>
    <s v="2017-11-19"/>
    <x v="7"/>
    <s v="UITA-C0408"/>
    <s v="BBITAU"/>
    <n v="120658491.1487"/>
    <m/>
    <n v="1.3730000000000001E-3"/>
    <n v="2.5499999999999998"/>
    <s v="2033-04-01"/>
    <n v="5611"/>
    <n v="6.83"/>
    <n v="106.4"/>
    <s v="UF"/>
    <s v="Bono Corporativo"/>
    <s v="Financieras"/>
    <s v="AA-"/>
    <x v="11"/>
    <s v="Bono Subordinado Banco Itau"/>
    <n v="824097494.54562104"/>
    <n v="0"/>
    <s v=""/>
  </r>
  <r>
    <s v="2017-11-19"/>
    <x v="7"/>
    <s v="UINT-C0310"/>
    <s v="BBINTERNAC"/>
    <n v="39204795.563600004"/>
    <m/>
    <n v="4.46E-4"/>
    <n v="2.54"/>
    <s v="2031-03-15"/>
    <n v="4863"/>
    <n v="6.89"/>
    <n v="113.67"/>
    <s v="UF"/>
    <s v="Bono Corporativo"/>
    <s v="Financieras"/>
    <s v="A"/>
    <x v="12"/>
    <s v="Bono Banco Internacional"/>
    <n v="270121041.433204"/>
    <n v="0"/>
    <e v="#N/A"/>
  </r>
  <r>
    <s v="2017-11-19"/>
    <x v="7"/>
    <s v="BENAE-A"/>
    <s v="ENAEX"/>
    <n v="889259792.28729999"/>
    <n v="22000"/>
    <n v="1.0122000000000001E-2"/>
    <n v="2.3199999999999998"/>
    <s v="2025-09-01"/>
    <n v="2842"/>
    <n v="7.01"/>
    <n v="104.02"/>
    <s v="UF"/>
    <s v="Bono Corporativo"/>
    <s v="Energia"/>
    <s v="AA-"/>
    <x v="59"/>
    <s v="Bono Enaex S.A."/>
    <n v="6233711143.9339724"/>
    <n v="0"/>
    <s v=""/>
  </r>
  <r>
    <s v="2017-11-19"/>
    <x v="7"/>
    <s v="BCGVI-B"/>
    <s v="CG VIDA"/>
    <n v="1514484142.0420001"/>
    <n v="37000"/>
    <n v="1.7239000000000001E-2"/>
    <n v="2.42"/>
    <s v="2031-03-15"/>
    <n v="4863"/>
    <n v="7.02"/>
    <n v="114.83999999999999"/>
    <s v="UF"/>
    <s v="Bono Corporativo"/>
    <s v="Financieras"/>
    <s v="AA-"/>
    <x v="60"/>
    <s v="Bono Corpgroup Vida Chile"/>
    <n v="10631678677.13484"/>
    <n v="2.4394277155086649E-5"/>
    <s v=""/>
  </r>
  <r>
    <s v="2017-11-19"/>
    <x v="7"/>
    <s v="BSECK70915"/>
    <s v="BBSECURITY"/>
    <n v="37727152.540299997"/>
    <m/>
    <n v="4.2900000000000002E-4"/>
    <n v="2.33"/>
    <s v="2025-09-01"/>
    <n v="2842"/>
    <n v="7.04"/>
    <n v="103.04"/>
    <s v="UF"/>
    <s v="Bono Corporativo"/>
    <s v="Financieras"/>
    <s v="AA-"/>
    <x v="7"/>
    <s v="Bono Banco Security"/>
    <n v="265599153.88371196"/>
    <n v="3.0414172258545712E-7"/>
    <e v="#N/A"/>
  </r>
  <r>
    <s v="2017-11-19"/>
    <x v="7"/>
    <s v="BBNSAD1015"/>
    <s v="BBSCOTIABA"/>
    <n v="115233367.0298"/>
    <m/>
    <n v="1.312E-3"/>
    <n v="2.2999999999999998"/>
    <s v="2025-10-01"/>
    <n v="2872"/>
    <n v="7.06"/>
    <n v="105.07"/>
    <s v="UF"/>
    <s v="Bono Corporativo"/>
    <s v="Financieras"/>
    <s v="AAA"/>
    <x v="8"/>
    <s v="Bono Scotiabank"/>
    <n v="813547571.23038793"/>
    <n v="9.3440102646320179E-7"/>
    <e v="#N/A"/>
  </r>
  <r>
    <s v="2017-11-19"/>
    <x v="7"/>
    <s v="BCOO-C0713"/>
    <s v="COOPEUCH"/>
    <n v="933181297.51610005"/>
    <n v="33500"/>
    <n v="1.0621999999999999E-2"/>
    <n v="2.6"/>
    <s v="2034-07-10"/>
    <n v="6076"/>
    <n v="7.11"/>
    <n v="108.78000000000002"/>
    <s v="UF"/>
    <s v="Bono Corporativo"/>
    <s v="Financieras"/>
    <s v="AA-"/>
    <x v="61"/>
    <s v="Bono Coopeuch"/>
    <n v="6634919025.3394718"/>
    <n v="7.6000728233153305E-6"/>
    <s v=""/>
  </r>
  <r>
    <s v="2017-11-19"/>
    <x v="7"/>
    <s v="BEKOP-C"/>
    <s v="KOPOLAR"/>
    <n v="24809450.125399999"/>
    <m/>
    <n v="2.8200000000000002E-4"/>
    <n v="2.31"/>
    <s v="2031-08-15"/>
    <n v="5016"/>
    <n v="7.29"/>
    <n v="112.46"/>
    <s v="UF"/>
    <s v="Bono Corporativo"/>
    <s v="Industriales"/>
    <s v="AA"/>
    <x v="62"/>
    <s v="Bono Kopolar"/>
    <n v="180860891.414166"/>
    <n v="2.0706430773675191E-7"/>
    <s v=""/>
  </r>
  <r>
    <s v="2017-11-19"/>
    <x v="7"/>
    <s v="BITA-P0612"/>
    <s v="BBITAU"/>
    <n v="29855338"/>
    <n v="1000"/>
    <n v="3.39E-4"/>
    <n v="2.4"/>
    <s v="2026-06-01"/>
    <n v="3115"/>
    <n v="7.34"/>
    <n v="110.02"/>
    <s v="UF"/>
    <s v="Bono Corporativo"/>
    <s v="Financieras"/>
    <s v="AA"/>
    <x v="11"/>
    <s v="Bono Banco Itaucorp"/>
    <n v="219138180.91999999"/>
    <n v="0"/>
    <e v="#N/A"/>
  </r>
  <r>
    <s v="2017-11-19"/>
    <x v="7"/>
    <s v="USTD-M0301"/>
    <s v="BBSANT-CHI"/>
    <n v="537682932.84619999"/>
    <n v="10000"/>
    <n v="6.1199999999999996E-3"/>
    <n v="2.36"/>
    <s v="2026-09-01"/>
    <n v="3207"/>
    <n v="7.36"/>
    <n v="119.16000000000001"/>
    <s v="UF"/>
    <s v="Bono Corporativo"/>
    <s v="Financieras"/>
    <s v="AA"/>
    <x v="10"/>
    <s v="Bono Banco Santander"/>
    <n v="3957346385.7480321"/>
    <n v="4.5366263907259497E-6"/>
    <s v=""/>
  </r>
  <r>
    <s v="2017-11-19"/>
    <x v="7"/>
    <s v="BCGEI-I"/>
    <s v="ELECTRICID"/>
    <n v="33754232.705899999"/>
    <m/>
    <n v="3.8400000000000001E-4"/>
    <n v="2.61"/>
    <s v="2029-08-11"/>
    <n v="4282"/>
    <n v="7.5"/>
    <n v="115.68"/>
    <s v="UF"/>
    <s v="Bono Corporativo"/>
    <s v="Servicios Basicos"/>
    <s v="AA-"/>
    <x v="63"/>
    <s v="Bono Cge"/>
    <n v="253156745.29424998"/>
    <n v="5.8042088403307064E-7"/>
    <s v=""/>
  </r>
  <r>
    <s v="2017-11-19"/>
    <x v="7"/>
    <s v="BAYS3-A"/>
    <s v="AYSTRES"/>
    <n v="789138088.6473"/>
    <n v="16000"/>
    <n v="8.9820000000000004E-3"/>
    <n v="2.48"/>
    <s v="2032-12-15"/>
    <n v="5504"/>
    <n v="7.51"/>
    <n v="116.99"/>
    <s v="UF"/>
    <s v="Bono Corporativo"/>
    <s v="Diversificados"/>
    <s v="AA-"/>
    <x v="64"/>
    <s v="Bono Inversiones Ays Tres"/>
    <n v="5926427045.7412233"/>
    <n v="6.7621091355393421E-6"/>
    <s v=""/>
  </r>
  <r>
    <s v="2017-11-19"/>
    <x v="7"/>
    <s v="UINT-D0111"/>
    <s v="BBINTERNAC"/>
    <n v="64037148.531000003"/>
    <m/>
    <n v="7.2900000000000005E-4"/>
    <n v="2.58"/>
    <s v="2032-01-15"/>
    <n v="5169"/>
    <n v="7.54"/>
    <n v="110.75"/>
    <s v="UF"/>
    <s v="Bono Corporativo"/>
    <s v="Financieras"/>
    <s v="A"/>
    <x v="12"/>
    <s v="Bono Banco Internacional"/>
    <n v="482840099.92374003"/>
    <n v="5.5424746374225734E-7"/>
    <e v="#N/A"/>
  </r>
  <r>
    <s v="2017-11-19"/>
    <x v="7"/>
    <s v="BCHIAY0213"/>
    <s v="BBCHILE"/>
    <n v="75233419.442499995"/>
    <n v="2000"/>
    <n v="8.5599999999999999E-4"/>
    <n v="2.34"/>
    <s v="2026-08-01"/>
    <n v="3176"/>
    <n v="7.55"/>
    <n v="109.61"/>
    <s v="UF"/>
    <s v="Bono Corporativo"/>
    <s v="Financieras"/>
    <s v="AAA"/>
    <x v="16"/>
    <s v="Bono Banco Chile"/>
    <n v="568012316.79087496"/>
    <n v="6.509041564515696E-7"/>
    <s v=""/>
  </r>
  <r>
    <s v="2017-11-19"/>
    <x v="7"/>
    <s v="BCORAO0710"/>
    <s v="BBCORPBANC"/>
    <n v="277225396.95270002"/>
    <m/>
    <n v="3.156E-3"/>
    <n v="2.42"/>
    <s v="2026-07-01"/>
    <n v="3145"/>
    <n v="7.6"/>
    <n v="104.53"/>
    <s v="UF"/>
    <s v="Bono Corporativo"/>
    <s v="Financieras"/>
    <s v="AA"/>
    <x v="11"/>
    <s v="Bono Corpbanca"/>
    <n v="2106913016.8405201"/>
    <n v="9.6579197960456175E-6"/>
    <e v="#N/A"/>
  </r>
  <r>
    <s v="2017-11-19"/>
    <x v="7"/>
    <s v="CMPCCI0427"/>
    <s v="CMPC"/>
    <n v="105782147.93440001"/>
    <m/>
    <n v="1.204E-3"/>
    <n v="0"/>
    <s v="2027-04-04"/>
    <n v="3422"/>
    <n v="7.77"/>
    <n v="102.0819"/>
    <s v="$"/>
    <s v="Bono Corporativo"/>
    <s v="Materiales Basicos"/>
    <s v="AA"/>
    <x v="65"/>
    <s v="Bono CMPC"/>
    <n v="821927289.45028806"/>
    <n v="0"/>
    <e v="#N/A"/>
  </r>
  <r>
    <s v="2017-11-19"/>
    <x v="7"/>
    <s v="BLATM-B"/>
    <s v="LTM"/>
    <n v="65064188.240099996"/>
    <m/>
    <n v="7.4100000000000001E-4"/>
    <n v="4.3899999999999997"/>
    <s v="2028-01-01"/>
    <n v="3694"/>
    <n v="7.77"/>
    <n v="111.09"/>
    <s v="UF"/>
    <s v="Bono Corporativo"/>
    <s v="Transporte"/>
    <s v="BBB-"/>
    <x v="87"/>
    <s v="Bono LATAM Airlines"/>
    <n v="505548742.62557697"/>
    <n v="1.1597118206529074E-6"/>
    <e v="#N/A"/>
  </r>
  <r>
    <s v="2017-11-19"/>
    <x v="7"/>
    <s v="BTU0150326"/>
    <s v="BTU"/>
    <n v="7717435715.8625002"/>
    <n v="274500"/>
    <n v="8.7844000000000005E-2"/>
    <n v="1.76"/>
    <s v="2026-03-01"/>
    <n v="3023"/>
    <n v="7.79"/>
    <n v="98.07"/>
    <s v="UF"/>
    <s v="Bono de Gobierno"/>
    <s v="Gobierno"/>
    <s v="AAA"/>
    <x v="35"/>
    <s v="Bono Tesorería en UF"/>
    <n v="60118824226.568878"/>
    <n v="2.0677484453535759E-4"/>
    <s v=""/>
  </r>
  <r>
    <s v="2017-11-19"/>
    <x v="7"/>
    <s v="UBICS30207"/>
    <s v="BBICE"/>
    <n v="38984715.626000002"/>
    <m/>
    <n v="4.44E-4"/>
    <n v="2.46"/>
    <s v="2027-02-01"/>
    <n v="3360"/>
    <n v="7.81"/>
    <n v="112.56"/>
    <s v="UF"/>
    <s v="Bono Corporativo"/>
    <s v="Financieras"/>
    <s v="A+"/>
    <x v="2"/>
    <s v="Bono Subordinado BCI"/>
    <n v="304470629.03906"/>
    <n v="3.4919373990216275E-7"/>
    <s v=""/>
  </r>
  <r>
    <s v="2017-11-19"/>
    <x v="7"/>
    <s v="BCENC-N"/>
    <s v="CENCOSUD"/>
    <n v="1115394520"/>
    <n v="35000"/>
    <n v="1.2696000000000001E-2"/>
    <n v="2.64"/>
    <s v="2030-05-28"/>
    <n v="4572"/>
    <n v="7.97"/>
    <n v="116.88"/>
    <s v="UF"/>
    <s v="Bono Corporativo"/>
    <s v="Consumo"/>
    <s v="AA-"/>
    <x v="14"/>
    <s v="Bono Cencosud S.A."/>
    <n v="8889694324.3999996"/>
    <n v="0"/>
    <s v=""/>
  </r>
  <r>
    <s v="2017-11-19"/>
    <x v="7"/>
    <s v="BSAAM-C"/>
    <s v="SM SAAM"/>
    <n v="351676951.54409999"/>
    <n v="10000"/>
    <n v="4.0029999999999996E-3"/>
    <n v="2.5"/>
    <s v="2026-12-15"/>
    <n v="3312"/>
    <n v="8"/>
    <n v="102.35"/>
    <s v="UF"/>
    <s v="Bono Corporativo"/>
    <s v="Industriales"/>
    <s v="AA-"/>
    <x v="66"/>
    <s v="Bono SM SAAM"/>
    <n v="2813415612.3527999"/>
    <n v="3.2265770564154637E-6"/>
    <s v=""/>
  </r>
  <r>
    <s v="2017-11-19"/>
    <x v="7"/>
    <s v="BAGRS-D"/>
    <s v="AGROSUPER"/>
    <n v="994915850.31379998"/>
    <n v="20000"/>
    <n v="1.1324000000000001E-2"/>
    <n v="2.59"/>
    <s v="2032-09-01"/>
    <n v="5399"/>
    <n v="8.07"/>
    <n v="109.8"/>
    <s v="UF"/>
    <s v="Bono Corporativo"/>
    <s v="Consumo"/>
    <s v="AA-"/>
    <x v="67"/>
    <s v="Bono Agrosuper S.A."/>
    <n v="8028970912.0323658"/>
    <n v="9.2008779805809431E-6"/>
    <s v=""/>
  </r>
  <r>
    <s v="2017-11-19"/>
    <x v="7"/>
    <s v="BQUIN-F"/>
    <s v="QUINENCO"/>
    <n v="82527174.633900002"/>
    <m/>
    <n v="9.3899999999999995E-4"/>
    <n v="2.46"/>
    <s v="2032-06-01"/>
    <n v="5307"/>
    <n v="8.08"/>
    <n v="111.34"/>
    <s v="UF"/>
    <s v="Bono Corporativo"/>
    <s v="Diversificados"/>
    <s v="AA"/>
    <x v="17"/>
    <s v="Bono Quinenco"/>
    <n v="666819571.04191196"/>
    <n v="7.6312576921943504E-7"/>
    <s v=""/>
  </r>
  <r>
    <s v="2017-11-19"/>
    <x v="7"/>
    <s v="BARAU-S"/>
    <s v="ARAUCO"/>
    <n v="668079315.76160002"/>
    <n v="20000"/>
    <n v="7.6039999999999996E-3"/>
    <n v="2.46"/>
    <s v="2026-11-15"/>
    <n v="3282"/>
    <n v="8.14"/>
    <n v="99.51"/>
    <s v="UF"/>
    <s v="Bono Corporativo"/>
    <s v="Materiales Basicos"/>
    <s v="AA-"/>
    <x v="30"/>
    <s v="Bono Celulosa Arauco"/>
    <n v="5438165630.2994242"/>
    <n v="1.8463439992472784E-5"/>
    <s v=""/>
  </r>
  <r>
    <s v="2017-11-19"/>
    <x v="7"/>
    <s v="BGASC-H"/>
    <s v="GASCO"/>
    <n v="5813778.3535000002"/>
    <m/>
    <n v="6.6000000000000005E-5"/>
    <n v="3.34"/>
    <s v="2028-09-01"/>
    <n v="3938"/>
    <n v="8.14"/>
    <n v="101.26"/>
    <s v="UF"/>
    <s v="Bono Corporativo"/>
    <s v="Servicios Basicos"/>
    <s v="A"/>
    <x v="99"/>
    <s v="Bono GASCO"/>
    <n v="47324155.797490008"/>
    <n v="0"/>
    <s v=""/>
  </r>
  <r>
    <s v="2017-11-19"/>
    <x v="7"/>
    <s v="BARAU-P"/>
    <s v="ARAUCO"/>
    <n v="145847521.521"/>
    <m/>
    <n v="1.66E-3"/>
    <n v="2.5299999999999998"/>
    <s v="2032-11-15"/>
    <n v="5474"/>
    <n v="8.24"/>
    <n v="112.27"/>
    <s v="UF"/>
    <s v="Bono Corporativo"/>
    <s v="Materiales Basicos"/>
    <s v="AA-"/>
    <x v="30"/>
    <s v="Bono Celulosa Arauco"/>
    <n v="1201783577.33304"/>
    <n v="0"/>
    <e v="#N/A"/>
  </r>
  <r>
    <s v="2017-11-19"/>
    <x v="7"/>
    <s v="BNTRA-D"/>
    <s v="NTRANSELEC"/>
    <n v="354662727.1767"/>
    <m/>
    <n v="4.0369999999999998E-3"/>
    <n v="2.54"/>
    <s v="2027-12-15"/>
    <n v="3677"/>
    <n v="8.32"/>
    <n v="114.59"/>
    <s v="UF"/>
    <s v="Bono Corporativo"/>
    <s v="Servicios Basicos"/>
    <s v="AA-"/>
    <x v="68"/>
    <s v="Serie Transelec S.A."/>
    <n v="2950793890.1101441"/>
    <n v="3.3821371637814743E-6"/>
    <s v=""/>
  </r>
  <r>
    <s v="2017-11-19"/>
    <x v="7"/>
    <s v="BGASC-D"/>
    <s v="GASCO"/>
    <n v="50104865.810000002"/>
    <m/>
    <n v="5.6999999999999998E-4"/>
    <n v="2.74"/>
    <s v="2029-03-01"/>
    <n v="4119"/>
    <n v="8.4"/>
    <n v="144.13999999999999"/>
    <s v="UF"/>
    <s v="Bono Corporativo"/>
    <s v="Servicios Basicos"/>
    <s v="A"/>
    <x v="99"/>
    <s v="Bono GASCO"/>
    <n v="420880872.80400002"/>
    <n v="4.8187788851674922E-7"/>
    <s v=""/>
  </r>
  <r>
    <s v="2017-11-19"/>
    <x v="7"/>
    <s v="BSKSA-E"/>
    <s v="SK"/>
    <n v="176230730.42359999"/>
    <m/>
    <n v="2.006E-3"/>
    <n v="2.62"/>
    <s v="2033-03-15"/>
    <n v="5594"/>
    <n v="8.42"/>
    <n v="111.73"/>
    <s v="UF"/>
    <s v="Bono Corporativo"/>
    <s v="Industriales"/>
    <s v="A+"/>
    <x v="19"/>
    <s v="Bono Sk"/>
    <n v="1483862750.1667118"/>
    <n v="1.6985164488215447E-6"/>
    <s v=""/>
  </r>
  <r>
    <s v="2017-11-19"/>
    <x v="7"/>
    <s v="BMOLY-C"/>
    <s v="MOLYMET"/>
    <n v="617446.49179999996"/>
    <m/>
    <n v="6.9999999999999999E-6"/>
    <n v="3.43"/>
    <s v="2028-06-01"/>
    <n v="3846"/>
    <n v="8.5399999999999991"/>
    <n v="106.91"/>
    <s v="UF"/>
    <s v="Bono Corporativo"/>
    <s v="Materiales Basicos"/>
    <s v="A+"/>
    <x v="143"/>
    <s v="Bono Molymet"/>
    <n v="5272993.0399719989"/>
    <n v="1.203447316271327E-8"/>
    <s v=""/>
  </r>
  <r>
    <s v="2017-11-19"/>
    <x v="7"/>
    <s v="EST2070107"/>
    <s v="ESTADO"/>
    <n v="10716413"/>
    <n v="470"/>
    <n v="1.21E-4"/>
    <n v="3.43"/>
    <s v="2037-01-01"/>
    <n v="6982"/>
    <n v="8.57"/>
    <n v="109.08"/>
    <s v="UF"/>
    <s v="Letra Hipotecaria"/>
    <s v="Financieras"/>
    <s v="AAA"/>
    <x v="3"/>
    <s v="Lh Estado-207"/>
    <n v="91839659.409999996"/>
    <n v="6.2573372857144268E-7"/>
    <e v="#N/A"/>
  </r>
  <r>
    <s v="2017-11-19"/>
    <x v="7"/>
    <s v="BCENC-O"/>
    <s v="CENCOSUD"/>
    <n v="1302554725.5021"/>
    <n v="1251061613.4898617"/>
    <n v="1.4826000000000001E-2"/>
    <n v="6.89"/>
    <s v="2031-06-01"/>
    <n v="4941"/>
    <n v="8.76"/>
    <n v="100.87"/>
    <s v="$"/>
    <s v="Bono Corporativo"/>
    <s v="Consumo"/>
    <s v="AA-"/>
    <x v="14"/>
    <s v="Bono Cencosud S.A."/>
    <n v="11410379395.398396"/>
    <n v="-1.3100425157496357E-5"/>
    <s v=""/>
  </r>
  <r>
    <s v="2017-11-19"/>
    <x v="7"/>
    <s v="BCENC-F"/>
    <s v="CENCOSUD"/>
    <n v="12752409.721799999"/>
    <m/>
    <n v="1.45E-4"/>
    <n v="2.69"/>
    <s v="2028-05-07"/>
    <n v="3821"/>
    <n v="8.7799999999999994"/>
    <n v="111.67"/>
    <s v="UF"/>
    <s v="Bono Corporativo"/>
    <s v="Consumo"/>
    <s v="AA-"/>
    <x v="14"/>
    <s v="Bono Cencosud S.A."/>
    <n v="111966157.35740399"/>
    <n v="2.5167877728187499E-7"/>
    <s v=""/>
  </r>
  <r>
    <s v="2017-11-19"/>
    <x v="7"/>
    <s v="EST2070108"/>
    <s v="ESTADO"/>
    <n v="22898428"/>
    <n v="980"/>
    <n v="2.5999999999999998E-4"/>
    <n v="3.56"/>
    <s v="2038-01-01"/>
    <n v="7347"/>
    <n v="8.92"/>
    <n v="108.28"/>
    <s v="UF"/>
    <s v="Letra Hipotecaria"/>
    <s v="Financieras"/>
    <s v="AAA"/>
    <x v="3"/>
    <s v="Lh Estado-207"/>
    <n v="204253977.75999999"/>
    <n v="1.1661178261358999E-6"/>
    <e v="#N/A"/>
  </r>
  <r>
    <s v="2017-11-19"/>
    <x v="7"/>
    <s v="BCOOD20514"/>
    <s v="COOPEUCH"/>
    <n v="661642788.74609995"/>
    <n v="17500"/>
    <n v="7.5300000000000002E-3"/>
    <n v="2.73"/>
    <s v="2039-05-05"/>
    <n v="7836"/>
    <n v="8.9499999999999993"/>
    <n v="109.49"/>
    <s v="UF"/>
    <s v="Bono Corporativo"/>
    <s v="Financieras"/>
    <s v="AA-"/>
    <x v="61"/>
    <s v="Bono Coopeuch"/>
    <n v="5921702959.2775936"/>
    <n v="6.5241196075171437E-6"/>
    <s v=""/>
  </r>
  <r>
    <s v="2017-11-19"/>
    <x v="7"/>
    <s v="GNLQCI0729"/>
    <s v="GNLQUINTER"/>
    <n v="145467941.27410001"/>
    <m/>
    <n v="1.6559999999999999E-3"/>
    <n v="0"/>
    <s v="2029-07-31"/>
    <n v="4271"/>
    <n v="9.1"/>
    <n v="104.44840000000001"/>
    <s v="$"/>
    <s v="Bono Corporativo"/>
    <s v="Energia"/>
    <s v="AA-"/>
    <x v="69"/>
    <s v="Bono GNL Quintero S.A."/>
    <n v="1323758265.59431"/>
    <n v="0"/>
    <e v="#N/A"/>
  </r>
  <r>
    <s v="2017-11-19"/>
    <x v="7"/>
    <s v="BCFSA-B"/>
    <s v="CONSOR FIN"/>
    <n v="138837705.67590001"/>
    <m/>
    <n v="1.58E-3"/>
    <n v="2.64"/>
    <s v="2034-04-01"/>
    <n v="5976"/>
    <n v="9.18"/>
    <n v="111.69"/>
    <s v="UF"/>
    <s v="Bono Corporativo"/>
    <s v="Financieras"/>
    <s v="AA-"/>
    <x v="51"/>
    <s v="Bono Consorcio"/>
    <n v="1274530138.1047621"/>
    <n v="0"/>
    <s v=""/>
  </r>
  <r>
    <s v="2017-11-19"/>
    <x v="7"/>
    <s v="BLCON-B"/>
    <s v="LAS CONDES"/>
    <n v="12605689.7633"/>
    <m/>
    <n v="1.4300000000000001E-4"/>
    <n v="3.04"/>
    <s v="2034-11-30"/>
    <n v="6219"/>
    <n v="9.43"/>
    <n v="108.53"/>
    <s v="UF"/>
    <s v="Bono Corporativo"/>
    <s v="Salud"/>
    <s v="A+"/>
    <x v="146"/>
    <s v="Bono Clinica Las Condes"/>
    <n v="118871654.46791899"/>
    <n v="2.7137317928683846E-7"/>
    <s v=""/>
  </r>
  <r>
    <s v="2017-11-19"/>
    <x v="7"/>
    <s v="BRENT-C"/>
    <s v="RENTAS"/>
    <n v="142379493.0106"/>
    <m/>
    <n v="1.621E-3"/>
    <n v="3.2"/>
    <s v="2034-11-15"/>
    <n v="6204"/>
    <n v="9.52"/>
    <n v="107.55"/>
    <s v="UF"/>
    <s v="Bono Corporativo"/>
    <s v="Construccion"/>
    <s v="A"/>
    <x v="147"/>
    <s v="Bono Sociedad de Rentas Comerciales"/>
    <n v="1355452773.460912"/>
    <n v="1.5231765147793169E-6"/>
    <s v=""/>
  </r>
  <r>
    <s v="2017-11-19"/>
    <x v="7"/>
    <s v="BCMPC-F"/>
    <s v="INVCMPC"/>
    <n v="218810449"/>
    <n v="7000"/>
    <n v="2.49E-3"/>
    <n v="2.69"/>
    <s v="2030-03-24"/>
    <n v="4507"/>
    <n v="9.9"/>
    <n v="116.43"/>
    <s v="UF"/>
    <s v="Bono Corporativo"/>
    <s v="Materiales Basicos"/>
    <s v="AA"/>
    <x v="65"/>
    <s v="Bono Empresas CMPC S.A."/>
    <n v="2166223445.0999999"/>
    <n v="2.4780694438671236E-6"/>
    <s v=""/>
  </r>
  <r>
    <s v="2017-11-19"/>
    <x v="7"/>
    <s v="BCMPC-F"/>
    <s v="CMPC"/>
    <n v="20051727.654599998"/>
    <m/>
    <n v="2.2800000000000001E-4"/>
    <n v="2.69"/>
    <s v="2030-03-24"/>
    <n v="4507"/>
    <n v="9.9"/>
    <n v="116.43"/>
    <s v="UF"/>
    <s v="Bono Corporativo"/>
    <s v="Materiales Basicos"/>
    <s v="AA"/>
    <x v="65"/>
    <s v="Bono Empresas CMPC S.A."/>
    <n v="198512103.78053999"/>
    <n v="2.2690756353482098E-7"/>
    <s v=""/>
  </r>
  <r>
    <s v="2017-11-19"/>
    <x v="7"/>
    <s v="BQUIN-C"/>
    <s v="QUINENCO"/>
    <n v="13492122.8456"/>
    <m/>
    <n v="1.54E-4"/>
    <n v="2.63"/>
    <s v="2032-12-01"/>
    <n v="5490"/>
    <n v="9.94"/>
    <n v="113.87"/>
    <s v="UF"/>
    <s v="Bono Corporativo"/>
    <s v="Diversificados"/>
    <s v="AA"/>
    <x v="17"/>
    <s v="Bono Quinenco"/>
    <n v="134111701.08526398"/>
    <n v="0"/>
    <s v=""/>
  </r>
  <r>
    <s v="2017-11-19"/>
    <x v="7"/>
    <s v="BMETR-K"/>
    <s v="METRO"/>
    <n v="14956952"/>
    <n v="500"/>
    <n v="1.7000000000000001E-4"/>
    <n v="2.65"/>
    <s v="2032-09-15"/>
    <n v="5413"/>
    <n v="10.24"/>
    <n v="111.41"/>
    <s v="UF"/>
    <s v="Bono Corporativo"/>
    <s v="Transporte"/>
    <s v="AA+"/>
    <x v="25"/>
    <s v="Bono Metro"/>
    <n v="153159188.47999999"/>
    <n v="3.5005692423004998E-7"/>
    <s v=""/>
  </r>
  <r>
    <s v="2017-11-19"/>
    <x v="7"/>
    <s v="UBBV-G0506"/>
    <s v="BBBVA"/>
    <n v="28592051.902600002"/>
    <m/>
    <n v="3.2499999999999999E-4"/>
    <n v="2.72"/>
    <s v="2031-05-01"/>
    <n v="4910"/>
    <n v="10.39"/>
    <n v="125.01"/>
    <s v="UF"/>
    <s v="Bono Corporativo"/>
    <s v="Financieras"/>
    <s v="A+"/>
    <x v="0"/>
    <s v="Bono Banco BBVA"/>
    <n v="297071419.26801401"/>
    <n v="3.3276972114682514E-7"/>
    <e v="#N/A"/>
  </r>
  <r>
    <s v="2017-11-19"/>
    <x v="7"/>
    <s v="BSECU-L3"/>
    <s v="SECHOLDING"/>
    <n v="48387019.629799999"/>
    <m/>
    <n v="5.5099999999999995E-4"/>
    <n v="2.82"/>
    <s v="2035-11-15"/>
    <n v="6569"/>
    <n v="10.46"/>
    <n v="106.01"/>
    <s v="UF"/>
    <s v="Bono Corporativo"/>
    <s v="Diversificados"/>
    <s v="A+"/>
    <x v="149"/>
    <s v="Bono Holding Security"/>
    <n v="506128225.32770801"/>
    <n v="5.7040311544621912E-7"/>
    <s v=""/>
  </r>
  <r>
    <s v="2017-11-19"/>
    <x v="7"/>
    <s v="BNTRA-H"/>
    <s v="NTRANSELEC"/>
    <n v="49059486.1061"/>
    <m/>
    <n v="5.5800000000000001E-4"/>
    <n v="2.86"/>
    <s v="2031-08-01"/>
    <n v="5002"/>
    <n v="10.48"/>
    <n v="121.15"/>
    <s v="UF"/>
    <s v="Bono Corporativo"/>
    <s v="Servicios Basicos"/>
    <s v="AA-"/>
    <x v="68"/>
    <s v="Bono Transelec S.A."/>
    <n v="514143414.39192802"/>
    <n v="5.8799472676541556E-7"/>
    <e v="#N/A"/>
  </r>
  <r>
    <s v="2017-11-19"/>
    <x v="7"/>
    <s v="BBANM-J"/>
    <s v="BANMEDICA"/>
    <n v="25541499.433200002"/>
    <m/>
    <n v="2.9100000000000003E-4"/>
    <n v="2.94"/>
    <s v="2034-04-10"/>
    <n v="5985"/>
    <n v="10.95"/>
    <n v="109.43"/>
    <s v="UF"/>
    <s v="Bono Corporativo"/>
    <s v="Salud"/>
    <s v="AA-"/>
    <x v="24"/>
    <s v="Bono Banmedica"/>
    <n v="279679418.79354"/>
    <n v="6.4084334992740535E-7"/>
    <s v=""/>
  </r>
  <r>
    <s v="2017-11-19"/>
    <x v="7"/>
    <s v="UCNO-A1011"/>
    <s v="BBCONSORC"/>
    <n v="57715963.6545"/>
    <m/>
    <n v="6.5700000000000003E-4"/>
    <n v="2.92"/>
    <s v="2031-10-15"/>
    <n v="5077"/>
    <n v="10.99"/>
    <n v="112.01"/>
    <s v="UF"/>
    <s v="Bono Corporativo"/>
    <s v="Financieras"/>
    <s v="A+"/>
    <x v="5"/>
    <s v="Bono Subordinado Banco Consorcio"/>
    <n v="634298440.56295502"/>
    <n v="7.2576122210514786E-7"/>
    <s v=""/>
  </r>
  <r>
    <s v="2017-11-19"/>
    <x v="7"/>
    <s v="BCTOR-K"/>
    <s v="CONCHATORO"/>
    <n v="3588525.6504000002"/>
    <m/>
    <n v="4.1E-5"/>
    <n v="2.91"/>
    <s v="2038-09-01"/>
    <n v="7590"/>
    <n v="11.23"/>
    <n v="104.3"/>
    <s v="UF"/>
    <s v="Bono Corporativo"/>
    <s v="Consumo"/>
    <s v="AA-"/>
    <x v="20"/>
    <s v="Bono Concha Y Toro"/>
    <n v="40299143.053992003"/>
    <n v="0"/>
    <s v=""/>
  </r>
  <r>
    <s v="2017-11-19"/>
    <x v="7"/>
    <s v="UBBVH90607"/>
    <s v="BBBVA"/>
    <n v="25046319.573399998"/>
    <m/>
    <n v="2.8499999999999999E-4"/>
    <n v="2.8"/>
    <s v="2032-06-01"/>
    <n v="5307"/>
    <n v="11.51"/>
    <n v="108.04"/>
    <s v="UF"/>
    <s v="Bono Corporativo"/>
    <s v="Financieras"/>
    <s v="A+"/>
    <x v="0"/>
    <s v="Bono Banco BBVA"/>
    <n v="288283138.28983396"/>
    <n v="3.2948060074542342E-7"/>
    <s v=""/>
  </r>
  <r>
    <s v="2017-11-19"/>
    <x v="7"/>
    <s v="BEMCA-P"/>
    <s v="EM.CAROZZI"/>
    <n v="52984244.994499996"/>
    <m/>
    <n v="6.0300000000000002E-4"/>
    <n v="3.21"/>
    <s v="2035-05-15"/>
    <n v="6385"/>
    <n v="11.54"/>
    <n v="106.74"/>
    <s v="UF"/>
    <s v="Bono Corporativo"/>
    <s v="Consumo"/>
    <s v="A"/>
    <x v="80"/>
    <s v="Bono Carozzi"/>
    <n v="611438187.23652995"/>
    <n v="6.8739073244785324E-7"/>
    <s v=""/>
  </r>
  <r>
    <s v="2017-11-19"/>
    <x v="7"/>
    <s v="BWATT-L"/>
    <s v="WATTS"/>
    <n v="99207145.237299994"/>
    <m/>
    <n v="1.129E-3"/>
    <n v="3.04"/>
    <s v="2032-11-15"/>
    <n v="5474"/>
    <n v="11.57"/>
    <n v="113.62"/>
    <s v="UF"/>
    <s v="Bono Corporativo"/>
    <s v="Consumo"/>
    <s v="A"/>
    <x v="151"/>
    <s v="Bono Watts S.A."/>
    <n v="1147826670.395561"/>
    <n v="1.2887607934851062E-6"/>
    <s v=""/>
  </r>
  <r>
    <s v="2017-11-19"/>
    <x v="7"/>
    <s v="USECJ20312"/>
    <s v="BBSECURITY"/>
    <n v="44767927.321400002"/>
    <m/>
    <n v="5.1000000000000004E-4"/>
    <n v="2.91"/>
    <s v="2037-03-01"/>
    <n v="7041"/>
    <n v="11.6"/>
    <n v="112.8"/>
    <s v="UF"/>
    <s v="Bono Corporativo"/>
    <s v="Financieras"/>
    <s v="A"/>
    <x v="7"/>
    <s v="Bono Subordinado Banco Security"/>
    <n v="519307956.92824"/>
    <n v="5.9347183448566139E-7"/>
    <s v=""/>
  </r>
  <r>
    <s v="2017-11-19"/>
    <x v="7"/>
    <s v="UCOR-V0808"/>
    <s v="BBCORPBANC"/>
    <n v="84253936.138799995"/>
    <m/>
    <n v="9.59E-4"/>
    <n v="2.89"/>
    <s v="2033-08-01"/>
    <n v="5733"/>
    <n v="11.69"/>
    <n v="121.42"/>
    <s v="UF"/>
    <s v="Bono Corporativo"/>
    <s v="Financieras"/>
    <s v="AA-"/>
    <x v="11"/>
    <s v="Bono Subordinado Corpbanca"/>
    <n v="984928513.46257186"/>
    <n v="1.914402835063978E-5"/>
    <s v=""/>
  </r>
  <r>
    <s v="2017-11-19"/>
    <x v="7"/>
    <s v="BTP0500335"/>
    <s v="BTP"/>
    <n v="3700344012.6522002"/>
    <n v="3616193825.2958307"/>
    <n v="4.2118999999999997E-2"/>
    <n v="4.95"/>
    <s v="2035-03-01"/>
    <n v="6310"/>
    <n v="11.69"/>
    <n v="101.24"/>
    <s v="$"/>
    <s v="Bono de Gobierno"/>
    <s v="Gobierno"/>
    <s v="AAA"/>
    <x v="35"/>
    <s v="Bono Tesorería en CLP"/>
    <n v="43257021507.904221"/>
    <n v="-9.9137765615770173E-5"/>
    <s v=""/>
  </r>
  <r>
    <s v="2017-11-19"/>
    <x v="7"/>
    <s v="BSWTR-E"/>
    <s v="SOUTHWATER"/>
    <n v="721486337.68980002"/>
    <n v="20000"/>
    <n v="8.2120000000000005E-3"/>
    <n v="3.03"/>
    <s v="2034-09-08"/>
    <n v="6136"/>
    <n v="11.73"/>
    <n v="120.27"/>
    <s v="UF"/>
    <s v="Bono Corporativo"/>
    <s v="Financieras"/>
    <s v="A+"/>
    <x v="153"/>
    <s v="Bono Inversiones Southwater"/>
    <n v="8463034741.1013546"/>
    <n v="9.6720129327641836E-6"/>
    <s v=""/>
  </r>
  <r>
    <s v="2017-11-19"/>
    <x v="7"/>
    <s v="BSOQU-O"/>
    <s v="SOQUIMICH"/>
    <n v="31019044.548500001"/>
    <m/>
    <n v="3.5300000000000002E-4"/>
    <n v="3.15"/>
    <s v="2033-02-01"/>
    <n v="5552"/>
    <n v="11.75"/>
    <n v="107.56"/>
    <s v="UF"/>
    <s v="Bono Corporativo"/>
    <s v="Materiales Basicos"/>
    <s v="A+"/>
    <x v="58"/>
    <s v="Bono SQM"/>
    <n v="364473773.444875"/>
    <n v="4.166311480676345E-7"/>
    <e v="#N/A"/>
  </r>
  <r>
    <s v="2017-11-19"/>
    <x v="7"/>
    <s v="BCOOE20315"/>
    <s v="COOPEUCH"/>
    <n v="342817519.66170001"/>
    <n v="11000"/>
    <n v="3.9020000000000001E-3"/>
    <n v="2.85"/>
    <s v="2040-03-01"/>
    <n v="8137"/>
    <n v="11.77"/>
    <n v="107.61"/>
    <s v="UF"/>
    <s v="Bono Corporativo"/>
    <s v="Financieras"/>
    <s v="AA-"/>
    <x v="61"/>
    <s v="Bono Coopeuch"/>
    <n v="4034962206.4182091"/>
    <n v="4.6171540737614506E-6"/>
    <s v=""/>
  </r>
  <r>
    <s v="2017-11-19"/>
    <x v="7"/>
    <s v="BRPLC-F"/>
    <s v="RIPLEYCORP"/>
    <n v="66574181.145800002"/>
    <m/>
    <n v="7.5799999999999999E-4"/>
    <n v="3.13"/>
    <s v="2037-10-15"/>
    <n v="7269"/>
    <n v="11.93"/>
    <n v="96.21"/>
    <s v="UF"/>
    <s v="Bono Corporativo"/>
    <s v="Consumo"/>
    <s v="A+"/>
    <x v="97"/>
    <s v="Bono Ripley"/>
    <n v="794229981.06939399"/>
    <n v="0"/>
    <s v=""/>
  </r>
  <r>
    <s v="2017-11-19"/>
    <x v="7"/>
    <s v="BCELE-A"/>
    <s v="CELEO"/>
    <n v="78073357.8891"/>
    <m/>
    <n v="8.8900000000000003E-4"/>
    <n v="3.02"/>
    <s v="2047-06-22"/>
    <n v="10806"/>
    <n v="12.09"/>
    <n v="103.87"/>
    <s v="UF"/>
    <s v="Bono Corporativo"/>
    <s v="Utilities"/>
    <s v="A+"/>
    <x v="154"/>
    <s v="Bono Celeo Chile"/>
    <n v="943906896.87921894"/>
    <n v="0"/>
    <e v="#N/A"/>
  </r>
  <r>
    <s v="2017-11-19"/>
    <x v="7"/>
    <s v="BESVA-P"/>
    <s v="ESVAL"/>
    <n v="603805098"/>
    <n v="20000"/>
    <n v="6.8719999999999996E-3"/>
    <n v="2.86"/>
    <s v="2034-01-15"/>
    <n v="5900"/>
    <n v="12.36"/>
    <n v="111.72"/>
    <s v="UF"/>
    <s v="Bono Corporativo"/>
    <s v="Servicios Basicos"/>
    <s v="AA"/>
    <x v="53"/>
    <s v="Bono Esval"/>
    <n v="7463031011.2799997"/>
    <n v="8.5073468585794173E-6"/>
    <s v=""/>
  </r>
  <r>
    <s v="2017-11-19"/>
    <x v="7"/>
    <s v="USECJ31013"/>
    <s v="BBSECURITY"/>
    <n v="50447212.379699998"/>
    <m/>
    <n v="5.7399999999999997E-4"/>
    <n v="2.99"/>
    <s v="2038-10-01"/>
    <n v="7620"/>
    <n v="12.53"/>
    <n v="112.79"/>
    <s v="UF"/>
    <s v="Bono Corporativo"/>
    <s v="Financieras"/>
    <s v="A"/>
    <x v="7"/>
    <s v="Bono Subordinado Banco Security"/>
    <n v="632103571.11764097"/>
    <n v="0"/>
    <s v=""/>
  </r>
  <r>
    <s v="2017-11-19"/>
    <x v="7"/>
    <s v="UCORBI0710"/>
    <s v="BBCORPBANC"/>
    <n v="26434045.846999999"/>
    <m/>
    <n v="3.01E-4"/>
    <n v="2.97"/>
    <s v="2035-07-01"/>
    <n v="6432"/>
    <n v="13"/>
    <n v="114.12"/>
    <s v="UF"/>
    <s v="Bono Corporativo"/>
    <s v="Financieras"/>
    <s v="AA-"/>
    <x v="11"/>
    <s v="Bono Subordinado Corpbanca"/>
    <n v="343642596.01099998"/>
    <n v="5.8924496113018167E-6"/>
    <s v=""/>
  </r>
  <r>
    <s v="2017-11-19"/>
    <x v="7"/>
    <s v="BSWTR-I"/>
    <s v="SOUTHWATER"/>
    <n v="406836403.27060002"/>
    <n v="10000"/>
    <n v="4.6299999999999996E-3"/>
    <n v="3.14"/>
    <s v="2036-09-08"/>
    <n v="6867"/>
    <n v="13.13"/>
    <n v="118.32"/>
    <s v="UF"/>
    <s v="Bono Corporativo"/>
    <s v="Financieras"/>
    <s v="A+"/>
    <x v="153"/>
    <s v="Bono Inversiones Southwater"/>
    <n v="5341761974.9429789"/>
    <n v="0"/>
    <s v=""/>
  </r>
  <r>
    <s v="2017-11-19"/>
    <x v="7"/>
    <s v="UCORBJ0710"/>
    <s v="BBCORPBANC"/>
    <n v="26434045.846999999"/>
    <m/>
    <n v="3.01E-4"/>
    <n v="3.01"/>
    <s v="2036-07-01"/>
    <n v="6798"/>
    <n v="13.52"/>
    <n v="114.12"/>
    <s v="UF"/>
    <s v="Bono Corporativo"/>
    <s v="Financieras"/>
    <s v="AA-"/>
    <x v="11"/>
    <s v="Bono Subordinado Corpbanca"/>
    <n v="357388299.85143995"/>
    <n v="6.5367011876459937E-6"/>
    <s v=""/>
  </r>
  <r>
    <s v="2017-11-19"/>
    <x v="7"/>
    <s v="BTU0200335"/>
    <s v="BTU"/>
    <n v="949141622.54560006"/>
    <n v="34500"/>
    <n v="1.0803E-2"/>
    <n v="2.13"/>
    <s v="2035-03-01"/>
    <n v="6310"/>
    <n v="14.61"/>
    <n v="98.28"/>
    <s v="UF"/>
    <s v="Bono de Gobierno"/>
    <s v="Gobierno"/>
    <s v="AAA"/>
    <x v="35"/>
    <s v="Bono Tesorería en UF"/>
    <n v="13866959105.391216"/>
    <n v="0"/>
    <s v=""/>
  </r>
  <r>
    <s v="2017-11-19"/>
    <x v="7"/>
    <s v="BSECU-M"/>
    <s v="SECHOLDING"/>
    <n v="26458499.173500001"/>
    <m/>
    <n v="3.01E-4"/>
    <n v="3.18"/>
    <s v="2041-10-15"/>
    <n v="8730"/>
    <n v="14.98"/>
    <n v="115.52"/>
    <s v="UF"/>
    <s v="Bono Corporativo"/>
    <s v="Diversificados"/>
    <s v="A+"/>
    <x v="149"/>
    <s v="Bono Holding Security"/>
    <n v="396348317.61903006"/>
    <n v="0"/>
    <s v=""/>
  </r>
  <r>
    <s v="2017-11-19"/>
    <x v="7"/>
    <s v="UCNO-G0414"/>
    <s v="BBCONSORC"/>
    <n v="15503408.9427"/>
    <m/>
    <n v="1.76E-4"/>
    <n v="3.16"/>
    <s v="2039-04-01"/>
    <n v="7802"/>
    <n v="14.99"/>
    <n v="112.68"/>
    <s v="UF"/>
    <s v="Bono Corporativo"/>
    <s v="Financieras"/>
    <s v="A+"/>
    <x v="5"/>
    <s v="Bono Subordinado Banco Consorcio"/>
    <n v="232396100.05107301"/>
    <n v="0"/>
    <s v=""/>
  </r>
  <r>
    <s v="2017-11-19"/>
    <x v="7"/>
    <s v="UCNO-K1114"/>
    <s v="BBCONSORC"/>
    <n v="62594402.2729"/>
    <m/>
    <n v="7.1199999999999996E-4"/>
    <n v="3.18"/>
    <s v="2039-11-01"/>
    <n v="8016"/>
    <n v="15.45"/>
    <n v="109.55"/>
    <s v="UF"/>
    <s v="Bono Corporativo"/>
    <s v="Financieras"/>
    <s v="A+"/>
    <x v="5"/>
    <s v="Bono Subordinado Banco Consorcio"/>
    <n v="967083515.11630499"/>
    <n v="1.0848243606393358E-6"/>
    <s v=""/>
  </r>
  <r>
    <s v="2017-11-19"/>
    <x v="8"/>
    <s v="CFIPGMISTR"/>
    <s v="FIP GM"/>
    <n v="696242341"/>
    <n v="691070370"/>
    <n v="4.8700000000000002E-3"/>
    <n v="0"/>
    <m/>
    <n v="-43057"/>
    <n v="0"/>
    <n v="1.007484"/>
    <s v="$"/>
    <s v="Cuota de Fondo"/>
    <s v="Financieras"/>
    <s v="BBB"/>
    <x v="70"/>
    <s v="Cuotas de Fondo Caja Gabriela Mistral"/>
    <n v="0"/>
    <n v="0"/>
    <e v="#N/A"/>
  </r>
  <r>
    <s v="2017-11-19"/>
    <x v="8"/>
    <s v="CFIPLAPOL1"/>
    <s v="FIP LP 01"/>
    <n v="480583200"/>
    <n v="480000000"/>
    <n v="3.362E-3"/>
    <n v="0"/>
    <m/>
    <n v="-43057"/>
    <n v="0"/>
    <n v="1.001215"/>
    <s v="$"/>
    <s v="Cuota de Fondo"/>
    <s v="Financieras"/>
    <s v="C"/>
    <x v="71"/>
    <s v="Cuotas de Fondo La Polar"/>
    <n v="0"/>
    <n v="0"/>
    <e v="#N/A"/>
  </r>
  <r>
    <s v="2017-11-19"/>
    <x v="8"/>
    <s v="CFIAMERIS"/>
    <s v="FIP AMERIS"/>
    <n v="629850563"/>
    <n v="625000"/>
    <n v="4.4060000000000002E-3"/>
    <n v="0"/>
    <s v="2021-10-16"/>
    <n v="1426"/>
    <n v="0"/>
    <n v="1007.7609"/>
    <s v="$"/>
    <s v="Cuota de Fondo"/>
    <s v="Financieras"/>
    <s v="BB"/>
    <x v="72"/>
    <s v="Cuotas de FIP Ameris"/>
    <n v="0"/>
    <n v="0"/>
    <e v="#N/A"/>
  </r>
  <r>
    <s v="2017-11-19"/>
    <x v="8"/>
    <s v="PAGARE NR"/>
    <s v="FNSBLE"/>
    <n v="287795226"/>
    <n v="287954377"/>
    <n v="2.013E-3"/>
    <n v="6.6360000000000001"/>
    <s v="2017-11-22"/>
    <n v="2"/>
    <n v="0.01"/>
    <n v="99.944730000000007"/>
    <s v="$"/>
    <s v="Factura"/>
    <s v="Alimentos"/>
    <s v="BB"/>
    <x v="73"/>
    <s v="Factura Servicios Agroindustriales Subsole"/>
    <n v="2877952.2600000002"/>
    <n v="0"/>
    <s v=""/>
  </r>
  <r>
    <s v="2017-11-19"/>
    <x v="8"/>
    <s v="PAGARE NR"/>
    <s v="FAESCOND"/>
    <n v="164270901"/>
    <n v="164350080"/>
    <n v="1.1490000000000001E-3"/>
    <n v="5.7839999999999998"/>
    <s v="2017-11-22"/>
    <n v="2"/>
    <n v="0.01"/>
    <n v="99.951822000000007"/>
    <s v="$"/>
    <s v="Factura"/>
    <s v="Financieras"/>
    <s v="AA+"/>
    <x v="74"/>
    <s v="Factura Minera Escondida"/>
    <n v="1642709.01"/>
    <n v="0"/>
    <s v=""/>
  </r>
  <r>
    <s v="2017-11-19"/>
    <x v="8"/>
    <s v="PAGARE NR"/>
    <s v="FAESCOND"/>
    <n v="59097298"/>
    <n v="59193036"/>
    <n v="4.1300000000000001E-4"/>
    <n v="5.8319999999999999"/>
    <s v="2017-11-29"/>
    <n v="9"/>
    <n v="0.03"/>
    <n v="99.838261000000003"/>
    <s v="$"/>
    <s v="Factura"/>
    <s v="Financieras"/>
    <s v="AA+"/>
    <x v="74"/>
    <s v="Factura Minera Escondida"/>
    <n v="1772918.94"/>
    <n v="0"/>
    <s v=""/>
  </r>
  <r>
    <s v="2017-11-19"/>
    <x v="8"/>
    <s v="BHER-A1212"/>
    <s v="LOS HEROES"/>
    <n v="392982334"/>
    <n v="380000000"/>
    <n v="2.7490000000000001E-3"/>
    <n v="5.17"/>
    <s v="2017-12-01"/>
    <n v="11"/>
    <n v="0.03"/>
    <n v="100.05"/>
    <s v="$"/>
    <s v="Bono Corporativo"/>
    <s v="Financieras"/>
    <s v="A-"/>
    <x v="75"/>
    <s v="Bono Los Heroes C.C.A.F."/>
    <n v="11789470.02"/>
    <n v="4.8201643835617371E-8"/>
    <s v=""/>
  </r>
  <r>
    <s v="2017-11-19"/>
    <x v="8"/>
    <s v="PAGARE NR"/>
    <s v="FHUACHI"/>
    <n v="96416817"/>
    <n v="96723294"/>
    <n v="6.7400000000000001E-4"/>
    <n v="7.1520000000000001"/>
    <s v="2017-12-05"/>
    <n v="15"/>
    <n v="0.04"/>
    <n v="99.683139999999995"/>
    <s v="$"/>
    <s v="Factura"/>
    <s v="Industriales"/>
    <s v="A+"/>
    <x v="76"/>
    <s v="Factura Compañía Siderúrgica Huachipato"/>
    <n v="3856672.68"/>
    <n v="0"/>
    <s v=""/>
  </r>
  <r>
    <s v="2017-11-19"/>
    <x v="8"/>
    <s v="PAGARE NR"/>
    <s v="FAESCOND"/>
    <n v="40787268"/>
    <n v="40907427"/>
    <n v="2.8499999999999999E-4"/>
    <n v="5.8920000000000003"/>
    <s v="2017-12-07"/>
    <n v="17"/>
    <n v="0.05"/>
    <n v="99.706265999999999"/>
    <s v="$"/>
    <s v="Factura"/>
    <s v="Financieras"/>
    <s v="AA+"/>
    <x v="74"/>
    <s v="Factura Minera Escondida"/>
    <n v="2039363.4000000001"/>
    <n v="0"/>
    <s v=""/>
  </r>
  <r>
    <s v="2017-11-19"/>
    <x v="8"/>
    <s v="PAGARE NR"/>
    <s v="FNSBLE"/>
    <n v="585676028"/>
    <n v="588318598"/>
    <n v="4.0969999999999999E-3"/>
    <n v="6.7679999999999998"/>
    <s v="2017-12-13"/>
    <n v="23"/>
    <n v="7.0000000000000007E-2"/>
    <n v="99.550826000000001"/>
    <s v="$"/>
    <s v="Factura"/>
    <s v="Alimentos"/>
    <s v="BB"/>
    <x v="73"/>
    <s v="Factura Servicios Agroindustriales Subsole"/>
    <n v="40997321.960000001"/>
    <n v="0"/>
    <s v=""/>
  </r>
  <r>
    <s v="2017-11-19"/>
    <x v="8"/>
    <s v="BFSEC-A"/>
    <s v="FACSECU"/>
    <n v="872755233"/>
    <n v="32000"/>
    <n v="6.1050000000000002E-3"/>
    <n v="-2.08"/>
    <s v="2017-12-15"/>
    <n v="25"/>
    <n v="7.0000000000000007E-2"/>
    <n v="100.43"/>
    <s v="UF"/>
    <s v="Bono Corporativo"/>
    <s v="Financieras"/>
    <s v="A+"/>
    <x v="6"/>
    <s v="Bono Factoring Security"/>
    <n v="61092866.310000002"/>
    <n v="0"/>
    <e v="#N/A"/>
  </r>
  <r>
    <s v="2017-11-19"/>
    <x v="8"/>
    <s v="PAGARE NR"/>
    <s v="FARAUCO"/>
    <n v="72007981"/>
    <n v="72370637"/>
    <n v="5.0299999999999997E-4"/>
    <n v="6.2519999999999998"/>
    <s v="2017-12-18"/>
    <n v="28"/>
    <n v="0.08"/>
    <n v="99.498890000000003"/>
    <s v="$"/>
    <s v="Factura"/>
    <s v="Materiales Basicos"/>
    <s v="AA-"/>
    <x v="30"/>
    <s v="Factura Celulosa Arauco"/>
    <n v="5760638.4800000004"/>
    <n v="0"/>
    <s v=""/>
  </r>
  <r>
    <s v="2017-11-19"/>
    <x v="8"/>
    <s v="PAGARE NR"/>
    <s v="FAESCOND"/>
    <n v="6519932"/>
    <n v="6555505"/>
    <n v="4.5000000000000003E-5"/>
    <n v="5.952"/>
    <s v="2017-12-22"/>
    <n v="32"/>
    <n v="0.09"/>
    <n v="99.457356000000004"/>
    <s v="$"/>
    <s v="Factura"/>
    <s v="Financieras"/>
    <s v="AA+"/>
    <x v="74"/>
    <s v="Factura Minera Escondida"/>
    <n v="586793.88"/>
    <n v="0"/>
    <s v=""/>
  </r>
  <r>
    <s v="2017-11-19"/>
    <x v="8"/>
    <s v="PAGARE NR"/>
    <s v="FSMXPOR"/>
    <n v="20912015"/>
    <n v="21063000"/>
    <n v="1.46E-4"/>
    <n v="6.84"/>
    <s v="2017-12-27"/>
    <n v="37"/>
    <n v="0.1"/>
    <n v="99.283174000000002"/>
    <s v="$"/>
    <s v="Factura"/>
    <s v="Industriales"/>
    <s v="BBB-"/>
    <x v="77"/>
    <s v="Factura Multiexport"/>
    <n v="2091201.5"/>
    <n v="0"/>
    <s v=""/>
  </r>
  <r>
    <s v="2017-11-19"/>
    <x v="8"/>
    <s v="PAGARE NR"/>
    <s v="FAESCOND"/>
    <n v="23488862"/>
    <n v="23666125"/>
    <n v="1.64E-4"/>
    <n v="6.7919999999999998"/>
    <s v="2017-12-29"/>
    <n v="39"/>
    <n v="0.11"/>
    <n v="99.250984000000003"/>
    <s v="$"/>
    <s v="Factura"/>
    <s v="Financieras"/>
    <s v="AA+"/>
    <x v="74"/>
    <s v="Factura Minera Escondida"/>
    <n v="2583774.8199999998"/>
    <n v="0"/>
    <s v=""/>
  </r>
  <r>
    <s v="2017-11-19"/>
    <x v="8"/>
    <s v="BCCA-C0912"/>
    <s v="ARAUCANA"/>
    <n v="137756227"/>
    <n v="200000000"/>
    <n v="9.6299999999999999E-4"/>
    <n v="309.26"/>
    <s v="2018-01-27"/>
    <n v="68"/>
    <n v="0.18"/>
    <n v="78.16"/>
    <s v="$"/>
    <s v="Bono Corporativo"/>
    <s v="Financieras"/>
    <s v="B"/>
    <x v="78"/>
    <s v="Bono La Araucana C.C.A.F."/>
    <n v="24796120.859999999"/>
    <n v="0"/>
    <s v=""/>
  </r>
  <r>
    <s v="2017-11-19"/>
    <x v="8"/>
    <s v="BCCA-E0115"/>
    <s v="ARAUCANA"/>
    <n v="268644144"/>
    <n v="390000000"/>
    <n v="1.879E-3"/>
    <n v="309.26"/>
    <s v="2018-01-27"/>
    <n v="68"/>
    <n v="0.18"/>
    <n v="78.19"/>
    <s v="$"/>
    <s v="Bono Corporativo"/>
    <s v="Financieras"/>
    <s v="B"/>
    <x v="78"/>
    <s v="Bono La Araucana C.C.A.F."/>
    <n v="48355945.920000002"/>
    <n v="0"/>
    <s v=""/>
  </r>
  <r>
    <s v="2017-11-19"/>
    <x v="8"/>
    <s v="BCCAR-A"/>
    <s v="ARAUCANA"/>
    <n v="6887742"/>
    <n v="10000000"/>
    <n v="4.8000000000000001E-5"/>
    <n v="309.26"/>
    <s v="2018-01-27"/>
    <n v="68"/>
    <n v="0.18"/>
    <n v="78"/>
    <s v="$"/>
    <s v="Bono Corporativo"/>
    <s v="Financieras"/>
    <s v="B"/>
    <x v="78"/>
    <s v="Bono Caja De Compensacion La Araucana"/>
    <n v="1239793.56"/>
    <n v="0"/>
    <e v="#N/A"/>
  </r>
  <r>
    <s v="2017-11-19"/>
    <x v="8"/>
    <s v="BCCAR-B"/>
    <s v="ARAUCANA"/>
    <n v="34438761"/>
    <n v="50000000"/>
    <n v="2.4000000000000001E-4"/>
    <n v="309.26"/>
    <s v="2018-01-27"/>
    <n v="68"/>
    <n v="0.18"/>
    <n v="78.180000000000007"/>
    <s v="$"/>
    <s v="Bono Corporativo"/>
    <s v="Financieras"/>
    <s v="B"/>
    <x v="78"/>
    <s v="Bono Caja De Compensacion La Araucana"/>
    <n v="6198976.9799999995"/>
    <n v="0"/>
    <s v=""/>
  </r>
  <r>
    <s v="2017-11-19"/>
    <x v="8"/>
    <s v="BHER-C0413"/>
    <s v="LOS HEROES"/>
    <n v="31545622"/>
    <n v="250000000"/>
    <n v="2.2000000000000001E-4"/>
    <n v="5.55"/>
    <s v="2018-04-01"/>
    <n v="132"/>
    <n v="0.36"/>
    <n v="100.16"/>
    <s v="$"/>
    <s v="Bono Corporativo"/>
    <s v="Financieras"/>
    <s v="A-"/>
    <x v="75"/>
    <s v="Bono Los Heroes C.C.A.F."/>
    <n v="11356423.92"/>
    <n v="-9.2219178082189626E-9"/>
    <s v=""/>
  </r>
  <r>
    <s v="2017-11-19"/>
    <x v="8"/>
    <s v="BHER-E0813"/>
    <s v="LOS HEROES"/>
    <n v="508643328"/>
    <n v="75000"/>
    <n v="3.558E-3"/>
    <n v="2.2999999999999998"/>
    <s v="2018-08-01"/>
    <n v="254"/>
    <n v="0.44"/>
    <n v="100.6"/>
    <s v="UF"/>
    <s v="Bono Corporativo"/>
    <s v="Financieras"/>
    <s v="A-"/>
    <x v="75"/>
    <s v="Bono Los Heroes C.C.A.F."/>
    <n v="223803064.31999999"/>
    <n v="1.4268038873048074E-6"/>
    <s v=""/>
  </r>
  <r>
    <s v="2017-11-19"/>
    <x v="8"/>
    <s v="BSKSA-B"/>
    <s v="SK"/>
    <n v="2730932"/>
    <n v="500"/>
    <n v="1.9000000000000001E-5"/>
    <n v="1.7"/>
    <s v="2018-09-15"/>
    <n v="299"/>
    <n v="0.56000000000000005"/>
    <n v="101.58"/>
    <s v="UF"/>
    <s v="Bono Corporativo"/>
    <s v="Industriales"/>
    <s v="A+"/>
    <x v="19"/>
    <s v="Bono Sk"/>
    <n v="1529321.9200000002"/>
    <n v="2.357199084653516E-9"/>
    <s v=""/>
  </r>
  <r>
    <s v="2017-11-19"/>
    <x v="8"/>
    <s v="BCAJ-J1215"/>
    <s v="LOS ANDES"/>
    <n v="251824760"/>
    <n v="11500"/>
    <n v="1.761E-3"/>
    <n v="2.57"/>
    <s v="2019-06-01"/>
    <n v="558"/>
    <n v="0.76"/>
    <n v="100.87"/>
    <s v="UF"/>
    <s v="Bono Corporativo"/>
    <s v="Financieras"/>
    <s v="AA-"/>
    <x v="18"/>
    <s v="Bono Caja Los Andes"/>
    <n v="191386817.59999999"/>
    <n v="4.3172222605175284E-7"/>
    <s v=""/>
  </r>
  <r>
    <s v="2017-11-19"/>
    <x v="8"/>
    <s v="BSCCH-B"/>
    <s v="SCCH"/>
    <n v="202968952"/>
    <n v="200000000"/>
    <n v="1.4189999999999999E-3"/>
    <n v="3.71"/>
    <s v="2018-10-15"/>
    <n v="329"/>
    <n v="0.89"/>
    <n v="101.02"/>
    <s v="$"/>
    <s v="Bono Corporativo"/>
    <s v="Financieras"/>
    <s v="AAA"/>
    <x v="22"/>
    <s v="Bono Banco Santander Consumer Finance"/>
    <n v="180642367.28"/>
    <n v="-1.343965790563834E-7"/>
    <s v=""/>
  </r>
  <r>
    <s v="2017-11-19"/>
    <x v="8"/>
    <s v="BEMCA-N"/>
    <s v="EM.CAROZZI"/>
    <n v="30728850"/>
    <n v="60000000"/>
    <n v="2.14E-4"/>
    <n v="3.89"/>
    <s v="2019-05-15"/>
    <n v="541"/>
    <n v="0.97"/>
    <n v="102.35"/>
    <s v="$"/>
    <s v="Bono Corporativo"/>
    <s v="Consumo"/>
    <s v="A"/>
    <x v="80"/>
    <s v="Bono Carozzi"/>
    <n v="29806984.5"/>
    <n v="0"/>
    <e v="#N/A"/>
  </r>
  <r>
    <s v="2017-11-19"/>
    <x v="8"/>
    <s v="BBCIS-P26A"/>
    <s v="BCI SECURI"/>
    <n v="884066903"/>
    <n v="1325000000"/>
    <n v="6.1840000000000003E-3"/>
    <n v="6.81"/>
    <s v="2020-07-01"/>
    <n v="954"/>
    <n v="0.98"/>
    <n v="100.17"/>
    <s v="$"/>
    <s v="Bono Corporativo"/>
    <s v="Financieras"/>
    <s v="AA"/>
    <x v="39"/>
    <s v="Bono BCI"/>
    <n v="866385564.93999994"/>
    <n v="-6.4352193182339946E-7"/>
    <s v=""/>
  </r>
  <r>
    <s v="2017-11-19"/>
    <x v="8"/>
    <s v="BHER-G0914"/>
    <s v="LOS HEROES"/>
    <n v="40110546"/>
    <n v="3000"/>
    <n v="2.7999999999999998E-4"/>
    <n v="2.79"/>
    <s v="2019-09-01"/>
    <n v="650"/>
    <n v="1.01"/>
    <n v="99.72"/>
    <s v="UF"/>
    <s v="Bono Corporativo"/>
    <s v="Financieras"/>
    <s v="A-"/>
    <x v="75"/>
    <s v="Bono Los Heroes C.C.A.F."/>
    <n v="40511651.460000001"/>
    <n v="8.9776269144205803E-8"/>
    <s v=""/>
  </r>
  <r>
    <s v="2017-11-19"/>
    <x v="8"/>
    <s v="BTANN-P"/>
    <s v="TANNER SF"/>
    <n v="272370707"/>
    <n v="10000"/>
    <n v="1.905E-3"/>
    <n v="2.2000000000000002"/>
    <s v="2019-04-01"/>
    <n v="497"/>
    <n v="1.1000000000000001"/>
    <n v="101.61"/>
    <s v="UF"/>
    <s v="Bono Corporativo"/>
    <s v="Financieras"/>
    <s v="A+"/>
    <x v="45"/>
    <s v="Bono SF Tanner S.A."/>
    <n v="299607777.70000005"/>
    <n v="1.3175001418145895E-6"/>
    <s v=""/>
  </r>
  <r>
    <s v="2017-11-19"/>
    <x v="8"/>
    <s v="BCAJ-O0816"/>
    <s v="LOS ANDES"/>
    <n v="1430808931"/>
    <n v="1390000000"/>
    <n v="1.001E-2"/>
    <n v="4.32"/>
    <s v="2020-02-01"/>
    <n v="803"/>
    <n v="1.1499999999999999"/>
    <n v="101.29"/>
    <s v="$"/>
    <s v="Bono Corporativo"/>
    <s v="Financieras"/>
    <s v="AA-"/>
    <x v="18"/>
    <s v="Bono Caja Los Andes"/>
    <n v="1645430270.6499999"/>
    <n v="0"/>
    <s v=""/>
  </r>
  <r>
    <s v="2017-11-19"/>
    <x v="8"/>
    <s v="BBANM-I"/>
    <s v="BANMEDICA"/>
    <n v="241068494"/>
    <n v="300000000"/>
    <n v="1.686E-3"/>
    <n v="4.0599999999999996"/>
    <s v="2020-04-10"/>
    <n v="872"/>
    <n v="1.32"/>
    <n v="103.09"/>
    <s v="$"/>
    <s v="Bono Corporativo"/>
    <s v="Salud"/>
    <s v="AA-"/>
    <x v="24"/>
    <s v="Bono Banmedica"/>
    <n v="318210412.08000004"/>
    <n v="0"/>
    <s v=""/>
  </r>
  <r>
    <s v="2017-11-19"/>
    <x v="8"/>
    <s v="BRPL-A0414"/>
    <s v="BBRIPLEY"/>
    <n v="68615513"/>
    <n v="2500"/>
    <n v="4.8000000000000001E-4"/>
    <n v="1.56"/>
    <s v="2019-04-01"/>
    <n v="497"/>
    <n v="1.34"/>
    <n v="102.43"/>
    <s v="UF"/>
    <s v="Bono Corporativo"/>
    <s v="Financieras"/>
    <s v="A+"/>
    <x v="1"/>
    <s v="Bono Bancario Ripley"/>
    <n v="91944787.420000002"/>
    <n v="1.3389595510370893E-7"/>
    <s v=""/>
  </r>
  <r>
    <s v="2017-11-19"/>
    <x v="8"/>
    <s v="BBCIS-P30A"/>
    <s v="BCI SECURI"/>
    <n v="1685715945"/>
    <n v="1670000000"/>
    <n v="1.1793E-2"/>
    <n v="5.66"/>
    <s v="2020-04-01"/>
    <n v="863"/>
    <n v="1.36"/>
    <n v="100.18"/>
    <s v="$"/>
    <s v="Bono Corporativo"/>
    <s v="Financieras"/>
    <s v="AA"/>
    <x v="39"/>
    <s v="Bono BCI"/>
    <n v="2292573685.2000003"/>
    <n v="0"/>
    <s v=""/>
  </r>
  <r>
    <s v="2017-11-19"/>
    <x v="8"/>
    <s v="MASISA0519"/>
    <s v="MASISA"/>
    <n v="1578545600"/>
    <n v="2400000"/>
    <n v="1.1043000000000001E-2"/>
    <n v="0"/>
    <s v="2019-05-05"/>
    <n v="531"/>
    <n v="1.39"/>
    <n v="104.1628"/>
    <s v="US$"/>
    <s v="Bono Corporativo"/>
    <s v="Materiales Basicos"/>
    <s v="BBB-"/>
    <x v="81"/>
    <s v="Bono Masisa"/>
    <n v="2194178384"/>
    <n v="0"/>
    <e v="#N/A"/>
  </r>
  <r>
    <s v="2017-11-19"/>
    <x v="8"/>
    <s v="BSALF-M"/>
    <s v="SALFACORP"/>
    <n v="1956931152"/>
    <n v="71000"/>
    <n v="1.3690000000000001E-2"/>
    <n v="3.22"/>
    <s v="2019-05-10"/>
    <n v="536"/>
    <n v="1.43"/>
    <n v="103.2"/>
    <s v="UF"/>
    <s v="Bono Corporativo"/>
    <s v="Industriales"/>
    <s v="BBB"/>
    <x v="82"/>
    <s v="Bono Salfacorp"/>
    <n v="2798411547.3599997"/>
    <n v="5.9553394334258667E-6"/>
    <s v=""/>
  </r>
  <r>
    <s v="2017-11-19"/>
    <x v="8"/>
    <s v="BFORU-AT"/>
    <s v="LEAS FORUM"/>
    <n v="624687855"/>
    <n v="600000000"/>
    <n v="4.3699999999999998E-3"/>
    <n v="3.59"/>
    <s v="2019-06-25"/>
    <n v="582"/>
    <n v="1.52"/>
    <n v="102.08"/>
    <s v="$"/>
    <s v="Bono Corporativo"/>
    <s v="Financieras"/>
    <s v="AA"/>
    <x v="33"/>
    <s v="Bono Forum Servicios Financieros"/>
    <n v="949525539.60000002"/>
    <n v="0"/>
    <s v=""/>
  </r>
  <r>
    <s v="2017-11-19"/>
    <x v="8"/>
    <s v="BCAJ-Q0117"/>
    <s v="LOS ANDES"/>
    <n v="770880196"/>
    <n v="750000000"/>
    <n v="5.3930000000000002E-3"/>
    <n v="4.5199999999999996"/>
    <s v="2020-07-02"/>
    <n v="955"/>
    <n v="1.53"/>
    <n v="100.84"/>
    <s v="$"/>
    <s v="Bono Corporativo"/>
    <s v="Financieras"/>
    <s v="AA-"/>
    <x v="18"/>
    <s v="Bono Caja Los Andes"/>
    <n v="1179446699.8800001"/>
    <n v="-1.7169796036219495E-6"/>
    <s v=""/>
  </r>
  <r>
    <s v="2017-11-19"/>
    <x v="8"/>
    <s v="BTANN-S"/>
    <s v="TANNER SF"/>
    <n v="751328179"/>
    <n v="27500"/>
    <n v="5.2560000000000003E-3"/>
    <n v="2.2200000000000002"/>
    <s v="2019-12-15"/>
    <n v="755"/>
    <n v="1.76"/>
    <n v="101.17"/>
    <s v="UF"/>
    <s v="Bono Corporativo"/>
    <s v="Financieras"/>
    <s v="A+"/>
    <x v="45"/>
    <s v="Bono SF Tanner S.A."/>
    <n v="1322337595.04"/>
    <n v="2.8685286217756066E-6"/>
    <s v=""/>
  </r>
  <r>
    <s v="2017-11-19"/>
    <x v="8"/>
    <s v="BCSMU-P"/>
    <s v="SMU"/>
    <n v="1080774117"/>
    <n v="40000"/>
    <n v="7.561E-3"/>
    <n v="2.52"/>
    <s v="2019-09-25"/>
    <n v="674"/>
    <n v="1.8"/>
    <n v="100.85"/>
    <s v="UF"/>
    <s v="Bono Corporativo"/>
    <s v="Consumo"/>
    <s v="BB-"/>
    <x v="84"/>
    <s v="Bono SMU S.A."/>
    <n v="1945393410.6000001"/>
    <n v="0"/>
    <e v="#N/A"/>
  </r>
  <r>
    <s v="2017-11-19"/>
    <x v="8"/>
    <s v="BFLIN-I"/>
    <s v="FACTORLINE"/>
    <n v="167603624"/>
    <n v="10500"/>
    <n v="1.1720000000000001E-3"/>
    <n v="2.62"/>
    <s v="2021-04-01"/>
    <n v="1228"/>
    <n v="1.8"/>
    <n v="102.07"/>
    <s v="UF"/>
    <s v="Bono Corporativo"/>
    <s v="Financieras"/>
    <s v="A+"/>
    <x v="29"/>
    <s v="Bono Factorline"/>
    <n v="301686523.19999999"/>
    <n v="6.5285252258813951E-7"/>
    <s v=""/>
  </r>
  <r>
    <s v="2017-11-19"/>
    <x v="8"/>
    <s v="BCOSJ-A"/>
    <s v="TECNOCONTR"/>
    <n v="494024503"/>
    <n v="30000"/>
    <n v="3.4559999999999999E-3"/>
    <n v="1.79"/>
    <s v="2021-06-30"/>
    <n v="1318"/>
    <n v="2.09"/>
    <n v="102.38"/>
    <s v="UF"/>
    <s v="Bono Corporativo"/>
    <s v="Construccion"/>
    <s v="AAA"/>
    <x v="32"/>
    <s v="Bono Constructora San Jose"/>
    <n v="1032511211.27"/>
    <n v="1.480175947522139E-6"/>
    <s v=""/>
  </r>
  <r>
    <s v="2017-11-19"/>
    <x v="8"/>
    <s v="BFORU-AX"/>
    <s v="LEAS FORUM"/>
    <n v="412365830"/>
    <n v="400000000"/>
    <n v="2.8839999999999998E-3"/>
    <n v="4.2"/>
    <s v="2020-04-01"/>
    <n v="863"/>
    <n v="2.2400000000000002"/>
    <n v="102.38"/>
    <s v="$"/>
    <s v="Bono Corporativo"/>
    <s v="Financieras"/>
    <s v="AA"/>
    <x v="33"/>
    <s v="Bono Forum Servicios Financieros"/>
    <n v="923699459.20000005"/>
    <n v="-6.6311536776302433E-7"/>
    <s v=""/>
  </r>
  <r>
    <s v="2017-11-19"/>
    <x v="8"/>
    <s v="LATAIR0920"/>
    <s v="LATAM AIR"/>
    <n v="343503426"/>
    <n v="500000"/>
    <n v="2.4030000000000002E-3"/>
    <n v="0"/>
    <s v="2020-06-09"/>
    <n v="932"/>
    <n v="2.31"/>
    <n v="105.96339999999999"/>
    <s v="US$"/>
    <s v="Bono Corporativo"/>
    <s v="Transporte"/>
    <s v="BB"/>
    <x v="87"/>
    <s v="Bono LATAM Airlines"/>
    <n v="793492914.06000006"/>
    <n v="0"/>
    <e v="#N/A"/>
  </r>
  <r>
    <s v="2017-11-19"/>
    <x v="8"/>
    <s v="BCORAI0710"/>
    <s v="BBCORPBANC"/>
    <n v="835813148"/>
    <n v="30000"/>
    <n v="5.8469999999999998E-3"/>
    <n v="1.71"/>
    <s v="2020-07-01"/>
    <n v="954"/>
    <n v="2.5099999999999998"/>
    <n v="103.26"/>
    <s v="UF"/>
    <s v="Bono Corporativo"/>
    <s v="Financieras"/>
    <s v="AA"/>
    <x v="11"/>
    <s v="Bono Corpbanca"/>
    <n v="2097891001.4799998"/>
    <n v="1.1995493435526721E-5"/>
    <s v=""/>
  </r>
  <r>
    <s v="2017-11-19"/>
    <x v="8"/>
    <s v="BTANN-U"/>
    <s v="TANNER SF"/>
    <n v="1344249185"/>
    <n v="50000"/>
    <n v="9.4039999999999992E-3"/>
    <n v="2.48"/>
    <s v="2020-08-01"/>
    <n v="985"/>
    <n v="2.61"/>
    <n v="100.05"/>
    <s v="UF"/>
    <s v="Bono Corporativo"/>
    <s v="Financieras"/>
    <s v="A+"/>
    <x v="45"/>
    <s v="Bono SF Tanner S.A."/>
    <n v="3508490372.8499999"/>
    <n v="-2.506229397638197E-6"/>
    <s v=""/>
  </r>
  <r>
    <s v="2017-11-19"/>
    <x v="8"/>
    <s v="SANT0920"/>
    <s v="SANT-CHILE"/>
    <n v="2039523333"/>
    <n v="2000000000"/>
    <n v="1.4267999999999999E-2"/>
    <n v="0"/>
    <s v="2020-09-22"/>
    <n v="1037"/>
    <n v="2.61"/>
    <n v="100.947"/>
    <s v="$"/>
    <s v="Bono Corporativo"/>
    <s v="Financieras"/>
    <s v="AAA"/>
    <x v="10"/>
    <s v="Bono Banco Santander"/>
    <n v="5323155899.1300001"/>
    <n v="0"/>
    <e v="#N/A"/>
  </r>
  <r>
    <s v="2017-11-19"/>
    <x v="8"/>
    <s v="BHER-M0117"/>
    <s v="LOS HEROES"/>
    <n v="1692766634"/>
    <n v="61000"/>
    <n v="1.1842E-2"/>
    <n v="3.04"/>
    <s v="2022-01-05"/>
    <n v="1507"/>
    <n v="2.7"/>
    <n v="102.52"/>
    <s v="UF"/>
    <s v="Bono Corporativo"/>
    <s v="Financieras"/>
    <s v="A-"/>
    <x v="75"/>
    <s v="Bono Caja Los Heroes"/>
    <n v="4570469911.8000002"/>
    <n v="0"/>
    <e v="#N/A"/>
  </r>
  <r>
    <s v="2017-11-19"/>
    <x v="8"/>
    <s v="BCAJ-L1215"/>
    <s v="LOS ANDES"/>
    <n v="859661166"/>
    <n v="30000"/>
    <n v="6.0140000000000002E-3"/>
    <n v="2.06"/>
    <s v="2020-12-01"/>
    <n v="1107"/>
    <n v="2.84"/>
    <n v="105.48"/>
    <s v="UF"/>
    <s v="Bono Corporativo"/>
    <s v="Financieras"/>
    <s v="AA-"/>
    <x v="18"/>
    <s v="Bono Caja Los Andes"/>
    <n v="2441437711.4400001"/>
    <n v="-1.7435119444363395E-6"/>
    <s v=""/>
  </r>
  <r>
    <s v="2017-11-19"/>
    <x v="8"/>
    <s v="BUDC-A"/>
    <s v="UDECONCE"/>
    <n v="3347091768"/>
    <n v="168000"/>
    <n v="2.3415999999999999E-2"/>
    <n v="3.4"/>
    <s v="2021-11-10"/>
    <n v="1451"/>
    <n v="2.87"/>
    <n v="107.03"/>
    <s v="UF"/>
    <s v="Bono Corporativo"/>
    <s v="Educación"/>
    <s v="A-"/>
    <x v="89"/>
    <s v="Bono Universidad De Concepcion"/>
    <n v="9606153374.1599998"/>
    <n v="0"/>
    <s v=""/>
  </r>
  <r>
    <s v="2017-11-19"/>
    <x v="8"/>
    <s v="BENJO-C"/>
    <s v="ENJOY"/>
    <n v="137363413"/>
    <n v="5000"/>
    <n v="9.6100000000000005E-4"/>
    <n v="4.3899999999999997"/>
    <s v="2024-06-20"/>
    <n v="2404"/>
    <n v="3"/>
    <n v="101.03"/>
    <s v="UF"/>
    <s v="Bono Corporativo"/>
    <s v="Entretenimiento"/>
    <s v="BBB-"/>
    <x v="90"/>
    <s v="Bono Enjoy"/>
    <n v="412090239"/>
    <n v="2.9266120074251404E-7"/>
    <s v=""/>
  </r>
  <r>
    <s v="2017-11-19"/>
    <x v="8"/>
    <s v="BCHIS-P18A"/>
    <s v="BANCHILSEC"/>
    <n v="1166860544"/>
    <n v="1135000000"/>
    <n v="8.1630000000000001E-3"/>
    <n v="5.48"/>
    <s v="2022-03-01"/>
    <n v="1562"/>
    <n v="3.07"/>
    <n v="101.52"/>
    <s v="$"/>
    <s v="Bono Corporativo"/>
    <s v="Financieras"/>
    <s v="AA"/>
    <x v="46"/>
    <s v="Bono Banchile Securitizadora"/>
    <n v="3582261870.0799999"/>
    <n v="-2.5532248206817936E-6"/>
    <s v=""/>
  </r>
  <r>
    <s v="2017-11-19"/>
    <x v="8"/>
    <s v="BCSMU-G"/>
    <s v="SMU"/>
    <n v="1909890697"/>
    <n v="69000"/>
    <n v="1.3361E-2"/>
    <n v="3.49"/>
    <s v="2021-03-25"/>
    <n v="1221"/>
    <n v="3.13"/>
    <n v="103.09"/>
    <s v="UF"/>
    <s v="Bono Corporativo"/>
    <s v="Consumo"/>
    <s v="BB-"/>
    <x v="84"/>
    <s v="Bono SMU S.A."/>
    <n v="5977957881.6099997"/>
    <n v="0"/>
    <e v="#N/A"/>
  </r>
  <r>
    <s v="2017-11-19"/>
    <x v="8"/>
    <s v="BCSMU-K"/>
    <s v="SMU"/>
    <n v="2006769211"/>
    <n v="72500"/>
    <n v="1.4038999999999999E-2"/>
    <n v="3.49"/>
    <s v="2021-03-25"/>
    <n v="1221"/>
    <n v="3.13"/>
    <n v="103.09"/>
    <s v="UF"/>
    <s v="Bono Corporativo"/>
    <s v="Consumo"/>
    <s v="BB-"/>
    <x v="84"/>
    <s v="Bono SMU S.A."/>
    <n v="6281187630.4299994"/>
    <n v="0"/>
    <e v="#N/A"/>
  </r>
  <r>
    <s v="2017-11-19"/>
    <x v="8"/>
    <s v="BTU0150321"/>
    <s v="BTU"/>
    <n v="810874331"/>
    <n v="30000"/>
    <n v="5.672E-3"/>
    <n v="1.19"/>
    <s v="2021-03-01"/>
    <n v="1197"/>
    <n v="3.2"/>
    <n v="101"/>
    <s v="UF"/>
    <s v="Bono de Gobierno"/>
    <s v="Gobierno"/>
    <s v="AAA"/>
    <x v="35"/>
    <s v="Bono Tesorería en UF"/>
    <n v="2594797859.2000003"/>
    <n v="0"/>
    <s v=""/>
  </r>
  <r>
    <s v="2017-11-19"/>
    <x v="8"/>
    <s v="BCAPS-G"/>
    <s v="CAP"/>
    <n v="1191663167"/>
    <n v="40000"/>
    <n v="8.3359999999999997E-3"/>
    <n v="3.42"/>
    <s v="2021-07-01"/>
    <n v="1319"/>
    <n v="3.24"/>
    <n v="109.1"/>
    <s v="UF"/>
    <s v="Bono Corporativo"/>
    <s v="Industriales"/>
    <s v="A+"/>
    <x v="47"/>
    <s v="Bono CAP"/>
    <n v="3860988661.0800004"/>
    <n v="0"/>
    <s v=""/>
  </r>
  <r>
    <s v="2017-11-19"/>
    <x v="8"/>
    <s v="BTANN-Z"/>
    <s v="TANNER SF"/>
    <n v="1663073290"/>
    <n v="60000"/>
    <n v="1.1634E-2"/>
    <n v="2.4500000000000002"/>
    <s v="2021-07-05"/>
    <n v="1323"/>
    <n v="3.41"/>
    <n v="102.68"/>
    <s v="UF"/>
    <s v="Bono Corporativo"/>
    <s v="Financieras"/>
    <s v="A+"/>
    <x v="45"/>
    <s v="Bono SF Tanner S.A."/>
    <n v="5671079918.9000006"/>
    <n v="0"/>
    <e v="#N/A"/>
  </r>
  <r>
    <s v="2017-11-19"/>
    <x v="8"/>
    <s v="BCAPS-H"/>
    <s v="CAP"/>
    <n v="2056022716"/>
    <n v="69000"/>
    <n v="1.4383999999999999E-2"/>
    <n v="3.24"/>
    <s v="2021-09-01"/>
    <n v="1381"/>
    <n v="3.41"/>
    <n v="110.25"/>
    <s v="UF"/>
    <s v="Bono Corporativo"/>
    <s v="Industriales"/>
    <s v="A+"/>
    <x v="47"/>
    <s v="Bono CAP"/>
    <n v="7011037461.5600004"/>
    <n v="-4.9885819856886219E-6"/>
    <s v=""/>
  </r>
  <r>
    <s v="2017-11-19"/>
    <x v="8"/>
    <s v="BINDE-A"/>
    <s v="CFIRENTAS"/>
    <n v="1468157216"/>
    <n v="54000"/>
    <n v="1.0271000000000001E-2"/>
    <n v="1.97"/>
    <s v="2021-07-15"/>
    <n v="1333"/>
    <n v="3.5"/>
    <n v="101.13"/>
    <s v="UF"/>
    <s v="Bono Corporativo"/>
    <s v="Construccion"/>
    <s v="AA-"/>
    <x v="48"/>
    <s v="Bono Fondo de Inversion Independencia Rentas Inmobiliarias"/>
    <n v="5138550256"/>
    <n v="0"/>
    <e v="#N/A"/>
  </r>
  <r>
    <s v="2017-11-19"/>
    <x v="8"/>
    <s v="AUPIST0622"/>
    <s v="RUTAMAIPO"/>
    <n v="740022489"/>
    <n v="1900000"/>
    <n v="5.1770000000000002E-3"/>
    <n v="0"/>
    <s v="2022-06-15"/>
    <n v="1668"/>
    <n v="3.55"/>
    <n v="107.9584"/>
    <s v="US$"/>
    <s v="Bono Corporativo"/>
    <s v="Consecionaria"/>
    <s v="A"/>
    <x v="94"/>
    <s v="Bono Ruta del Maipo"/>
    <n v="2627079835.9499998"/>
    <n v="0"/>
    <e v="#N/A"/>
  </r>
  <r>
    <s v="2017-11-19"/>
    <x v="8"/>
    <s v="BFORU-BA"/>
    <s v="LEAS FORUM"/>
    <n v="919131455"/>
    <n v="900000000"/>
    <n v="6.43E-3"/>
    <n v="4.62"/>
    <s v="2021-10-15"/>
    <n v="1425"/>
    <n v="3.58"/>
    <n v="101.64"/>
    <s v="$"/>
    <s v="Bono Corporativo"/>
    <s v="Financieras"/>
    <s v="AA"/>
    <x v="33"/>
    <s v="Bono Forum Servicios Financieros"/>
    <n v="3290490608.9000001"/>
    <n v="-2.3388154383359272E-6"/>
    <e v="#N/A"/>
  </r>
  <r>
    <s v="2017-11-19"/>
    <x v="8"/>
    <s v="BNAVI-A"/>
    <s v="NAVIERA"/>
    <n v="2393798435"/>
    <n v="87000"/>
    <n v="1.6747000000000001E-2"/>
    <n v="3.61"/>
    <s v="2025-02-16"/>
    <n v="2645"/>
    <n v="3.63"/>
    <n v="102.06"/>
    <s v="UF"/>
    <s v="Bono Corporativo"/>
    <s v="Transporte"/>
    <s v="BBB+"/>
    <x v="95"/>
    <s v="Bono Naviera"/>
    <n v="8689488319.0499992"/>
    <n v="6.1752423195791237E-6"/>
    <s v=""/>
  </r>
  <r>
    <s v="2017-11-19"/>
    <x v="8"/>
    <s v="BMELI-A"/>
    <s v="MELIPILLA"/>
    <n v="943569580"/>
    <n v="43000"/>
    <n v="6.6010000000000001E-3"/>
    <n v="6.1"/>
    <s v="2024-12-01"/>
    <n v="2568"/>
    <n v="3.66"/>
    <n v="101.37"/>
    <s v="UF"/>
    <s v="Bono Corporativo"/>
    <s v="Consecionaria"/>
    <s v="BBB+"/>
    <x v="96"/>
    <s v="Bono Autopista Melipilla"/>
    <n v="3453464662.8000002"/>
    <n v="2.4529320155203099E-6"/>
    <s v=""/>
  </r>
  <r>
    <s v="2017-11-19"/>
    <x v="8"/>
    <s v="ENJOY0522"/>
    <s v="ENJOY"/>
    <n v="1353966797"/>
    <n v="2000000"/>
    <n v="9.4719999999999995E-3"/>
    <n v="0"/>
    <s v="2022-05-16"/>
    <n v="1638"/>
    <n v="3.72"/>
    <n v="107.5051"/>
    <s v="US$"/>
    <s v="Bono Corporativo"/>
    <s v="Entretenimiento"/>
    <s v="BBB-"/>
    <x v="90"/>
    <s v="Bono Enjoy"/>
    <n v="5036756484.8400002"/>
    <n v="0"/>
    <e v="#N/A"/>
  </r>
  <r>
    <s v="2017-11-19"/>
    <x v="8"/>
    <s v="BCAJ-V0917"/>
    <s v="LOS ANDES"/>
    <n v="997420886"/>
    <n v="1000000000"/>
    <n v="6.9779999999999998E-3"/>
    <n v="5.07"/>
    <s v="2022-09-25"/>
    <n v="1770"/>
    <n v="3.74"/>
    <n v="99.04"/>
    <s v="$"/>
    <s v="Bono Corporativo"/>
    <s v="Financieras"/>
    <s v="AA-"/>
    <x v="18"/>
    <s v="Bono Caja Los Andes"/>
    <n v="3730354113.6400003"/>
    <n v="-2.6471406487160233E-6"/>
    <e v="#N/A"/>
  </r>
  <r>
    <s v="2017-11-19"/>
    <x v="8"/>
    <s v="BANOR-B2"/>
    <s v="AUTONORTE"/>
    <n v="876978816"/>
    <n v="30000"/>
    <n v="6.1349999999999998E-3"/>
    <n v="1.89"/>
    <s v="2024-12-30"/>
    <n v="2597"/>
    <n v="3.75"/>
    <n v="114.48"/>
    <s v="UF"/>
    <s v="Bono Corporativo"/>
    <s v="Concesionaria"/>
    <s v="AAA"/>
    <x v="49"/>
    <s v="Autopista Norte"/>
    <n v="3288670560"/>
    <n v="0"/>
    <s v=""/>
  </r>
  <r>
    <s v="2017-11-19"/>
    <x v="8"/>
    <s v="BGASC-F2"/>
    <s v="GASCO"/>
    <n v="251201644"/>
    <n v="10000"/>
    <n v="1.7570000000000001E-3"/>
    <n v="2.08"/>
    <s v="2025-12-01"/>
    <n v="2933"/>
    <n v="3.87"/>
    <n v="120.49"/>
    <s v="UF"/>
    <s v="Bono Corporativo"/>
    <s v="Servicios Basicos"/>
    <s v="A"/>
    <x v="99"/>
    <s v="Bono GASCO"/>
    <n v="972150362.27999997"/>
    <n v="6.8911196161757307E-7"/>
    <s v=""/>
  </r>
  <r>
    <s v="2017-11-19"/>
    <x v="8"/>
    <s v="BLATM-A"/>
    <s v="LTM"/>
    <n v="4253756778"/>
    <n v="145000"/>
    <n v="2.9759000000000001E-2"/>
    <n v="3.47"/>
    <s v="2022-06-01"/>
    <n v="1654"/>
    <n v="4.0199999999999996"/>
    <n v="107.34"/>
    <s v="UF"/>
    <s v="Bono Corporativo"/>
    <s v="Transporte"/>
    <s v="BBB-"/>
    <x v="87"/>
    <s v="Bono LATAM Airlines"/>
    <n v="17100102247.559998"/>
    <n v="0"/>
    <e v="#N/A"/>
  </r>
  <r>
    <s v="2017-11-19"/>
    <x v="8"/>
    <s v="BINT-G0617"/>
    <s v="BBINTERNAC"/>
    <n v="1524497586"/>
    <n v="1500000000"/>
    <n v="1.0664999999999999E-2"/>
    <n v="4.6100000000000003"/>
    <s v="2022-06-01"/>
    <n v="1654"/>
    <n v="4.07"/>
    <n v="99.56"/>
    <s v="$"/>
    <s v="Bono Corporativo"/>
    <s v="Financieras"/>
    <s v="A+"/>
    <x v="12"/>
    <s v="Bono Banco Internacional"/>
    <n v="6204705175.0200005"/>
    <n v="0"/>
    <e v="#N/A"/>
  </r>
  <r>
    <s v="2017-11-19"/>
    <x v="8"/>
    <s v="BMASI-E"/>
    <s v="MASISA"/>
    <n v="12059762"/>
    <n v="1000"/>
    <n v="8.3999999999999995E-5"/>
    <n v="4.74"/>
    <s v="2026-10-15"/>
    <n v="3251"/>
    <n v="4.09"/>
    <n v="100.03"/>
    <s v="UF"/>
    <s v="Bono Corporativo"/>
    <s v="Materiales Basicos"/>
    <s v="BBB"/>
    <x v="81"/>
    <s v="Bono Masisa"/>
    <n v="49324426.579999998"/>
    <n v="-6.9771180332370912E-8"/>
    <e v="#N/A"/>
  </r>
  <r>
    <s v="2017-11-19"/>
    <x v="8"/>
    <s v="BREDS-E"/>
    <s v="RED SALUD"/>
    <n v="1088846230"/>
    <n v="40000"/>
    <n v="7.6169999999999996E-3"/>
    <n v="2.14"/>
    <s v="2022-06-30"/>
    <n v="1683"/>
    <n v="4.38"/>
    <n v="101.11"/>
    <s v="UF"/>
    <s v="Bono Corporativo"/>
    <s v="Salud"/>
    <s v="A-"/>
    <x v="101"/>
    <s v="Bono Red Salud"/>
    <n v="4769146487.3999996"/>
    <n v="3.381879907051568E-6"/>
    <e v="#N/A"/>
  </r>
  <r>
    <s v="2017-11-19"/>
    <x v="8"/>
    <s v="BBCIF20812"/>
    <s v="BBCREDITO"/>
    <n v="1081579213"/>
    <n v="40000"/>
    <n v="7.5659999999999998E-3"/>
    <n v="2.48"/>
    <s v="2022-08-01"/>
    <n v="1715"/>
    <n v="4.42"/>
    <n v="100.58"/>
    <s v="UF"/>
    <s v="Bono Corporativo"/>
    <s v="Financieras"/>
    <s v="AA+"/>
    <x v="9"/>
    <s v="Bono BCI"/>
    <n v="4780580121.46"/>
    <n v="-3.3882407961331042E-6"/>
    <s v=""/>
  </r>
  <r>
    <s v="2017-11-19"/>
    <x v="8"/>
    <s v="BCAJ-U0517"/>
    <s v="LOS ANDES"/>
    <n v="530275465"/>
    <n v="20000"/>
    <n v="3.7090000000000001E-3"/>
    <n v="2.39"/>
    <s v="2024-05-05"/>
    <n v="2358"/>
    <n v="4.93"/>
    <n v="99.32"/>
    <s v="UF"/>
    <s v="Bono Corporativo"/>
    <s v="Financieras"/>
    <s v="AA-"/>
    <x v="18"/>
    <s v="Bono Caja Los Andes"/>
    <n v="2614258042.4499998"/>
    <n v="1.830433277209106E-6"/>
    <e v="#N/A"/>
  </r>
  <r>
    <s v="2017-11-19"/>
    <x v="8"/>
    <s v="USECE10506"/>
    <s v="BBSECURITY"/>
    <n v="326893327"/>
    <n v="15000"/>
    <n v="2.2859999999999998E-3"/>
    <n v="2.23"/>
    <s v="2028-05-01"/>
    <n v="3815"/>
    <n v="4.95"/>
    <n v="108.72"/>
    <s v="UF"/>
    <s v="Bono Corporativo"/>
    <s v="Financieras"/>
    <s v="A"/>
    <x v="7"/>
    <s v="Bono Banco Security"/>
    <n v="1618121968.6500001"/>
    <n v="2.1509255393618737E-6"/>
    <s v=""/>
  </r>
  <r>
    <s v="2017-11-19"/>
    <x v="8"/>
    <s v="LBTYA 0124"/>
    <s v="VTR FIN"/>
    <n v="676402990"/>
    <n v="1000000"/>
    <n v="4.7320000000000001E-3"/>
    <n v="0"/>
    <s v="2024-01-15"/>
    <n v="2247"/>
    <n v="5.04"/>
    <n v="105.1323"/>
    <s v="US$"/>
    <s v="Bono Corporativo"/>
    <s v="Comunicaciones"/>
    <s v="BB+"/>
    <x v="109"/>
    <s v="Bono VTR USD"/>
    <n v="3409071069.5999999"/>
    <n v="0"/>
    <e v="#N/A"/>
  </r>
  <r>
    <s v="2017-11-19"/>
    <x v="8"/>
    <s v="UFAL-A0607"/>
    <s v="BBFALABELL"/>
    <n v="1467376891"/>
    <n v="60000"/>
    <n v="1.0265E-2"/>
    <n v="2.2799999999999998"/>
    <s v="2028-06-15"/>
    <n v="3860"/>
    <n v="5.09"/>
    <n v="108.7"/>
    <s v="UF"/>
    <s v="Bono Corporativo"/>
    <s v="Financieras"/>
    <s v="A+"/>
    <x v="44"/>
    <s v="Bono Subordinado Banco Falabella"/>
    <n v="7468948375.1899996"/>
    <n v="5.2842819630354579E-6"/>
    <s v=""/>
  </r>
  <r>
    <s v="2017-11-19"/>
    <x v="8"/>
    <s v="BBANM-D"/>
    <s v="BANMEDICA"/>
    <n v="690709115"/>
    <n v="38500"/>
    <n v="4.8320000000000004E-3"/>
    <n v="2.37"/>
    <s v="2029-05-02"/>
    <n v="4181"/>
    <n v="5.36"/>
    <n v="104.63"/>
    <s v="UF"/>
    <s v="Bono Corporativo"/>
    <s v="Salud"/>
    <s v="AA-"/>
    <x v="24"/>
    <s v="Bonos Banmedica"/>
    <n v="3702200856.4000001"/>
    <n v="5.2176252895040917E-6"/>
    <s v=""/>
  </r>
  <r>
    <s v="2017-11-19"/>
    <x v="8"/>
    <s v="GEOPAR0924"/>
    <s v="GEOPARK"/>
    <n v="1764326422"/>
    <n v="2700000"/>
    <n v="1.2343E-2"/>
    <n v="0"/>
    <s v="2024-09-21"/>
    <n v="2497"/>
    <n v="5.59"/>
    <n v="102.80589999999999"/>
    <s v="US$"/>
    <s v="Bono Corporativo"/>
    <s v="Energia"/>
    <s v="BB"/>
    <x v="114"/>
    <s v="Bono GeoPark"/>
    <n v="9862584698.9799995"/>
    <n v="0"/>
    <e v="#N/A"/>
  </r>
  <r>
    <s v="2017-11-19"/>
    <x v="8"/>
    <s v="BAVNO-A1"/>
    <s v="AUTOVESNOR"/>
    <n v="3292981475"/>
    <n v="120000"/>
    <n v="2.3036999999999998E-2"/>
    <n v="2.54"/>
    <s v="2028-12-15"/>
    <n v="4043"/>
    <n v="5.62"/>
    <n v="115.65"/>
    <s v="UF"/>
    <s v="Bono Corporativo"/>
    <s v="Concesionaria"/>
    <s v="A"/>
    <x v="115"/>
    <s v="Bono Vespucio Norte Express"/>
    <n v="18506555889.5"/>
    <n v="0"/>
    <s v=""/>
  </r>
  <r>
    <s v="2017-11-19"/>
    <x v="8"/>
    <s v="BAMAI-A1"/>
    <s v="AUTOMAIPO"/>
    <n v="2115082335"/>
    <n v="70000"/>
    <n v="1.4796999999999999E-2"/>
    <n v="2.92"/>
    <s v="2025-06-15"/>
    <n v="2764"/>
    <n v="5.66"/>
    <n v="111"/>
    <s v="UF"/>
    <s v="Bono Corporativo"/>
    <s v="Concesionaria"/>
    <s v="A"/>
    <x v="116"/>
    <s v="Bono Autopista del Maipo"/>
    <n v="11971366016.1"/>
    <n v="8.460530848948924E-6"/>
    <e v="#N/A"/>
  </r>
  <r>
    <s v="2017-11-19"/>
    <x v="8"/>
    <s v="BMASI-L"/>
    <s v="MASISA"/>
    <n v="2153765995"/>
    <n v="70000"/>
    <n v="1.5067000000000001E-2"/>
    <n v="3.26"/>
    <s v="2029-12-15"/>
    <n v="4408"/>
    <n v="5.71"/>
    <n v="112.72"/>
    <s v="UF"/>
    <s v="Bono Corporativo"/>
    <s v="Materiales Basicos"/>
    <s v="BBB"/>
    <x v="81"/>
    <s v="Bono Masisa"/>
    <n v="12298003831.450001"/>
    <n v="2.2486765265846076E-4"/>
    <e v="#N/A"/>
  </r>
  <r>
    <s v="2017-11-19"/>
    <x v="8"/>
    <s v="BCENC-J"/>
    <s v="CENCOSUD"/>
    <n v="1143237604"/>
    <n v="36000"/>
    <n v="7.9979999999999999E-3"/>
    <n v="2.54"/>
    <s v="2029-10-15"/>
    <n v="4347"/>
    <n v="5.73"/>
    <n v="118.42"/>
    <s v="UF"/>
    <s v="Bono Corporativo"/>
    <s v="Consumo"/>
    <s v="AA-"/>
    <x v="14"/>
    <s v="Bono Cencosud S.A."/>
    <n v="6550751470.9200001"/>
    <n v="0"/>
    <s v=""/>
  </r>
  <r>
    <s v="2017-11-19"/>
    <x v="8"/>
    <s v="BSOQU-H"/>
    <s v="SOQUIMICH"/>
    <n v="3245676513"/>
    <n v="105000"/>
    <n v="2.2706E-2"/>
    <n v="2.57"/>
    <s v="2030-01-05"/>
    <n v="4429"/>
    <n v="5.9"/>
    <n v="113.83"/>
    <s v="UF"/>
    <s v="Bono Corporativo"/>
    <s v="Materiales Basicos"/>
    <s v="A+"/>
    <x v="58"/>
    <s v="Bono SQM"/>
    <n v="19149491426.700001"/>
    <n v="1.3519387851635964E-5"/>
    <e v="#N/A"/>
  </r>
  <r>
    <s v="2017-11-19"/>
    <x v="8"/>
    <s v="ENTEL3024"/>
    <s v="ENTEL"/>
    <n v="528551960"/>
    <n v="800000"/>
    <n v="3.6970000000000002E-3"/>
    <n v="0"/>
    <s v="2024-10-30"/>
    <n v="2536"/>
    <n v="5.99"/>
    <n v="104.7458"/>
    <s v="US$"/>
    <s v="Bono Corporativo"/>
    <s v="Telecomunicaciones"/>
    <s v="A+"/>
    <x v="118"/>
    <s v="Bono Entel"/>
    <n v="3166026240.4000001"/>
    <n v="0"/>
    <e v="#N/A"/>
  </r>
  <r>
    <s v="2017-11-19"/>
    <x v="8"/>
    <s v="BSKSA-C"/>
    <s v="SK"/>
    <n v="316618656"/>
    <n v="10000"/>
    <n v="2.215E-3"/>
    <n v="2.4500000000000002"/>
    <s v="2030-03-15"/>
    <n v="4498"/>
    <n v="6.06"/>
    <n v="117.61"/>
    <s v="UF"/>
    <s v="Bono Corporativo"/>
    <s v="Industriales"/>
    <s v="A+"/>
    <x v="19"/>
    <s v="Bono Sk"/>
    <n v="1918709055.3599999"/>
    <n v="2.7050199179735582E-6"/>
    <e v="#N/A"/>
  </r>
  <r>
    <s v="2017-11-19"/>
    <x v="8"/>
    <s v="UBCIS11205"/>
    <s v="BBCREDITO"/>
    <n v="542860617"/>
    <n v="25000"/>
    <n v="3.797E-3"/>
    <n v="2.35"/>
    <s v="2030-12-01"/>
    <n v="4759"/>
    <n v="6.18"/>
    <n v="113.32"/>
    <s v="UF"/>
    <s v="Bono Corporativo"/>
    <s v="Financieras"/>
    <s v="AA-"/>
    <x v="9"/>
    <s v="Bono Subordinado Bci"/>
    <n v="3354878613.0599999"/>
    <n v="4.7312224837443396E-6"/>
    <s v=""/>
  </r>
  <r>
    <s v="2017-11-19"/>
    <x v="8"/>
    <s v="BEMCA-J"/>
    <s v="EM.CAROZZI"/>
    <n v="977567630"/>
    <n v="31000"/>
    <n v="6.8389999999999996E-3"/>
    <n v="2.34"/>
    <s v="2030-04-23"/>
    <n v="4537"/>
    <n v="6.2"/>
    <n v="117.78"/>
    <s v="UF"/>
    <s v="Bono Corporativo"/>
    <s v="Consumo"/>
    <s v="A"/>
    <x v="80"/>
    <s v="Bono Carozzi"/>
    <n v="6060919306"/>
    <n v="4.2762979663638604E-6"/>
    <s v=""/>
  </r>
  <r>
    <s v="2017-11-19"/>
    <x v="8"/>
    <s v="BRPLY-E"/>
    <s v="RIPLEY S.A"/>
    <n v="2525870208"/>
    <n v="80000"/>
    <n v="1.7670999999999999E-2"/>
    <n v="2.48"/>
    <s v="2030-06-10"/>
    <n v="4585"/>
    <n v="6.2"/>
    <n v="115.83"/>
    <s v="UF"/>
    <s v="Bono Corporativo"/>
    <s v="Consumo"/>
    <s v="A"/>
    <x v="97"/>
    <s v="Bono Ripley"/>
    <n v="15660395289.6"/>
    <n v="1.104541685043056E-5"/>
    <s v=""/>
  </r>
  <r>
    <s v="2017-11-19"/>
    <x v="8"/>
    <s v="BRITA-F"/>
    <s v="SANTA RITA"/>
    <n v="133032836"/>
    <n v="4500"/>
    <n v="9.3000000000000005E-4"/>
    <n v="2.86"/>
    <s v="2030-09-15"/>
    <n v="4682"/>
    <n v="6.49"/>
    <n v="109.98"/>
    <s v="UF"/>
    <s v="Bono Corporativo"/>
    <s v="Consumo"/>
    <s v="A+"/>
    <x v="121"/>
    <s v="Bono Santa Rita"/>
    <n v="863383105.63999999"/>
    <n v="6.0904299918959502E-7"/>
    <s v=""/>
  </r>
  <r>
    <s v="2017-11-19"/>
    <x v="8"/>
    <s v="BSOND-C"/>
    <s v="SONDA"/>
    <n v="1763528996"/>
    <n v="57000"/>
    <n v="1.2337000000000001E-2"/>
    <n v="2.46"/>
    <s v="2030-12-01"/>
    <n v="4759"/>
    <n v="6.61"/>
    <n v="113.63"/>
    <s v="UF"/>
    <s v="Bono Corporativo"/>
    <s v="Tecnologia"/>
    <s v="AA-"/>
    <x v="41"/>
    <s v="Bono Sonda"/>
    <n v="11656926663.560001"/>
    <n v="8.2159846437446166E-6"/>
    <s v=""/>
  </r>
  <r>
    <s v="2017-11-19"/>
    <x v="8"/>
    <s v="USECJ11206"/>
    <s v="BBSECURITY"/>
    <n v="1500293833"/>
    <n v="55000"/>
    <n v="1.0496E-2"/>
    <n v="2.44"/>
    <s v="2031-12-01"/>
    <n v="5124"/>
    <n v="6.61"/>
    <n v="103.63"/>
    <s v="UF"/>
    <s v="Bono Corporativo"/>
    <s v="Financieras"/>
    <s v="A"/>
    <x v="7"/>
    <s v="Bono Subordinado Banco Security"/>
    <n v="9916942236.1300011"/>
    <n v="0"/>
    <s v=""/>
  </r>
  <r>
    <s v="2017-11-19"/>
    <x v="8"/>
    <s v="BMGAS-D2"/>
    <s v="METROGAS"/>
    <n v="715115826"/>
    <n v="20000"/>
    <n v="5.0020000000000004E-3"/>
    <n v="2.37"/>
    <s v="2026-06-01"/>
    <n v="3115"/>
    <n v="6.82"/>
    <n v="130.13999999999999"/>
    <s v="UF"/>
    <s v="Bono Corporativo"/>
    <s v="Energia"/>
    <s v="AA-"/>
    <x v="37"/>
    <s v="Bono Metrogas"/>
    <n v="4877089933.3200006"/>
    <n v="6.8745875928526302E-6"/>
    <s v=""/>
  </r>
  <r>
    <s v="2017-11-19"/>
    <x v="8"/>
    <s v="UINT-C0310"/>
    <s v="BBINTERNAC"/>
    <n v="916792589"/>
    <n v="30000"/>
    <n v="6.4130000000000003E-3"/>
    <n v="2.54"/>
    <s v="2031-03-15"/>
    <n v="4863"/>
    <n v="6.89"/>
    <n v="113.67"/>
    <s v="UF"/>
    <s v="Bono Corporativo"/>
    <s v="Financieras"/>
    <s v="A"/>
    <x v="12"/>
    <s v="Bono Banco Internacional"/>
    <n v="6316700938.21"/>
    <n v="0"/>
    <e v="#N/A"/>
  </r>
  <r>
    <s v="2017-11-19"/>
    <x v="8"/>
    <s v="BENAE-A"/>
    <s v="ENAEX"/>
    <n v="2065846640"/>
    <n v="74000"/>
    <n v="1.4452E-2"/>
    <n v="2.3199999999999998"/>
    <s v="2025-09-01"/>
    <n v="2842"/>
    <n v="7.01"/>
    <n v="104.02"/>
    <s v="UF"/>
    <s v="Bono Corporativo"/>
    <s v="Energia"/>
    <s v="AA-"/>
    <x v="59"/>
    <s v="Bono Enaex S.A."/>
    <n v="14481584946.4"/>
    <n v="0"/>
    <s v=""/>
  </r>
  <r>
    <s v="2017-11-19"/>
    <x v="8"/>
    <s v="BCGVI-B"/>
    <s v="CG VIDA"/>
    <n v="2462031383"/>
    <n v="78000"/>
    <n v="1.7224E-2"/>
    <n v="2.42"/>
    <s v="2031-03-15"/>
    <n v="4863"/>
    <n v="7.02"/>
    <n v="114.84"/>
    <s v="UF"/>
    <s v="Bono Corporativo"/>
    <s v="Financieras"/>
    <s v="AA-"/>
    <x v="60"/>
    <s v="Bono Corpgroup Vida Chile"/>
    <n v="17283460308.66"/>
    <n v="2.4373051204780581E-5"/>
    <s v=""/>
  </r>
  <r>
    <s v="2017-11-19"/>
    <x v="8"/>
    <s v="BCOO-C0713"/>
    <s v="COOPEUCH"/>
    <n v="357159344"/>
    <n v="15000"/>
    <n v="2.4979999999999998E-3"/>
    <n v="2.6"/>
    <s v="2034-07-10"/>
    <n v="6076"/>
    <n v="7.11"/>
    <n v="108.78"/>
    <s v="UF"/>
    <s v="Bono Corporativo"/>
    <s v="Financieras"/>
    <s v="AA-"/>
    <x v="61"/>
    <s v="Bono Coopeuch"/>
    <n v="2539402935.8400002"/>
    <n v="1.7873264839617486E-6"/>
    <s v=""/>
  </r>
  <r>
    <s v="2017-11-19"/>
    <x v="8"/>
    <s v="USTD-M0301"/>
    <s v="BBSANT-CHI"/>
    <n v="963402276"/>
    <n v="30000"/>
    <n v="6.7400000000000003E-3"/>
    <n v="2.36"/>
    <s v="2026-09-01"/>
    <n v="3207"/>
    <n v="7.36"/>
    <n v="119.16"/>
    <s v="UF"/>
    <s v="Bono Corporativo"/>
    <s v="Financieras"/>
    <s v="AA"/>
    <x v="10"/>
    <s v="Bono Banco Santander"/>
    <n v="7090640751.3600006"/>
    <n v="4.9962192603746576E-6"/>
    <s v=""/>
  </r>
  <r>
    <s v="2017-11-19"/>
    <x v="8"/>
    <s v="BCGEI-I"/>
    <s v="ELECTRICID"/>
    <n v="390514125"/>
    <n v="12500"/>
    <n v="2.7320000000000001E-3"/>
    <n v="2.61"/>
    <s v="2029-08-11"/>
    <n v="4282"/>
    <n v="7.5"/>
    <n v="115.68"/>
    <s v="UF"/>
    <s v="Bono Corporativo"/>
    <s v="Servicios Basicos"/>
    <s v="AA-"/>
    <x v="63"/>
    <s v="Bono Cge"/>
    <n v="2928855937.5"/>
    <n v="4.1294527478602837E-6"/>
    <s v=""/>
  </r>
  <r>
    <s v="2017-11-19"/>
    <x v="8"/>
    <s v="BAYS3-A"/>
    <s v="AYSTRES"/>
    <n v="1464138462"/>
    <n v="46000"/>
    <n v="1.0243E-2"/>
    <n v="2.48"/>
    <s v="2032-12-15"/>
    <n v="5504"/>
    <n v="7.51"/>
    <n v="116.99"/>
    <s v="UF"/>
    <s v="Bono Corporativo"/>
    <s v="Diversificados"/>
    <s v="AA-"/>
    <x v="64"/>
    <s v="Bono Inversiones Ays Tres"/>
    <n v="10995679849.619999"/>
    <n v="7.7114544506044837E-6"/>
    <s v=""/>
  </r>
  <r>
    <s v="2017-11-19"/>
    <x v="8"/>
    <s v="UINT-D0111"/>
    <s v="BBINTERNAC"/>
    <n v="1497275607"/>
    <n v="50000"/>
    <n v="1.0475E-2"/>
    <n v="2.58"/>
    <s v="2032-01-15"/>
    <n v="5169"/>
    <n v="7.54"/>
    <n v="110.75"/>
    <s v="UF"/>
    <s v="Bono Corporativo"/>
    <s v="Financieras"/>
    <s v="A"/>
    <x v="12"/>
    <s v="Bono Banco Internacional"/>
    <n v="11289458076.780001"/>
    <n v="7.9639810462279073E-6"/>
    <e v="#N/A"/>
  </r>
  <r>
    <s v="2017-11-19"/>
    <x v="8"/>
    <s v="BLATM-B"/>
    <s v="LTM"/>
    <n v="1521365497"/>
    <n v="50000"/>
    <n v="1.0643E-2"/>
    <n v="4.3899999999999997"/>
    <s v="2028-01-01"/>
    <n v="3694"/>
    <n v="7.77"/>
    <n v="111.09"/>
    <s v="UF"/>
    <s v="Bono Corporativo"/>
    <s v="Transporte"/>
    <s v="BBB-"/>
    <x v="87"/>
    <s v="Bono LATAM Airlines"/>
    <n v="11821009911.689999"/>
    <n v="1.6656967486111866E-5"/>
    <e v="#N/A"/>
  </r>
  <r>
    <s v="2017-11-19"/>
    <x v="8"/>
    <s v="BTU0150326"/>
    <s v="BTU"/>
    <n v="1797607449"/>
    <n v="68500"/>
    <n v="1.2576E-2"/>
    <n v="1.76"/>
    <s v="2026-03-01"/>
    <n v="3023"/>
    <n v="7.79"/>
    <n v="98.07"/>
    <s v="UF"/>
    <s v="Bono de Gobierno"/>
    <s v="Gobierno"/>
    <s v="AAA"/>
    <x v="35"/>
    <s v="Bono Tesorería en UF"/>
    <n v="14003362027.710001"/>
    <n v="2.9602482182922647E-5"/>
    <s v=""/>
  </r>
  <r>
    <s v="2017-11-19"/>
    <x v="8"/>
    <s v="UBICS30207"/>
    <s v="BBICE"/>
    <n v="911567542"/>
    <n v="30000"/>
    <n v="6.3769999999999999E-3"/>
    <n v="2.46"/>
    <s v="2027-02-01"/>
    <n v="3360"/>
    <n v="7.81"/>
    <n v="112.56"/>
    <s v="UF"/>
    <s v="Bono Corporativo"/>
    <s v="Financieras"/>
    <s v="A+"/>
    <x v="2"/>
    <s v="Bono Subordinado BCI"/>
    <n v="7119342503.0199995"/>
    <n v="5.0153344129641708E-6"/>
    <s v=""/>
  </r>
  <r>
    <s v="2017-11-19"/>
    <x v="8"/>
    <s v="BAGRS-D"/>
    <s v="AGROSUPER"/>
    <n v="2952637120"/>
    <n v="100000"/>
    <n v="2.0656000000000001E-2"/>
    <n v="2.59"/>
    <s v="2032-09-01"/>
    <n v="5399"/>
    <n v="8.07"/>
    <n v="109.8"/>
    <s v="UF"/>
    <s v="Bono Corporativo"/>
    <s v="Consumo"/>
    <s v="AA-"/>
    <x v="67"/>
    <s v="Bono Agrosuper S.A."/>
    <n v="23827781558.400002"/>
    <n v="1.6783233448152592E-5"/>
    <s v=""/>
  </r>
  <r>
    <s v="2017-11-19"/>
    <x v="8"/>
    <s v="BARAU-S"/>
    <s v="ARAUCO"/>
    <n v="663718760"/>
    <n v="25000"/>
    <n v="4.6430000000000004E-3"/>
    <n v="2.46"/>
    <s v="2026-11-15"/>
    <n v="3282"/>
    <n v="8.14"/>
    <n v="99.51"/>
    <s v="UF"/>
    <s v="Bono Corporativo"/>
    <s v="Materiales Basicos"/>
    <s v="AA-"/>
    <x v="30"/>
    <s v="Bono Celulosa Arauco"/>
    <n v="5402670706.4000006"/>
    <n v="1.1273770631910987E-5"/>
    <s v=""/>
  </r>
  <r>
    <s v="2017-11-19"/>
    <x v="8"/>
    <s v="BGASC-H"/>
    <s v="GASCO"/>
    <n v="136051835"/>
    <n v="5000"/>
    <n v="9.5100000000000002E-4"/>
    <n v="3.34"/>
    <s v="2028-09-01"/>
    <n v="3938"/>
    <n v="8.14"/>
    <n v="101.26"/>
    <s v="UF"/>
    <s v="Bono Corporativo"/>
    <s v="Servicios Basicos"/>
    <s v="A"/>
    <x v="99"/>
    <s v="Bono GASCO"/>
    <n v="1107461936.9000001"/>
    <n v="0"/>
    <s v=""/>
  </r>
  <r>
    <s v="2017-11-19"/>
    <x v="8"/>
    <s v="BARAU-P"/>
    <s v="ARAUCO"/>
    <n v="254644170"/>
    <n v="8500"/>
    <n v="1.781E-3"/>
    <n v="2.5299999999999998"/>
    <s v="2032-11-15"/>
    <n v="5474"/>
    <n v="8.24"/>
    <n v="112.27"/>
    <s v="UF"/>
    <s v="Bono Corporativo"/>
    <s v="Materiales Basicos"/>
    <s v="AA-"/>
    <x v="30"/>
    <s v="Bono Celulosa Arauco"/>
    <n v="2098267960.8"/>
    <n v="0"/>
    <e v="#N/A"/>
  </r>
  <r>
    <s v="2017-11-19"/>
    <x v="8"/>
    <s v="BNTRA-D"/>
    <s v="NTRANSELEC"/>
    <n v="2333687430"/>
    <n v="75000"/>
    <n v="1.6326E-2"/>
    <n v="2.54"/>
    <s v="2027-12-15"/>
    <n v="3677"/>
    <n v="8.32"/>
    <n v="114.59"/>
    <s v="UF"/>
    <s v="Bono Corporativo"/>
    <s v="Servicios Basicos"/>
    <s v="AA-"/>
    <x v="68"/>
    <s v="Serie Transelec S.A."/>
    <n v="19416279417.600002"/>
    <n v="1.367767434627108E-5"/>
    <s v=""/>
  </r>
  <r>
    <s v="2017-11-19"/>
    <x v="8"/>
    <s v="BGASC-D"/>
    <s v="GASCO"/>
    <n v="1171634705"/>
    <n v="30000"/>
    <n v="8.1960000000000002E-3"/>
    <n v="2.74"/>
    <s v="2029-03-01"/>
    <n v="4119"/>
    <n v="8.4"/>
    <n v="144.13999999999999"/>
    <s v="UF"/>
    <s v="Bono Corporativo"/>
    <s v="Servicios Basicos"/>
    <s v="A"/>
    <x v="99"/>
    <s v="Bono GASCO"/>
    <n v="9841731522"/>
    <n v="6.9288967969882042E-6"/>
    <s v=""/>
  </r>
  <r>
    <s v="2017-11-19"/>
    <x v="8"/>
    <s v="BSKSA-E"/>
    <s v="SK"/>
    <n v="1725726937"/>
    <n v="57500"/>
    <n v="1.2073E-2"/>
    <n v="2.62"/>
    <s v="2033-03-15"/>
    <n v="5594"/>
    <n v="8.42"/>
    <n v="111.73"/>
    <s v="UF"/>
    <s v="Bono Corporativo"/>
    <s v="Industriales"/>
    <s v="A+"/>
    <x v="19"/>
    <s v="Bono Sk"/>
    <n v="14530620809.539999"/>
    <n v="1.0222427261526675E-5"/>
    <s v=""/>
  </r>
  <r>
    <s v="2017-11-19"/>
    <x v="8"/>
    <s v="BMOLY-C"/>
    <s v="MOLYMET"/>
    <n v="14538370"/>
    <n v="500"/>
    <n v="1.01E-4"/>
    <n v="3.43"/>
    <s v="2028-06-01"/>
    <n v="3846"/>
    <n v="8.5399999999999991"/>
    <n v="106.91"/>
    <s v="UF"/>
    <s v="Bono Corporativo"/>
    <s v="Materiales Basicos"/>
    <s v="A+"/>
    <x v="143"/>
    <s v="Bono Molymet"/>
    <n v="124157679.79999998"/>
    <n v="1.7364025563343433E-7"/>
    <s v=""/>
  </r>
  <r>
    <s v="2017-11-19"/>
    <x v="8"/>
    <s v="BCENC-O"/>
    <s v="CENCOSUD"/>
    <n v="2123965449"/>
    <n v="2040000000"/>
    <n v="1.4859000000000001E-2"/>
    <n v="6.89"/>
    <s v="2031-06-01"/>
    <n v="4941"/>
    <n v="8.76"/>
    <n v="100.87"/>
    <s v="$"/>
    <s v="Bono Corporativo"/>
    <s v="Consumo"/>
    <s v="AA-"/>
    <x v="14"/>
    <s v="Bono Cencosud S.A."/>
    <n v="18605937333.239998"/>
    <n v="-1.3129584339352378E-5"/>
    <s v=""/>
  </r>
  <r>
    <s v="2017-11-19"/>
    <x v="8"/>
    <s v="BCENC-F"/>
    <s v="CENCOSUD"/>
    <n v="298236405"/>
    <n v="10000"/>
    <n v="2.0860000000000002E-3"/>
    <n v="2.69"/>
    <s v="2028-05-07"/>
    <n v="3821"/>
    <n v="8.7799999999999994"/>
    <n v="111.67"/>
    <s v="UF"/>
    <s v="Bono Corporativo"/>
    <s v="Consumo"/>
    <s v="AA-"/>
    <x v="14"/>
    <s v="Bono Cencosud S.A."/>
    <n v="2618515635.8999996"/>
    <n v="3.6207029614482159E-6"/>
    <s v=""/>
  </r>
  <r>
    <s v="2017-11-19"/>
    <x v="8"/>
    <s v="BCOOD20514"/>
    <s v="COOPEUCH"/>
    <n v="1886509786"/>
    <n v="75000"/>
    <n v="1.3198E-2"/>
    <n v="2.73"/>
    <s v="2039-05-05"/>
    <n v="7836"/>
    <n v="8.9499999999999993"/>
    <n v="109.49"/>
    <s v="UF"/>
    <s v="Bono Corporativo"/>
    <s v="Financieras"/>
    <s v="AA-"/>
    <x v="61"/>
    <s v="Bono Coopeuch"/>
    <n v="16884262584.699999"/>
    <n v="1.1434970860559265E-5"/>
    <s v=""/>
  </r>
  <r>
    <s v="2017-11-19"/>
    <x v="8"/>
    <s v="BCFSA-B"/>
    <s v="CONSOR FIN"/>
    <n v="1048035096"/>
    <n v="35000"/>
    <n v="7.332E-3"/>
    <n v="2.64"/>
    <s v="2034-04-01"/>
    <n v="5976"/>
    <n v="9.18"/>
    <n v="111.69"/>
    <s v="UF"/>
    <s v="Bono Corporativo"/>
    <s v="Financieras"/>
    <s v="AA-"/>
    <x v="51"/>
    <s v="Bono Consorcio"/>
    <n v="9620962181.2799988"/>
    <n v="0"/>
    <s v=""/>
  </r>
  <r>
    <s v="2017-11-19"/>
    <x v="8"/>
    <s v="BLCON-B"/>
    <s v="LAS CONDES"/>
    <n v="294838730"/>
    <n v="10000"/>
    <n v="2.062E-3"/>
    <n v="3.04"/>
    <s v="2034-11-30"/>
    <n v="6219"/>
    <n v="9.43"/>
    <n v="108.53"/>
    <s v="UF"/>
    <s v="Bono Corporativo"/>
    <s v="Salud"/>
    <s v="A+"/>
    <x v="146"/>
    <s v="Bono Clinica Las Condes"/>
    <n v="2780329223.9000001"/>
    <n v="3.9130873824437826E-6"/>
    <s v=""/>
  </r>
  <r>
    <s v="2017-11-19"/>
    <x v="8"/>
    <s v="BRENT-C"/>
    <s v="RENTAS"/>
    <n v="3329043861"/>
    <n v="116000"/>
    <n v="2.3290000000000002E-2"/>
    <n v="3.2"/>
    <s v="2034-11-15"/>
    <n v="6204"/>
    <n v="9.52"/>
    <n v="107.55"/>
    <s v="UF"/>
    <s v="Bono Corporativo"/>
    <s v="Construccion"/>
    <s v="A"/>
    <x v="147"/>
    <s v="Bono Sociedad de Rentas Comerciales"/>
    <n v="31692497556.719997"/>
    <n v="2.188450402789037E-5"/>
    <s v=""/>
  </r>
  <r>
    <s v="2017-11-19"/>
    <x v="8"/>
    <s v="BCMPC-F"/>
    <s v="CMPC"/>
    <n v="468879534"/>
    <n v="15000"/>
    <n v="3.2799999999999999E-3"/>
    <n v="2.69"/>
    <s v="2030-03-24"/>
    <n v="4507"/>
    <n v="9.9"/>
    <n v="116.43"/>
    <s v="UF"/>
    <s v="Bono Corporativo"/>
    <s v="Materiales Basicos"/>
    <s v="AA"/>
    <x v="65"/>
    <s v="Bono Empresas CMPC S.A."/>
    <n v="4641907386.6000004"/>
    <n v="3.2642842473430381E-6"/>
    <s v=""/>
  </r>
  <r>
    <s v="2017-11-19"/>
    <x v="8"/>
    <s v="BQUIN-C"/>
    <s v="QUINENCO"/>
    <n v="315480714"/>
    <n v="10000"/>
    <n v="2.2070000000000002E-3"/>
    <n v="2.63"/>
    <s v="2032-12-01"/>
    <n v="5490"/>
    <n v="9.94"/>
    <n v="113.87"/>
    <s v="UF"/>
    <s v="Bono Corporativo"/>
    <s v="Diversificados"/>
    <s v="AA"/>
    <x v="17"/>
    <s v="Bono Quinenco"/>
    <n v="3135878297.1599998"/>
    <n v="0"/>
    <s v=""/>
  </r>
  <r>
    <s v="2017-11-19"/>
    <x v="8"/>
    <s v="UBBV-G0506"/>
    <s v="BBBVA"/>
    <n v="668525787"/>
    <n v="20000"/>
    <n v="4.6769999999999997E-3"/>
    <n v="2.72"/>
    <s v="2031-05-01"/>
    <n v="4910"/>
    <n v="10.39"/>
    <n v="125.01"/>
    <s v="UF"/>
    <s v="Bono Corporativo"/>
    <s v="Financieras"/>
    <s v="A+"/>
    <x v="0"/>
    <s v="Bono Banco BBVA"/>
    <n v="6945982926.9300003"/>
    <n v="4.7888122640113877E-6"/>
    <e v="#N/A"/>
  </r>
  <r>
    <s v="2017-11-19"/>
    <x v="8"/>
    <s v="BSECU-L3"/>
    <s v="SECHOLDING"/>
    <n v="1131437075"/>
    <n v="40000"/>
    <n v="7.9150000000000002E-3"/>
    <n v="2.82"/>
    <s v="2035-11-15"/>
    <n v="6569"/>
    <n v="10.46"/>
    <n v="106.01"/>
    <s v="UF"/>
    <s v="Bono Corporativo"/>
    <s v="Diversificados"/>
    <s v="A+"/>
    <x v="149"/>
    <s v="Bono Holding Security"/>
    <n v="11834831804.500002"/>
    <n v="8.1937217037328957E-6"/>
    <s v=""/>
  </r>
  <r>
    <s v="2017-11-19"/>
    <x v="8"/>
    <s v="BNTRA-H"/>
    <s v="NTRANSELEC"/>
    <n v="1147159359"/>
    <n v="35000"/>
    <n v="8.0249999999999991E-3"/>
    <n v="2.86"/>
    <s v="2031-08-01"/>
    <n v="5002"/>
    <n v="10.48"/>
    <n v="121.15"/>
    <s v="UF"/>
    <s v="Bono Corporativo"/>
    <s v="Servicios Basicos"/>
    <s v="AA-"/>
    <x v="68"/>
    <s v="Bono Transelec S.A."/>
    <n v="12022230082.32"/>
    <n v="8.4563757747176695E-6"/>
    <e v="#N/A"/>
  </r>
  <r>
    <s v="2017-11-19"/>
    <x v="8"/>
    <s v="BBANM-J"/>
    <s v="BANMEDICA"/>
    <n v="597200908"/>
    <n v="20000"/>
    <n v="4.1780000000000003E-3"/>
    <n v="2.94"/>
    <s v="2034-04-10"/>
    <n v="5985"/>
    <n v="10.95"/>
    <n v="109.43"/>
    <s v="UF"/>
    <s v="Bono Corporativo"/>
    <s v="Salud"/>
    <s v="AA-"/>
    <x v="24"/>
    <s v="Bono Banmedica"/>
    <n v="6539349942.5999994"/>
    <n v="9.2008368247309257E-6"/>
    <s v=""/>
  </r>
  <r>
    <s v="2017-11-19"/>
    <x v="8"/>
    <s v="UCNO-A1011"/>
    <s v="BBCONSORC"/>
    <n v="1349478661"/>
    <n v="45000"/>
    <n v="9.4409999999999997E-3"/>
    <n v="2.92"/>
    <s v="2031-10-15"/>
    <n v="5077"/>
    <n v="10.99"/>
    <n v="112.01"/>
    <s v="UF"/>
    <s v="Bono Corporativo"/>
    <s v="Financieras"/>
    <s v="A+"/>
    <x v="5"/>
    <s v="Bono Subordinado Banco Consorcio"/>
    <n v="14830770484.389999"/>
    <n v="1.042908934230548E-5"/>
    <s v=""/>
  </r>
  <r>
    <s v="2017-11-19"/>
    <x v="8"/>
    <s v="BCTOR-K"/>
    <s v="CONCHATORO"/>
    <n v="84046597"/>
    <n v="3000"/>
    <n v="5.8699999999999996E-4"/>
    <n v="2.91"/>
    <s v="2038-09-01"/>
    <n v="7590"/>
    <n v="11.23"/>
    <n v="104.3"/>
    <s v="UF"/>
    <s v="Bono Corporativo"/>
    <s v="Consumo"/>
    <s v="AA-"/>
    <x v="20"/>
    <s v="Bono Concha Y Toro"/>
    <n v="943843284.31000006"/>
    <n v="0"/>
    <s v=""/>
  </r>
  <r>
    <s v="2017-11-19"/>
    <x v="8"/>
    <s v="UBBVH90607"/>
    <s v="BBBVA"/>
    <n v="585697076"/>
    <n v="20000"/>
    <n v="4.0969999999999999E-3"/>
    <n v="2.8"/>
    <s v="2032-06-01"/>
    <n v="5307"/>
    <n v="11.51"/>
    <n v="108.04"/>
    <s v="UF"/>
    <s v="Bono Corporativo"/>
    <s v="Financieras"/>
    <s v="A+"/>
    <x v="0"/>
    <s v="Bono Banco BBVA"/>
    <n v="6741373344.7600002"/>
    <n v="4.7364281447508766E-6"/>
    <s v=""/>
  </r>
  <r>
    <s v="2017-11-19"/>
    <x v="8"/>
    <s v="BEMCA-P"/>
    <s v="EM.CAROZZI"/>
    <n v="1238963029"/>
    <n v="43500"/>
    <n v="8.6669999999999994E-3"/>
    <n v="3.21"/>
    <s v="2035-05-15"/>
    <n v="6385"/>
    <n v="11.54"/>
    <n v="106.74"/>
    <s v="UF"/>
    <s v="Bono Corporativo"/>
    <s v="Consumo"/>
    <s v="A"/>
    <x v="80"/>
    <s v="Bono Carozzi"/>
    <n v="14297633354.66"/>
    <n v="9.8799593335415302E-6"/>
    <s v=""/>
  </r>
  <r>
    <s v="2017-11-19"/>
    <x v="8"/>
    <s v="BWATT-L"/>
    <s v="WATTS"/>
    <n v="2319608444"/>
    <n v="76500"/>
    <n v="1.6227999999999999E-2"/>
    <n v="3.04"/>
    <s v="2032-11-15"/>
    <n v="5474"/>
    <n v="11.57"/>
    <n v="113.62"/>
    <s v="UF"/>
    <s v="Bono Corporativo"/>
    <s v="Consumo"/>
    <s v="A"/>
    <x v="151"/>
    <s v="Bono Watts S.A."/>
    <n v="26837869697.080002"/>
    <n v="1.8524366834965722E-5"/>
    <s v=""/>
  </r>
  <r>
    <s v="2017-11-19"/>
    <x v="8"/>
    <s v="USECJ20312"/>
    <s v="BBSECURITY"/>
    <n v="1046831277"/>
    <n v="34500"/>
    <n v="7.3229999999999996E-3"/>
    <n v="2.91"/>
    <s v="2037-03-01"/>
    <n v="7041"/>
    <n v="11.6"/>
    <n v="112.8"/>
    <s v="UF"/>
    <s v="Bono Corporativo"/>
    <s v="Financieras"/>
    <s v="A"/>
    <x v="7"/>
    <s v="Bono Subordinado Banco Security"/>
    <n v="12143242813.199999"/>
    <n v="8.5215573410558788E-6"/>
    <s v=""/>
  </r>
  <r>
    <s v="2017-11-19"/>
    <x v="8"/>
    <s v="UCOR-V0808"/>
    <s v="BBCORPBANC"/>
    <n v="1970107698"/>
    <n v="60000"/>
    <n v="1.3782000000000001E-2"/>
    <n v="2.89"/>
    <s v="2033-08-01"/>
    <n v="5733"/>
    <n v="11.69"/>
    <n v="121.42"/>
    <s v="UF"/>
    <s v="Bono Corporativo"/>
    <s v="Financieras"/>
    <s v="AA-"/>
    <x v="11"/>
    <s v="Bono Subordinado Corpbanca"/>
    <n v="23030558989.619999"/>
    <n v="2.751230435125312E-4"/>
    <s v=""/>
  </r>
  <r>
    <s v="2017-11-19"/>
    <x v="8"/>
    <s v="BSWTR-E"/>
    <s v="SOUTHWATER"/>
    <n v="1731841042"/>
    <n v="53500"/>
    <n v="1.2116E-2"/>
    <n v="3.03"/>
    <s v="2034-09-08"/>
    <n v="6136"/>
    <n v="11.73"/>
    <n v="120.27"/>
    <s v="UF"/>
    <s v="Bono Corporativo"/>
    <s v="Financieras"/>
    <s v="A+"/>
    <x v="153"/>
    <s v="Bono Inversiones Southwater"/>
    <n v="20314495422.66"/>
    <n v="1.4270105783410964E-5"/>
    <s v=""/>
  </r>
  <r>
    <s v="2017-11-19"/>
    <x v="8"/>
    <s v="BSOQU-O"/>
    <s v="SOQUIMICH"/>
    <n v="725325931"/>
    <n v="25000"/>
    <n v="5.0740000000000004E-3"/>
    <n v="3.15"/>
    <s v="2033-02-01"/>
    <n v="5552"/>
    <n v="11.75"/>
    <n v="107.56"/>
    <s v="UF"/>
    <s v="Bono Corporativo"/>
    <s v="Materiales Basicos"/>
    <s v="A+"/>
    <x v="58"/>
    <s v="Bono SQM"/>
    <n v="8522579689.25"/>
    <n v="5.9886301566435623E-6"/>
    <e v="#N/A"/>
  </r>
  <r>
    <s v="2017-11-19"/>
    <x v="8"/>
    <s v="BCOOE20315"/>
    <s v="COOPEUCH"/>
    <n v="578332691"/>
    <n v="20000"/>
    <n v="4.0460000000000001E-3"/>
    <n v="2.85"/>
    <s v="2040-03-01"/>
    <n v="8137"/>
    <n v="11.77"/>
    <n v="107.61"/>
    <s v="UF"/>
    <s v="Bono Corporativo"/>
    <s v="Financieras"/>
    <s v="AA-"/>
    <x v="61"/>
    <s v="Bono Coopeuch"/>
    <n v="6806975773.0699997"/>
    <n v="4.787546228200623E-6"/>
    <s v=""/>
  </r>
  <r>
    <s v="2017-11-19"/>
    <x v="8"/>
    <s v="BRPLC-F"/>
    <s v="RIPLEYCORP"/>
    <n v="1556644578"/>
    <n v="60500"/>
    <n v="1.089E-2"/>
    <n v="3.13"/>
    <s v="2037-10-15"/>
    <n v="7269"/>
    <n v="11.93"/>
    <n v="96.21"/>
    <s v="UF"/>
    <s v="Bono Corporativo"/>
    <s v="Consumo"/>
    <s v="A+"/>
    <x v="97"/>
    <s v="Bono Ripley"/>
    <n v="18570769815.540001"/>
    <n v="0"/>
    <s v=""/>
  </r>
  <r>
    <s v="2017-11-19"/>
    <x v="8"/>
    <s v="BCELE-A"/>
    <s v="CELEO"/>
    <n v="1825523388"/>
    <n v="65000"/>
    <n v="1.2770999999999999E-2"/>
    <n v="3.02"/>
    <s v="2047-06-22"/>
    <n v="10806"/>
    <n v="12.09"/>
    <n v="103.87"/>
    <s v="UF"/>
    <s v="Bono Corporativo"/>
    <s v="Utilities"/>
    <s v="A+"/>
    <x v="154"/>
    <s v="Bono Celeo Chile"/>
    <n v="22070577760.919998"/>
    <n v="0"/>
    <e v="#N/A"/>
  </r>
  <r>
    <s v="2017-11-19"/>
    <x v="8"/>
    <s v="USECJ31013"/>
    <s v="BBSECURITY"/>
    <n v="1179569434"/>
    <n v="39000"/>
    <n v="8.2520000000000007E-3"/>
    <n v="2.99"/>
    <s v="2038-10-01"/>
    <n v="7620"/>
    <n v="12.53"/>
    <n v="112.79"/>
    <s v="UF"/>
    <s v="Bono Corporativo"/>
    <s v="Financieras"/>
    <s v="A"/>
    <x v="7"/>
    <s v="Bono Subordinado Banco Security"/>
    <n v="14780005008.019999"/>
    <n v="0"/>
    <s v=""/>
  </r>
  <r>
    <s v="2017-11-19"/>
    <x v="8"/>
    <s v="UCORBI0710"/>
    <s v="BBCORPBANC"/>
    <n v="618152762"/>
    <n v="20000"/>
    <n v="4.3239999999999997E-3"/>
    <n v="2.97"/>
    <s v="2035-07-01"/>
    <n v="6432"/>
    <n v="13"/>
    <n v="114.12"/>
    <s v="UF"/>
    <s v="Bono Corporativo"/>
    <s v="Financieras"/>
    <s v="AA-"/>
    <x v="11"/>
    <s v="Bono Subordinado Corpbanca"/>
    <n v="8035985906"/>
    <n v="8.4647681459365626E-5"/>
    <s v=""/>
  </r>
  <r>
    <s v="2017-11-19"/>
    <x v="8"/>
    <s v="BSWTR-I"/>
    <s v="SOUTHWATER"/>
    <n v="2069208800"/>
    <n v="65000"/>
    <n v="1.4475999999999999E-2"/>
    <n v="3.14"/>
    <s v="2036-09-08"/>
    <n v="6867"/>
    <n v="13.13"/>
    <n v="118.32"/>
    <s v="UF"/>
    <s v="Bono Corporativo"/>
    <s v="Financieras"/>
    <s v="A+"/>
    <x v="153"/>
    <s v="Bono Inversiones Southwater"/>
    <n v="27168711544"/>
    <n v="0"/>
    <s v=""/>
  </r>
  <r>
    <s v="2017-11-19"/>
    <x v="8"/>
    <s v="UCORBJ0710"/>
    <s v="BBCORPBANC"/>
    <n v="618152303"/>
    <n v="20000"/>
    <n v="4.3239999999999997E-3"/>
    <n v="3.01"/>
    <s v="2036-07-01"/>
    <n v="6798"/>
    <n v="13.52"/>
    <n v="114.12"/>
    <s v="UF"/>
    <s v="Bono Corporativo"/>
    <s v="Financieras"/>
    <s v="AA-"/>
    <x v="11"/>
    <s v="Bono Subordinado Corpbanca"/>
    <n v="8357419136.5599995"/>
    <n v="9.3902644303592287E-5"/>
    <s v=""/>
  </r>
  <r>
    <s v="2017-11-19"/>
    <x v="8"/>
    <s v="BSECU-M"/>
    <s v="SECHOLDING"/>
    <n v="618677124"/>
    <n v="20000"/>
    <n v="4.3280000000000002E-3"/>
    <n v="3.18"/>
    <s v="2041-10-15"/>
    <n v="8730"/>
    <n v="14.98"/>
    <n v="115.52"/>
    <s v="UF"/>
    <s v="Bono Corporativo"/>
    <s v="Diversificados"/>
    <s v="A+"/>
    <x v="149"/>
    <s v="Bono Holding Security"/>
    <n v="9267783317.5200005"/>
    <n v="0"/>
    <s v=""/>
  </r>
  <r>
    <s v="2017-11-19"/>
    <x v="8"/>
    <s v="UCNO-G0414"/>
    <s v="BBCONSORC"/>
    <n v="362590366"/>
    <n v="12000"/>
    <n v="2.5360000000000001E-3"/>
    <n v="3.16"/>
    <s v="2039-04-01"/>
    <n v="7802"/>
    <n v="14.99"/>
    <n v="112.68"/>
    <s v="UF"/>
    <s v="Bono Corporativo"/>
    <s v="Financieras"/>
    <s v="A+"/>
    <x v="5"/>
    <s v="Bono Subordinado Banco Consorcio"/>
    <n v="5435229586.3400002"/>
    <n v="0"/>
    <s v=""/>
  </r>
  <r>
    <s v="2017-11-19"/>
    <x v="8"/>
    <s v="UCNO-K1114"/>
    <s v="BBCONSORC"/>
    <n v="1463676915"/>
    <n v="50000"/>
    <n v="1.0239E-2"/>
    <n v="3.18"/>
    <s v="2039-11-01"/>
    <n v="8016"/>
    <n v="15.45"/>
    <n v="109.55"/>
    <s v="UF"/>
    <s v="Bono Corporativo"/>
    <s v="Financieras"/>
    <s v="A+"/>
    <x v="5"/>
    <s v="Bono Subordinado Banco Consorcio"/>
    <n v="22613808336.75"/>
    <n v="1.5600444703070449E-5"/>
    <s v="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e v="#N/A"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  <r>
    <m/>
    <x v="9"/>
    <m/>
    <m/>
    <m/>
    <m/>
    <m/>
    <m/>
    <m/>
    <m/>
    <m/>
    <m/>
    <m/>
    <m/>
    <m/>
    <m/>
    <x v="16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 dinámica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B5:C45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40">
    <i>
      <x v="12"/>
    </i>
    <i>
      <x v="18"/>
    </i>
    <i>
      <x v="6"/>
    </i>
    <i>
      <x v="104"/>
    </i>
    <i>
      <x v="8"/>
    </i>
    <i>
      <x v="21"/>
    </i>
    <i>
      <x v="81"/>
    </i>
    <i>
      <x v="198"/>
    </i>
    <i>
      <x v="23"/>
    </i>
    <i>
      <x v="14"/>
    </i>
    <i>
      <x v="16"/>
    </i>
    <i>
      <x v="10"/>
    </i>
    <i>
      <x v="195"/>
    </i>
    <i>
      <x v="17"/>
    </i>
    <i>
      <x v="28"/>
    </i>
    <i>
      <x v="32"/>
    </i>
    <i>
      <x v="70"/>
    </i>
    <i>
      <x v="38"/>
    </i>
    <i>
      <x v="56"/>
    </i>
    <i>
      <x v="34"/>
    </i>
    <i>
      <x v="65"/>
    </i>
    <i>
      <x v="24"/>
    </i>
    <i>
      <x v="103"/>
    </i>
    <i>
      <x v="71"/>
    </i>
    <i>
      <x v="101"/>
    </i>
    <i>
      <x v="114"/>
    </i>
    <i>
      <x v="66"/>
    </i>
    <i>
      <x v="20"/>
    </i>
    <i>
      <x v="61"/>
    </i>
    <i>
      <x v="95"/>
    </i>
    <i>
      <x v="92"/>
    </i>
    <i>
      <x v="96"/>
    </i>
    <i>
      <x v="31"/>
    </i>
    <i>
      <x v="132"/>
    </i>
    <i>
      <x v="2"/>
    </i>
    <i>
      <x v="50"/>
    </i>
    <i>
      <x v="131"/>
    </i>
    <i>
      <x v="87"/>
    </i>
    <i>
      <x v="106"/>
    </i>
    <i t="grand">
      <x/>
    </i>
  </rowItems>
  <colItems count="1">
    <i/>
  </colItems>
  <pageFields count="1">
    <pageField fld="1" item="0" hier="-1"/>
  </pageFields>
  <dataFields count="1">
    <dataField name="Suma de porc" fld="6" baseField="32" baseItem="45" numFmtId="168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L5:M157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152">
    <i>
      <x v="198"/>
    </i>
    <i>
      <x v="81"/>
    </i>
    <i>
      <x v="28"/>
    </i>
    <i>
      <x v="14"/>
    </i>
    <i>
      <x v="98"/>
    </i>
    <i>
      <x v="21"/>
    </i>
    <i>
      <x v="41"/>
    </i>
    <i>
      <x v="18"/>
    </i>
    <i>
      <x v="42"/>
    </i>
    <i>
      <x v="70"/>
    </i>
    <i>
      <x v="80"/>
    </i>
    <i>
      <x v="20"/>
    </i>
    <i>
      <x v="85"/>
    </i>
    <i>
      <x v="22"/>
    </i>
    <i>
      <x v="115"/>
    </i>
    <i>
      <x v="110"/>
    </i>
    <i>
      <x v="16"/>
    </i>
    <i>
      <x v="153"/>
    </i>
    <i>
      <x v="66"/>
    </i>
    <i>
      <x v="32"/>
    </i>
    <i>
      <x v="137"/>
    </i>
    <i>
      <x v="30"/>
    </i>
    <i>
      <x v="78"/>
    </i>
    <i>
      <x v="134"/>
    </i>
    <i>
      <x v="163"/>
    </i>
    <i>
      <x v="39"/>
    </i>
    <i>
      <x v="96"/>
    </i>
    <i>
      <x v="8"/>
    </i>
    <i>
      <x v="3"/>
    </i>
    <i>
      <x v="108"/>
    </i>
    <i>
      <x v="65"/>
    </i>
    <i>
      <x v="117"/>
    </i>
    <i>
      <x v="180"/>
    </i>
    <i>
      <x v="121"/>
    </i>
    <i>
      <x v="123"/>
    </i>
    <i>
      <x v="113"/>
    </i>
    <i>
      <x v="17"/>
    </i>
    <i>
      <x v="13"/>
    </i>
    <i>
      <x v="1"/>
    </i>
    <i>
      <x v="29"/>
    </i>
    <i>
      <x v="54"/>
    </i>
    <i>
      <x v="125"/>
    </i>
    <i>
      <x v="51"/>
    </i>
    <i>
      <x v="188"/>
    </i>
    <i>
      <x v="6"/>
    </i>
    <i>
      <x v="55"/>
    </i>
    <i>
      <x v="106"/>
    </i>
    <i>
      <x v="100"/>
    </i>
    <i>
      <x v="167"/>
    </i>
    <i>
      <x v="105"/>
    </i>
    <i>
      <x v="62"/>
    </i>
    <i>
      <x v="73"/>
    </i>
    <i>
      <x v="46"/>
    </i>
    <i>
      <x v="60"/>
    </i>
    <i>
      <x v="69"/>
    </i>
    <i>
      <x v="5"/>
    </i>
    <i>
      <x v="31"/>
    </i>
    <i>
      <x v="177"/>
    </i>
    <i>
      <x v="104"/>
    </i>
    <i>
      <x v="141"/>
    </i>
    <i>
      <x v="111"/>
    </i>
    <i>
      <x v="82"/>
    </i>
    <i>
      <x v="23"/>
    </i>
    <i>
      <x v="190"/>
    </i>
    <i>
      <x v="88"/>
    </i>
    <i>
      <x v="195"/>
    </i>
    <i>
      <x v="136"/>
    </i>
    <i>
      <x v="138"/>
    </i>
    <i>
      <x v="129"/>
    </i>
    <i>
      <x v="199"/>
    </i>
    <i>
      <x v="67"/>
    </i>
    <i>
      <x v="75"/>
    </i>
    <i>
      <x v="127"/>
    </i>
    <i>
      <x v="143"/>
    </i>
    <i>
      <x v="40"/>
    </i>
    <i>
      <x v="175"/>
    </i>
    <i>
      <x v="43"/>
    </i>
    <i>
      <x v="87"/>
    </i>
    <i>
      <x v="174"/>
    </i>
    <i>
      <x v="171"/>
    </i>
    <i>
      <x v="76"/>
    </i>
    <i>
      <x v="77"/>
    </i>
    <i>
      <x v="119"/>
    </i>
    <i>
      <x v="26"/>
    </i>
    <i>
      <x v="193"/>
    </i>
    <i>
      <x v="124"/>
    </i>
    <i>
      <x v="140"/>
    </i>
    <i>
      <x v="185"/>
    </i>
    <i>
      <x v="191"/>
    </i>
    <i>
      <x v="194"/>
    </i>
    <i>
      <x v="184"/>
    </i>
    <i>
      <x v="164"/>
    </i>
    <i>
      <x v="52"/>
    </i>
    <i>
      <x v="176"/>
    </i>
    <i>
      <x v="107"/>
    </i>
    <i>
      <x v="36"/>
    </i>
    <i>
      <x v="189"/>
    </i>
    <i>
      <x v="74"/>
    </i>
    <i>
      <x v="158"/>
    </i>
    <i>
      <x v="37"/>
    </i>
    <i>
      <x v="68"/>
    </i>
    <i>
      <x v="72"/>
    </i>
    <i>
      <x v="149"/>
    </i>
    <i>
      <x v="25"/>
    </i>
    <i>
      <x v="101"/>
    </i>
    <i>
      <x v="83"/>
    </i>
    <i>
      <x v="181"/>
    </i>
    <i>
      <x v="27"/>
    </i>
    <i>
      <x v="142"/>
    </i>
    <i>
      <x v="19"/>
    </i>
    <i>
      <x v="33"/>
    </i>
    <i>
      <x v="183"/>
    </i>
    <i>
      <x v="58"/>
    </i>
    <i>
      <x v="93"/>
    </i>
    <i>
      <x v="182"/>
    </i>
    <i>
      <x v="84"/>
    </i>
    <i>
      <x v="160"/>
    </i>
    <i>
      <x v="148"/>
    </i>
    <i>
      <x v="122"/>
    </i>
    <i>
      <x v="166"/>
    </i>
    <i>
      <x v="170"/>
    </i>
    <i>
      <x v="9"/>
    </i>
    <i>
      <x v="48"/>
    </i>
    <i>
      <x v="103"/>
    </i>
    <i>
      <x v="89"/>
    </i>
    <i>
      <x v="56"/>
    </i>
    <i>
      <x v="165"/>
    </i>
    <i>
      <x v="59"/>
    </i>
    <i>
      <x v="102"/>
    </i>
    <i>
      <x v="197"/>
    </i>
    <i>
      <x v="192"/>
    </i>
    <i>
      <x v="38"/>
    </i>
    <i>
      <x v="196"/>
    </i>
    <i>
      <x v="91"/>
    </i>
    <i>
      <x v="10"/>
    </i>
    <i>
      <x v="12"/>
    </i>
    <i>
      <x v="92"/>
    </i>
    <i>
      <x v="57"/>
    </i>
    <i>
      <x v="53"/>
    </i>
    <i>
      <x v="95"/>
    </i>
    <i>
      <x v="109"/>
    </i>
    <i>
      <x v="63"/>
    </i>
    <i>
      <x v="49"/>
    </i>
    <i>
      <x v="112"/>
    </i>
    <i>
      <x v="45"/>
    </i>
    <i>
      <x v="133"/>
    </i>
    <i>
      <x v="2"/>
    </i>
    <i>
      <x v="61"/>
    </i>
    <i>
      <x v="132"/>
    </i>
    <i>
      <x v="44"/>
    </i>
    <i>
      <x v="94"/>
    </i>
    <i t="grand">
      <x/>
    </i>
  </rowItems>
  <colItems count="1">
    <i/>
  </colItems>
  <pageFields count="1">
    <pageField fld="1" item="2" hier="-1"/>
  </pageFields>
  <dataFields count="1">
    <dataField name="Suma de porc" fld="6" baseField="32" baseItem="45" numFmtId="16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TablaDinámica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Q5:R116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111">
    <i>
      <x v="198"/>
    </i>
    <i>
      <x v="18"/>
    </i>
    <i>
      <x v="32"/>
    </i>
    <i>
      <x v="21"/>
    </i>
    <i>
      <x v="70"/>
    </i>
    <i>
      <x v="28"/>
    </i>
    <i>
      <x v="41"/>
    </i>
    <i>
      <x v="20"/>
    </i>
    <i>
      <x v="22"/>
    </i>
    <i>
      <x v="81"/>
    </i>
    <i>
      <x v="42"/>
    </i>
    <i>
      <x v="14"/>
    </i>
    <i>
      <x v="153"/>
    </i>
    <i>
      <x v="115"/>
    </i>
    <i>
      <x v="17"/>
    </i>
    <i>
      <x v="66"/>
    </i>
    <i>
      <x v="110"/>
    </i>
    <i>
      <x v="98"/>
    </i>
    <i>
      <x v="16"/>
    </i>
    <i>
      <x v="80"/>
    </i>
    <i>
      <x v="30"/>
    </i>
    <i>
      <x v="1"/>
    </i>
    <i>
      <x v="31"/>
    </i>
    <i>
      <x v="39"/>
    </i>
    <i>
      <x v="10"/>
    </i>
    <i>
      <x v="92"/>
    </i>
    <i>
      <x v="55"/>
    </i>
    <i>
      <x v="63"/>
    </i>
    <i>
      <x v="78"/>
    </i>
    <i>
      <x v="12"/>
    </i>
    <i>
      <x v="6"/>
    </i>
    <i>
      <x v="190"/>
    </i>
    <i>
      <x v="23"/>
    </i>
    <i>
      <x v="117"/>
    </i>
    <i>
      <x v="195"/>
    </i>
    <i>
      <x v="8"/>
    </i>
    <i>
      <x v="104"/>
    </i>
    <i>
      <x v="121"/>
    </i>
    <i>
      <x v="53"/>
    </i>
    <i>
      <x v="65"/>
    </i>
    <i>
      <x v="7"/>
    </i>
    <i>
      <x v="13"/>
    </i>
    <i>
      <x v="134"/>
    </i>
    <i>
      <x v="52"/>
    </i>
    <i>
      <x v="69"/>
    </i>
    <i>
      <x v="106"/>
    </i>
    <i>
      <x v="3"/>
    </i>
    <i>
      <x v="101"/>
    </i>
    <i>
      <x v="85"/>
    </i>
    <i>
      <x v="79"/>
    </i>
    <i>
      <x v="108"/>
    </i>
    <i>
      <x v="95"/>
    </i>
    <i>
      <x v="44"/>
    </i>
    <i>
      <x v="96"/>
    </i>
    <i>
      <x v="180"/>
    </i>
    <i>
      <x v="57"/>
    </i>
    <i>
      <x v="109"/>
    </i>
    <i>
      <x v="76"/>
    </i>
    <i>
      <x v="123"/>
    </i>
    <i>
      <x v="113"/>
    </i>
    <i>
      <x v="47"/>
    </i>
    <i>
      <x v="5"/>
    </i>
    <i>
      <x v="29"/>
    </i>
    <i>
      <x v="54"/>
    </i>
    <i>
      <x v="125"/>
    </i>
    <i>
      <x v="103"/>
    </i>
    <i>
      <x v="51"/>
    </i>
    <i>
      <x v="188"/>
    </i>
    <i>
      <x v="45"/>
    </i>
    <i>
      <x v="100"/>
    </i>
    <i>
      <x v="163"/>
    </i>
    <i>
      <x v="167"/>
    </i>
    <i>
      <x v="105"/>
    </i>
    <i>
      <x v="61"/>
    </i>
    <i>
      <x v="73"/>
    </i>
    <i>
      <x v="60"/>
    </i>
    <i>
      <x v="99"/>
    </i>
    <i>
      <x v="133"/>
    </i>
    <i>
      <x v="177"/>
    </i>
    <i>
      <x v="131"/>
    </i>
    <i>
      <x v="111"/>
    </i>
    <i>
      <x v="136"/>
    </i>
    <i>
      <x v="56"/>
    </i>
    <i>
      <x v="33"/>
    </i>
    <i>
      <x v="38"/>
    </i>
    <i>
      <x v="129"/>
    </i>
    <i>
      <x v="87"/>
    </i>
    <i>
      <x v="26"/>
    </i>
    <i>
      <x v="124"/>
    </i>
    <i>
      <x v="191"/>
    </i>
    <i>
      <x v="49"/>
    </i>
    <i>
      <x v="62"/>
    </i>
    <i>
      <x v="90"/>
    </i>
    <i>
      <x v="2"/>
    </i>
    <i>
      <x v="83"/>
    </i>
    <i>
      <x v="27"/>
    </i>
    <i>
      <x v="50"/>
    </i>
    <i>
      <x v="160"/>
    </i>
    <i>
      <x v="84"/>
    </i>
    <i>
      <x v="132"/>
    </i>
    <i>
      <x v="34"/>
    </i>
    <i>
      <x v="24"/>
    </i>
    <i>
      <x v="102"/>
    </i>
    <i>
      <x v="71"/>
    </i>
    <i>
      <x v="114"/>
    </i>
    <i>
      <x v="192"/>
    </i>
    <i>
      <x v="94"/>
    </i>
    <i>
      <x v="112"/>
    </i>
    <i>
      <x v="196"/>
    </i>
    <i>
      <x v="91"/>
    </i>
    <i t="grand">
      <x/>
    </i>
  </rowItems>
  <colItems count="1">
    <i/>
  </colItems>
  <pageFields count="1">
    <pageField fld="1" item="6" hier="-1"/>
  </pageFields>
  <dataFields count="1">
    <dataField name="Suma de porc" fld="6" baseField="32" baseItem="45" numFmtId="168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5000000}" name="TablaDinámica5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A5:AB45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40">
    <i>
      <x v="12"/>
    </i>
    <i>
      <x v="18"/>
    </i>
    <i>
      <x v="6"/>
    </i>
    <i>
      <x v="104"/>
    </i>
    <i>
      <x v="8"/>
    </i>
    <i>
      <x v="21"/>
    </i>
    <i>
      <x v="81"/>
    </i>
    <i>
      <x v="198"/>
    </i>
    <i>
      <x v="23"/>
    </i>
    <i>
      <x v="14"/>
    </i>
    <i>
      <x v="16"/>
    </i>
    <i>
      <x v="10"/>
    </i>
    <i>
      <x v="195"/>
    </i>
    <i>
      <x v="17"/>
    </i>
    <i>
      <x v="28"/>
    </i>
    <i>
      <x v="32"/>
    </i>
    <i>
      <x v="70"/>
    </i>
    <i>
      <x v="38"/>
    </i>
    <i>
      <x v="56"/>
    </i>
    <i>
      <x v="34"/>
    </i>
    <i>
      <x v="65"/>
    </i>
    <i>
      <x v="24"/>
    </i>
    <i>
      <x v="103"/>
    </i>
    <i>
      <x v="71"/>
    </i>
    <i>
      <x v="101"/>
    </i>
    <i>
      <x v="114"/>
    </i>
    <i>
      <x v="66"/>
    </i>
    <i>
      <x v="20"/>
    </i>
    <i>
      <x v="61"/>
    </i>
    <i>
      <x v="95"/>
    </i>
    <i>
      <x v="92"/>
    </i>
    <i>
      <x v="96"/>
    </i>
    <i>
      <x v="31"/>
    </i>
    <i>
      <x v="132"/>
    </i>
    <i>
      <x v="2"/>
    </i>
    <i>
      <x v="50"/>
    </i>
    <i>
      <x v="131"/>
    </i>
    <i>
      <x v="87"/>
    </i>
    <i>
      <x v="106"/>
    </i>
    <i t="grand">
      <x/>
    </i>
  </rowItems>
  <colItems count="1">
    <i/>
  </colItems>
  <pageFields count="1">
    <pageField fld="1" item="0" hier="-1"/>
  </pageFields>
  <dataFields count="1">
    <dataField name="Suma de porc" fld="6" baseField="32" baseItem="45" numFmtId="168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7000000}" name="TablaDinámica7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K5:AL18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13">
    <i>
      <x v="12"/>
    </i>
    <i>
      <x v="23"/>
    </i>
    <i>
      <x v="13"/>
    </i>
    <i>
      <x v="104"/>
    </i>
    <i>
      <x v="17"/>
    </i>
    <i>
      <x v="6"/>
    </i>
    <i>
      <x v="173"/>
    </i>
    <i>
      <x v="8"/>
    </i>
    <i>
      <x v="18"/>
    </i>
    <i>
      <x v="21"/>
    </i>
    <i>
      <x v="10"/>
    </i>
    <i>
      <x v="117"/>
    </i>
    <i t="grand">
      <x/>
    </i>
  </rowItems>
  <colItems count="1">
    <i/>
  </colItems>
  <pageFields count="1">
    <pageField fld="1" item="4" hier="-1"/>
  </pageFields>
  <dataFields count="1">
    <dataField name="Suma de porc" fld="6" baseField="32" baseItem="45" numFmtId="168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G5:H67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62">
    <i>
      <x v="198"/>
    </i>
    <i>
      <x v="81"/>
    </i>
    <i>
      <x v="18"/>
    </i>
    <i>
      <x v="17"/>
    </i>
    <i>
      <x v="10"/>
    </i>
    <i>
      <x v="21"/>
    </i>
    <i>
      <x v="32"/>
    </i>
    <i>
      <x v="28"/>
    </i>
    <i>
      <x v="12"/>
    </i>
    <i>
      <x v="6"/>
    </i>
    <i>
      <x v="70"/>
    </i>
    <i>
      <x v="104"/>
    </i>
    <i>
      <x v="31"/>
    </i>
    <i>
      <x v="8"/>
    </i>
    <i>
      <x v="92"/>
    </i>
    <i>
      <x v="3"/>
    </i>
    <i>
      <x v="117"/>
    </i>
    <i>
      <x v="1"/>
    </i>
    <i>
      <x v="20"/>
    </i>
    <i>
      <x v="41"/>
    </i>
    <i>
      <x v="121"/>
    </i>
    <i>
      <x v="42"/>
    </i>
    <i>
      <x v="106"/>
    </i>
    <i>
      <x v="39"/>
    </i>
    <i>
      <x v="78"/>
    </i>
    <i>
      <x v="16"/>
    </i>
    <i>
      <x v="53"/>
    </i>
    <i>
      <x v="30"/>
    </i>
    <i>
      <x v="101"/>
    </i>
    <i>
      <x v="66"/>
    </i>
    <i>
      <x v="14"/>
    </i>
    <i>
      <x v="13"/>
    </i>
    <i>
      <x v="55"/>
    </i>
    <i>
      <x v="69"/>
    </i>
    <i>
      <x v="23"/>
    </i>
    <i>
      <x v="57"/>
    </i>
    <i>
      <x v="96"/>
    </i>
    <i>
      <x v="95"/>
    </i>
    <i>
      <x v="109"/>
    </i>
    <i>
      <x v="76"/>
    </i>
    <i>
      <x v="153"/>
    </i>
    <i>
      <x v="195"/>
    </i>
    <i>
      <x v="52"/>
    </i>
    <i>
      <x v="45"/>
    </i>
    <i>
      <x v="103"/>
    </i>
    <i>
      <x v="190"/>
    </i>
    <i>
      <x v="5"/>
    </i>
    <i>
      <x v="134"/>
    </i>
    <i>
      <x v="22"/>
    </i>
    <i>
      <x v="115"/>
    </i>
    <i>
      <x v="63"/>
    </i>
    <i>
      <x v="44"/>
    </i>
    <i>
      <x v="133"/>
    </i>
    <i>
      <x v="61"/>
    </i>
    <i>
      <x v="49"/>
    </i>
    <i>
      <x v="2"/>
    </i>
    <i>
      <x v="38"/>
    </i>
    <i>
      <x v="33"/>
    </i>
    <i>
      <x v="132"/>
    </i>
    <i>
      <x v="94"/>
    </i>
    <i>
      <x v="112"/>
    </i>
    <i t="grand">
      <x/>
    </i>
  </rowItems>
  <colItems count="1">
    <i/>
  </colItems>
  <pageFields count="1">
    <pageField fld="1" item="1" hier="-1"/>
  </pageFields>
  <dataFields count="1">
    <dataField name="Suma de porc" fld="6" baseField="32" baseItem="45" numFmtId="168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6000000}" name="TablaDinámica6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F5:AG24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19">
    <i>
      <x v="12"/>
    </i>
    <i>
      <x v="104"/>
    </i>
    <i>
      <x v="81"/>
    </i>
    <i>
      <x v="17"/>
    </i>
    <i>
      <x v="21"/>
    </i>
    <i>
      <x v="23"/>
    </i>
    <i>
      <x v="6"/>
    </i>
    <i>
      <x v="18"/>
    </i>
    <i>
      <x v="16"/>
    </i>
    <i>
      <x v="10"/>
    </i>
    <i>
      <x v="14"/>
    </i>
    <i>
      <x v="173"/>
    </i>
    <i>
      <x v="8"/>
    </i>
    <i>
      <x v="195"/>
    </i>
    <i>
      <x v="150"/>
    </i>
    <i>
      <x v="7"/>
    </i>
    <i>
      <x v="117"/>
    </i>
    <i>
      <x v="13"/>
    </i>
    <i t="grand">
      <x/>
    </i>
  </rowItems>
  <colItems count="1">
    <i/>
  </colItems>
  <pageFields count="1">
    <pageField fld="1" item="3" hier="-1"/>
  </pageFields>
  <dataFields count="1">
    <dataField name="Suma de porc" fld="6" baseField="32" baseItem="45" numFmtId="168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4000000}" name="TablaDinámica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V5:W16" firstHeaderRow="1" firstDataRow="1" firstDataCol="1" rowPageCount="1" colPageCount="1"/>
  <pivotFields count="21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 defaultSubtota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axis="axisRow" showAll="0" sortType="descending" defaultSubtotal="0">
      <items count="201">
        <item m="1" x="179"/>
        <item x="67"/>
        <item x="21"/>
        <item x="55"/>
        <item m="1" x="167"/>
        <item x="46"/>
        <item x="0"/>
        <item x="157"/>
        <item x="5"/>
        <item x="79"/>
        <item x="16"/>
        <item m="1" x="170"/>
        <item x="3"/>
        <item x="44"/>
        <item x="12"/>
        <item m="1" x="200"/>
        <item x="1"/>
        <item x="10"/>
        <item x="7"/>
        <item x="91"/>
        <item x="24"/>
        <item x="9"/>
        <item x="39"/>
        <item x="2"/>
        <item x="13"/>
        <item x="131"/>
        <item x="70"/>
        <item x="78"/>
        <item x="18"/>
        <item x="75"/>
        <item x="47"/>
        <item x="30"/>
        <item x="14"/>
        <item x="63"/>
        <item x="28"/>
        <item m="1" x="169"/>
        <item x="142"/>
        <item x="134"/>
        <item x="20"/>
        <item x="51"/>
        <item x="108"/>
        <item x="61"/>
        <item x="60"/>
        <item x="93"/>
        <item x="40"/>
        <item x="56"/>
        <item x="83"/>
        <item x="161"/>
        <item x="133"/>
        <item x="62"/>
        <item x="25"/>
        <item x="80"/>
        <item x="65"/>
        <item x="50"/>
        <item x="95"/>
        <item x="59"/>
        <item x="23"/>
        <item x="57"/>
        <item x="135"/>
        <item x="119"/>
        <item x="90"/>
        <item x="36"/>
        <item x="118"/>
        <item x="53"/>
        <item m="1" x="198"/>
        <item x="29"/>
        <item x="38"/>
        <item x="152"/>
        <item x="117"/>
        <item x="48"/>
        <item x="33"/>
        <item x="31"/>
        <item x="107"/>
        <item x="99"/>
        <item x="138"/>
        <item x="86"/>
        <item x="69"/>
        <item x="124"/>
        <item x="64"/>
        <item x="164"/>
        <item x="153"/>
        <item x="11"/>
        <item x="125"/>
        <item x="71"/>
        <item x="146"/>
        <item x="87"/>
        <item m="1" x="183"/>
        <item x="37"/>
        <item x="85"/>
        <item x="145"/>
        <item x="162"/>
        <item x="143"/>
        <item x="34"/>
        <item x="92"/>
        <item x="43"/>
        <item x="15"/>
        <item x="17"/>
        <item m="1" x="186"/>
        <item x="97"/>
        <item x="163"/>
        <item x="82"/>
        <item x="32"/>
        <item x="121"/>
        <item x="22"/>
        <item x="8"/>
        <item x="149"/>
        <item x="19"/>
        <item x="128"/>
        <item x="84"/>
        <item x="52"/>
        <item x="115"/>
        <item x="96"/>
        <item x="42"/>
        <item x="147"/>
        <item x="4"/>
        <item x="41"/>
        <item m="1" x="189"/>
        <item x="45"/>
        <item m="1" x="175"/>
        <item x="98"/>
        <item m="1" x="190"/>
        <item x="68"/>
        <item x="104"/>
        <item x="89"/>
        <item x="109"/>
        <item x="151"/>
        <item x="165"/>
        <item x="120"/>
        <item m="1" x="196"/>
        <item x="94"/>
        <item m="1" x="192"/>
        <item x="27"/>
        <item x="26"/>
        <item x="54"/>
        <item x="66"/>
        <item m="1" x="194"/>
        <item x="73"/>
        <item x="110"/>
        <item x="100"/>
        <item m="1" x="187"/>
        <item x="113"/>
        <item x="126"/>
        <item x="129"/>
        <item x="130"/>
        <item m="1" x="193"/>
        <item m="1" x="181"/>
        <item m="1" x="180"/>
        <item m="1" x="191"/>
        <item x="132"/>
        <item x="148"/>
        <item x="159"/>
        <item m="1" x="172"/>
        <item m="1" x="182"/>
        <item x="58"/>
        <item m="1" x="166"/>
        <item m="1" x="178"/>
        <item m="1" x="195"/>
        <item m="1" x="174"/>
        <item x="136"/>
        <item m="1" x="171"/>
        <item x="74"/>
        <item m="1" x="184"/>
        <item m="1" x="197"/>
        <item x="154"/>
        <item x="103"/>
        <item x="144"/>
        <item x="111"/>
        <item x="114"/>
        <item m="1" x="188"/>
        <item m="1" x="173"/>
        <item x="155"/>
        <item x="112"/>
        <item m="1" x="199"/>
        <item x="158"/>
        <item x="122"/>
        <item x="137"/>
        <item x="139"/>
        <item x="101"/>
        <item m="1" x="185"/>
        <item m="1" x="168"/>
        <item x="81"/>
        <item x="127"/>
        <item x="123"/>
        <item x="102"/>
        <item x="140"/>
        <item x="150"/>
        <item m="1" x="176"/>
        <item m="1" x="177"/>
        <item x="116"/>
        <item x="106"/>
        <item x="49"/>
        <item x="72"/>
        <item x="76"/>
        <item x="141"/>
        <item x="156"/>
        <item x="6"/>
        <item x="77"/>
        <item x="105"/>
        <item x="35"/>
        <item x="88"/>
        <item x="16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</pivotFields>
  <rowFields count="1">
    <field x="16"/>
  </rowFields>
  <rowItems count="11">
    <i>
      <x v="198"/>
    </i>
    <i>
      <x v="7"/>
    </i>
    <i>
      <x v="16"/>
    </i>
    <i>
      <x v="21"/>
    </i>
    <i>
      <x v="6"/>
    </i>
    <i>
      <x v="14"/>
    </i>
    <i>
      <x v="13"/>
    </i>
    <i>
      <x v="17"/>
    </i>
    <i>
      <x v="23"/>
    </i>
    <i>
      <x v="8"/>
    </i>
    <i t="grand">
      <x/>
    </i>
  </rowItems>
  <colItems count="1">
    <i/>
  </colItems>
  <pageFields count="1">
    <pageField fld="1" item="5" hier="-1"/>
  </pageFields>
  <dataFields count="1">
    <dataField name="Suma de porc" fld="6" baseField="32" baseItem="45" numFmtId="168"/>
  </dataFields>
  <formats count="7">
    <format dxfId="13">
      <pivotArea outline="0" collapsedLevelsAreSubtotals="1" fieldPosition="0"/>
    </format>
    <format dxfId="12">
      <pivotArea collapsedLevelsAreSubtotals="1" fieldPosition="0">
        <references count="1">
          <reference field="16" count="1">
            <x v="16"/>
          </reference>
        </references>
      </pivotArea>
    </format>
    <format dxfId="11">
      <pivotArea collapsedLevelsAreSubtotals="1" fieldPosition="0">
        <references count="1">
          <reference field="16" count="1">
            <x v="16"/>
          </reference>
        </references>
      </pivotArea>
    </format>
    <format dxfId="10">
      <pivotArea collapsedLevelsAreSubtotals="1" fieldPosition="0">
        <references count="1">
          <reference field="16" count="1">
            <x v="16"/>
          </reference>
        </references>
      </pivotArea>
    </format>
    <format dxfId="9">
      <pivotArea collapsedLevelsAreSubtotals="1" fieldPosition="0">
        <references count="1">
          <reference field="16" count="1">
            <x v="16"/>
          </reference>
        </references>
      </pivotArea>
    </format>
    <format dxfId="8">
      <pivotArea collapsedLevelsAreSubtotals="1" fieldPosition="0">
        <references count="1">
          <reference field="16" count="1">
            <x v="16"/>
          </reference>
        </references>
      </pivotArea>
    </format>
    <format dxfId="7">
      <pivotArea collapsedLevelsAreSubtotals="1" fieldPosition="0">
        <references count="1">
          <reference field="16" count="1">
            <x v="1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dicadoresdiarios_1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Credicorp Capital">
  <a:themeElements>
    <a:clrScheme name="Credicorp Capital - Excel">
      <a:dk1>
        <a:sysClr val="windowText" lastClr="000000"/>
      </a:dk1>
      <a:lt1>
        <a:sysClr val="window" lastClr="FFFFFF"/>
      </a:lt1>
      <a:dk2>
        <a:srgbClr val="597B7C"/>
      </a:dk2>
      <a:lt2>
        <a:srgbClr val="E87D1E"/>
      </a:lt2>
      <a:accent1>
        <a:srgbClr val="9BB0B0"/>
      </a:accent1>
      <a:accent2>
        <a:srgbClr val="EDBE86"/>
      </a:accent2>
      <a:accent3>
        <a:srgbClr val="C3D0D0"/>
      </a:accent3>
      <a:accent4>
        <a:srgbClr val="597B7C"/>
      </a:accent4>
      <a:accent5>
        <a:srgbClr val="CD6E19"/>
      </a:accent5>
      <a:accent6>
        <a:srgbClr val="8D5615"/>
      </a:accent6>
      <a:hlink>
        <a:srgbClr val="B09585"/>
      </a:hlink>
      <a:folHlink>
        <a:srgbClr val="E84F03"/>
      </a:folHlink>
    </a:clrScheme>
    <a:fontScheme name="Credicorp Capital - Excel">
      <a:majorFont>
        <a:latin typeface="Arial Narrow"/>
        <a:ea typeface=""/>
        <a:cs typeface=""/>
      </a:majorFont>
      <a:minorFont>
        <a:latin typeface="Arial"/>
        <a:ea typeface=""/>
        <a:cs typeface=""/>
      </a:minorFont>
    </a:fontScheme>
    <a:fmtScheme name="Concurrencia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55000" cap="flat" cmpd="thickThin" algn="ctr">
          <a:solidFill>
            <a:schemeClr val="phClr"/>
          </a:solidFill>
          <a:prstDash val="solid"/>
        </a:ln>
        <a:ln w="63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vmlDrawing" Target="../drawings/vmlDrawing4.v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B1:K13"/>
  <sheetViews>
    <sheetView workbookViewId="0">
      <selection activeCell="F8" sqref="F8:K17"/>
    </sheetView>
  </sheetViews>
  <sheetFormatPr baseColWidth="10" defaultRowHeight="14.25"/>
  <cols>
    <col min="1" max="1" width="11" customWidth="1"/>
    <col min="2" max="2" width="12.25" bestFit="1" customWidth="1"/>
    <col min="4" max="4" width="12.25" bestFit="1" customWidth="1"/>
    <col min="10" max="10" width="12.25" bestFit="1" customWidth="1"/>
  </cols>
  <sheetData>
    <row r="1" spans="2:11">
      <c r="C1" s="149"/>
    </row>
    <row r="2" spans="2:11">
      <c r="B2" s="170"/>
      <c r="C2" s="149"/>
    </row>
    <row r="3" spans="2:11">
      <c r="B3" s="171"/>
      <c r="C3" s="149"/>
    </row>
    <row r="4" spans="2:11">
      <c r="B4" s="170"/>
      <c r="C4" s="149"/>
    </row>
    <row r="5" spans="2:11" ht="15">
      <c r="B5" s="172"/>
    </row>
    <row r="6" spans="2:11">
      <c r="D6" s="149"/>
    </row>
    <row r="7" spans="2:11">
      <c r="F7" s="149" t="s">
        <v>1178</v>
      </c>
      <c r="I7" t="s">
        <v>1176</v>
      </c>
    </row>
    <row r="8" spans="2:11">
      <c r="B8" t="s">
        <v>1170</v>
      </c>
      <c r="C8">
        <f t="shared" ref="C8:C13" si="0">+IF(ISERR(VLOOKUP(B8,$J$8:$K$17,2,0)),0,VLOOKUP(B8,$J$8:$K$17,2,0))</f>
        <v>368919951</v>
      </c>
      <c r="D8">
        <f t="shared" ref="D8:D13" si="1">+IF(ISERR(VLOOKUP(B8,$G$8:$H$17,2,0)),0,VLOOKUP(B8,$G$8:$H$17,2,0))</f>
        <v>304709</v>
      </c>
      <c r="F8" t="s">
        <v>412</v>
      </c>
      <c r="G8" t="s">
        <v>1170</v>
      </c>
      <c r="H8">
        <v>304709</v>
      </c>
      <c r="I8" t="s">
        <v>1541</v>
      </c>
      <c r="J8" t="s">
        <v>1170</v>
      </c>
      <c r="K8">
        <v>368919951</v>
      </c>
    </row>
    <row r="9" spans="2:11">
      <c r="B9" t="s">
        <v>1171</v>
      </c>
      <c r="C9" s="149" t="e">
        <f t="shared" si="0"/>
        <v>#N/A</v>
      </c>
      <c r="D9" s="149">
        <f t="shared" si="1"/>
        <v>200000</v>
      </c>
      <c r="F9" t="s">
        <v>412</v>
      </c>
      <c r="G9" t="s">
        <v>1171</v>
      </c>
      <c r="H9">
        <v>200000</v>
      </c>
      <c r="I9" t="s">
        <v>1541</v>
      </c>
      <c r="J9" t="s">
        <v>1172</v>
      </c>
      <c r="K9">
        <v>4587272914</v>
      </c>
    </row>
    <row r="10" spans="2:11">
      <c r="B10" s="149" t="s">
        <v>1172</v>
      </c>
      <c r="C10" s="149">
        <f t="shared" si="0"/>
        <v>4587272914</v>
      </c>
      <c r="D10" s="149">
        <f t="shared" si="1"/>
        <v>9317333813</v>
      </c>
      <c r="F10" t="s">
        <v>412</v>
      </c>
      <c r="G10" t="s">
        <v>1172</v>
      </c>
      <c r="H10">
        <v>9317333813</v>
      </c>
      <c r="I10" t="s">
        <v>1541</v>
      </c>
      <c r="J10" t="s">
        <v>1173</v>
      </c>
      <c r="K10">
        <v>115227.7</v>
      </c>
    </row>
    <row r="11" spans="2:11">
      <c r="B11" s="149" t="s">
        <v>1173</v>
      </c>
      <c r="C11" s="149">
        <f t="shared" si="0"/>
        <v>115227.7</v>
      </c>
      <c r="D11" s="149">
        <f t="shared" si="1"/>
        <v>9765.33</v>
      </c>
      <c r="F11" t="s">
        <v>412</v>
      </c>
      <c r="G11" t="s">
        <v>1173</v>
      </c>
      <c r="H11">
        <v>9765.33</v>
      </c>
      <c r="I11" t="s">
        <v>1541</v>
      </c>
      <c r="J11" t="s">
        <v>1174</v>
      </c>
      <c r="K11">
        <v>71566152</v>
      </c>
    </row>
    <row r="12" spans="2:11">
      <c r="B12" s="149" t="s">
        <v>1174</v>
      </c>
      <c r="C12" s="149">
        <f t="shared" si="0"/>
        <v>71566152</v>
      </c>
      <c r="D12" s="149">
        <f t="shared" si="1"/>
        <v>935674492</v>
      </c>
      <c r="F12" t="s">
        <v>412</v>
      </c>
      <c r="G12" t="s">
        <v>1175</v>
      </c>
      <c r="H12">
        <v>500000000</v>
      </c>
    </row>
    <row r="13" spans="2:11">
      <c r="B13" t="s">
        <v>1175</v>
      </c>
      <c r="C13" s="149" t="e">
        <f t="shared" si="0"/>
        <v>#N/A</v>
      </c>
      <c r="D13" s="149">
        <f t="shared" si="1"/>
        <v>500000000</v>
      </c>
      <c r="F13" t="s">
        <v>412</v>
      </c>
      <c r="G13" t="s">
        <v>1174</v>
      </c>
      <c r="H13">
        <v>935674492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 filterMode="1">
    <tabColor theme="2"/>
  </sheetPr>
  <dimension ref="A1:V1815"/>
  <sheetViews>
    <sheetView tabSelected="1" topLeftCell="A550" zoomScale="85" zoomScaleNormal="85" workbookViewId="0">
      <selection activeCell="O564" sqref="O563:O564"/>
    </sheetView>
  </sheetViews>
  <sheetFormatPr baseColWidth="10" defaultRowHeight="14.25"/>
  <cols>
    <col min="1" max="1" width="10.5" style="316" customWidth="1"/>
    <col min="2" max="2" width="13.375" style="316" customWidth="1"/>
    <col min="3" max="3" width="14.25" style="316" customWidth="1"/>
    <col min="4" max="4" width="13.75" style="316" customWidth="1"/>
    <col min="5" max="5" width="19.25" style="316" customWidth="1"/>
    <col min="6" max="6" width="23.875" style="316" customWidth="1"/>
    <col min="7" max="7" width="11" style="316" customWidth="1"/>
    <col min="8" max="8" width="8" style="370" customWidth="1"/>
    <col min="9" max="10" width="11" style="316" customWidth="1"/>
    <col min="11" max="11" width="11.25" style="316" customWidth="1"/>
    <col min="12" max="13" width="11" style="316" customWidth="1"/>
    <col min="14" max="14" width="17.875" style="316" customWidth="1"/>
    <col min="15" max="15" width="18.75" style="316" customWidth="1"/>
    <col min="16" max="16" width="11" style="316" customWidth="1"/>
    <col min="17" max="17" width="41.375" style="316" customWidth="1"/>
    <col min="18" max="18" width="45" style="316" customWidth="1"/>
    <col min="19" max="19" width="12.25" style="316" customWidth="1"/>
    <col min="20" max="20" width="12.75" style="367" customWidth="1"/>
    <col min="21" max="21" width="12.375" style="316" bestFit="1" customWidth="1"/>
    <col min="22" max="16384" width="11" style="316"/>
  </cols>
  <sheetData>
    <row r="1" spans="1:22" s="309" customFormat="1" ht="16.5" thickTop="1" thickBot="1">
      <c r="A1" s="302" t="s">
        <v>0</v>
      </c>
      <c r="B1" s="303" t="s">
        <v>232</v>
      </c>
      <c r="C1" s="303" t="s">
        <v>315</v>
      </c>
      <c r="D1" s="303" t="s">
        <v>162</v>
      </c>
      <c r="E1" s="304" t="s">
        <v>316</v>
      </c>
      <c r="F1" s="304" t="s">
        <v>317</v>
      </c>
      <c r="G1" s="305" t="s">
        <v>1</v>
      </c>
      <c r="H1" s="306" t="s">
        <v>319</v>
      </c>
      <c r="I1" s="303" t="s">
        <v>320</v>
      </c>
      <c r="J1" s="303" t="s">
        <v>321</v>
      </c>
      <c r="K1" s="303" t="s">
        <v>322</v>
      </c>
      <c r="L1" s="303" t="s">
        <v>2</v>
      </c>
      <c r="M1" s="303" t="s">
        <v>106</v>
      </c>
      <c r="N1" s="303" t="s">
        <v>365</v>
      </c>
      <c r="O1" s="303" t="s">
        <v>323</v>
      </c>
      <c r="P1" s="303" t="s">
        <v>3</v>
      </c>
      <c r="Q1" s="303" t="s">
        <v>366</v>
      </c>
      <c r="R1" s="303" t="s">
        <v>367</v>
      </c>
      <c r="S1" s="303">
        <f t="shared" ref="S1" si="0">+IFERROR(E1*K1,0)</f>
        <v>0</v>
      </c>
      <c r="T1" s="307" t="s">
        <v>1589</v>
      </c>
      <c r="U1" s="308" t="s">
        <v>1300</v>
      </c>
    </row>
    <row r="2" spans="1:22" ht="15.75" hidden="1" customHeight="1" thickTop="1" thickBot="1">
      <c r="A2" s="310" t="s">
        <v>2137</v>
      </c>
      <c r="B2" s="311" t="s">
        <v>260</v>
      </c>
      <c r="C2" s="311" t="s">
        <v>22</v>
      </c>
      <c r="D2" s="311" t="s">
        <v>54</v>
      </c>
      <c r="E2" s="312">
        <v>299916024</v>
      </c>
      <c r="F2" s="313">
        <v>300000000</v>
      </c>
      <c r="G2" s="314">
        <v>1.4305999999999999E-2</v>
      </c>
      <c r="H2" s="315">
        <v>2.52</v>
      </c>
      <c r="I2" s="311" t="s">
        <v>1916</v>
      </c>
      <c r="J2" s="311">
        <v>3</v>
      </c>
      <c r="K2" s="311">
        <v>0.01</v>
      </c>
      <c r="L2" s="311">
        <v>99.972008000000002</v>
      </c>
      <c r="M2" s="311" t="s">
        <v>9</v>
      </c>
      <c r="N2" s="311" t="s">
        <v>374</v>
      </c>
      <c r="O2" s="311" t="s">
        <v>8</v>
      </c>
      <c r="P2" s="311" t="s">
        <v>375</v>
      </c>
      <c r="Q2" s="311" t="s">
        <v>390</v>
      </c>
      <c r="R2" s="311" t="s">
        <v>391</v>
      </c>
      <c r="S2" s="303">
        <f>+IFERROR(E2*K2,0)</f>
        <v>2999160.24</v>
      </c>
      <c r="T2" s="307">
        <f>+IFERROR(VLOOKUP(C2,'Tasas Diarias'!$B:$F,5,FALSE)*G2,0)</f>
        <v>0</v>
      </c>
      <c r="U2" s="311" t="str">
        <f>+VLOOKUP(C2,Spreads!$A$2:$G$345,7,0)</f>
        <v/>
      </c>
    </row>
    <row r="3" spans="1:22" ht="15" hidden="1" customHeight="1" thickTop="1" thickBot="1">
      <c r="A3" s="317" t="s">
        <v>2137</v>
      </c>
      <c r="B3" s="318" t="s">
        <v>260</v>
      </c>
      <c r="C3" s="318" t="s">
        <v>22</v>
      </c>
      <c r="D3" s="318" t="s">
        <v>174</v>
      </c>
      <c r="E3" s="319">
        <v>29989504</v>
      </c>
      <c r="F3" s="319">
        <v>30000000</v>
      </c>
      <c r="G3" s="314">
        <v>1.4300000000000001E-3</v>
      </c>
      <c r="H3" s="320">
        <v>2.52</v>
      </c>
      <c r="I3" s="318" t="s">
        <v>1414</v>
      </c>
      <c r="J3" s="318">
        <v>4</v>
      </c>
      <c r="K3" s="318">
        <v>0.01</v>
      </c>
      <c r="L3" s="318">
        <v>99.965012999999999</v>
      </c>
      <c r="M3" s="318" t="s">
        <v>9</v>
      </c>
      <c r="N3" s="318" t="s">
        <v>374</v>
      </c>
      <c r="O3" s="318" t="s">
        <v>8</v>
      </c>
      <c r="P3" s="318" t="s">
        <v>375</v>
      </c>
      <c r="Q3" s="318" t="s">
        <v>60</v>
      </c>
      <c r="R3" s="318" t="s">
        <v>408</v>
      </c>
      <c r="S3" s="303">
        <f t="shared" ref="S3:S66" si="1">+IFERROR(E3*K3,0)</f>
        <v>299895.03999999998</v>
      </c>
      <c r="T3" s="307">
        <f>+IFERROR(VLOOKUP(C3,'Tasas Diarias'!$B:$F,5,FALSE)*G3,0)</f>
        <v>0</v>
      </c>
      <c r="U3" s="311" t="str">
        <f>+VLOOKUP(C3,Spreads!$A$2:$G$345,7,0)</f>
        <v/>
      </c>
    </row>
    <row r="4" spans="1:22" ht="15" hidden="1" customHeight="1" thickTop="1" thickBot="1">
      <c r="A4" s="321" t="s">
        <v>2137</v>
      </c>
      <c r="B4" s="322" t="s">
        <v>260</v>
      </c>
      <c r="C4" s="322" t="s">
        <v>22</v>
      </c>
      <c r="D4" s="322" t="s">
        <v>70</v>
      </c>
      <c r="E4" s="323">
        <v>219846108</v>
      </c>
      <c r="F4" s="323">
        <v>220000000</v>
      </c>
      <c r="G4" s="314">
        <v>1.0487E-2</v>
      </c>
      <c r="H4" s="324">
        <v>2.52</v>
      </c>
      <c r="I4" s="322" t="s">
        <v>1552</v>
      </c>
      <c r="J4" s="322">
        <v>9</v>
      </c>
      <c r="K4" s="322">
        <v>0.03</v>
      </c>
      <c r="L4" s="322">
        <v>99.930048999999997</v>
      </c>
      <c r="M4" s="322" t="s">
        <v>9</v>
      </c>
      <c r="N4" s="322" t="s">
        <v>374</v>
      </c>
      <c r="O4" s="322" t="s">
        <v>8</v>
      </c>
      <c r="P4" s="322" t="s">
        <v>375</v>
      </c>
      <c r="Q4" s="322" t="s">
        <v>70</v>
      </c>
      <c r="R4" s="322" t="s">
        <v>383</v>
      </c>
      <c r="S4" s="303">
        <f t="shared" si="1"/>
        <v>6595383.2399999993</v>
      </c>
      <c r="T4" s="307">
        <f>+IFERROR(VLOOKUP(C4,'Tasas Diarias'!$B:$F,5,FALSE)*G4,0)</f>
        <v>0</v>
      </c>
      <c r="U4" s="311" t="str">
        <f>+VLOOKUP(C4,Spreads!$A$2:$G$345,7,0)</f>
        <v/>
      </c>
    </row>
    <row r="5" spans="1:22" ht="15" hidden="1" customHeight="1" thickTop="1" thickBot="1">
      <c r="A5" s="321" t="s">
        <v>2137</v>
      </c>
      <c r="B5" s="322" t="s">
        <v>260</v>
      </c>
      <c r="C5" s="322" t="s">
        <v>1255</v>
      </c>
      <c r="D5" s="322" t="s">
        <v>294</v>
      </c>
      <c r="E5" s="323">
        <v>68005230</v>
      </c>
      <c r="F5" s="323">
        <v>2500</v>
      </c>
      <c r="G5" s="314">
        <v>3.2439999999999999E-3</v>
      </c>
      <c r="H5" s="324">
        <v>-0.08</v>
      </c>
      <c r="I5" s="322" t="s">
        <v>818</v>
      </c>
      <c r="J5" s="322">
        <v>11</v>
      </c>
      <c r="K5" s="322">
        <v>0.03</v>
      </c>
      <c r="L5" s="322">
        <v>100.12</v>
      </c>
      <c r="M5" s="322" t="s">
        <v>6</v>
      </c>
      <c r="N5" s="322" t="s">
        <v>368</v>
      </c>
      <c r="O5" s="322" t="s">
        <v>8</v>
      </c>
      <c r="P5" s="322" t="s">
        <v>379</v>
      </c>
      <c r="Q5" s="322" t="s">
        <v>74</v>
      </c>
      <c r="R5" s="322" t="s">
        <v>407</v>
      </c>
      <c r="S5" s="303">
        <f t="shared" si="1"/>
        <v>2040156.9</v>
      </c>
      <c r="T5" s="307">
        <f>+IFERROR(VLOOKUP(C5,'Tasas Diarias'!$B:$F,5,FALSE)*G5,0)</f>
        <v>0</v>
      </c>
      <c r="U5" s="311" t="str">
        <f ca="1">+VLOOKUP(C5,Spreads!$A$2:$G$345,7,0)</f>
        <v/>
      </c>
    </row>
    <row r="6" spans="1:22" ht="15" hidden="1" customHeight="1" thickTop="1" thickBot="1">
      <c r="A6" s="317" t="s">
        <v>2137</v>
      </c>
      <c r="B6" s="318" t="s">
        <v>260</v>
      </c>
      <c r="C6" s="318" t="s">
        <v>533</v>
      </c>
      <c r="D6" s="318" t="s">
        <v>534</v>
      </c>
      <c r="E6" s="319">
        <v>149090863</v>
      </c>
      <c r="F6" s="319">
        <v>5500</v>
      </c>
      <c r="G6" s="314">
        <v>7.1120000000000003E-3</v>
      </c>
      <c r="H6" s="320">
        <v>1.5</v>
      </c>
      <c r="I6" s="318" t="s">
        <v>535</v>
      </c>
      <c r="J6" s="318">
        <v>13</v>
      </c>
      <c r="K6" s="318">
        <v>0.04</v>
      </c>
      <c r="L6" s="318">
        <v>100.06</v>
      </c>
      <c r="M6" s="318" t="s">
        <v>6</v>
      </c>
      <c r="N6" s="318" t="s">
        <v>368</v>
      </c>
      <c r="O6" s="318" t="s">
        <v>429</v>
      </c>
      <c r="P6" s="318" t="s">
        <v>7</v>
      </c>
      <c r="Q6" s="318" t="s">
        <v>536</v>
      </c>
      <c r="R6" s="318" t="s">
        <v>537</v>
      </c>
      <c r="S6" s="303">
        <f t="shared" si="1"/>
        <v>5963634.5200000005</v>
      </c>
      <c r="T6" s="307">
        <f>+IFERROR(VLOOKUP(C6,'Tasas Diarias'!$B:$F,5,FALSE)*G6,0)</f>
        <v>-5.631145205479461E-6</v>
      </c>
      <c r="U6" s="311" t="str">
        <f ca="1">+VLOOKUP(C6,Spreads!$A$2:$G$345,7,0)</f>
        <v/>
      </c>
    </row>
    <row r="7" spans="1:22" ht="15" hidden="1" customHeight="1" thickTop="1" thickBot="1">
      <c r="A7" s="317" t="s">
        <v>2137</v>
      </c>
      <c r="B7" s="318" t="s">
        <v>260</v>
      </c>
      <c r="C7" s="318" t="s">
        <v>22</v>
      </c>
      <c r="D7" s="318" t="s">
        <v>171</v>
      </c>
      <c r="E7" s="319">
        <v>19976561</v>
      </c>
      <c r="F7" s="319">
        <v>20000000</v>
      </c>
      <c r="G7" s="314">
        <v>9.5200000000000005E-4</v>
      </c>
      <c r="H7" s="320">
        <v>2.64</v>
      </c>
      <c r="I7" s="318" t="s">
        <v>1098</v>
      </c>
      <c r="J7" s="318">
        <v>15</v>
      </c>
      <c r="K7" s="318">
        <v>0.04</v>
      </c>
      <c r="L7" s="318">
        <v>99.882805000000005</v>
      </c>
      <c r="M7" s="318" t="s">
        <v>9</v>
      </c>
      <c r="N7" s="318" t="s">
        <v>374</v>
      </c>
      <c r="O7" s="318" t="s">
        <v>8</v>
      </c>
      <c r="P7" s="318" t="s">
        <v>375</v>
      </c>
      <c r="Q7" s="318" t="s">
        <v>88</v>
      </c>
      <c r="R7" s="318" t="s">
        <v>381</v>
      </c>
      <c r="S7" s="303">
        <f t="shared" si="1"/>
        <v>799062.44000000006</v>
      </c>
      <c r="T7" s="307">
        <f>+IFERROR(VLOOKUP(C7,'Tasas Diarias'!$B:$F,5,FALSE)*G7,0)</f>
        <v>0</v>
      </c>
      <c r="U7" s="311" t="str">
        <f>+VLOOKUP(C7,Spreads!$A$2:$G$345,7,0)</f>
        <v/>
      </c>
    </row>
    <row r="8" spans="1:22" ht="15" hidden="1" customHeight="1" thickTop="1" thickBot="1">
      <c r="A8" s="317" t="s">
        <v>2137</v>
      </c>
      <c r="B8" s="318" t="s">
        <v>260</v>
      </c>
      <c r="C8" s="318" t="s">
        <v>2096</v>
      </c>
      <c r="D8" s="318" t="s">
        <v>2097</v>
      </c>
      <c r="E8" s="319">
        <v>545472021</v>
      </c>
      <c r="F8" s="319">
        <v>20000</v>
      </c>
      <c r="G8" s="314">
        <v>2.6020000000000001E-2</v>
      </c>
      <c r="H8" s="320">
        <v>-2.08</v>
      </c>
      <c r="I8" s="318" t="s">
        <v>2092</v>
      </c>
      <c r="J8" s="318">
        <v>25</v>
      </c>
      <c r="K8" s="318">
        <v>7.0000000000000007E-2</v>
      </c>
      <c r="L8" s="318">
        <v>100.43</v>
      </c>
      <c r="M8" s="318" t="s">
        <v>6</v>
      </c>
      <c r="N8" s="318" t="s">
        <v>368</v>
      </c>
      <c r="O8" s="318" t="s">
        <v>8</v>
      </c>
      <c r="P8" s="318" t="s">
        <v>417</v>
      </c>
      <c r="Q8" s="318" t="s">
        <v>2098</v>
      </c>
      <c r="R8" s="318" t="s">
        <v>2099</v>
      </c>
      <c r="S8" s="303">
        <f t="shared" si="1"/>
        <v>38183041.470000006</v>
      </c>
      <c r="T8" s="307">
        <f>+IFERROR(VLOOKUP(C8,'Tasas Diarias'!$B:$F,5,FALSE)*G8,0)</f>
        <v>0</v>
      </c>
      <c r="U8" s="311" t="e">
        <f>+VLOOKUP(C8,Spreads!$A$2:$G$345,7,0)</f>
        <v>#N/A</v>
      </c>
      <c r="V8" s="325"/>
    </row>
    <row r="9" spans="1:22" ht="15" hidden="1" customHeight="1" thickTop="1" thickBot="1">
      <c r="A9" s="321" t="s">
        <v>2137</v>
      </c>
      <c r="B9" s="322" t="s">
        <v>260</v>
      </c>
      <c r="C9" s="322" t="s">
        <v>538</v>
      </c>
      <c r="D9" s="322" t="s">
        <v>24</v>
      </c>
      <c r="E9" s="323">
        <v>148780736</v>
      </c>
      <c r="F9" s="323">
        <v>5500</v>
      </c>
      <c r="G9" s="314">
        <v>7.097E-3</v>
      </c>
      <c r="H9" s="324">
        <v>0.66</v>
      </c>
      <c r="I9" s="322" t="s">
        <v>539</v>
      </c>
      <c r="J9" s="322">
        <v>42</v>
      </c>
      <c r="K9" s="322">
        <v>0.12</v>
      </c>
      <c r="L9" s="322">
        <v>100.26</v>
      </c>
      <c r="M9" s="322" t="s">
        <v>6</v>
      </c>
      <c r="N9" s="322" t="s">
        <v>368</v>
      </c>
      <c r="O9" s="322" t="s">
        <v>8</v>
      </c>
      <c r="P9" s="322" t="s">
        <v>392</v>
      </c>
      <c r="Q9" s="322" t="s">
        <v>51</v>
      </c>
      <c r="R9" s="322" t="s">
        <v>414</v>
      </c>
      <c r="S9" s="303">
        <f t="shared" si="1"/>
        <v>17853688.32</v>
      </c>
      <c r="T9" s="307">
        <f>+IFERROR(VLOOKUP(C9,'Tasas Diarias'!$B:$F,5,FALSE)*G9,0)</f>
        <v>-1.2249616438356087E-7</v>
      </c>
      <c r="U9" s="311" t="str">
        <f ca="1">+VLOOKUP(C9,Spreads!$A$2:$G$345,7,0)</f>
        <v/>
      </c>
    </row>
    <row r="10" spans="1:22" ht="15" hidden="1" customHeight="1" thickTop="1" thickBot="1">
      <c r="A10" s="317" t="s">
        <v>2137</v>
      </c>
      <c r="B10" s="318" t="s">
        <v>260</v>
      </c>
      <c r="C10" s="318" t="s">
        <v>22</v>
      </c>
      <c r="D10" s="318" t="s">
        <v>54</v>
      </c>
      <c r="E10" s="319">
        <v>99640960</v>
      </c>
      <c r="F10" s="319">
        <v>100000000</v>
      </c>
      <c r="G10" s="314">
        <v>4.7530000000000003E-3</v>
      </c>
      <c r="H10" s="320">
        <v>2.76</v>
      </c>
      <c r="I10" s="318" t="s">
        <v>1560</v>
      </c>
      <c r="J10" s="318">
        <v>46</v>
      </c>
      <c r="K10" s="318">
        <v>0.13</v>
      </c>
      <c r="L10" s="318">
        <v>99.640960000000007</v>
      </c>
      <c r="M10" s="318" t="s">
        <v>9</v>
      </c>
      <c r="N10" s="318" t="s">
        <v>374</v>
      </c>
      <c r="O10" s="318" t="s">
        <v>8</v>
      </c>
      <c r="P10" s="318" t="s">
        <v>375</v>
      </c>
      <c r="Q10" s="318" t="s">
        <v>390</v>
      </c>
      <c r="R10" s="318" t="s">
        <v>391</v>
      </c>
      <c r="S10" s="303">
        <f t="shared" si="1"/>
        <v>12953324.800000001</v>
      </c>
      <c r="T10" s="307">
        <f>+IFERROR(VLOOKUP(C10,'Tasas Diarias'!$B:$F,5,FALSE)*G10,0)</f>
        <v>0</v>
      </c>
      <c r="U10" s="311" t="str">
        <f>+VLOOKUP(C10,Spreads!$A$2:$G$345,7,0)</f>
        <v/>
      </c>
    </row>
    <row r="11" spans="1:22" ht="15" hidden="1" customHeight="1" thickTop="1" thickBot="1">
      <c r="A11" s="321" t="s">
        <v>2137</v>
      </c>
      <c r="B11" s="322" t="s">
        <v>260</v>
      </c>
      <c r="C11" s="322" t="s">
        <v>22</v>
      </c>
      <c r="D11" s="322" t="s">
        <v>23</v>
      </c>
      <c r="E11" s="323">
        <v>99618130</v>
      </c>
      <c r="F11" s="323">
        <v>100000000</v>
      </c>
      <c r="G11" s="314">
        <v>4.7520000000000001E-3</v>
      </c>
      <c r="H11" s="324">
        <v>2.76</v>
      </c>
      <c r="I11" s="322" t="s">
        <v>1305</v>
      </c>
      <c r="J11" s="322">
        <v>49</v>
      </c>
      <c r="K11" s="322">
        <v>0.14000000000000001</v>
      </c>
      <c r="L11" s="322">
        <v>99.618129999999994</v>
      </c>
      <c r="M11" s="322" t="s">
        <v>9</v>
      </c>
      <c r="N11" s="322" t="s">
        <v>374</v>
      </c>
      <c r="O11" s="322" t="s">
        <v>8</v>
      </c>
      <c r="P11" s="322" t="s">
        <v>375</v>
      </c>
      <c r="Q11" s="322" t="s">
        <v>67</v>
      </c>
      <c r="R11" s="322" t="s">
        <v>376</v>
      </c>
      <c r="S11" s="303">
        <f t="shared" si="1"/>
        <v>13946538.200000001</v>
      </c>
      <c r="T11" s="307">
        <f>+IFERROR(VLOOKUP(C11,'Tasas Diarias'!$B:$F,5,FALSE)*G11,0)</f>
        <v>0</v>
      </c>
      <c r="U11" s="311" t="str">
        <f>+VLOOKUP(C11,Spreads!$A$2:$G$345,7,0)</f>
        <v/>
      </c>
    </row>
    <row r="12" spans="1:22" ht="15" hidden="1" customHeight="1" thickTop="1" thickBot="1">
      <c r="A12" s="321" t="s">
        <v>2137</v>
      </c>
      <c r="B12" s="322" t="s">
        <v>260</v>
      </c>
      <c r="C12" s="322" t="s">
        <v>22</v>
      </c>
      <c r="D12" s="322" t="s">
        <v>23</v>
      </c>
      <c r="E12" s="323">
        <v>19922105</v>
      </c>
      <c r="F12" s="323">
        <v>20000000</v>
      </c>
      <c r="G12" s="314">
        <v>9.5E-4</v>
      </c>
      <c r="H12" s="322">
        <v>2.76</v>
      </c>
      <c r="I12" s="322" t="s">
        <v>1543</v>
      </c>
      <c r="J12" s="322">
        <v>50</v>
      </c>
      <c r="K12" s="322">
        <v>0.14000000000000001</v>
      </c>
      <c r="L12" s="322">
        <v>99.610524999999996</v>
      </c>
      <c r="M12" s="322" t="s">
        <v>9</v>
      </c>
      <c r="N12" s="322" t="s">
        <v>374</v>
      </c>
      <c r="O12" s="322" t="s">
        <v>8</v>
      </c>
      <c r="P12" s="322" t="s">
        <v>375</v>
      </c>
      <c r="Q12" s="322" t="s">
        <v>67</v>
      </c>
      <c r="R12" s="322" t="s">
        <v>376</v>
      </c>
      <c r="S12" s="303">
        <f t="shared" si="1"/>
        <v>2789094.7</v>
      </c>
      <c r="T12" s="307">
        <f>+IFERROR(VLOOKUP(C12,'Tasas Diarias'!$B:$F,5,FALSE)*G12,0)</f>
        <v>0</v>
      </c>
      <c r="U12" s="311" t="str">
        <f>+VLOOKUP(C12,Spreads!$A$2:$G$345,7,0)</f>
        <v/>
      </c>
    </row>
    <row r="13" spans="1:22" ht="15" hidden="1" customHeight="1" thickTop="1" thickBot="1">
      <c r="A13" s="317" t="s">
        <v>2137</v>
      </c>
      <c r="B13" s="318" t="s">
        <v>260</v>
      </c>
      <c r="C13" s="318" t="s">
        <v>22</v>
      </c>
      <c r="D13" s="318" t="s">
        <v>54</v>
      </c>
      <c r="E13" s="319">
        <v>29883157</v>
      </c>
      <c r="F13" s="319">
        <v>30000000</v>
      </c>
      <c r="G13" s="314">
        <v>1.4250000000000001E-3</v>
      </c>
      <c r="H13" s="326">
        <v>2.76</v>
      </c>
      <c r="I13" s="318" t="s">
        <v>1543</v>
      </c>
      <c r="J13" s="318">
        <v>50</v>
      </c>
      <c r="K13" s="318">
        <v>0.14000000000000001</v>
      </c>
      <c r="L13" s="318">
        <v>99.610523000000001</v>
      </c>
      <c r="M13" s="318" t="s">
        <v>9</v>
      </c>
      <c r="N13" s="318" t="s">
        <v>374</v>
      </c>
      <c r="O13" s="318" t="s">
        <v>8</v>
      </c>
      <c r="P13" s="318" t="s">
        <v>375</v>
      </c>
      <c r="Q13" s="318" t="s">
        <v>390</v>
      </c>
      <c r="R13" s="318" t="s">
        <v>391</v>
      </c>
      <c r="S13" s="303">
        <f t="shared" si="1"/>
        <v>4183641.9800000004</v>
      </c>
      <c r="T13" s="307">
        <f>+IFERROR(VLOOKUP(C13,'Tasas Diarias'!$B:$F,5,FALSE)*G13,0)</f>
        <v>0</v>
      </c>
      <c r="U13" s="311" t="str">
        <f>+VLOOKUP(C13,Spreads!$A$2:$G$345,7,0)</f>
        <v/>
      </c>
    </row>
    <row r="14" spans="1:22" ht="15" hidden="1" customHeight="1" thickTop="1" thickBot="1">
      <c r="A14" s="327" t="s">
        <v>2137</v>
      </c>
      <c r="B14" s="328" t="s">
        <v>260</v>
      </c>
      <c r="C14" s="328" t="s">
        <v>22</v>
      </c>
      <c r="D14" s="328" t="s">
        <v>55</v>
      </c>
      <c r="E14" s="328">
        <v>199221046</v>
      </c>
      <c r="F14" s="328">
        <v>200000000</v>
      </c>
      <c r="G14" s="328">
        <v>9.5029999999999993E-3</v>
      </c>
      <c r="H14" s="329">
        <v>2.76</v>
      </c>
      <c r="I14" s="328" t="s">
        <v>1543</v>
      </c>
      <c r="J14" s="328">
        <v>50</v>
      </c>
      <c r="K14" s="328">
        <v>0.14000000000000001</v>
      </c>
      <c r="L14" s="328">
        <v>99.610523000000001</v>
      </c>
      <c r="M14" s="328" t="s">
        <v>9</v>
      </c>
      <c r="N14" s="328" t="s">
        <v>374</v>
      </c>
      <c r="O14" s="328" t="s">
        <v>8</v>
      </c>
      <c r="P14" s="328" t="s">
        <v>375</v>
      </c>
      <c r="Q14" s="328" t="s">
        <v>55</v>
      </c>
      <c r="R14" s="328" t="s">
        <v>386</v>
      </c>
      <c r="S14" s="303">
        <f t="shared" si="1"/>
        <v>27890946.440000001</v>
      </c>
      <c r="T14" s="307">
        <f>+IFERROR(VLOOKUP(C14,'Tasas Diarias'!$B:$F,5,FALSE)*G14,0)</f>
        <v>0</v>
      </c>
      <c r="U14" s="311" t="str">
        <f>+VLOOKUP(C14,Spreads!$A$2:$G$345,7,0)</f>
        <v/>
      </c>
    </row>
    <row r="15" spans="1:22" ht="15" hidden="1" customHeight="1" thickTop="1" thickBot="1">
      <c r="A15" s="317" t="s">
        <v>2137</v>
      </c>
      <c r="B15" s="318" t="s">
        <v>260</v>
      </c>
      <c r="C15" s="318" t="s">
        <v>22</v>
      </c>
      <c r="D15" s="318" t="s">
        <v>70</v>
      </c>
      <c r="E15" s="319">
        <v>199221046</v>
      </c>
      <c r="F15" s="319">
        <v>200000000</v>
      </c>
      <c r="G15" s="314">
        <v>9.5029999999999993E-3</v>
      </c>
      <c r="H15" s="318">
        <v>2.76</v>
      </c>
      <c r="I15" s="318" t="s">
        <v>1543</v>
      </c>
      <c r="J15" s="318">
        <v>50</v>
      </c>
      <c r="K15" s="318">
        <v>0.14000000000000001</v>
      </c>
      <c r="L15" s="318">
        <v>99.610523000000001</v>
      </c>
      <c r="M15" s="318" t="s">
        <v>9</v>
      </c>
      <c r="N15" s="318" t="s">
        <v>374</v>
      </c>
      <c r="O15" s="318" t="s">
        <v>8</v>
      </c>
      <c r="P15" s="318" t="s">
        <v>375</v>
      </c>
      <c r="Q15" s="318" t="s">
        <v>70</v>
      </c>
      <c r="R15" s="318" t="s">
        <v>383</v>
      </c>
      <c r="S15" s="303">
        <f t="shared" si="1"/>
        <v>27890946.440000001</v>
      </c>
      <c r="T15" s="307">
        <f>+IFERROR(VLOOKUP(C15,'Tasas Diarias'!$B:$F,5,FALSE)*G15,0)</f>
        <v>0</v>
      </c>
      <c r="U15" s="311" t="str">
        <f>+VLOOKUP(C15,Spreads!$A$2:$G$345,7,0)</f>
        <v/>
      </c>
    </row>
    <row r="16" spans="1:22" ht="15" hidden="1" customHeight="1" thickTop="1" thickBot="1">
      <c r="A16" s="327" t="s">
        <v>2137</v>
      </c>
      <c r="B16" s="328" t="s">
        <v>260</v>
      </c>
      <c r="C16" s="328" t="s">
        <v>22</v>
      </c>
      <c r="D16" s="328" t="s">
        <v>70</v>
      </c>
      <c r="E16" s="330">
        <v>59772069</v>
      </c>
      <c r="F16" s="331">
        <v>60000000</v>
      </c>
      <c r="G16" s="332">
        <v>2.8509999999999998E-3</v>
      </c>
      <c r="H16" s="329">
        <v>2.64</v>
      </c>
      <c r="I16" s="328" t="s">
        <v>1415</v>
      </c>
      <c r="J16" s="328">
        <v>51</v>
      </c>
      <c r="K16" s="328">
        <v>0.14000000000000001</v>
      </c>
      <c r="L16" s="328">
        <v>99.620114999999998</v>
      </c>
      <c r="M16" s="328" t="s">
        <v>9</v>
      </c>
      <c r="N16" s="328" t="s">
        <v>374</v>
      </c>
      <c r="O16" s="328" t="s">
        <v>8</v>
      </c>
      <c r="P16" s="328" t="s">
        <v>375</v>
      </c>
      <c r="Q16" s="328" t="s">
        <v>70</v>
      </c>
      <c r="R16" s="328" t="s">
        <v>383</v>
      </c>
      <c r="S16" s="303">
        <f t="shared" si="1"/>
        <v>8368089.6600000011</v>
      </c>
      <c r="T16" s="307">
        <f>+IFERROR(VLOOKUP(C16,'Tasas Diarias'!$B:$F,5,FALSE)*G16,0)</f>
        <v>0</v>
      </c>
      <c r="U16" s="311" t="str">
        <f>+VLOOKUP(C16,Spreads!$A$2:$G$345,7,0)</f>
        <v/>
      </c>
    </row>
    <row r="17" spans="1:21" ht="15" hidden="1" customHeight="1" thickTop="1" thickBot="1">
      <c r="A17" s="327" t="s">
        <v>2137</v>
      </c>
      <c r="B17" s="328" t="s">
        <v>260</v>
      </c>
      <c r="C17" s="328" t="s">
        <v>22</v>
      </c>
      <c r="D17" s="328" t="s">
        <v>165</v>
      </c>
      <c r="E17" s="328">
        <v>199205832</v>
      </c>
      <c r="F17" s="328">
        <v>200000000</v>
      </c>
      <c r="G17" s="328">
        <v>9.502E-3</v>
      </c>
      <c r="H17" s="329">
        <v>2.76</v>
      </c>
      <c r="I17" s="328" t="s">
        <v>1415</v>
      </c>
      <c r="J17" s="328">
        <v>51</v>
      </c>
      <c r="K17" s="328">
        <v>0.14000000000000001</v>
      </c>
      <c r="L17" s="328">
        <v>99.602915999999993</v>
      </c>
      <c r="M17" s="328" t="s">
        <v>9</v>
      </c>
      <c r="N17" s="328" t="s">
        <v>374</v>
      </c>
      <c r="O17" s="328" t="s">
        <v>8</v>
      </c>
      <c r="P17" s="328" t="s">
        <v>375</v>
      </c>
      <c r="Q17" s="328" t="s">
        <v>74</v>
      </c>
      <c r="R17" s="328" t="s">
        <v>380</v>
      </c>
      <c r="S17" s="303">
        <f t="shared" si="1"/>
        <v>27888816.480000004</v>
      </c>
      <c r="T17" s="307">
        <f>+IFERROR(VLOOKUP(C17,'Tasas Diarias'!$B:$F,5,FALSE)*G17,0)</f>
        <v>0</v>
      </c>
      <c r="U17" s="311" t="str">
        <f>+VLOOKUP(C17,Spreads!$A$2:$G$345,7,0)</f>
        <v/>
      </c>
    </row>
    <row r="18" spans="1:21" ht="15" hidden="1" customHeight="1" thickTop="1" thickBot="1">
      <c r="A18" s="317" t="s">
        <v>2137</v>
      </c>
      <c r="B18" s="318" t="s">
        <v>260</v>
      </c>
      <c r="C18" s="318" t="s">
        <v>22</v>
      </c>
      <c r="D18" s="318" t="s">
        <v>165</v>
      </c>
      <c r="E18" s="319">
        <v>869858926</v>
      </c>
      <c r="F18" s="319">
        <v>873393453</v>
      </c>
      <c r="G18" s="314">
        <v>4.1494000000000003E-2</v>
      </c>
      <c r="H18" s="320">
        <v>2.76</v>
      </c>
      <c r="I18" s="318" t="s">
        <v>1321</v>
      </c>
      <c r="J18" s="318">
        <v>52</v>
      </c>
      <c r="K18" s="318">
        <v>0.15</v>
      </c>
      <c r="L18" s="318">
        <v>99.595310999999995</v>
      </c>
      <c r="M18" s="318" t="s">
        <v>9</v>
      </c>
      <c r="N18" s="318" t="s">
        <v>374</v>
      </c>
      <c r="O18" s="318" t="s">
        <v>8</v>
      </c>
      <c r="P18" s="318" t="s">
        <v>375</v>
      </c>
      <c r="Q18" s="318" t="s">
        <v>74</v>
      </c>
      <c r="R18" s="318" t="s">
        <v>380</v>
      </c>
      <c r="S18" s="303">
        <f t="shared" si="1"/>
        <v>130478838.89999999</v>
      </c>
      <c r="T18" s="307">
        <f>+IFERROR(VLOOKUP(C18,'Tasas Diarias'!$B:$F,5,FALSE)*G18,0)</f>
        <v>0</v>
      </c>
      <c r="U18" s="311" t="str">
        <f>+VLOOKUP(C18,Spreads!$A$2:$G$345,7,0)</f>
        <v/>
      </c>
    </row>
    <row r="19" spans="1:21" ht="15" hidden="1" customHeight="1" thickTop="1" thickBot="1">
      <c r="A19" s="327" t="s">
        <v>2137</v>
      </c>
      <c r="B19" s="328" t="s">
        <v>260</v>
      </c>
      <c r="C19" s="328" t="s">
        <v>22</v>
      </c>
      <c r="D19" s="328" t="s">
        <v>164</v>
      </c>
      <c r="E19" s="328">
        <v>47950457</v>
      </c>
      <c r="F19" s="328">
        <v>48160000</v>
      </c>
      <c r="G19" s="314">
        <v>2.287E-3</v>
      </c>
      <c r="H19" s="329">
        <v>2.76</v>
      </c>
      <c r="I19" s="328" t="s">
        <v>1434</v>
      </c>
      <c r="J19" s="328">
        <v>56</v>
      </c>
      <c r="K19" s="328">
        <v>0.16</v>
      </c>
      <c r="L19" s="328">
        <v>99.564902000000004</v>
      </c>
      <c r="M19" s="328" t="s">
        <v>9</v>
      </c>
      <c r="N19" s="328" t="s">
        <v>374</v>
      </c>
      <c r="O19" s="328" t="s">
        <v>8</v>
      </c>
      <c r="P19" s="328" t="s">
        <v>375</v>
      </c>
      <c r="Q19" s="328" t="s">
        <v>61</v>
      </c>
      <c r="R19" s="328" t="s">
        <v>384</v>
      </c>
      <c r="S19" s="303">
        <f t="shared" si="1"/>
        <v>7672073.1200000001</v>
      </c>
      <c r="T19" s="307">
        <f>+IFERROR(VLOOKUP(C19,'Tasas Diarias'!$B:$F,5,FALSE)*G19,0)</f>
        <v>0</v>
      </c>
      <c r="U19" s="311" t="str">
        <f>+VLOOKUP(C19,Spreads!$A$2:$G$345,7,0)</f>
        <v/>
      </c>
    </row>
    <row r="20" spans="1:21" ht="15" hidden="1" customHeight="1" thickTop="1" thickBot="1">
      <c r="A20" s="317" t="s">
        <v>2137</v>
      </c>
      <c r="B20" s="318" t="s">
        <v>260</v>
      </c>
      <c r="C20" s="318" t="s">
        <v>22</v>
      </c>
      <c r="D20" s="318" t="s">
        <v>169</v>
      </c>
      <c r="E20" s="319">
        <v>298512413</v>
      </c>
      <c r="F20" s="319">
        <v>300000000</v>
      </c>
      <c r="G20" s="314">
        <v>1.4239E-2</v>
      </c>
      <c r="H20" s="320">
        <v>2.76</v>
      </c>
      <c r="I20" s="318" t="s">
        <v>1569</v>
      </c>
      <c r="J20" s="318">
        <v>64</v>
      </c>
      <c r="K20" s="318">
        <v>0.18</v>
      </c>
      <c r="L20" s="318">
        <v>99.504137</v>
      </c>
      <c r="M20" s="318" t="s">
        <v>9</v>
      </c>
      <c r="N20" s="318" t="s">
        <v>374</v>
      </c>
      <c r="O20" s="318" t="s">
        <v>8</v>
      </c>
      <c r="P20" s="318" t="s">
        <v>375</v>
      </c>
      <c r="Q20" s="318" t="s">
        <v>51</v>
      </c>
      <c r="R20" s="318" t="s">
        <v>385</v>
      </c>
      <c r="S20" s="303">
        <f t="shared" si="1"/>
        <v>53732234.339999996</v>
      </c>
      <c r="T20" s="307">
        <f>+IFERROR(VLOOKUP(C20,'Tasas Diarias'!$B:$F,5,FALSE)*G20,0)</f>
        <v>0</v>
      </c>
      <c r="U20" s="311" t="str">
        <f>+VLOOKUP(C20,Spreads!$A$2:$G$345,7,0)</f>
        <v/>
      </c>
    </row>
    <row r="21" spans="1:21" ht="15" hidden="1" customHeight="1" thickTop="1" thickBot="1">
      <c r="A21" s="321" t="s">
        <v>2137</v>
      </c>
      <c r="B21" s="322" t="s">
        <v>260</v>
      </c>
      <c r="C21" s="322" t="s">
        <v>22</v>
      </c>
      <c r="D21" s="322" t="s">
        <v>23</v>
      </c>
      <c r="E21" s="323">
        <v>497406852</v>
      </c>
      <c r="F21" s="323">
        <v>500000000</v>
      </c>
      <c r="G21" s="314">
        <v>2.3727000000000002E-2</v>
      </c>
      <c r="H21" s="324">
        <v>2.76</v>
      </c>
      <c r="I21" s="322" t="s">
        <v>1319</v>
      </c>
      <c r="J21" s="322">
        <v>67</v>
      </c>
      <c r="K21" s="322">
        <v>0.19</v>
      </c>
      <c r="L21" s="322">
        <v>99.481369999999998</v>
      </c>
      <c r="M21" s="322" t="s">
        <v>9</v>
      </c>
      <c r="N21" s="322" t="s">
        <v>374</v>
      </c>
      <c r="O21" s="322" t="s">
        <v>8</v>
      </c>
      <c r="P21" s="322" t="s">
        <v>375</v>
      </c>
      <c r="Q21" s="322" t="s">
        <v>67</v>
      </c>
      <c r="R21" s="322" t="s">
        <v>376</v>
      </c>
      <c r="S21" s="303">
        <f t="shared" si="1"/>
        <v>94507301.879999995</v>
      </c>
      <c r="T21" s="307">
        <f>+IFERROR(VLOOKUP(C21,'Tasas Diarias'!$B:$F,5,FALSE)*G21,0)</f>
        <v>0</v>
      </c>
      <c r="U21" s="311" t="str">
        <f>+VLOOKUP(C21,Spreads!$A$2:$G$345,7,0)</f>
        <v/>
      </c>
    </row>
    <row r="22" spans="1:21" ht="15" hidden="1" customHeight="1" thickTop="1" thickBot="1">
      <c r="A22" s="317" t="s">
        <v>2137</v>
      </c>
      <c r="B22" s="318" t="s">
        <v>260</v>
      </c>
      <c r="C22" s="318" t="s">
        <v>22</v>
      </c>
      <c r="D22" s="318" t="s">
        <v>23</v>
      </c>
      <c r="E22" s="319">
        <v>169079643</v>
      </c>
      <c r="F22" s="319">
        <v>170000000</v>
      </c>
      <c r="G22" s="314">
        <v>8.0649999999999993E-3</v>
      </c>
      <c r="H22" s="320">
        <v>2.76</v>
      </c>
      <c r="I22" s="318" t="s">
        <v>1306</v>
      </c>
      <c r="J22" s="318">
        <v>70</v>
      </c>
      <c r="K22" s="318">
        <v>0.19</v>
      </c>
      <c r="L22" s="318">
        <v>99.458613</v>
      </c>
      <c r="M22" s="318" t="s">
        <v>9</v>
      </c>
      <c r="N22" s="318" t="s">
        <v>374</v>
      </c>
      <c r="O22" s="318" t="s">
        <v>8</v>
      </c>
      <c r="P22" s="318" t="s">
        <v>375</v>
      </c>
      <c r="Q22" s="318" t="s">
        <v>67</v>
      </c>
      <c r="R22" s="318" t="s">
        <v>376</v>
      </c>
      <c r="S22" s="303">
        <f t="shared" si="1"/>
        <v>32125132.170000002</v>
      </c>
      <c r="T22" s="307">
        <f>+IFERROR(VLOOKUP(C22,'Tasas Diarias'!$B:$F,5,FALSE)*G22,0)</f>
        <v>0</v>
      </c>
      <c r="U22" s="311" t="str">
        <f>+VLOOKUP(C22,Spreads!$A$2:$G$345,7,0)</f>
        <v/>
      </c>
    </row>
    <row r="23" spans="1:21" ht="15" hidden="1" customHeight="1" thickTop="1" thickBot="1">
      <c r="A23" s="317" t="s">
        <v>2137</v>
      </c>
      <c r="B23" s="318" t="s">
        <v>260</v>
      </c>
      <c r="C23" s="318" t="s">
        <v>424</v>
      </c>
      <c r="D23" s="318" t="s">
        <v>16</v>
      </c>
      <c r="E23" s="319">
        <v>108499997</v>
      </c>
      <c r="F23" s="319">
        <v>4000</v>
      </c>
      <c r="G23" s="314">
        <v>5.1749999999999999E-3</v>
      </c>
      <c r="H23" s="320">
        <v>1</v>
      </c>
      <c r="I23" s="318" t="s">
        <v>425</v>
      </c>
      <c r="J23" s="318">
        <v>73</v>
      </c>
      <c r="K23" s="318">
        <v>0.2</v>
      </c>
      <c r="L23" s="318">
        <v>100.54</v>
      </c>
      <c r="M23" s="318" t="s">
        <v>6</v>
      </c>
      <c r="N23" s="318" t="s">
        <v>368</v>
      </c>
      <c r="O23" s="318" t="s">
        <v>8</v>
      </c>
      <c r="P23" s="318" t="s">
        <v>379</v>
      </c>
      <c r="Q23" s="318" t="s">
        <v>61</v>
      </c>
      <c r="R23" s="318" t="s">
        <v>394</v>
      </c>
      <c r="S23" s="303">
        <f t="shared" si="1"/>
        <v>21699999.400000002</v>
      </c>
      <c r="T23" s="307">
        <f>+IFERROR(VLOOKUP(C23,'Tasas Diarias'!$B:$F,5,FALSE)*G23,0)</f>
        <v>-5.1976849315068017E-6</v>
      </c>
      <c r="U23" s="311" t="str">
        <f ca="1">+VLOOKUP(C23,Spreads!$A$2:$G$345,7,0)</f>
        <v/>
      </c>
    </row>
    <row r="24" spans="1:21" ht="15" hidden="1" customHeight="1" thickTop="1" thickBot="1">
      <c r="A24" s="321" t="s">
        <v>2137</v>
      </c>
      <c r="B24" s="322" t="s">
        <v>260</v>
      </c>
      <c r="C24" s="322" t="s">
        <v>22</v>
      </c>
      <c r="D24" s="322" t="s">
        <v>54</v>
      </c>
      <c r="E24" s="323">
        <v>397531330</v>
      </c>
      <c r="F24" s="323">
        <v>400000000</v>
      </c>
      <c r="G24" s="314">
        <v>1.8963000000000001E-2</v>
      </c>
      <c r="H24" s="322">
        <v>2.76</v>
      </c>
      <c r="I24" s="322" t="s">
        <v>1488</v>
      </c>
      <c r="J24" s="322">
        <v>80</v>
      </c>
      <c r="K24" s="322">
        <v>0.22</v>
      </c>
      <c r="L24" s="322">
        <v>99.382831999999993</v>
      </c>
      <c r="M24" s="322" t="s">
        <v>9</v>
      </c>
      <c r="N24" s="322" t="s">
        <v>374</v>
      </c>
      <c r="O24" s="322" t="s">
        <v>8</v>
      </c>
      <c r="P24" s="322" t="s">
        <v>375</v>
      </c>
      <c r="Q24" s="322" t="s">
        <v>390</v>
      </c>
      <c r="R24" s="322" t="s">
        <v>391</v>
      </c>
      <c r="S24" s="303">
        <f t="shared" si="1"/>
        <v>87456892.599999994</v>
      </c>
      <c r="T24" s="307">
        <f>+IFERROR(VLOOKUP(C24,'Tasas Diarias'!$B:$F,5,FALSE)*G24,0)</f>
        <v>0</v>
      </c>
      <c r="U24" s="311" t="str">
        <f>+VLOOKUP(C24,Spreads!$A$2:$G$345,7,0)</f>
        <v/>
      </c>
    </row>
    <row r="25" spans="1:21" ht="15" hidden="1" customHeight="1" thickTop="1" thickBot="1">
      <c r="A25" s="317" t="s">
        <v>2137</v>
      </c>
      <c r="B25" s="318" t="s">
        <v>260</v>
      </c>
      <c r="C25" s="318" t="s">
        <v>22</v>
      </c>
      <c r="D25" s="318" t="s">
        <v>23</v>
      </c>
      <c r="E25" s="319">
        <v>397045978</v>
      </c>
      <c r="F25" s="319">
        <v>400000000</v>
      </c>
      <c r="G25" s="314">
        <v>1.8939999999999999E-2</v>
      </c>
      <c r="H25" s="320">
        <v>2.88</v>
      </c>
      <c r="I25" s="318" t="s">
        <v>1309</v>
      </c>
      <c r="J25" s="318">
        <v>92</v>
      </c>
      <c r="K25" s="318">
        <v>0.25</v>
      </c>
      <c r="L25" s="318">
        <v>99.261493999999999</v>
      </c>
      <c r="M25" s="318" t="s">
        <v>9</v>
      </c>
      <c r="N25" s="318" t="s">
        <v>374</v>
      </c>
      <c r="O25" s="318" t="s">
        <v>8</v>
      </c>
      <c r="P25" s="318" t="s">
        <v>375</v>
      </c>
      <c r="Q25" s="318" t="s">
        <v>67</v>
      </c>
      <c r="R25" s="318" t="s">
        <v>376</v>
      </c>
      <c r="S25" s="303">
        <f t="shared" si="1"/>
        <v>99261494.5</v>
      </c>
      <c r="T25" s="307">
        <f>+IFERROR(VLOOKUP(C25,'Tasas Diarias'!$B:$F,5,FALSE)*G25,0)</f>
        <v>0</v>
      </c>
      <c r="U25" s="311" t="str">
        <f>+VLOOKUP(C25,Spreads!$A$2:$G$345,7,0)</f>
        <v/>
      </c>
    </row>
    <row r="26" spans="1:21" ht="15" hidden="1" customHeight="1" thickTop="1" thickBot="1">
      <c r="A26" s="317" t="s">
        <v>2137</v>
      </c>
      <c r="B26" s="318" t="s">
        <v>260</v>
      </c>
      <c r="C26" s="318" t="s">
        <v>22</v>
      </c>
      <c r="D26" s="318" t="s">
        <v>305</v>
      </c>
      <c r="E26" s="319">
        <v>158742757</v>
      </c>
      <c r="F26" s="319">
        <v>160000000</v>
      </c>
      <c r="G26" s="314">
        <v>7.5719999999999997E-3</v>
      </c>
      <c r="H26" s="320">
        <v>2.88</v>
      </c>
      <c r="I26" s="318" t="s">
        <v>1578</v>
      </c>
      <c r="J26" s="318">
        <v>98</v>
      </c>
      <c r="K26" s="318">
        <v>0.27</v>
      </c>
      <c r="L26" s="318">
        <v>99.214223000000004</v>
      </c>
      <c r="M26" s="318" t="s">
        <v>9</v>
      </c>
      <c r="N26" s="318" t="s">
        <v>374</v>
      </c>
      <c r="O26" s="318" t="s">
        <v>8</v>
      </c>
      <c r="P26" s="318" t="s">
        <v>375</v>
      </c>
      <c r="Q26" s="318" t="s">
        <v>326</v>
      </c>
      <c r="R26" s="318" t="s">
        <v>387</v>
      </c>
      <c r="S26" s="303">
        <f t="shared" si="1"/>
        <v>42860544.390000001</v>
      </c>
      <c r="T26" s="307">
        <f>+IFERROR(VLOOKUP(C26,'Tasas Diarias'!$B:$F,5,FALSE)*G26,0)</f>
        <v>0</v>
      </c>
      <c r="U26" s="311" t="str">
        <f>+VLOOKUP(C26,Spreads!$A$2:$G$345,7,0)</f>
        <v/>
      </c>
    </row>
    <row r="27" spans="1:21" ht="15" hidden="1" customHeight="1" thickTop="1" thickBot="1">
      <c r="A27" s="317" t="s">
        <v>2137</v>
      </c>
      <c r="B27" s="318" t="s">
        <v>260</v>
      </c>
      <c r="C27" s="318" t="s">
        <v>22</v>
      </c>
      <c r="D27" s="318" t="s">
        <v>169</v>
      </c>
      <c r="E27" s="319">
        <v>99198476</v>
      </c>
      <c r="F27" s="319">
        <v>100000000</v>
      </c>
      <c r="G27" s="314">
        <v>4.7320000000000001E-3</v>
      </c>
      <c r="H27" s="320">
        <v>2.88</v>
      </c>
      <c r="I27" s="318" t="s">
        <v>1351</v>
      </c>
      <c r="J27" s="318">
        <v>100</v>
      </c>
      <c r="K27" s="318">
        <v>0.28000000000000003</v>
      </c>
      <c r="L27" s="318">
        <v>99.198475999999999</v>
      </c>
      <c r="M27" s="318" t="s">
        <v>9</v>
      </c>
      <c r="N27" s="318" t="s">
        <v>374</v>
      </c>
      <c r="O27" s="318" t="s">
        <v>8</v>
      </c>
      <c r="P27" s="318" t="s">
        <v>375</v>
      </c>
      <c r="Q27" s="318" t="s">
        <v>51</v>
      </c>
      <c r="R27" s="318" t="s">
        <v>385</v>
      </c>
      <c r="S27" s="303">
        <f t="shared" si="1"/>
        <v>27775573.280000001</v>
      </c>
      <c r="T27" s="307">
        <f>+IFERROR(VLOOKUP(C27,'Tasas Diarias'!$B:$F,5,FALSE)*G27,0)</f>
        <v>0</v>
      </c>
      <c r="U27" s="311" t="str">
        <f>+VLOOKUP(C27,Spreads!$A$2:$G$345,7,0)</f>
        <v/>
      </c>
    </row>
    <row r="28" spans="1:21" ht="15" hidden="1" customHeight="1" thickTop="1" thickBot="1">
      <c r="A28" s="327" t="s">
        <v>2137</v>
      </c>
      <c r="B28" s="328" t="s">
        <v>260</v>
      </c>
      <c r="C28" s="328" t="s">
        <v>22</v>
      </c>
      <c r="D28" s="328" t="s">
        <v>55</v>
      </c>
      <c r="E28" s="328">
        <v>495953023</v>
      </c>
      <c r="F28" s="328">
        <v>500000000</v>
      </c>
      <c r="G28" s="328">
        <v>2.3657999999999998E-2</v>
      </c>
      <c r="H28" s="329">
        <v>2.88</v>
      </c>
      <c r="I28" s="328" t="s">
        <v>1226</v>
      </c>
      <c r="J28" s="328">
        <v>101</v>
      </c>
      <c r="K28" s="328">
        <v>0.28000000000000003</v>
      </c>
      <c r="L28" s="328">
        <v>99.190603999999993</v>
      </c>
      <c r="M28" s="328" t="s">
        <v>9</v>
      </c>
      <c r="N28" s="328" t="s">
        <v>374</v>
      </c>
      <c r="O28" s="328" t="s">
        <v>8</v>
      </c>
      <c r="P28" s="328" t="s">
        <v>375</v>
      </c>
      <c r="Q28" s="328" t="s">
        <v>55</v>
      </c>
      <c r="R28" s="328" t="s">
        <v>386</v>
      </c>
      <c r="S28" s="303">
        <f t="shared" si="1"/>
        <v>138866846.44000003</v>
      </c>
      <c r="T28" s="307">
        <f>+IFERROR(VLOOKUP(C28,'Tasas Diarias'!$B:$F,5,FALSE)*G28,0)</f>
        <v>0</v>
      </c>
      <c r="U28" s="311" t="str">
        <f>+VLOOKUP(C28,Spreads!$A$2:$G$345,7,0)</f>
        <v/>
      </c>
    </row>
    <row r="29" spans="1:21" ht="15" hidden="1" customHeight="1" thickTop="1" thickBot="1">
      <c r="A29" s="327" t="s">
        <v>2137</v>
      </c>
      <c r="B29" s="328" t="s">
        <v>260</v>
      </c>
      <c r="C29" s="328" t="s">
        <v>22</v>
      </c>
      <c r="D29" s="328" t="s">
        <v>70</v>
      </c>
      <c r="E29" s="328">
        <v>247976512</v>
      </c>
      <c r="F29" s="328">
        <v>250000000</v>
      </c>
      <c r="G29" s="328">
        <v>1.1828999999999999E-2</v>
      </c>
      <c r="H29" s="329">
        <v>2.88</v>
      </c>
      <c r="I29" s="328" t="s">
        <v>1226</v>
      </c>
      <c r="J29" s="328">
        <v>101</v>
      </c>
      <c r="K29" s="328">
        <v>0.28000000000000003</v>
      </c>
      <c r="L29" s="328">
        <v>99.190603999999993</v>
      </c>
      <c r="M29" s="328" t="s">
        <v>9</v>
      </c>
      <c r="N29" s="328" t="s">
        <v>374</v>
      </c>
      <c r="O29" s="328" t="s">
        <v>8</v>
      </c>
      <c r="P29" s="328" t="s">
        <v>375</v>
      </c>
      <c r="Q29" s="328" t="s">
        <v>70</v>
      </c>
      <c r="R29" s="328" t="s">
        <v>383</v>
      </c>
      <c r="S29" s="303">
        <f t="shared" si="1"/>
        <v>69433423.359999999</v>
      </c>
      <c r="T29" s="307">
        <f>+IFERROR(VLOOKUP(C29,'Tasas Diarias'!$B:$F,5,FALSE)*G29,0)</f>
        <v>0</v>
      </c>
      <c r="U29" s="311" t="str">
        <f>+VLOOKUP(C29,Spreads!$A$2:$G$345,7,0)</f>
        <v/>
      </c>
    </row>
    <row r="30" spans="1:21" ht="15" hidden="1" customHeight="1" thickTop="1" thickBot="1">
      <c r="A30" s="317" t="s">
        <v>2137</v>
      </c>
      <c r="B30" s="318" t="s">
        <v>260</v>
      </c>
      <c r="C30" s="318" t="s">
        <v>22</v>
      </c>
      <c r="D30" s="318" t="s">
        <v>55</v>
      </c>
      <c r="E30" s="319">
        <v>198271076</v>
      </c>
      <c r="F30" s="319">
        <v>200000000</v>
      </c>
      <c r="G30" s="314">
        <v>9.4579999999999994E-3</v>
      </c>
      <c r="H30" s="320">
        <v>2.88</v>
      </c>
      <c r="I30" s="318" t="s">
        <v>1308</v>
      </c>
      <c r="J30" s="318">
        <v>108</v>
      </c>
      <c r="K30" s="318">
        <v>0.3</v>
      </c>
      <c r="L30" s="318">
        <v>99.135537999999997</v>
      </c>
      <c r="M30" s="318" t="s">
        <v>9</v>
      </c>
      <c r="N30" s="318" t="s">
        <v>374</v>
      </c>
      <c r="O30" s="318" t="s">
        <v>8</v>
      </c>
      <c r="P30" s="318" t="s">
        <v>375</v>
      </c>
      <c r="Q30" s="318" t="s">
        <v>55</v>
      </c>
      <c r="R30" s="318" t="s">
        <v>386</v>
      </c>
      <c r="S30" s="303">
        <f t="shared" si="1"/>
        <v>59481322.799999997</v>
      </c>
      <c r="T30" s="307">
        <f>+IFERROR(VLOOKUP(C30,'Tasas Diarias'!$B:$F,5,FALSE)*G30,0)</f>
        <v>0</v>
      </c>
      <c r="U30" s="311" t="str">
        <f>+VLOOKUP(C30,Spreads!$A$2:$G$345,7,0)</f>
        <v/>
      </c>
    </row>
    <row r="31" spans="1:21" ht="15" hidden="1" customHeight="1" thickTop="1" thickBot="1">
      <c r="A31" s="317" t="s">
        <v>2137</v>
      </c>
      <c r="B31" s="318" t="s">
        <v>260</v>
      </c>
      <c r="C31" s="318" t="s">
        <v>22</v>
      </c>
      <c r="D31" s="318" t="s">
        <v>55</v>
      </c>
      <c r="E31" s="319">
        <v>274583663</v>
      </c>
      <c r="F31" s="319">
        <v>277000000</v>
      </c>
      <c r="G31" s="314">
        <v>1.3098E-2</v>
      </c>
      <c r="H31" s="320">
        <v>2.88</v>
      </c>
      <c r="I31" s="318" t="s">
        <v>1312</v>
      </c>
      <c r="J31" s="318">
        <v>109</v>
      </c>
      <c r="K31" s="318">
        <v>0.3</v>
      </c>
      <c r="L31" s="318">
        <v>99.127675999999994</v>
      </c>
      <c r="M31" s="318" t="s">
        <v>9</v>
      </c>
      <c r="N31" s="318" t="s">
        <v>374</v>
      </c>
      <c r="O31" s="318" t="s">
        <v>8</v>
      </c>
      <c r="P31" s="318" t="s">
        <v>375</v>
      </c>
      <c r="Q31" s="318" t="s">
        <v>55</v>
      </c>
      <c r="R31" s="318" t="s">
        <v>386</v>
      </c>
      <c r="S31" s="303">
        <f t="shared" si="1"/>
        <v>82375098.899999991</v>
      </c>
      <c r="T31" s="307">
        <f>+IFERROR(VLOOKUP(C31,'Tasas Diarias'!$B:$F,5,FALSE)*G31,0)</f>
        <v>0</v>
      </c>
      <c r="U31" s="311" t="str">
        <f>+VLOOKUP(C31,Spreads!$A$2:$G$345,7,0)</f>
        <v/>
      </c>
    </row>
    <row r="32" spans="1:21" ht="15" hidden="1" customHeight="1" thickTop="1" thickBot="1">
      <c r="A32" s="317" t="s">
        <v>2137</v>
      </c>
      <c r="B32" s="318" t="s">
        <v>260</v>
      </c>
      <c r="C32" s="318" t="s">
        <v>22</v>
      </c>
      <c r="D32" s="318" t="s">
        <v>54</v>
      </c>
      <c r="E32" s="319">
        <v>495441934</v>
      </c>
      <c r="F32" s="319">
        <v>500000000</v>
      </c>
      <c r="G32" s="314">
        <v>2.3633999999999999E-2</v>
      </c>
      <c r="H32" s="320">
        <v>2.88</v>
      </c>
      <c r="I32" s="318" t="s">
        <v>1438</v>
      </c>
      <c r="J32" s="318">
        <v>114</v>
      </c>
      <c r="K32" s="318">
        <v>0.32</v>
      </c>
      <c r="L32" s="318">
        <v>99.088386</v>
      </c>
      <c r="M32" s="318" t="s">
        <v>9</v>
      </c>
      <c r="N32" s="318" t="s">
        <v>374</v>
      </c>
      <c r="O32" s="318" t="s">
        <v>8</v>
      </c>
      <c r="P32" s="318" t="s">
        <v>375</v>
      </c>
      <c r="Q32" s="318" t="s">
        <v>390</v>
      </c>
      <c r="R32" s="318" t="s">
        <v>391</v>
      </c>
      <c r="S32" s="303">
        <f t="shared" si="1"/>
        <v>158541418.88</v>
      </c>
      <c r="T32" s="307">
        <f>+IFERROR(VLOOKUP(C32,'Tasas Diarias'!$B:$F,5,FALSE)*G32,0)</f>
        <v>0</v>
      </c>
      <c r="U32" s="311" t="str">
        <f>+VLOOKUP(C32,Spreads!$A$2:$G$345,7,0)</f>
        <v/>
      </c>
    </row>
    <row r="33" spans="1:21" ht="15" hidden="1" customHeight="1" thickTop="1" thickBot="1">
      <c r="A33" s="321" t="s">
        <v>2137</v>
      </c>
      <c r="B33" s="322" t="s">
        <v>260</v>
      </c>
      <c r="C33" s="322" t="s">
        <v>22</v>
      </c>
      <c r="D33" s="322" t="s">
        <v>305</v>
      </c>
      <c r="E33" s="323">
        <v>193222354</v>
      </c>
      <c r="F33" s="323">
        <v>195000000</v>
      </c>
      <c r="G33" s="314">
        <v>9.2169999999999995E-3</v>
      </c>
      <c r="H33" s="324">
        <v>2.88</v>
      </c>
      <c r="I33" s="322" t="s">
        <v>1438</v>
      </c>
      <c r="J33" s="322">
        <v>114</v>
      </c>
      <c r="K33" s="322">
        <v>0.32</v>
      </c>
      <c r="L33" s="322">
        <v>99.088386</v>
      </c>
      <c r="M33" s="322" t="s">
        <v>9</v>
      </c>
      <c r="N33" s="322" t="s">
        <v>374</v>
      </c>
      <c r="O33" s="322" t="s">
        <v>8</v>
      </c>
      <c r="P33" s="322" t="s">
        <v>375</v>
      </c>
      <c r="Q33" s="322" t="s">
        <v>326</v>
      </c>
      <c r="R33" s="322" t="s">
        <v>387</v>
      </c>
      <c r="S33" s="303">
        <f t="shared" si="1"/>
        <v>61831153.280000001</v>
      </c>
      <c r="T33" s="307">
        <f>+IFERROR(VLOOKUP(C33,'Tasas Diarias'!$B:$F,5,FALSE)*G33,0)</f>
        <v>0</v>
      </c>
      <c r="U33" s="311" t="str">
        <f>+VLOOKUP(C33,Spreads!$A$2:$G$345,7,0)</f>
        <v/>
      </c>
    </row>
    <row r="34" spans="1:21" ht="15" hidden="1" customHeight="1" thickTop="1" thickBot="1">
      <c r="A34" s="321" t="s">
        <v>2137</v>
      </c>
      <c r="B34" s="322" t="s">
        <v>260</v>
      </c>
      <c r="C34" s="322" t="s">
        <v>22</v>
      </c>
      <c r="D34" s="322" t="s">
        <v>72</v>
      </c>
      <c r="E34" s="323">
        <v>387734214</v>
      </c>
      <c r="F34" s="323">
        <v>391450000</v>
      </c>
      <c r="G34" s="314">
        <v>1.8495999999999999E-2</v>
      </c>
      <c r="H34" s="324">
        <v>3</v>
      </c>
      <c r="I34" s="322" t="s">
        <v>1438</v>
      </c>
      <c r="J34" s="322">
        <v>114</v>
      </c>
      <c r="K34" s="322">
        <v>0.32</v>
      </c>
      <c r="L34" s="322">
        <v>99.050763000000003</v>
      </c>
      <c r="M34" s="322" t="s">
        <v>9</v>
      </c>
      <c r="N34" s="322" t="s">
        <v>374</v>
      </c>
      <c r="O34" s="322" t="s">
        <v>8</v>
      </c>
      <c r="P34" s="322" t="s">
        <v>296</v>
      </c>
      <c r="Q34" s="322" t="s">
        <v>325</v>
      </c>
      <c r="R34" s="322" t="s">
        <v>393</v>
      </c>
      <c r="S34" s="303">
        <f t="shared" si="1"/>
        <v>124074948.48</v>
      </c>
      <c r="T34" s="307">
        <f>+IFERROR(VLOOKUP(C34,'Tasas Diarias'!$B:$F,5,FALSE)*G34,0)</f>
        <v>0</v>
      </c>
      <c r="U34" s="311" t="str">
        <f>+VLOOKUP(C34,Spreads!$A$2:$G$345,7,0)</f>
        <v/>
      </c>
    </row>
    <row r="35" spans="1:21" ht="15" hidden="1" customHeight="1" thickTop="1" thickBot="1">
      <c r="A35" s="321" t="s">
        <v>2137</v>
      </c>
      <c r="B35" s="322" t="s">
        <v>260</v>
      </c>
      <c r="C35" s="322" t="s">
        <v>22</v>
      </c>
      <c r="D35" s="322" t="s">
        <v>305</v>
      </c>
      <c r="E35" s="323">
        <v>483616764</v>
      </c>
      <c r="F35" s="323">
        <v>488259485</v>
      </c>
      <c r="G35" s="314">
        <v>2.3068999999999999E-2</v>
      </c>
      <c r="H35" s="324">
        <v>2.88</v>
      </c>
      <c r="I35" s="322" t="s">
        <v>1432</v>
      </c>
      <c r="J35" s="322">
        <v>119</v>
      </c>
      <c r="K35" s="322">
        <v>0.33</v>
      </c>
      <c r="L35" s="322">
        <v>99.049127999999996</v>
      </c>
      <c r="M35" s="322" t="s">
        <v>9</v>
      </c>
      <c r="N35" s="322" t="s">
        <v>374</v>
      </c>
      <c r="O35" s="322" t="s">
        <v>8</v>
      </c>
      <c r="P35" s="322" t="s">
        <v>375</v>
      </c>
      <c r="Q35" s="322" t="s">
        <v>326</v>
      </c>
      <c r="R35" s="322" t="s">
        <v>387</v>
      </c>
      <c r="S35" s="303">
        <f t="shared" si="1"/>
        <v>159593532.12</v>
      </c>
      <c r="T35" s="307">
        <f>+IFERROR(VLOOKUP(C35,'Tasas Diarias'!$B:$F,5,FALSE)*G35,0)</f>
        <v>0</v>
      </c>
      <c r="U35" s="311" t="str">
        <f>+VLOOKUP(C35,Spreads!$A$2:$G$345,7,0)</f>
        <v/>
      </c>
    </row>
    <row r="36" spans="1:21" ht="15" hidden="1" customHeight="1" thickTop="1" thickBot="1">
      <c r="A36" s="321" t="s">
        <v>2137</v>
      </c>
      <c r="B36" s="322" t="s">
        <v>260</v>
      </c>
      <c r="C36" s="322" t="s">
        <v>22</v>
      </c>
      <c r="D36" s="322" t="s">
        <v>23</v>
      </c>
      <c r="E36" s="323">
        <v>198098257</v>
      </c>
      <c r="F36" s="323">
        <v>200000000</v>
      </c>
      <c r="G36" s="314">
        <v>9.4490000000000008E-3</v>
      </c>
      <c r="H36" s="324">
        <v>2.88</v>
      </c>
      <c r="I36" s="322" t="s">
        <v>1432</v>
      </c>
      <c r="J36" s="322">
        <v>119</v>
      </c>
      <c r="K36" s="322">
        <v>0.33</v>
      </c>
      <c r="L36" s="322">
        <v>99.049127999999996</v>
      </c>
      <c r="M36" s="322" t="s">
        <v>9</v>
      </c>
      <c r="N36" s="322" t="s">
        <v>374</v>
      </c>
      <c r="O36" s="322" t="s">
        <v>8</v>
      </c>
      <c r="P36" s="322" t="s">
        <v>375</v>
      </c>
      <c r="Q36" s="322" t="s">
        <v>67</v>
      </c>
      <c r="R36" s="322" t="s">
        <v>376</v>
      </c>
      <c r="S36" s="303">
        <f t="shared" si="1"/>
        <v>65372424.810000002</v>
      </c>
      <c r="T36" s="307">
        <f>+IFERROR(VLOOKUP(C36,'Tasas Diarias'!$B:$F,5,FALSE)*G36,0)</f>
        <v>0</v>
      </c>
      <c r="U36" s="311" t="str">
        <f>+VLOOKUP(C36,Spreads!$A$2:$G$345,7,0)</f>
        <v/>
      </c>
    </row>
    <row r="37" spans="1:21" ht="15" hidden="1" customHeight="1" thickTop="1" thickBot="1">
      <c r="A37" s="317" t="s">
        <v>2137</v>
      </c>
      <c r="B37" s="318" t="s">
        <v>260</v>
      </c>
      <c r="C37" s="318" t="s">
        <v>22</v>
      </c>
      <c r="D37" s="318" t="s">
        <v>174</v>
      </c>
      <c r="E37" s="319">
        <v>197941409</v>
      </c>
      <c r="F37" s="319">
        <v>200000000</v>
      </c>
      <c r="G37" s="314">
        <v>9.4420000000000007E-3</v>
      </c>
      <c r="H37" s="320">
        <v>3.12</v>
      </c>
      <c r="I37" s="318" t="s">
        <v>1432</v>
      </c>
      <c r="J37" s="318">
        <v>119</v>
      </c>
      <c r="K37" s="318">
        <v>0.33</v>
      </c>
      <c r="L37" s="318">
        <v>98.970703999999998</v>
      </c>
      <c r="M37" s="318" t="s">
        <v>9</v>
      </c>
      <c r="N37" s="318" t="s">
        <v>374</v>
      </c>
      <c r="O37" s="318" t="s">
        <v>8</v>
      </c>
      <c r="P37" s="318" t="s">
        <v>375</v>
      </c>
      <c r="Q37" s="318" t="s">
        <v>60</v>
      </c>
      <c r="R37" s="318" t="s">
        <v>408</v>
      </c>
      <c r="S37" s="303">
        <f t="shared" si="1"/>
        <v>65320664.970000006</v>
      </c>
      <c r="T37" s="307">
        <f>+IFERROR(VLOOKUP(C37,'Tasas Diarias'!$B:$F,5,FALSE)*G37,0)</f>
        <v>0</v>
      </c>
      <c r="U37" s="311" t="str">
        <f>+VLOOKUP(C37,Spreads!$A$2:$G$345,7,0)</f>
        <v/>
      </c>
    </row>
    <row r="38" spans="1:21" ht="15" hidden="1" customHeight="1" thickTop="1" thickBot="1">
      <c r="A38" s="321" t="s">
        <v>2137</v>
      </c>
      <c r="B38" s="322" t="s">
        <v>260</v>
      </c>
      <c r="C38" s="322" t="s">
        <v>22</v>
      </c>
      <c r="D38" s="322" t="s">
        <v>1838</v>
      </c>
      <c r="E38" s="323">
        <v>158428390</v>
      </c>
      <c r="F38" s="323">
        <v>160000000</v>
      </c>
      <c r="G38" s="314">
        <v>7.5570000000000003E-3</v>
      </c>
      <c r="H38" s="324">
        <v>2.88</v>
      </c>
      <c r="I38" s="322" t="s">
        <v>1605</v>
      </c>
      <c r="J38" s="322">
        <v>123</v>
      </c>
      <c r="K38" s="322">
        <v>0.34</v>
      </c>
      <c r="L38" s="322">
        <v>99.017742999999996</v>
      </c>
      <c r="M38" s="322" t="s">
        <v>9</v>
      </c>
      <c r="N38" s="322" t="s">
        <v>374</v>
      </c>
      <c r="O38" s="322" t="s">
        <v>8</v>
      </c>
      <c r="P38" s="322" t="s">
        <v>375</v>
      </c>
      <c r="Q38" s="322" t="s">
        <v>326</v>
      </c>
      <c r="R38" s="322" t="s">
        <v>1839</v>
      </c>
      <c r="S38" s="303">
        <f t="shared" si="1"/>
        <v>53865652.600000001</v>
      </c>
      <c r="T38" s="307">
        <f>+IFERROR(VLOOKUP(C38,'Tasas Diarias'!$B:$F,5,FALSE)*G38,0)</f>
        <v>0</v>
      </c>
      <c r="U38" s="311" t="str">
        <f>+VLOOKUP(C38,Spreads!$A$2:$G$345,7,0)</f>
        <v/>
      </c>
    </row>
    <row r="39" spans="1:21" ht="15" hidden="1" customHeight="1" thickTop="1" thickBot="1">
      <c r="A39" s="321" t="s">
        <v>2137</v>
      </c>
      <c r="B39" s="322" t="s">
        <v>260</v>
      </c>
      <c r="C39" s="322" t="s">
        <v>437</v>
      </c>
      <c r="D39" s="322" t="s">
        <v>32</v>
      </c>
      <c r="E39" s="323">
        <v>27040863</v>
      </c>
      <c r="F39" s="323">
        <v>1000</v>
      </c>
      <c r="G39" s="314">
        <v>1.289E-3</v>
      </c>
      <c r="H39" s="324">
        <v>1</v>
      </c>
      <c r="I39" s="322" t="s">
        <v>434</v>
      </c>
      <c r="J39" s="322">
        <v>132</v>
      </c>
      <c r="K39" s="322">
        <v>0.36</v>
      </c>
      <c r="L39" s="322">
        <v>100.9</v>
      </c>
      <c r="M39" s="322" t="s">
        <v>6</v>
      </c>
      <c r="N39" s="322" t="s">
        <v>368</v>
      </c>
      <c r="O39" s="322" t="s">
        <v>8</v>
      </c>
      <c r="P39" s="322" t="s">
        <v>379</v>
      </c>
      <c r="Q39" s="322" t="s">
        <v>67</v>
      </c>
      <c r="R39" s="322" t="s">
        <v>389</v>
      </c>
      <c r="S39" s="303">
        <f t="shared" si="1"/>
        <v>9734710.6799999997</v>
      </c>
      <c r="T39" s="307">
        <f>+IFERROR(VLOOKUP(C39,'Tasas Diarias'!$B:$F,5,FALSE)*G39,0)</f>
        <v>4.3225643835616394E-7</v>
      </c>
      <c r="U39" s="311" t="str">
        <f ca="1">+VLOOKUP(C39,Spreads!$A$2:$G$345,7,0)</f>
        <v/>
      </c>
    </row>
    <row r="40" spans="1:21" ht="15" hidden="1" customHeight="1" thickTop="1" thickBot="1">
      <c r="A40" s="317" t="s">
        <v>2137</v>
      </c>
      <c r="B40" s="318" t="s">
        <v>260</v>
      </c>
      <c r="C40" s="318" t="s">
        <v>541</v>
      </c>
      <c r="D40" s="318" t="s">
        <v>182</v>
      </c>
      <c r="E40" s="319">
        <v>175157105</v>
      </c>
      <c r="F40" s="319">
        <v>6500</v>
      </c>
      <c r="G40" s="314">
        <v>8.3549999999999996E-3</v>
      </c>
      <c r="H40" s="318">
        <v>1.24</v>
      </c>
      <c r="I40" s="318" t="s">
        <v>434</v>
      </c>
      <c r="J40" s="318">
        <v>132</v>
      </c>
      <c r="K40" s="318">
        <v>0.36</v>
      </c>
      <c r="L40" s="318">
        <v>100.63</v>
      </c>
      <c r="M40" s="318" t="s">
        <v>6</v>
      </c>
      <c r="N40" s="318" t="s">
        <v>368</v>
      </c>
      <c r="O40" s="318" t="s">
        <v>8</v>
      </c>
      <c r="P40" s="318" t="s">
        <v>7</v>
      </c>
      <c r="Q40" s="318" t="s">
        <v>390</v>
      </c>
      <c r="R40" s="318" t="s">
        <v>402</v>
      </c>
      <c r="S40" s="303">
        <f t="shared" si="1"/>
        <v>63056557.799999997</v>
      </c>
      <c r="T40" s="307">
        <f>+IFERROR(VLOOKUP(C40,'Tasas Diarias'!$B:$F,5,FALSE)*G40,0)</f>
        <v>-3.1520095890410841E-6</v>
      </c>
      <c r="U40" s="311" t="str">
        <f ca="1">+VLOOKUP(C40,Spreads!$A$2:$G$345,7,0)</f>
        <v/>
      </c>
    </row>
    <row r="41" spans="1:21" ht="15" hidden="1" customHeight="1" thickTop="1" thickBot="1">
      <c r="A41" s="321" t="s">
        <v>2137</v>
      </c>
      <c r="B41" s="322" t="s">
        <v>260</v>
      </c>
      <c r="C41" s="322" t="s">
        <v>22</v>
      </c>
      <c r="D41" s="322" t="s">
        <v>72</v>
      </c>
      <c r="E41" s="323">
        <v>395582660</v>
      </c>
      <c r="F41" s="323">
        <v>400000000</v>
      </c>
      <c r="G41" s="314">
        <v>1.8870000000000001E-2</v>
      </c>
      <c r="H41" s="324">
        <v>3</v>
      </c>
      <c r="I41" s="322" t="s">
        <v>1542</v>
      </c>
      <c r="J41" s="322">
        <v>133</v>
      </c>
      <c r="K41" s="322">
        <v>0.37</v>
      </c>
      <c r="L41" s="322">
        <v>98.895664999999994</v>
      </c>
      <c r="M41" s="322" t="s">
        <v>9</v>
      </c>
      <c r="N41" s="322" t="s">
        <v>374</v>
      </c>
      <c r="O41" s="322" t="s">
        <v>8</v>
      </c>
      <c r="P41" s="322" t="s">
        <v>296</v>
      </c>
      <c r="Q41" s="322" t="s">
        <v>325</v>
      </c>
      <c r="R41" s="322" t="s">
        <v>393</v>
      </c>
      <c r="S41" s="303">
        <f t="shared" si="1"/>
        <v>146365584.19999999</v>
      </c>
      <c r="T41" s="307">
        <f>+IFERROR(VLOOKUP(C41,'Tasas Diarias'!$B:$F,5,FALSE)*G41,0)</f>
        <v>0</v>
      </c>
      <c r="U41" s="311" t="str">
        <f>+VLOOKUP(C41,Spreads!$A$2:$G$345,7,0)</f>
        <v/>
      </c>
    </row>
    <row r="42" spans="1:21" ht="15" hidden="1" customHeight="1" thickTop="1" thickBot="1">
      <c r="A42" s="321" t="s">
        <v>2137</v>
      </c>
      <c r="B42" s="322" t="s">
        <v>260</v>
      </c>
      <c r="C42" s="322" t="s">
        <v>22</v>
      </c>
      <c r="D42" s="322" t="s">
        <v>169</v>
      </c>
      <c r="E42" s="323">
        <v>494618550</v>
      </c>
      <c r="F42" s="323">
        <v>500000000</v>
      </c>
      <c r="G42" s="314">
        <v>2.3594E-2</v>
      </c>
      <c r="H42" s="324">
        <v>2.88</v>
      </c>
      <c r="I42" s="322" t="s">
        <v>1439</v>
      </c>
      <c r="J42" s="322">
        <v>135</v>
      </c>
      <c r="K42" s="322">
        <v>0.37</v>
      </c>
      <c r="L42" s="322">
        <v>98.92371</v>
      </c>
      <c r="M42" s="322" t="s">
        <v>9</v>
      </c>
      <c r="N42" s="322" t="s">
        <v>374</v>
      </c>
      <c r="O42" s="322" t="s">
        <v>8</v>
      </c>
      <c r="P42" s="322" t="s">
        <v>375</v>
      </c>
      <c r="Q42" s="322" t="s">
        <v>51</v>
      </c>
      <c r="R42" s="322" t="s">
        <v>385</v>
      </c>
      <c r="S42" s="303">
        <f t="shared" si="1"/>
        <v>183008863.5</v>
      </c>
      <c r="T42" s="307">
        <f>+IFERROR(VLOOKUP(C42,'Tasas Diarias'!$B:$F,5,FALSE)*G42,0)</f>
        <v>0</v>
      </c>
      <c r="U42" s="311" t="str">
        <f>+VLOOKUP(C42,Spreads!$A$2:$G$345,7,0)</f>
        <v/>
      </c>
    </row>
    <row r="43" spans="1:21" ht="15" hidden="1" customHeight="1" thickTop="1" thickBot="1">
      <c r="A43" s="317" t="s">
        <v>2137</v>
      </c>
      <c r="B43" s="318" t="s">
        <v>260</v>
      </c>
      <c r="C43" s="318" t="s">
        <v>440</v>
      </c>
      <c r="D43" s="318" t="s">
        <v>182</v>
      </c>
      <c r="E43" s="319">
        <v>26924443</v>
      </c>
      <c r="F43" s="319">
        <v>1000</v>
      </c>
      <c r="G43" s="314">
        <v>1.284E-3</v>
      </c>
      <c r="H43" s="320">
        <v>1.4</v>
      </c>
      <c r="I43" s="318" t="s">
        <v>441</v>
      </c>
      <c r="J43" s="318">
        <v>140</v>
      </c>
      <c r="K43" s="318">
        <v>0.38</v>
      </c>
      <c r="L43" s="318">
        <v>100.61</v>
      </c>
      <c r="M43" s="318" t="s">
        <v>6</v>
      </c>
      <c r="N43" s="318" t="s">
        <v>368</v>
      </c>
      <c r="O43" s="318" t="s">
        <v>8</v>
      </c>
      <c r="P43" s="318" t="s">
        <v>7</v>
      </c>
      <c r="Q43" s="318" t="s">
        <v>390</v>
      </c>
      <c r="R43" s="318" t="s">
        <v>402</v>
      </c>
      <c r="S43" s="303">
        <f t="shared" si="1"/>
        <v>10231288.34</v>
      </c>
      <c r="T43" s="307">
        <f>+IFERROR(VLOOKUP(C43,'Tasas Diarias'!$B:$F,5,FALSE)*G43,0)</f>
        <v>5.6636712328766052E-8</v>
      </c>
      <c r="U43" s="311" t="str">
        <f ca="1">+VLOOKUP(C43,Spreads!$A$2:$G$345,7,0)</f>
        <v/>
      </c>
    </row>
    <row r="44" spans="1:21" ht="15" hidden="1" customHeight="1" thickTop="1" thickBot="1">
      <c r="A44" s="317" t="s">
        <v>2137</v>
      </c>
      <c r="B44" s="318" t="s">
        <v>260</v>
      </c>
      <c r="C44" s="318" t="s">
        <v>22</v>
      </c>
      <c r="D44" s="318" t="s">
        <v>171</v>
      </c>
      <c r="E44" s="319">
        <v>217306844</v>
      </c>
      <c r="F44" s="319">
        <v>220000000</v>
      </c>
      <c r="G44" s="314">
        <v>1.0366E-2</v>
      </c>
      <c r="H44" s="320">
        <v>3.12</v>
      </c>
      <c r="I44" s="318" t="s">
        <v>1452</v>
      </c>
      <c r="J44" s="318">
        <v>142</v>
      </c>
      <c r="K44" s="318">
        <v>0.39</v>
      </c>
      <c r="L44" s="318">
        <v>98.775837999999993</v>
      </c>
      <c r="M44" s="318" t="s">
        <v>9</v>
      </c>
      <c r="N44" s="318" t="s">
        <v>374</v>
      </c>
      <c r="O44" s="318" t="s">
        <v>8</v>
      </c>
      <c r="P44" s="318" t="s">
        <v>375</v>
      </c>
      <c r="Q44" s="318" t="s">
        <v>88</v>
      </c>
      <c r="R44" s="318" t="s">
        <v>381</v>
      </c>
      <c r="S44" s="303">
        <f t="shared" si="1"/>
        <v>84749669.159999996</v>
      </c>
      <c r="T44" s="307">
        <f>+IFERROR(VLOOKUP(C44,'Tasas Diarias'!$B:$F,5,FALSE)*G44,0)</f>
        <v>0</v>
      </c>
      <c r="U44" s="311" t="str">
        <f>+VLOOKUP(C44,Spreads!$A$2:$G$345,7,0)</f>
        <v/>
      </c>
    </row>
    <row r="45" spans="1:21" ht="15" hidden="1" customHeight="1" thickTop="1" thickBot="1">
      <c r="A45" s="321" t="s">
        <v>2137</v>
      </c>
      <c r="B45" s="322" t="s">
        <v>260</v>
      </c>
      <c r="C45" s="322" t="s">
        <v>22</v>
      </c>
      <c r="D45" s="322" t="s">
        <v>165</v>
      </c>
      <c r="E45" s="323">
        <v>428009332</v>
      </c>
      <c r="F45" s="323">
        <v>432940000</v>
      </c>
      <c r="G45" s="314">
        <v>2.0417000000000001E-2</v>
      </c>
      <c r="H45" s="324">
        <v>2.88</v>
      </c>
      <c r="I45" s="322" t="s">
        <v>1448</v>
      </c>
      <c r="J45" s="322">
        <v>143</v>
      </c>
      <c r="K45" s="322">
        <v>0.39</v>
      </c>
      <c r="L45" s="322">
        <v>98.861119000000002</v>
      </c>
      <c r="M45" s="322" t="s">
        <v>9</v>
      </c>
      <c r="N45" s="322" t="s">
        <v>374</v>
      </c>
      <c r="O45" s="322" t="s">
        <v>8</v>
      </c>
      <c r="P45" s="322" t="s">
        <v>375</v>
      </c>
      <c r="Q45" s="322" t="s">
        <v>74</v>
      </c>
      <c r="R45" s="322" t="s">
        <v>380</v>
      </c>
      <c r="S45" s="303">
        <f t="shared" si="1"/>
        <v>166923639.48000002</v>
      </c>
      <c r="T45" s="307">
        <f>+IFERROR(VLOOKUP(C45,'Tasas Diarias'!$B:$F,5,FALSE)*G45,0)</f>
        <v>0</v>
      </c>
      <c r="U45" s="311" t="str">
        <f>+VLOOKUP(C45,Spreads!$A$2:$G$345,7,0)</f>
        <v/>
      </c>
    </row>
    <row r="46" spans="1:21" ht="15" hidden="1" customHeight="1" thickTop="1" thickBot="1">
      <c r="A46" s="317" t="s">
        <v>2137</v>
      </c>
      <c r="B46" s="318" t="s">
        <v>260</v>
      </c>
      <c r="C46" s="318" t="s">
        <v>22</v>
      </c>
      <c r="D46" s="318" t="s">
        <v>382</v>
      </c>
      <c r="E46" s="319">
        <v>98758929</v>
      </c>
      <c r="F46" s="319">
        <v>100000000</v>
      </c>
      <c r="G46" s="314">
        <v>4.7109999999999999E-3</v>
      </c>
      <c r="H46" s="320">
        <v>3.12</v>
      </c>
      <c r="I46" s="318" t="s">
        <v>1426</v>
      </c>
      <c r="J46" s="318">
        <v>144</v>
      </c>
      <c r="K46" s="318">
        <v>0.4</v>
      </c>
      <c r="L46" s="318">
        <v>98.758928999999995</v>
      </c>
      <c r="M46" s="318" t="s">
        <v>9</v>
      </c>
      <c r="N46" s="318" t="s">
        <v>374</v>
      </c>
      <c r="O46" s="318" t="s">
        <v>8</v>
      </c>
      <c r="P46" s="318" t="s">
        <v>375</v>
      </c>
      <c r="Q46" s="318" t="s">
        <v>382</v>
      </c>
      <c r="R46" s="318" t="s">
        <v>383</v>
      </c>
      <c r="S46" s="303">
        <f t="shared" si="1"/>
        <v>39503571.600000001</v>
      </c>
      <c r="T46" s="307">
        <f>+IFERROR(VLOOKUP(C46,'Tasas Diarias'!$B:$F,5,FALSE)*G46,0)</f>
        <v>0</v>
      </c>
      <c r="U46" s="311" t="str">
        <f>+VLOOKUP(C46,Spreads!$A$2:$G$345,7,0)</f>
        <v/>
      </c>
    </row>
    <row r="47" spans="1:21" ht="15" hidden="1" customHeight="1" thickTop="1" thickBot="1">
      <c r="A47" s="317" t="s">
        <v>2137</v>
      </c>
      <c r="B47" s="318" t="s">
        <v>260</v>
      </c>
      <c r="C47" s="318" t="s">
        <v>409</v>
      </c>
      <c r="D47" s="318" t="s">
        <v>382</v>
      </c>
      <c r="E47" s="319">
        <v>132883046</v>
      </c>
      <c r="F47" s="319">
        <v>520000000</v>
      </c>
      <c r="G47" s="314">
        <v>6.3379999999999999E-3</v>
      </c>
      <c r="H47" s="320">
        <v>3.39</v>
      </c>
      <c r="I47" s="318" t="s">
        <v>410</v>
      </c>
      <c r="J47" s="318">
        <v>237</v>
      </c>
      <c r="K47" s="318">
        <v>0.4</v>
      </c>
      <c r="L47" s="318">
        <v>100.55</v>
      </c>
      <c r="M47" s="318" t="s">
        <v>9</v>
      </c>
      <c r="N47" s="318" t="s">
        <v>368</v>
      </c>
      <c r="O47" s="318" t="s">
        <v>8</v>
      </c>
      <c r="P47" s="318" t="s">
        <v>7</v>
      </c>
      <c r="Q47" s="318" t="s">
        <v>382</v>
      </c>
      <c r="R47" s="318" t="s">
        <v>411</v>
      </c>
      <c r="S47" s="303">
        <f t="shared" si="1"/>
        <v>53153218.400000006</v>
      </c>
      <c r="T47" s="307">
        <f>+IFERROR(VLOOKUP(C47,'Tasas Diarias'!$B:$F,5,FALSE)*G47,0)</f>
        <v>0</v>
      </c>
      <c r="U47" s="311" t="str">
        <f ca="1">+VLOOKUP(C47,Spreads!$A$2:$G$345,7,0)</f>
        <v/>
      </c>
    </row>
    <row r="48" spans="1:21" ht="15" hidden="1" customHeight="1" thickTop="1" thickBot="1">
      <c r="A48" s="317" t="s">
        <v>2137</v>
      </c>
      <c r="B48" s="318" t="s">
        <v>260</v>
      </c>
      <c r="C48" s="318" t="s">
        <v>22</v>
      </c>
      <c r="D48" s="318" t="s">
        <v>72</v>
      </c>
      <c r="E48" s="319">
        <v>197450259</v>
      </c>
      <c r="F48" s="319">
        <v>200000000</v>
      </c>
      <c r="G48" s="314">
        <v>9.4179999999999993E-3</v>
      </c>
      <c r="H48" s="320">
        <v>3.12</v>
      </c>
      <c r="I48" s="318" t="s">
        <v>1557</v>
      </c>
      <c r="J48" s="318">
        <v>148</v>
      </c>
      <c r="K48" s="318">
        <v>0.41</v>
      </c>
      <c r="L48" s="318">
        <v>98.725128999999995</v>
      </c>
      <c r="M48" s="318" t="s">
        <v>9</v>
      </c>
      <c r="N48" s="318" t="s">
        <v>374</v>
      </c>
      <c r="O48" s="318" t="s">
        <v>8</v>
      </c>
      <c r="P48" s="318" t="s">
        <v>296</v>
      </c>
      <c r="Q48" s="318" t="s">
        <v>325</v>
      </c>
      <c r="R48" s="318" t="s">
        <v>393</v>
      </c>
      <c r="S48" s="303">
        <f t="shared" si="1"/>
        <v>80954606.189999998</v>
      </c>
      <c r="T48" s="307">
        <f>+IFERROR(VLOOKUP(C48,'Tasas Diarias'!$B:$F,5,FALSE)*G48,0)</f>
        <v>0</v>
      </c>
      <c r="U48" s="311" t="str">
        <f>+VLOOKUP(C48,Spreads!$A$2:$G$345,7,0)</f>
        <v/>
      </c>
    </row>
    <row r="49" spans="1:21" ht="15" hidden="1" customHeight="1" thickTop="1" thickBot="1">
      <c r="A49" s="317" t="s">
        <v>2137</v>
      </c>
      <c r="B49" s="318" t="s">
        <v>260</v>
      </c>
      <c r="C49" s="318" t="s">
        <v>446</v>
      </c>
      <c r="D49" s="318" t="s">
        <v>166</v>
      </c>
      <c r="E49" s="319">
        <v>296109079</v>
      </c>
      <c r="F49" s="319">
        <v>11000</v>
      </c>
      <c r="G49" s="314">
        <v>1.4125E-2</v>
      </c>
      <c r="H49" s="320">
        <v>1.75</v>
      </c>
      <c r="I49" s="318" t="s">
        <v>1456</v>
      </c>
      <c r="J49" s="318">
        <v>168</v>
      </c>
      <c r="K49" s="318">
        <v>0.46</v>
      </c>
      <c r="L49" s="318">
        <v>100.8</v>
      </c>
      <c r="M49" s="318" t="s">
        <v>6</v>
      </c>
      <c r="N49" s="318" t="s">
        <v>368</v>
      </c>
      <c r="O49" s="318" t="s">
        <v>429</v>
      </c>
      <c r="P49" s="318" t="s">
        <v>392</v>
      </c>
      <c r="Q49" s="318" t="s">
        <v>57</v>
      </c>
      <c r="R49" s="318" t="s">
        <v>447</v>
      </c>
      <c r="S49" s="303">
        <f t="shared" si="1"/>
        <v>136210176.34</v>
      </c>
      <c r="T49" s="307">
        <f>+IFERROR(VLOOKUP(C49,'Tasas Diarias'!$B:$F,5,FALSE)*G49,0)</f>
        <v>1.4390720596033527E-6</v>
      </c>
      <c r="U49" s="311" t="str">
        <f ca="1">+VLOOKUP(C49,Spreads!$A$2:$G$345,7,0)</f>
        <v/>
      </c>
    </row>
    <row r="50" spans="1:21" ht="15" hidden="1" customHeight="1" thickTop="1" thickBot="1">
      <c r="A50" s="317" t="s">
        <v>2137</v>
      </c>
      <c r="B50" s="318" t="s">
        <v>260</v>
      </c>
      <c r="C50" s="318" t="s">
        <v>22</v>
      </c>
      <c r="D50" s="318" t="s">
        <v>171</v>
      </c>
      <c r="E50" s="319">
        <v>984303638</v>
      </c>
      <c r="F50" s="319">
        <v>1000000000</v>
      </c>
      <c r="G50" s="314">
        <v>4.6954000000000003E-2</v>
      </c>
      <c r="H50" s="320">
        <v>3.12</v>
      </c>
      <c r="I50" s="318" t="s">
        <v>1553</v>
      </c>
      <c r="J50" s="318">
        <v>183</v>
      </c>
      <c r="K50" s="318">
        <v>0.5</v>
      </c>
      <c r="L50" s="318">
        <v>98.430363</v>
      </c>
      <c r="M50" s="318" t="s">
        <v>9</v>
      </c>
      <c r="N50" s="318" t="s">
        <v>374</v>
      </c>
      <c r="O50" s="318" t="s">
        <v>8</v>
      </c>
      <c r="P50" s="318" t="s">
        <v>375</v>
      </c>
      <c r="Q50" s="318" t="s">
        <v>88</v>
      </c>
      <c r="R50" s="318" t="s">
        <v>381</v>
      </c>
      <c r="S50" s="303">
        <f t="shared" si="1"/>
        <v>492151819</v>
      </c>
      <c r="T50" s="307">
        <f>+IFERROR(VLOOKUP(C50,'Tasas Diarias'!$B:$F,5,FALSE)*G50,0)</f>
        <v>0</v>
      </c>
      <c r="U50" s="311" t="str">
        <f>+VLOOKUP(C50,Spreads!$A$2:$G$345,7,0)</f>
        <v/>
      </c>
    </row>
    <row r="51" spans="1:21" ht="15" hidden="1" customHeight="1" thickTop="1" thickBot="1">
      <c r="A51" s="317" t="s">
        <v>2137</v>
      </c>
      <c r="B51" s="318" t="s">
        <v>260</v>
      </c>
      <c r="C51" s="318" t="s">
        <v>22</v>
      </c>
      <c r="D51" s="318" t="s">
        <v>165</v>
      </c>
      <c r="E51" s="319">
        <v>344686089</v>
      </c>
      <c r="F51" s="319">
        <v>350000000</v>
      </c>
      <c r="G51" s="314">
        <v>1.6441999999999998E-2</v>
      </c>
      <c r="H51" s="320">
        <v>3</v>
      </c>
      <c r="I51" s="318" t="s">
        <v>2138</v>
      </c>
      <c r="J51" s="318">
        <v>184</v>
      </c>
      <c r="K51" s="318">
        <v>0.51</v>
      </c>
      <c r="L51" s="318">
        <v>98.481739000000005</v>
      </c>
      <c r="M51" s="318" t="s">
        <v>9</v>
      </c>
      <c r="N51" s="318" t="s">
        <v>374</v>
      </c>
      <c r="O51" s="318" t="s">
        <v>8</v>
      </c>
      <c r="P51" s="318" t="s">
        <v>375</v>
      </c>
      <c r="Q51" s="318" t="s">
        <v>74</v>
      </c>
      <c r="R51" s="318" t="s">
        <v>380</v>
      </c>
      <c r="S51" s="303">
        <f t="shared" si="1"/>
        <v>175789905.39000002</v>
      </c>
      <c r="T51" s="307">
        <f>+IFERROR(VLOOKUP(C51,'Tasas Diarias'!$B:$F,5,FALSE)*G51,0)</f>
        <v>0</v>
      </c>
      <c r="U51" s="311" t="str">
        <f>+VLOOKUP(C51,Spreads!$A$2:$G$345,7,0)</f>
        <v/>
      </c>
    </row>
    <row r="52" spans="1:21" ht="15" hidden="1" customHeight="1" thickTop="1" thickBot="1">
      <c r="A52" s="317" t="s">
        <v>2137</v>
      </c>
      <c r="B52" s="318" t="s">
        <v>260</v>
      </c>
      <c r="C52" s="318" t="s">
        <v>2100</v>
      </c>
      <c r="D52" s="318" t="s">
        <v>469</v>
      </c>
      <c r="E52" s="319">
        <v>18308784</v>
      </c>
      <c r="F52" s="319">
        <v>2000</v>
      </c>
      <c r="G52" s="314">
        <v>8.7299999999999997E-4</v>
      </c>
      <c r="H52" s="320">
        <v>0.95</v>
      </c>
      <c r="I52" s="318" t="s">
        <v>1829</v>
      </c>
      <c r="J52" s="318">
        <v>191</v>
      </c>
      <c r="K52" s="318">
        <v>0.51</v>
      </c>
      <c r="L52" s="318">
        <v>101.29</v>
      </c>
      <c r="M52" s="318" t="s">
        <v>6</v>
      </c>
      <c r="N52" s="318" t="s">
        <v>368</v>
      </c>
      <c r="O52" s="318" t="s">
        <v>429</v>
      </c>
      <c r="P52" s="318" t="s">
        <v>7</v>
      </c>
      <c r="Q52" s="318" t="s">
        <v>471</v>
      </c>
      <c r="R52" s="318" t="s">
        <v>472</v>
      </c>
      <c r="S52" s="303">
        <f t="shared" si="1"/>
        <v>9337479.8399999999</v>
      </c>
      <c r="T52" s="307">
        <f>+IFERROR(VLOOKUP(C52,'Tasas Diarias'!$B:$F,5,FALSE)*G52,0)</f>
        <v>0</v>
      </c>
      <c r="U52" s="311" t="e">
        <f>+VLOOKUP(C52,Spreads!$A$2:$G$345,7,0)</f>
        <v>#N/A</v>
      </c>
    </row>
    <row r="53" spans="1:21" ht="15" hidden="1" customHeight="1" thickTop="1" thickBot="1">
      <c r="A53" s="317" t="s">
        <v>2137</v>
      </c>
      <c r="B53" s="318" t="s">
        <v>260</v>
      </c>
      <c r="C53" s="318" t="s">
        <v>448</v>
      </c>
      <c r="D53" s="318" t="s">
        <v>176</v>
      </c>
      <c r="E53" s="319">
        <v>73399183</v>
      </c>
      <c r="F53" s="319">
        <v>70000000</v>
      </c>
      <c r="G53" s="314">
        <v>3.5010000000000002E-3</v>
      </c>
      <c r="H53" s="320">
        <v>3.24</v>
      </c>
      <c r="I53" s="318" t="s">
        <v>449</v>
      </c>
      <c r="J53" s="318">
        <v>193</v>
      </c>
      <c r="K53" s="318">
        <v>0.51</v>
      </c>
      <c r="L53" s="318">
        <v>101.71</v>
      </c>
      <c r="M53" s="318" t="s">
        <v>9</v>
      </c>
      <c r="N53" s="318" t="s">
        <v>368</v>
      </c>
      <c r="O53" s="318" t="s">
        <v>8</v>
      </c>
      <c r="P53" s="318" t="s">
        <v>7</v>
      </c>
      <c r="Q53" s="318" t="s">
        <v>326</v>
      </c>
      <c r="R53" s="318" t="s">
        <v>450</v>
      </c>
      <c r="S53" s="303">
        <f t="shared" si="1"/>
        <v>37433583.329999998</v>
      </c>
      <c r="T53" s="307">
        <f>+IFERROR(VLOOKUP(C53,'Tasas Diarias'!$B:$F,5,FALSE)*G53,0)</f>
        <v>0</v>
      </c>
      <c r="U53" s="311" t="str">
        <f ca="1">+VLOOKUP(C53,Spreads!$A$2:$G$345,7,0)</f>
        <v/>
      </c>
    </row>
    <row r="54" spans="1:21" ht="15" hidden="1" customHeight="1" thickTop="1" thickBot="1">
      <c r="A54" s="317" t="s">
        <v>2137</v>
      </c>
      <c r="B54" s="318" t="s">
        <v>260</v>
      </c>
      <c r="C54" s="318" t="s">
        <v>454</v>
      </c>
      <c r="D54" s="318" t="s">
        <v>32</v>
      </c>
      <c r="E54" s="319">
        <v>27467263</v>
      </c>
      <c r="F54" s="319">
        <v>1000</v>
      </c>
      <c r="G54" s="314">
        <v>1.31E-3</v>
      </c>
      <c r="H54" s="320">
        <v>0.97</v>
      </c>
      <c r="I54" s="318" t="s">
        <v>449</v>
      </c>
      <c r="J54" s="318">
        <v>193</v>
      </c>
      <c r="K54" s="318">
        <v>0.52</v>
      </c>
      <c r="L54" s="318">
        <v>101.31</v>
      </c>
      <c r="M54" s="318" t="s">
        <v>6</v>
      </c>
      <c r="N54" s="318" t="s">
        <v>368</v>
      </c>
      <c r="O54" s="318" t="s">
        <v>8</v>
      </c>
      <c r="P54" s="318" t="s">
        <v>379</v>
      </c>
      <c r="Q54" s="318" t="s">
        <v>67</v>
      </c>
      <c r="R54" s="318" t="s">
        <v>389</v>
      </c>
      <c r="S54" s="303">
        <f t="shared" si="1"/>
        <v>14282976.76</v>
      </c>
      <c r="T54" s="307">
        <f>+IFERROR(VLOOKUP(C54,'Tasas Diarias'!$B:$F,5,FALSE)*G54,0)</f>
        <v>0</v>
      </c>
      <c r="U54" s="311" t="str">
        <f ca="1">+VLOOKUP(C54,Spreads!$A$2:$G$345,7,0)</f>
        <v/>
      </c>
    </row>
    <row r="55" spans="1:21" ht="15" hidden="1" customHeight="1" thickTop="1" thickBot="1">
      <c r="A55" s="321" t="s">
        <v>2137</v>
      </c>
      <c r="B55" s="322" t="s">
        <v>260</v>
      </c>
      <c r="C55" s="322" t="s">
        <v>1545</v>
      </c>
      <c r="D55" s="322" t="s">
        <v>168</v>
      </c>
      <c r="E55" s="323">
        <v>219061908</v>
      </c>
      <c r="F55" s="323">
        <v>8000</v>
      </c>
      <c r="G55" s="314">
        <v>1.0449E-2</v>
      </c>
      <c r="H55" s="324">
        <v>0.96</v>
      </c>
      <c r="I55" s="322" t="s">
        <v>449</v>
      </c>
      <c r="J55" s="322">
        <v>193</v>
      </c>
      <c r="K55" s="322">
        <v>0.52</v>
      </c>
      <c r="L55" s="322">
        <v>101.15</v>
      </c>
      <c r="M55" s="322" t="s">
        <v>6</v>
      </c>
      <c r="N55" s="322" t="s">
        <v>368</v>
      </c>
      <c r="O55" s="322" t="s">
        <v>8</v>
      </c>
      <c r="P55" s="322" t="s">
        <v>379</v>
      </c>
      <c r="Q55" s="322" t="s">
        <v>77</v>
      </c>
      <c r="R55" s="322" t="s">
        <v>453</v>
      </c>
      <c r="S55" s="303">
        <f t="shared" si="1"/>
        <v>113912192.16000001</v>
      </c>
      <c r="T55" s="307">
        <f>+IFERROR(VLOOKUP(C55,'Tasas Diarias'!$B:$F,5,FALSE)*G55,0)</f>
        <v>6.0453222875368495E-7</v>
      </c>
      <c r="U55" s="311" t="e">
        <f>+VLOOKUP(C55,Spreads!$A$2:$G$345,7,0)</f>
        <v>#N/A</v>
      </c>
    </row>
    <row r="56" spans="1:21" ht="15" hidden="1" customHeight="1" thickTop="1" thickBot="1">
      <c r="A56" s="321" t="s">
        <v>2137</v>
      </c>
      <c r="B56" s="322" t="s">
        <v>260</v>
      </c>
      <c r="C56" s="322" t="s">
        <v>527</v>
      </c>
      <c r="D56" s="322" t="s">
        <v>528</v>
      </c>
      <c r="E56" s="323">
        <v>44555268</v>
      </c>
      <c r="F56" s="323">
        <v>4000</v>
      </c>
      <c r="G56" s="314">
        <v>2.1250000000000002E-3</v>
      </c>
      <c r="H56" s="324">
        <v>1.55</v>
      </c>
      <c r="I56" s="322" t="s">
        <v>529</v>
      </c>
      <c r="J56" s="322">
        <v>376</v>
      </c>
      <c r="K56" s="322">
        <v>0.52</v>
      </c>
      <c r="L56" s="322">
        <v>100.99</v>
      </c>
      <c r="M56" s="322" t="s">
        <v>6</v>
      </c>
      <c r="N56" s="322" t="s">
        <v>368</v>
      </c>
      <c r="O56" s="322" t="s">
        <v>530</v>
      </c>
      <c r="P56" s="322" t="s">
        <v>7</v>
      </c>
      <c r="Q56" s="322" t="s">
        <v>531</v>
      </c>
      <c r="R56" s="322" t="s">
        <v>532</v>
      </c>
      <c r="S56" s="303">
        <f t="shared" si="1"/>
        <v>23168739.359999999</v>
      </c>
      <c r="T56" s="307">
        <f>+IFERROR(VLOOKUP(C56,'Tasas Diarias'!$B:$F,5,FALSE)*G56,0)</f>
        <v>1.9515774382756501E-6</v>
      </c>
      <c r="U56" s="311" t="str">
        <f ca="1">+VLOOKUP(C56,Spreads!$A$2:$G$345,7,0)</f>
        <v/>
      </c>
    </row>
    <row r="57" spans="1:21" ht="15" hidden="1" customHeight="1" thickTop="1" thickBot="1">
      <c r="A57" s="317" t="s">
        <v>2137</v>
      </c>
      <c r="B57" s="318" t="s">
        <v>260</v>
      </c>
      <c r="C57" s="318" t="s">
        <v>993</v>
      </c>
      <c r="D57" s="318" t="s">
        <v>170</v>
      </c>
      <c r="E57" s="319">
        <v>41118164</v>
      </c>
      <c r="F57" s="319">
        <v>1500</v>
      </c>
      <c r="G57" s="314">
        <v>1.9610000000000001E-3</v>
      </c>
      <c r="H57" s="320">
        <v>1.55</v>
      </c>
      <c r="I57" s="318" t="s">
        <v>994</v>
      </c>
      <c r="J57" s="318">
        <v>207</v>
      </c>
      <c r="K57" s="318">
        <v>0.56000000000000005</v>
      </c>
      <c r="L57" s="318">
        <v>101.18</v>
      </c>
      <c r="M57" s="318" t="s">
        <v>6</v>
      </c>
      <c r="N57" s="318" t="s">
        <v>368</v>
      </c>
      <c r="O57" s="318" t="s">
        <v>8</v>
      </c>
      <c r="P57" s="318" t="s">
        <v>392</v>
      </c>
      <c r="Q57" s="318" t="s">
        <v>88</v>
      </c>
      <c r="R57" s="318" t="s">
        <v>512</v>
      </c>
      <c r="S57" s="303">
        <f t="shared" si="1"/>
        <v>23026171.840000004</v>
      </c>
      <c r="T57" s="307">
        <f>+IFERROR(VLOOKUP(C57,'Tasas Diarias'!$B:$F,5,FALSE)*G57,0)</f>
        <v>4.8299877860513409E-7</v>
      </c>
      <c r="U57" s="311" t="str">
        <f ca="1">+VLOOKUP(C57,Spreads!$A$2:$G$345,7,0)</f>
        <v/>
      </c>
    </row>
    <row r="58" spans="1:21" ht="15" hidden="1" customHeight="1" thickTop="1" thickBot="1">
      <c r="A58" s="321" t="s">
        <v>2137</v>
      </c>
      <c r="B58" s="322" t="s">
        <v>260</v>
      </c>
      <c r="C58" s="322" t="s">
        <v>415</v>
      </c>
      <c r="D58" s="322" t="s">
        <v>175</v>
      </c>
      <c r="E58" s="323">
        <v>304530918</v>
      </c>
      <c r="F58" s="323">
        <v>750000000</v>
      </c>
      <c r="G58" s="314">
        <v>1.4527E-2</v>
      </c>
      <c r="H58" s="324">
        <v>4.1100000000000003</v>
      </c>
      <c r="I58" s="322" t="s">
        <v>416</v>
      </c>
      <c r="J58" s="322">
        <v>299</v>
      </c>
      <c r="K58" s="322">
        <v>0.56000000000000005</v>
      </c>
      <c r="L58" s="322">
        <v>100.6</v>
      </c>
      <c r="M58" s="322" t="s">
        <v>9</v>
      </c>
      <c r="N58" s="322" t="s">
        <v>368</v>
      </c>
      <c r="O58" s="322" t="s">
        <v>8</v>
      </c>
      <c r="P58" s="322" t="s">
        <v>392</v>
      </c>
      <c r="Q58" s="322" t="s">
        <v>66</v>
      </c>
      <c r="R58" s="322" t="s">
        <v>418</v>
      </c>
      <c r="S58" s="303">
        <f t="shared" si="1"/>
        <v>170537314.08000001</v>
      </c>
      <c r="T58" s="307">
        <f>+IFERROR(VLOOKUP(C58,'Tasas Diarias'!$B:$F,5,FALSE)*G58,0)</f>
        <v>0</v>
      </c>
      <c r="U58" s="311" t="str">
        <f ca="1">+VLOOKUP(C58,Spreads!$A$2:$G$345,7,0)</f>
        <v/>
      </c>
    </row>
    <row r="59" spans="1:21" ht="15" hidden="1" customHeight="1" thickTop="1" thickBot="1">
      <c r="A59" s="321" t="s">
        <v>2137</v>
      </c>
      <c r="B59" s="322" t="s">
        <v>260</v>
      </c>
      <c r="C59" s="322" t="s">
        <v>419</v>
      </c>
      <c r="D59" s="322" t="s">
        <v>420</v>
      </c>
      <c r="E59" s="323">
        <v>8192795</v>
      </c>
      <c r="F59" s="323">
        <v>1500</v>
      </c>
      <c r="G59" s="314">
        <v>3.8999999999999999E-4</v>
      </c>
      <c r="H59" s="324">
        <v>1.7</v>
      </c>
      <c r="I59" s="322" t="s">
        <v>416</v>
      </c>
      <c r="J59" s="322">
        <v>299</v>
      </c>
      <c r="K59" s="322">
        <v>0.56000000000000005</v>
      </c>
      <c r="L59" s="322">
        <v>101.58</v>
      </c>
      <c r="M59" s="322" t="s">
        <v>6</v>
      </c>
      <c r="N59" s="322" t="s">
        <v>368</v>
      </c>
      <c r="O59" s="322" t="s">
        <v>421</v>
      </c>
      <c r="P59" s="322" t="s">
        <v>417</v>
      </c>
      <c r="Q59" s="322" t="s">
        <v>422</v>
      </c>
      <c r="R59" s="322" t="s">
        <v>423</v>
      </c>
      <c r="S59" s="303">
        <f t="shared" si="1"/>
        <v>4587965.2</v>
      </c>
      <c r="T59" s="307">
        <f>+IFERROR(VLOOKUP(C59,'Tasas Diarias'!$B:$F,5,FALSE)*G59,0)</f>
        <v>4.8384612790256377E-8</v>
      </c>
      <c r="U59" s="311" t="str">
        <f ca="1">+VLOOKUP(C59,Spreads!$A$2:$G$345,7,0)</f>
        <v/>
      </c>
    </row>
    <row r="60" spans="1:21" ht="15" hidden="1" customHeight="1" thickTop="1" thickBot="1">
      <c r="A60" s="317" t="s">
        <v>2137</v>
      </c>
      <c r="B60" s="318" t="s">
        <v>260</v>
      </c>
      <c r="C60" s="318" t="s">
        <v>455</v>
      </c>
      <c r="D60" s="318" t="s">
        <v>16</v>
      </c>
      <c r="E60" s="319">
        <v>219308389</v>
      </c>
      <c r="F60" s="319">
        <v>8000</v>
      </c>
      <c r="G60" s="314">
        <v>1.0461E-2</v>
      </c>
      <c r="H60" s="320">
        <v>1.1599999999999999</v>
      </c>
      <c r="I60" s="318" t="s">
        <v>456</v>
      </c>
      <c r="J60" s="318">
        <v>223</v>
      </c>
      <c r="K60" s="318">
        <v>0.6</v>
      </c>
      <c r="L60" s="318">
        <v>101.41</v>
      </c>
      <c r="M60" s="318" t="s">
        <v>6</v>
      </c>
      <c r="N60" s="318" t="s">
        <v>368</v>
      </c>
      <c r="O60" s="318" t="s">
        <v>8</v>
      </c>
      <c r="P60" s="318" t="s">
        <v>379</v>
      </c>
      <c r="Q60" s="318" t="s">
        <v>61</v>
      </c>
      <c r="R60" s="318" t="s">
        <v>394</v>
      </c>
      <c r="S60" s="303">
        <f t="shared" si="1"/>
        <v>131585033.39999999</v>
      </c>
      <c r="T60" s="307">
        <f>+IFERROR(VLOOKUP(C60,'Tasas Diarias'!$B:$F,5,FALSE)*G60,0)</f>
        <v>2.7618635572518517E-6</v>
      </c>
      <c r="U60" s="311" t="str">
        <f ca="1">+VLOOKUP(C60,Spreads!$A$2:$G$345,7,0)</f>
        <v/>
      </c>
    </row>
    <row r="61" spans="1:21" ht="15" hidden="1" customHeight="1" thickTop="1" thickBot="1">
      <c r="A61" s="317" t="s">
        <v>2137</v>
      </c>
      <c r="B61" s="318" t="s">
        <v>260</v>
      </c>
      <c r="C61" s="318" t="s">
        <v>547</v>
      </c>
      <c r="D61" s="318" t="s">
        <v>168</v>
      </c>
      <c r="E61" s="319">
        <v>164178269</v>
      </c>
      <c r="F61" s="319">
        <v>6000</v>
      </c>
      <c r="G61" s="314">
        <v>7.8309999999999994E-3</v>
      </c>
      <c r="H61" s="320">
        <v>1.1000000000000001</v>
      </c>
      <c r="I61" s="318" t="s">
        <v>457</v>
      </c>
      <c r="J61" s="318">
        <v>254</v>
      </c>
      <c r="K61" s="318">
        <v>0.69</v>
      </c>
      <c r="L61" s="318">
        <v>101.56</v>
      </c>
      <c r="M61" s="318" t="s">
        <v>6</v>
      </c>
      <c r="N61" s="318" t="s">
        <v>368</v>
      </c>
      <c r="O61" s="318" t="s">
        <v>8</v>
      </c>
      <c r="P61" s="318" t="s">
        <v>379</v>
      </c>
      <c r="Q61" s="318" t="s">
        <v>77</v>
      </c>
      <c r="R61" s="318" t="s">
        <v>453</v>
      </c>
      <c r="S61" s="303">
        <f t="shared" si="1"/>
        <v>113283005.60999998</v>
      </c>
      <c r="T61" s="307">
        <f>+IFERROR(VLOOKUP(C61,'Tasas Diarias'!$B:$F,5,FALSE)*G61,0)</f>
        <v>1.7508381415110398E-6</v>
      </c>
      <c r="U61" s="311" t="str">
        <f ca="1">+VLOOKUP(C61,Spreads!$A$2:$G$345,7,0)</f>
        <v/>
      </c>
    </row>
    <row r="62" spans="1:21" ht="15" hidden="1" customHeight="1" thickTop="1" thickBot="1">
      <c r="A62" s="327" t="s">
        <v>2137</v>
      </c>
      <c r="B62" s="328" t="s">
        <v>260</v>
      </c>
      <c r="C62" s="328" t="s">
        <v>426</v>
      </c>
      <c r="D62" s="328" t="s">
        <v>427</v>
      </c>
      <c r="E62" s="328">
        <v>202792214</v>
      </c>
      <c r="F62" s="328">
        <v>22500</v>
      </c>
      <c r="G62" s="328">
        <v>9.6729999999999993E-3</v>
      </c>
      <c r="H62" s="329">
        <v>1.72</v>
      </c>
      <c r="I62" s="328" t="s">
        <v>428</v>
      </c>
      <c r="J62" s="328">
        <v>350</v>
      </c>
      <c r="K62" s="328">
        <v>0.7</v>
      </c>
      <c r="L62" s="328">
        <v>101.23</v>
      </c>
      <c r="M62" s="328" t="s">
        <v>6</v>
      </c>
      <c r="N62" s="328" t="s">
        <v>368</v>
      </c>
      <c r="O62" s="328" t="s">
        <v>429</v>
      </c>
      <c r="P62" s="328" t="s">
        <v>392</v>
      </c>
      <c r="Q62" s="328" t="s">
        <v>430</v>
      </c>
      <c r="R62" s="328" t="s">
        <v>431</v>
      </c>
      <c r="S62" s="303">
        <f t="shared" si="1"/>
        <v>141954549.79999998</v>
      </c>
      <c r="T62" s="307">
        <f>+IFERROR(VLOOKUP(C62,'Tasas Diarias'!$B:$F,5,FALSE)*G62,0)</f>
        <v>9.782162750566831E-7</v>
      </c>
      <c r="U62" s="311" t="str">
        <f ca="1">+VLOOKUP(C62,Spreads!$A$2:$G$345,7,0)</f>
        <v/>
      </c>
    </row>
    <row r="63" spans="1:21" ht="15" hidden="1" customHeight="1" thickTop="1" thickBot="1">
      <c r="A63" s="317" t="s">
        <v>2137</v>
      </c>
      <c r="B63" s="318" t="s">
        <v>260</v>
      </c>
      <c r="C63" s="318" t="s">
        <v>451</v>
      </c>
      <c r="D63" s="318" t="s">
        <v>175</v>
      </c>
      <c r="E63" s="319">
        <v>54744514</v>
      </c>
      <c r="F63" s="319">
        <v>2500</v>
      </c>
      <c r="G63" s="314">
        <v>2.611E-3</v>
      </c>
      <c r="H63" s="320">
        <v>2.57</v>
      </c>
      <c r="I63" s="318" t="s">
        <v>452</v>
      </c>
      <c r="J63" s="318">
        <v>558</v>
      </c>
      <c r="K63" s="318">
        <v>0.76</v>
      </c>
      <c r="L63" s="318">
        <v>100.87</v>
      </c>
      <c r="M63" s="318" t="s">
        <v>6</v>
      </c>
      <c r="N63" s="318" t="s">
        <v>368</v>
      </c>
      <c r="O63" s="318" t="s">
        <v>8</v>
      </c>
      <c r="P63" s="318" t="s">
        <v>392</v>
      </c>
      <c r="Q63" s="318" t="s">
        <v>66</v>
      </c>
      <c r="R63" s="318" t="s">
        <v>418</v>
      </c>
      <c r="S63" s="303">
        <f t="shared" si="1"/>
        <v>41605830.640000001</v>
      </c>
      <c r="T63" s="307">
        <f>+IFERROR(VLOOKUP(C63,'Tasas Diarias'!$B:$F,5,FALSE)*G63,0)</f>
        <v>6.4010603760427415E-7</v>
      </c>
      <c r="U63" s="311" t="str">
        <f ca="1">+VLOOKUP(C63,Spreads!$A$2:$G$345,7,0)</f>
        <v/>
      </c>
    </row>
    <row r="64" spans="1:21" ht="15" hidden="1" customHeight="1" thickTop="1" thickBot="1">
      <c r="A64" s="327" t="s">
        <v>2137</v>
      </c>
      <c r="B64" s="328" t="s">
        <v>260</v>
      </c>
      <c r="C64" s="328" t="s">
        <v>555</v>
      </c>
      <c r="D64" s="328" t="s">
        <v>294</v>
      </c>
      <c r="E64" s="328">
        <v>136485171</v>
      </c>
      <c r="F64" s="328">
        <v>5000</v>
      </c>
      <c r="G64" s="328">
        <v>6.5100000000000002E-3</v>
      </c>
      <c r="H64" s="329">
        <v>1.29</v>
      </c>
      <c r="I64" s="328" t="s">
        <v>554</v>
      </c>
      <c r="J64" s="328">
        <v>315</v>
      </c>
      <c r="K64" s="328">
        <v>0.85</v>
      </c>
      <c r="L64" s="328">
        <v>101.86</v>
      </c>
      <c r="M64" s="328" t="s">
        <v>6</v>
      </c>
      <c r="N64" s="328" t="s">
        <v>368</v>
      </c>
      <c r="O64" s="328" t="s">
        <v>8</v>
      </c>
      <c r="P64" s="328" t="s">
        <v>379</v>
      </c>
      <c r="Q64" s="328" t="s">
        <v>74</v>
      </c>
      <c r="R64" s="328" t="s">
        <v>407</v>
      </c>
      <c r="S64" s="303">
        <f t="shared" si="1"/>
        <v>116012395.34999999</v>
      </c>
      <c r="T64" s="307">
        <f>+IFERROR(VLOOKUP(C64,'Tasas Diarias'!$B:$F,5,FALSE)*G64,0)</f>
        <v>-5.9375061818587953E-7</v>
      </c>
      <c r="U64" s="311" t="str">
        <f ca="1">+VLOOKUP(C64,Spreads!$A$2:$G$345,7,0)</f>
        <v/>
      </c>
    </row>
    <row r="65" spans="1:21" ht="15" hidden="1" customHeight="1" thickTop="1" thickBot="1">
      <c r="A65" s="327" t="s">
        <v>2137</v>
      </c>
      <c r="B65" s="328" t="s">
        <v>260</v>
      </c>
      <c r="C65" s="328" t="s">
        <v>542</v>
      </c>
      <c r="D65" s="328" t="s">
        <v>543</v>
      </c>
      <c r="E65" s="328">
        <v>36140084</v>
      </c>
      <c r="F65" s="328">
        <v>4000</v>
      </c>
      <c r="G65" s="328">
        <v>1.7229999999999999E-3</v>
      </c>
      <c r="H65" s="329">
        <v>1.9</v>
      </c>
      <c r="I65" s="328" t="s">
        <v>480</v>
      </c>
      <c r="J65" s="328">
        <v>497</v>
      </c>
      <c r="K65" s="328">
        <v>0.85</v>
      </c>
      <c r="L65" s="328">
        <v>101.17</v>
      </c>
      <c r="M65" s="328" t="s">
        <v>6</v>
      </c>
      <c r="N65" s="328" t="s">
        <v>368</v>
      </c>
      <c r="O65" s="328" t="s">
        <v>1347</v>
      </c>
      <c r="P65" s="328" t="s">
        <v>444</v>
      </c>
      <c r="Q65" s="328" t="s">
        <v>544</v>
      </c>
      <c r="R65" s="328" t="s">
        <v>545</v>
      </c>
      <c r="S65" s="303">
        <f t="shared" si="1"/>
        <v>30719071.399999999</v>
      </c>
      <c r="T65" s="307">
        <f>+IFERROR(VLOOKUP(C65,'Tasas Diarias'!$B:$F,5,FALSE)*G65,0)</f>
        <v>3.1393699525746342E-7</v>
      </c>
      <c r="U65" s="311" t="str">
        <f ca="1">+VLOOKUP(C65,Spreads!$A$2:$G$345,7,0)</f>
        <v/>
      </c>
    </row>
    <row r="66" spans="1:21" ht="15" hidden="1" customHeight="1" thickTop="1" thickBot="1">
      <c r="A66" s="317" t="s">
        <v>2137</v>
      </c>
      <c r="B66" s="318" t="s">
        <v>260</v>
      </c>
      <c r="C66" s="318" t="s">
        <v>553</v>
      </c>
      <c r="D66" s="318" t="s">
        <v>168</v>
      </c>
      <c r="E66" s="319">
        <v>272354816</v>
      </c>
      <c r="F66" s="319">
        <v>10000</v>
      </c>
      <c r="G66" s="314">
        <v>1.2992E-2</v>
      </c>
      <c r="H66" s="320">
        <v>1.21</v>
      </c>
      <c r="I66" s="318" t="s">
        <v>554</v>
      </c>
      <c r="J66" s="318">
        <v>315</v>
      </c>
      <c r="K66" s="318">
        <v>0.86</v>
      </c>
      <c r="L66" s="318">
        <v>101.68</v>
      </c>
      <c r="M66" s="318" t="s">
        <v>6</v>
      </c>
      <c r="N66" s="318" t="s">
        <v>368</v>
      </c>
      <c r="O66" s="318" t="s">
        <v>8</v>
      </c>
      <c r="P66" s="318" t="s">
        <v>379</v>
      </c>
      <c r="Q66" s="318" t="s">
        <v>77</v>
      </c>
      <c r="R66" s="318" t="s">
        <v>453</v>
      </c>
      <c r="S66" s="303">
        <f t="shared" si="1"/>
        <v>234225141.75999999</v>
      </c>
      <c r="T66" s="307">
        <f>+IFERROR(VLOOKUP(C66,'Tasas Diarias'!$B:$F,5,FALSE)*G66,0)</f>
        <v>0</v>
      </c>
      <c r="U66" s="311" t="str">
        <f ca="1">+VLOOKUP(C66,Spreads!$A$2:$G$345,7,0)</f>
        <v/>
      </c>
    </row>
    <row r="67" spans="1:21" ht="15" hidden="1" customHeight="1" thickTop="1" thickBot="1">
      <c r="A67" s="321" t="s">
        <v>2137</v>
      </c>
      <c r="B67" s="322" t="s">
        <v>260</v>
      </c>
      <c r="C67" s="322" t="s">
        <v>438</v>
      </c>
      <c r="D67" s="322" t="s">
        <v>24</v>
      </c>
      <c r="E67" s="323">
        <v>52917219</v>
      </c>
      <c r="F67" s="323">
        <v>9000</v>
      </c>
      <c r="G67" s="314">
        <v>2.5240000000000002E-3</v>
      </c>
      <c r="H67" s="324">
        <v>1.46</v>
      </c>
      <c r="I67" s="322" t="s">
        <v>439</v>
      </c>
      <c r="J67" s="322">
        <v>588</v>
      </c>
      <c r="K67" s="322">
        <v>0.86</v>
      </c>
      <c r="L67" s="322">
        <v>101.29</v>
      </c>
      <c r="M67" s="322" t="s">
        <v>6</v>
      </c>
      <c r="N67" s="322" t="s">
        <v>368</v>
      </c>
      <c r="O67" s="322" t="s">
        <v>8</v>
      </c>
      <c r="P67" s="322" t="s">
        <v>392</v>
      </c>
      <c r="Q67" s="322" t="s">
        <v>51</v>
      </c>
      <c r="R67" s="322" t="s">
        <v>414</v>
      </c>
      <c r="S67" s="303">
        <f t="shared" ref="S67:S130" si="2">+IFERROR(E67*K67,0)</f>
        <v>45508808.339999996</v>
      </c>
      <c r="T67" s="307">
        <f>+IFERROR(VLOOKUP(C67,'Tasas Diarias'!$B:$F,5,FALSE)*G67,0)</f>
        <v>4.6187387112044428E-7</v>
      </c>
      <c r="U67" s="311" t="str">
        <f ca="1">+VLOOKUP(C67,Spreads!$A$2:$G$345,7,0)</f>
        <v/>
      </c>
    </row>
    <row r="68" spans="1:21" ht="15" hidden="1" customHeight="1" thickTop="1" thickBot="1">
      <c r="A68" s="321" t="s">
        <v>2137</v>
      </c>
      <c r="B68" s="322" t="s">
        <v>260</v>
      </c>
      <c r="C68" s="322" t="s">
        <v>463</v>
      </c>
      <c r="D68" s="322" t="s">
        <v>464</v>
      </c>
      <c r="E68" s="323">
        <v>213117400</v>
      </c>
      <c r="F68" s="323">
        <v>210000000</v>
      </c>
      <c r="G68" s="314">
        <v>1.0166E-2</v>
      </c>
      <c r="H68" s="324">
        <v>3.71</v>
      </c>
      <c r="I68" s="322" t="s">
        <v>465</v>
      </c>
      <c r="J68" s="322">
        <v>329</v>
      </c>
      <c r="K68" s="322">
        <v>0.89</v>
      </c>
      <c r="L68" s="322">
        <v>101.02</v>
      </c>
      <c r="M68" s="322" t="s">
        <v>9</v>
      </c>
      <c r="N68" s="322" t="s">
        <v>368</v>
      </c>
      <c r="O68" s="322" t="s">
        <v>8</v>
      </c>
      <c r="P68" s="322" t="s">
        <v>379</v>
      </c>
      <c r="Q68" s="322" t="s">
        <v>466</v>
      </c>
      <c r="R68" s="322" t="s">
        <v>467</v>
      </c>
      <c r="S68" s="303">
        <f t="shared" si="2"/>
        <v>189674486</v>
      </c>
      <c r="T68" s="307">
        <f>+IFERROR(VLOOKUP(C68,'Tasas Diarias'!$B:$F,5,FALSE)*G68,0)</f>
        <v>-9.6284399061817738E-7</v>
      </c>
      <c r="U68" s="311" t="str">
        <f ca="1">+VLOOKUP(C68,Spreads!$A$2:$G$345,7,0)</f>
        <v/>
      </c>
    </row>
    <row r="69" spans="1:21" ht="15" hidden="1" customHeight="1" thickTop="1" thickBot="1">
      <c r="A69" s="321" t="s">
        <v>2137</v>
      </c>
      <c r="B69" s="322" t="s">
        <v>260</v>
      </c>
      <c r="C69" s="322" t="s">
        <v>1265</v>
      </c>
      <c r="D69" s="322" t="s">
        <v>294</v>
      </c>
      <c r="E69" s="323">
        <v>415290054</v>
      </c>
      <c r="F69" s="323">
        <v>15000</v>
      </c>
      <c r="G69" s="314">
        <v>1.9810000000000001E-2</v>
      </c>
      <c r="H69" s="324">
        <v>1.24</v>
      </c>
      <c r="I69" s="322" t="s">
        <v>557</v>
      </c>
      <c r="J69" s="322">
        <v>407</v>
      </c>
      <c r="K69" s="322">
        <v>1.0900000000000001</v>
      </c>
      <c r="L69" s="322">
        <v>102.42</v>
      </c>
      <c r="M69" s="322" t="s">
        <v>6</v>
      </c>
      <c r="N69" s="322" t="s">
        <v>368</v>
      </c>
      <c r="O69" s="322" t="s">
        <v>8</v>
      </c>
      <c r="P69" s="322" t="s">
        <v>379</v>
      </c>
      <c r="Q69" s="322" t="s">
        <v>74</v>
      </c>
      <c r="R69" s="322" t="s">
        <v>407</v>
      </c>
      <c r="S69" s="303">
        <f t="shared" si="2"/>
        <v>452666158.86000001</v>
      </c>
      <c r="T69" s="307">
        <f>+IFERROR(VLOOKUP(C69,'Tasas Diarias'!$B:$F,5,FALSE)*G69,0)</f>
        <v>0</v>
      </c>
      <c r="U69" s="311" t="str">
        <f ca="1">+VLOOKUP(C69,Spreads!$A$2:$G$345,7,0)</f>
        <v/>
      </c>
    </row>
    <row r="70" spans="1:21" ht="15" hidden="1" customHeight="1" thickTop="1" thickBot="1">
      <c r="A70" s="317" t="s">
        <v>2137</v>
      </c>
      <c r="B70" s="318" t="s">
        <v>260</v>
      </c>
      <c r="C70" s="318" t="s">
        <v>556</v>
      </c>
      <c r="D70" s="318" t="s">
        <v>294</v>
      </c>
      <c r="E70" s="319">
        <v>110466914</v>
      </c>
      <c r="F70" s="319">
        <v>4000</v>
      </c>
      <c r="G70" s="314">
        <v>5.2690000000000002E-3</v>
      </c>
      <c r="H70" s="320">
        <v>1.21</v>
      </c>
      <c r="I70" s="318" t="s">
        <v>557</v>
      </c>
      <c r="J70" s="318">
        <v>407</v>
      </c>
      <c r="K70" s="318">
        <v>1.0900000000000001</v>
      </c>
      <c r="L70" s="318">
        <v>102.24</v>
      </c>
      <c r="M70" s="318" t="s">
        <v>6</v>
      </c>
      <c r="N70" s="318" t="s">
        <v>368</v>
      </c>
      <c r="O70" s="318" t="s">
        <v>8</v>
      </c>
      <c r="P70" s="318" t="s">
        <v>379</v>
      </c>
      <c r="Q70" s="318" t="s">
        <v>74</v>
      </c>
      <c r="R70" s="318" t="s">
        <v>407</v>
      </c>
      <c r="S70" s="303">
        <f t="shared" si="2"/>
        <v>120408936.26000001</v>
      </c>
      <c r="T70" s="307">
        <f>+IFERROR(VLOOKUP(C70,'Tasas Diarias'!$B:$F,5,FALSE)*G70,0)</f>
        <v>6.0528700540371393E-7</v>
      </c>
      <c r="U70" s="311" t="str">
        <f ca="1">+VLOOKUP(C70,Spreads!$A$2:$G$345,7,0)</f>
        <v/>
      </c>
    </row>
    <row r="71" spans="1:21" ht="15" hidden="1" customHeight="1" thickTop="1" thickBot="1">
      <c r="A71" s="317" t="s">
        <v>2137</v>
      </c>
      <c r="B71" s="318" t="s">
        <v>260</v>
      </c>
      <c r="C71" s="318" t="s">
        <v>473</v>
      </c>
      <c r="D71" s="318" t="s">
        <v>71</v>
      </c>
      <c r="E71" s="319">
        <v>280035070</v>
      </c>
      <c r="F71" s="319">
        <v>10000</v>
      </c>
      <c r="G71" s="314">
        <v>1.3358E-2</v>
      </c>
      <c r="H71" s="320">
        <v>1.5</v>
      </c>
      <c r="I71" s="318" t="s">
        <v>1503</v>
      </c>
      <c r="J71" s="318">
        <v>418</v>
      </c>
      <c r="K71" s="318">
        <v>1.1100000000000001</v>
      </c>
      <c r="L71" s="318">
        <v>103.33</v>
      </c>
      <c r="M71" s="318" t="s">
        <v>6</v>
      </c>
      <c r="N71" s="318" t="s">
        <v>368</v>
      </c>
      <c r="O71" s="318" t="s">
        <v>1346</v>
      </c>
      <c r="P71" s="318" t="s">
        <v>444</v>
      </c>
      <c r="Q71" s="318" t="s">
        <v>71</v>
      </c>
      <c r="R71" s="318" t="s">
        <v>474</v>
      </c>
      <c r="S71" s="303">
        <f t="shared" si="2"/>
        <v>310838927.70000005</v>
      </c>
      <c r="T71" s="307">
        <f>+IFERROR(VLOOKUP(C71,'Tasas Diarias'!$B:$F,5,FALSE)*G71,0)</f>
        <v>3.1272784150932391E-6</v>
      </c>
      <c r="U71" s="311" t="str">
        <f ca="1">+VLOOKUP(C71,Spreads!$A$2:$G$345,7,0)</f>
        <v/>
      </c>
    </row>
    <row r="72" spans="1:21" ht="15" hidden="1" customHeight="1" thickTop="1" thickBot="1">
      <c r="A72" s="317" t="s">
        <v>2137</v>
      </c>
      <c r="B72" s="318" t="s">
        <v>260</v>
      </c>
      <c r="C72" s="318" t="s">
        <v>475</v>
      </c>
      <c r="D72" s="318" t="s">
        <v>175</v>
      </c>
      <c r="E72" s="319">
        <v>51467947</v>
      </c>
      <c r="F72" s="319">
        <v>50000000</v>
      </c>
      <c r="G72" s="314">
        <v>2.4550000000000002E-3</v>
      </c>
      <c r="H72" s="333">
        <v>4.32</v>
      </c>
      <c r="I72" s="318" t="s">
        <v>476</v>
      </c>
      <c r="J72" s="318">
        <v>803</v>
      </c>
      <c r="K72" s="318">
        <v>1.1499999999999999</v>
      </c>
      <c r="L72" s="318">
        <v>101.29</v>
      </c>
      <c r="M72" s="318" t="s">
        <v>9</v>
      </c>
      <c r="N72" s="318" t="s">
        <v>368</v>
      </c>
      <c r="O72" s="318" t="s">
        <v>8</v>
      </c>
      <c r="P72" s="318" t="s">
        <v>392</v>
      </c>
      <c r="Q72" s="318" t="s">
        <v>66</v>
      </c>
      <c r="R72" s="318" t="s">
        <v>418</v>
      </c>
      <c r="S72" s="303">
        <f t="shared" si="2"/>
        <v>59188139.049999997</v>
      </c>
      <c r="T72" s="307">
        <f>+IFERROR(VLOOKUP(C72,'Tasas Diarias'!$B:$F,5,FALSE)*G72,0)</f>
        <v>0</v>
      </c>
      <c r="U72" s="311" t="str">
        <f ca="1">+VLOOKUP(C72,Spreads!$A$2:$G$345,7,0)</f>
        <v/>
      </c>
    </row>
    <row r="73" spans="1:21" ht="15" hidden="1" customHeight="1" thickTop="1" thickBot="1">
      <c r="A73" s="321" t="s">
        <v>2137</v>
      </c>
      <c r="B73" s="322" t="s">
        <v>260</v>
      </c>
      <c r="C73" s="322" t="s">
        <v>1546</v>
      </c>
      <c r="D73" s="322" t="s">
        <v>295</v>
      </c>
      <c r="E73" s="323">
        <v>274059592</v>
      </c>
      <c r="F73" s="323">
        <v>10000</v>
      </c>
      <c r="G73" s="314">
        <v>1.3073E-2</v>
      </c>
      <c r="H73" s="324">
        <v>1.35</v>
      </c>
      <c r="I73" s="322" t="s">
        <v>1547</v>
      </c>
      <c r="J73" s="322">
        <v>466</v>
      </c>
      <c r="K73" s="322">
        <v>1.26</v>
      </c>
      <c r="L73" s="322">
        <v>102.09</v>
      </c>
      <c r="M73" s="322" t="s">
        <v>6</v>
      </c>
      <c r="N73" s="322" t="s">
        <v>368</v>
      </c>
      <c r="O73" s="322" t="s">
        <v>8</v>
      </c>
      <c r="P73" s="322" t="s">
        <v>7</v>
      </c>
      <c r="Q73" s="322" t="s">
        <v>70</v>
      </c>
      <c r="R73" s="322" t="s">
        <v>506</v>
      </c>
      <c r="S73" s="303">
        <f t="shared" si="2"/>
        <v>345315085.92000002</v>
      </c>
      <c r="T73" s="307">
        <f>+IFERROR(VLOOKUP(C73,'Tasas Diarias'!$B:$F,5,FALSE)*G73,0)</f>
        <v>-1.7157646867690863E-5</v>
      </c>
      <c r="U73" s="311" t="e">
        <f>+VLOOKUP(C73,Spreads!$A$2:$G$345,7,0)</f>
        <v>#N/A</v>
      </c>
    </row>
    <row r="74" spans="1:21" ht="15" hidden="1" customHeight="1" thickTop="1" thickBot="1">
      <c r="A74" s="321" t="s">
        <v>2137</v>
      </c>
      <c r="B74" s="322" t="s">
        <v>260</v>
      </c>
      <c r="C74" s="322" t="s">
        <v>549</v>
      </c>
      <c r="D74" s="322" t="s">
        <v>292</v>
      </c>
      <c r="E74" s="323">
        <v>120534247</v>
      </c>
      <c r="F74" s="323">
        <v>150000000</v>
      </c>
      <c r="G74" s="314">
        <v>5.7489999999999998E-3</v>
      </c>
      <c r="H74" s="324">
        <v>4.0599999999999996</v>
      </c>
      <c r="I74" s="322" t="s">
        <v>550</v>
      </c>
      <c r="J74" s="322">
        <v>872</v>
      </c>
      <c r="K74" s="322">
        <v>1.32</v>
      </c>
      <c r="L74" s="322">
        <v>103.09</v>
      </c>
      <c r="M74" s="322" t="s">
        <v>9</v>
      </c>
      <c r="N74" s="322" t="s">
        <v>368</v>
      </c>
      <c r="O74" s="322" t="s">
        <v>551</v>
      </c>
      <c r="P74" s="322" t="s">
        <v>392</v>
      </c>
      <c r="Q74" s="322" t="s">
        <v>327</v>
      </c>
      <c r="R74" s="322" t="s">
        <v>552</v>
      </c>
      <c r="S74" s="303">
        <f t="shared" si="2"/>
        <v>159105206.04000002</v>
      </c>
      <c r="T74" s="307">
        <f>+IFERROR(VLOOKUP(C74,'Tasas Diarias'!$B:$F,5,FALSE)*G74,0)</f>
        <v>0</v>
      </c>
      <c r="U74" s="311" t="str">
        <f ca="1">+VLOOKUP(C74,Spreads!$A$2:$G$345,7,0)</f>
        <v/>
      </c>
    </row>
    <row r="75" spans="1:21" ht="15" hidden="1" customHeight="1" thickTop="1" thickBot="1">
      <c r="A75" s="317" t="s">
        <v>2137</v>
      </c>
      <c r="B75" s="318" t="s">
        <v>260</v>
      </c>
      <c r="C75" s="318" t="s">
        <v>563</v>
      </c>
      <c r="D75" s="318" t="s">
        <v>170</v>
      </c>
      <c r="E75" s="319">
        <v>54553238</v>
      </c>
      <c r="F75" s="319">
        <v>2000</v>
      </c>
      <c r="G75" s="314">
        <v>2.6020000000000001E-3</v>
      </c>
      <c r="H75" s="320">
        <v>1.6</v>
      </c>
      <c r="I75" s="318" t="s">
        <v>480</v>
      </c>
      <c r="J75" s="318">
        <v>497</v>
      </c>
      <c r="K75" s="318">
        <v>1.34</v>
      </c>
      <c r="L75" s="318">
        <v>101.85</v>
      </c>
      <c r="M75" s="318" t="s">
        <v>6</v>
      </c>
      <c r="N75" s="318" t="s">
        <v>368</v>
      </c>
      <c r="O75" s="318" t="s">
        <v>8</v>
      </c>
      <c r="P75" s="318" t="s">
        <v>392</v>
      </c>
      <c r="Q75" s="318" t="s">
        <v>88</v>
      </c>
      <c r="R75" s="318" t="s">
        <v>512</v>
      </c>
      <c r="S75" s="303">
        <f t="shared" si="2"/>
        <v>73101338.920000002</v>
      </c>
      <c r="T75" s="307">
        <f>+IFERROR(VLOOKUP(C75,'Tasas Diarias'!$B:$F,5,FALSE)*G75,0)</f>
        <v>0</v>
      </c>
      <c r="U75" s="311" t="str">
        <f ca="1">+VLOOKUP(C75,Spreads!$A$2:$G$345,7,0)</f>
        <v/>
      </c>
    </row>
    <row r="76" spans="1:21" ht="15" hidden="1" customHeight="1" thickTop="1" thickBot="1">
      <c r="A76" s="327" t="s">
        <v>2137</v>
      </c>
      <c r="B76" s="328" t="s">
        <v>260</v>
      </c>
      <c r="C76" s="328" t="s">
        <v>1416</v>
      </c>
      <c r="D76" s="328" t="s">
        <v>32</v>
      </c>
      <c r="E76" s="328">
        <v>81976866</v>
      </c>
      <c r="F76" s="328">
        <v>3000</v>
      </c>
      <c r="G76" s="328">
        <v>3.9100000000000003E-3</v>
      </c>
      <c r="H76" s="329">
        <v>1.49</v>
      </c>
      <c r="I76" s="328" t="s">
        <v>480</v>
      </c>
      <c r="J76" s="328">
        <v>497</v>
      </c>
      <c r="K76" s="328">
        <v>1.34</v>
      </c>
      <c r="L76" s="328">
        <v>102.03</v>
      </c>
      <c r="M76" s="328" t="s">
        <v>6</v>
      </c>
      <c r="N76" s="328" t="s">
        <v>368</v>
      </c>
      <c r="O76" s="328" t="s">
        <v>8</v>
      </c>
      <c r="P76" s="328" t="s">
        <v>379</v>
      </c>
      <c r="Q76" s="328" t="s">
        <v>67</v>
      </c>
      <c r="R76" s="328" t="s">
        <v>389</v>
      </c>
      <c r="S76" s="303">
        <f t="shared" si="2"/>
        <v>109849000.44000001</v>
      </c>
      <c r="T76" s="307">
        <f>+IFERROR(VLOOKUP(C76,'Tasas Diarias'!$B:$F,5,FALSE)*G76,0)</f>
        <v>0</v>
      </c>
      <c r="U76" s="311" t="e">
        <f>+VLOOKUP(C76,Spreads!$A$2:$G$345,7,0)</f>
        <v>#N/A</v>
      </c>
    </row>
    <row r="77" spans="1:21" ht="15" hidden="1" customHeight="1" thickTop="1" thickBot="1">
      <c r="A77" s="321" t="s">
        <v>2137</v>
      </c>
      <c r="B77" s="322" t="s">
        <v>260</v>
      </c>
      <c r="C77" s="322" t="s">
        <v>479</v>
      </c>
      <c r="D77" s="322" t="s">
        <v>233</v>
      </c>
      <c r="E77" s="323">
        <v>68615515</v>
      </c>
      <c r="F77" s="323">
        <v>2500</v>
      </c>
      <c r="G77" s="314">
        <v>3.2729999999999999E-3</v>
      </c>
      <c r="H77" s="324">
        <v>1.56</v>
      </c>
      <c r="I77" s="322" t="s">
        <v>480</v>
      </c>
      <c r="J77" s="322">
        <v>497</v>
      </c>
      <c r="K77" s="322">
        <v>1.34</v>
      </c>
      <c r="L77" s="322">
        <v>102.43</v>
      </c>
      <c r="M77" s="322" t="s">
        <v>6</v>
      </c>
      <c r="N77" s="322" t="s">
        <v>368</v>
      </c>
      <c r="O77" s="322" t="s">
        <v>8</v>
      </c>
      <c r="P77" s="322" t="s">
        <v>417</v>
      </c>
      <c r="Q77" s="322" t="s">
        <v>60</v>
      </c>
      <c r="R77" s="322" t="s">
        <v>481</v>
      </c>
      <c r="S77" s="303">
        <f t="shared" si="2"/>
        <v>91944790.100000009</v>
      </c>
      <c r="T77" s="307">
        <f>+IFERROR(VLOOKUP(C77,'Tasas Diarias'!$B:$F,5,FALSE)*G77,0)</f>
        <v>9.1300304386341521E-7</v>
      </c>
      <c r="U77" s="311" t="str">
        <f ca="1">+VLOOKUP(C77,Spreads!$A$2:$G$345,7,0)</f>
        <v/>
      </c>
    </row>
    <row r="78" spans="1:21" ht="15" hidden="1" customHeight="1" thickTop="1" thickBot="1">
      <c r="A78" s="317" t="s">
        <v>2137</v>
      </c>
      <c r="B78" s="318" t="s">
        <v>260</v>
      </c>
      <c r="C78" s="318" t="s">
        <v>459</v>
      </c>
      <c r="D78" s="318" t="s">
        <v>291</v>
      </c>
      <c r="E78" s="319">
        <v>33667732</v>
      </c>
      <c r="F78" s="319">
        <v>2000</v>
      </c>
      <c r="G78" s="314">
        <v>1.606E-3</v>
      </c>
      <c r="H78" s="320">
        <v>1.56</v>
      </c>
      <c r="I78" s="318" t="s">
        <v>460</v>
      </c>
      <c r="J78" s="318">
        <v>968</v>
      </c>
      <c r="K78" s="318">
        <v>1.36</v>
      </c>
      <c r="L78" s="318">
        <v>103.66</v>
      </c>
      <c r="M78" s="318" t="s">
        <v>6</v>
      </c>
      <c r="N78" s="318" t="s">
        <v>368</v>
      </c>
      <c r="O78" s="318" t="s">
        <v>461</v>
      </c>
      <c r="P78" s="318" t="s">
        <v>392</v>
      </c>
      <c r="Q78" s="318" t="s">
        <v>87</v>
      </c>
      <c r="R78" s="318" t="s">
        <v>462</v>
      </c>
      <c r="S78" s="303">
        <f t="shared" si="2"/>
        <v>45788115.520000003</v>
      </c>
      <c r="T78" s="307">
        <f>+IFERROR(VLOOKUP(C78,'Tasas Diarias'!$B:$F,5,FALSE)*G78,0)</f>
        <v>4.5488620561156638E-7</v>
      </c>
      <c r="U78" s="311" t="str">
        <f ca="1">+VLOOKUP(C78,Spreads!$A$2:$G$345,7,0)</f>
        <v/>
      </c>
    </row>
    <row r="79" spans="1:21" ht="15" hidden="1" customHeight="1" thickTop="1" thickBot="1">
      <c r="A79" s="317" t="s">
        <v>2137</v>
      </c>
      <c r="B79" s="318" t="s">
        <v>260</v>
      </c>
      <c r="C79" s="318" t="s">
        <v>1256</v>
      </c>
      <c r="D79" s="318" t="s">
        <v>1257</v>
      </c>
      <c r="E79" s="319">
        <v>39248572</v>
      </c>
      <c r="F79" s="319">
        <v>5000</v>
      </c>
      <c r="G79" s="314">
        <v>1.872E-3</v>
      </c>
      <c r="H79" s="320">
        <v>1.82</v>
      </c>
      <c r="I79" s="318" t="s">
        <v>503</v>
      </c>
      <c r="J79" s="318">
        <v>985</v>
      </c>
      <c r="K79" s="318">
        <v>1.44</v>
      </c>
      <c r="L79" s="318">
        <v>107.27</v>
      </c>
      <c r="M79" s="318" t="s">
        <v>6</v>
      </c>
      <c r="N79" s="318" t="s">
        <v>368</v>
      </c>
      <c r="O79" s="318" t="s">
        <v>8</v>
      </c>
      <c r="P79" s="318" t="s">
        <v>379</v>
      </c>
      <c r="Q79" s="318" t="s">
        <v>1258</v>
      </c>
      <c r="R79" s="318" t="s">
        <v>1259</v>
      </c>
      <c r="S79" s="303">
        <f t="shared" si="2"/>
        <v>56517943.68</v>
      </c>
      <c r="T79" s="307">
        <f>+IFERROR(VLOOKUP(C79,'Tasas Diarias'!$B:$F,5,FALSE)*G79,0)</f>
        <v>2.7904822414035242E-7</v>
      </c>
      <c r="U79" s="311" t="str">
        <f ca="1">+VLOOKUP(C79,Spreads!$A$2:$G$345,7,0)</f>
        <v/>
      </c>
    </row>
    <row r="80" spans="1:21" ht="15" hidden="1" customHeight="1" thickTop="1" thickBot="1">
      <c r="A80" s="317" t="s">
        <v>2137</v>
      </c>
      <c r="B80" s="318" t="s">
        <v>260</v>
      </c>
      <c r="C80" s="318" t="s">
        <v>482</v>
      </c>
      <c r="D80" s="318" t="s">
        <v>16</v>
      </c>
      <c r="E80" s="319">
        <v>73797129</v>
      </c>
      <c r="F80" s="319">
        <v>70000000</v>
      </c>
      <c r="G80" s="314">
        <v>3.5200000000000001E-3</v>
      </c>
      <c r="H80" s="320">
        <v>3.6</v>
      </c>
      <c r="I80" s="318" t="s">
        <v>452</v>
      </c>
      <c r="J80" s="318">
        <v>558</v>
      </c>
      <c r="K80" s="318">
        <v>1.45</v>
      </c>
      <c r="L80" s="318">
        <v>102.78</v>
      </c>
      <c r="M80" s="318" t="s">
        <v>9</v>
      </c>
      <c r="N80" s="318" t="s">
        <v>368</v>
      </c>
      <c r="O80" s="318" t="s">
        <v>8</v>
      </c>
      <c r="P80" s="318" t="s">
        <v>379</v>
      </c>
      <c r="Q80" s="318" t="s">
        <v>61</v>
      </c>
      <c r="R80" s="318" t="s">
        <v>394</v>
      </c>
      <c r="S80" s="303">
        <f t="shared" si="2"/>
        <v>107005837.05</v>
      </c>
      <c r="T80" s="307">
        <f>+IFERROR(VLOOKUP(C80,'Tasas Diarias'!$B:$F,5,FALSE)*G80,0)</f>
        <v>1.0623855148833352E-6</v>
      </c>
      <c r="U80" s="311" t="str">
        <f ca="1">+VLOOKUP(C80,Spreads!$A$2:$G$345,7,0)</f>
        <v/>
      </c>
    </row>
    <row r="81" spans="1:21" ht="15" hidden="1" customHeight="1" thickTop="1" thickBot="1">
      <c r="A81" s="321" t="s">
        <v>2137</v>
      </c>
      <c r="B81" s="322" t="s">
        <v>260</v>
      </c>
      <c r="C81" s="322" t="s">
        <v>468</v>
      </c>
      <c r="D81" s="322" t="s">
        <v>469</v>
      </c>
      <c r="E81" s="323">
        <v>82964624</v>
      </c>
      <c r="F81" s="323">
        <v>4000</v>
      </c>
      <c r="G81" s="314">
        <v>3.9569999999999996E-3</v>
      </c>
      <c r="H81" s="324">
        <v>1.57</v>
      </c>
      <c r="I81" s="322" t="s">
        <v>470</v>
      </c>
      <c r="J81" s="322">
        <v>999</v>
      </c>
      <c r="K81" s="322">
        <v>1.45</v>
      </c>
      <c r="L81" s="322">
        <v>102.75</v>
      </c>
      <c r="M81" s="322" t="s">
        <v>6</v>
      </c>
      <c r="N81" s="322" t="s">
        <v>368</v>
      </c>
      <c r="O81" s="322" t="s">
        <v>429</v>
      </c>
      <c r="P81" s="322" t="s">
        <v>7</v>
      </c>
      <c r="Q81" s="322" t="s">
        <v>471</v>
      </c>
      <c r="R81" s="322" t="s">
        <v>472</v>
      </c>
      <c r="S81" s="303">
        <f t="shared" si="2"/>
        <v>120298704.8</v>
      </c>
      <c r="T81" s="307">
        <f>+IFERROR(VLOOKUP(C81,'Tasas Diarias'!$B:$F,5,FALSE)*G81,0)</f>
        <v>-5.9590119492495741E-7</v>
      </c>
      <c r="U81" s="311" t="str">
        <f ca="1">+VLOOKUP(C81,Spreads!$A$2:$G$345,7,0)</f>
        <v/>
      </c>
    </row>
    <row r="82" spans="1:21" ht="15" hidden="1" customHeight="1" thickTop="1" thickBot="1">
      <c r="A82" s="317" t="s">
        <v>2137</v>
      </c>
      <c r="B82" s="318" t="s">
        <v>260</v>
      </c>
      <c r="C82" s="318" t="s">
        <v>1248</v>
      </c>
      <c r="D82" s="318" t="s">
        <v>1249</v>
      </c>
      <c r="E82" s="319">
        <v>31081556</v>
      </c>
      <c r="F82" s="319">
        <v>1500</v>
      </c>
      <c r="G82" s="314">
        <v>1.482E-3</v>
      </c>
      <c r="H82" s="320">
        <v>1.64</v>
      </c>
      <c r="I82" s="318" t="s">
        <v>1250</v>
      </c>
      <c r="J82" s="318">
        <v>1000</v>
      </c>
      <c r="K82" s="318">
        <v>1.45</v>
      </c>
      <c r="L82" s="318">
        <v>102.65</v>
      </c>
      <c r="M82" s="318" t="s">
        <v>6</v>
      </c>
      <c r="N82" s="318" t="s">
        <v>368</v>
      </c>
      <c r="O82" s="318" t="s">
        <v>421</v>
      </c>
      <c r="P82" s="318" t="s">
        <v>7</v>
      </c>
      <c r="Q82" s="318" t="s">
        <v>1251</v>
      </c>
      <c r="R82" s="318" t="s">
        <v>1252</v>
      </c>
      <c r="S82" s="303">
        <f t="shared" si="2"/>
        <v>45068256.199999996</v>
      </c>
      <c r="T82" s="307">
        <f>+IFERROR(VLOOKUP(C82,'Tasas Diarias'!$B:$F,5,FALSE)*G82,0)</f>
        <v>0</v>
      </c>
      <c r="U82" s="311" t="str">
        <f ca="1">+VLOOKUP(C82,Spreads!$A$2:$G$345,7,0)</f>
        <v/>
      </c>
    </row>
    <row r="83" spans="1:21" ht="15" hidden="1" customHeight="1" thickTop="1" thickBot="1">
      <c r="A83" s="321" t="s">
        <v>2137</v>
      </c>
      <c r="B83" s="322" t="s">
        <v>260</v>
      </c>
      <c r="C83" s="322" t="s">
        <v>564</v>
      </c>
      <c r="D83" s="322" t="s">
        <v>176</v>
      </c>
      <c r="E83" s="323">
        <v>83577795</v>
      </c>
      <c r="F83" s="323">
        <v>3000</v>
      </c>
      <c r="G83" s="314">
        <v>3.986E-3</v>
      </c>
      <c r="H83" s="324">
        <v>1.6</v>
      </c>
      <c r="I83" s="322" t="s">
        <v>452</v>
      </c>
      <c r="J83" s="322">
        <v>558</v>
      </c>
      <c r="K83" s="322">
        <v>1.48</v>
      </c>
      <c r="L83" s="322">
        <v>102.78</v>
      </c>
      <c r="M83" s="322" t="s">
        <v>6</v>
      </c>
      <c r="N83" s="322" t="s">
        <v>368</v>
      </c>
      <c r="O83" s="322" t="s">
        <v>8</v>
      </c>
      <c r="P83" s="322" t="s">
        <v>7</v>
      </c>
      <c r="Q83" s="322" t="s">
        <v>326</v>
      </c>
      <c r="R83" s="322" t="s">
        <v>450</v>
      </c>
      <c r="S83" s="303">
        <f t="shared" si="2"/>
        <v>123695136.59999999</v>
      </c>
      <c r="T83" s="307">
        <f>+IFERROR(VLOOKUP(C83,'Tasas Diarias'!$B:$F,5,FALSE)*G83,0)</f>
        <v>1.2249926903601308E-6</v>
      </c>
      <c r="U83" s="311" t="str">
        <f ca="1">+VLOOKUP(C83,Spreads!$A$2:$G$345,7,0)</f>
        <v/>
      </c>
    </row>
    <row r="84" spans="1:21" ht="15" hidden="1" customHeight="1" thickTop="1" thickBot="1">
      <c r="A84" s="317" t="s">
        <v>2137</v>
      </c>
      <c r="B84" s="318" t="s">
        <v>260</v>
      </c>
      <c r="C84" s="318" t="s">
        <v>1457</v>
      </c>
      <c r="D84" s="318" t="s">
        <v>427</v>
      </c>
      <c r="E84" s="319">
        <v>81403619</v>
      </c>
      <c r="F84" s="319">
        <v>3000</v>
      </c>
      <c r="G84" s="314">
        <v>3.8830000000000002E-3</v>
      </c>
      <c r="H84" s="320">
        <v>1.7</v>
      </c>
      <c r="I84" s="318" t="s">
        <v>617</v>
      </c>
      <c r="J84" s="318">
        <v>1016</v>
      </c>
      <c r="K84" s="318">
        <v>1.5</v>
      </c>
      <c r="L84" s="318">
        <v>101.18</v>
      </c>
      <c r="M84" s="318" t="s">
        <v>6</v>
      </c>
      <c r="N84" s="318" t="s">
        <v>368</v>
      </c>
      <c r="O84" s="318" t="s">
        <v>429</v>
      </c>
      <c r="P84" s="318" t="s">
        <v>392</v>
      </c>
      <c r="Q84" s="318" t="s">
        <v>430</v>
      </c>
      <c r="R84" s="318" t="s">
        <v>1458</v>
      </c>
      <c r="S84" s="303">
        <f t="shared" si="2"/>
        <v>122105428.5</v>
      </c>
      <c r="T84" s="307">
        <f>+IFERROR(VLOOKUP(C84,'Tasas Diarias'!$B:$F,5,FALSE)*G84,0)</f>
        <v>-3.019262821017319E-6</v>
      </c>
      <c r="U84" s="311" t="e">
        <f>+VLOOKUP(C84,Spreads!$A$2:$G$345,7,0)</f>
        <v>#N/A</v>
      </c>
    </row>
    <row r="85" spans="1:21" ht="15" hidden="1" customHeight="1" thickTop="1" thickBot="1">
      <c r="A85" s="321" t="s">
        <v>2137</v>
      </c>
      <c r="B85" s="322" t="s">
        <v>260</v>
      </c>
      <c r="C85" s="322" t="s">
        <v>477</v>
      </c>
      <c r="D85" s="322" t="s">
        <v>24</v>
      </c>
      <c r="E85" s="323">
        <v>94391811</v>
      </c>
      <c r="F85" s="323">
        <v>8000</v>
      </c>
      <c r="G85" s="314">
        <v>4.5019999999999999E-3</v>
      </c>
      <c r="H85" s="324">
        <v>1.63</v>
      </c>
      <c r="I85" s="322" t="s">
        <v>478</v>
      </c>
      <c r="J85" s="322">
        <v>1289</v>
      </c>
      <c r="K85" s="322">
        <v>1.7</v>
      </c>
      <c r="L85" s="322">
        <v>102.28</v>
      </c>
      <c r="M85" s="322" t="s">
        <v>6</v>
      </c>
      <c r="N85" s="322" t="s">
        <v>368</v>
      </c>
      <c r="O85" s="322" t="s">
        <v>8</v>
      </c>
      <c r="P85" s="322" t="s">
        <v>392</v>
      </c>
      <c r="Q85" s="322" t="s">
        <v>51</v>
      </c>
      <c r="R85" s="322" t="s">
        <v>414</v>
      </c>
      <c r="S85" s="303">
        <f t="shared" si="2"/>
        <v>160466078.69999999</v>
      </c>
      <c r="T85" s="307">
        <f>+IFERROR(VLOOKUP(C85,'Tasas Diarias'!$B:$F,5,FALSE)*G85,0)</f>
        <v>3.9384998392502673E-6</v>
      </c>
      <c r="U85" s="311" t="str">
        <f ca="1">+VLOOKUP(C85,Spreads!$A$2:$G$345,7,0)</f>
        <v/>
      </c>
    </row>
    <row r="86" spans="1:21" ht="15" hidden="1" customHeight="1" thickTop="1" thickBot="1">
      <c r="A86" s="317" t="s">
        <v>2137</v>
      </c>
      <c r="B86" s="318" t="s">
        <v>260</v>
      </c>
      <c r="C86" s="318" t="s">
        <v>576</v>
      </c>
      <c r="D86" s="318" t="s">
        <v>577</v>
      </c>
      <c r="E86" s="319">
        <v>244324600</v>
      </c>
      <c r="F86" s="319">
        <v>9000</v>
      </c>
      <c r="G86" s="314">
        <v>1.1653999999999999E-2</v>
      </c>
      <c r="H86" s="320">
        <v>1.56</v>
      </c>
      <c r="I86" s="318" t="s">
        <v>578</v>
      </c>
      <c r="J86" s="318">
        <v>650</v>
      </c>
      <c r="K86" s="318">
        <v>1.75</v>
      </c>
      <c r="L86" s="318">
        <v>101.28</v>
      </c>
      <c r="M86" s="318" t="s">
        <v>6</v>
      </c>
      <c r="N86" s="318" t="s">
        <v>368</v>
      </c>
      <c r="O86" s="318" t="s">
        <v>429</v>
      </c>
      <c r="P86" s="318" t="s">
        <v>392</v>
      </c>
      <c r="Q86" s="318" t="s">
        <v>579</v>
      </c>
      <c r="R86" s="318" t="s">
        <v>580</v>
      </c>
      <c r="S86" s="303">
        <f t="shared" si="2"/>
        <v>427568050</v>
      </c>
      <c r="T86" s="307">
        <f>+IFERROR(VLOOKUP(C86,'Tasas Diarias'!$B:$F,5,FALSE)*G86,0)</f>
        <v>0</v>
      </c>
      <c r="U86" s="311" t="str">
        <f ca="1">+VLOOKUP(C86,Spreads!$A$2:$G$345,7,0)</f>
        <v/>
      </c>
    </row>
    <row r="87" spans="1:21" ht="15" hidden="1" customHeight="1" thickTop="1" thickBot="1">
      <c r="A87" s="317" t="s">
        <v>2137</v>
      </c>
      <c r="B87" s="318" t="s">
        <v>260</v>
      </c>
      <c r="C87" s="318" t="s">
        <v>820</v>
      </c>
      <c r="D87" s="318" t="s">
        <v>821</v>
      </c>
      <c r="E87" s="319">
        <v>239433749</v>
      </c>
      <c r="F87" s="319">
        <v>15000</v>
      </c>
      <c r="G87" s="314">
        <v>1.1421000000000001E-2</v>
      </c>
      <c r="H87" s="320">
        <v>2.62</v>
      </c>
      <c r="I87" s="318" t="s">
        <v>486</v>
      </c>
      <c r="J87" s="318">
        <v>1228</v>
      </c>
      <c r="K87" s="318">
        <v>1.8</v>
      </c>
      <c r="L87" s="318">
        <v>102.07</v>
      </c>
      <c r="M87" s="318" t="s">
        <v>6</v>
      </c>
      <c r="N87" s="318" t="s">
        <v>368</v>
      </c>
      <c r="O87" s="318" t="s">
        <v>8</v>
      </c>
      <c r="P87" s="318" t="s">
        <v>417</v>
      </c>
      <c r="Q87" s="318" t="s">
        <v>822</v>
      </c>
      <c r="R87" s="318" t="s">
        <v>823</v>
      </c>
      <c r="S87" s="303">
        <f t="shared" si="2"/>
        <v>430980748.19999999</v>
      </c>
      <c r="T87" s="307">
        <f>+IFERROR(VLOOKUP(C87,'Tasas Diarias'!$B:$F,5,FALSE)*G87,0)</f>
        <v>6.3619698468252061E-6</v>
      </c>
      <c r="U87" s="311" t="str">
        <f ca="1">+VLOOKUP(C87,Spreads!$A$2:$G$345,7,0)</f>
        <v/>
      </c>
    </row>
    <row r="88" spans="1:21" ht="15" hidden="1" customHeight="1" thickTop="1" thickBot="1">
      <c r="A88" s="317" t="s">
        <v>2137</v>
      </c>
      <c r="B88" s="318" t="s">
        <v>260</v>
      </c>
      <c r="C88" s="318" t="s">
        <v>484</v>
      </c>
      <c r="D88" s="318" t="s">
        <v>485</v>
      </c>
      <c r="E88" s="319">
        <v>11999114</v>
      </c>
      <c r="F88" s="319">
        <v>500</v>
      </c>
      <c r="G88" s="314">
        <v>5.7200000000000003E-4</v>
      </c>
      <c r="H88" s="320">
        <v>1.65</v>
      </c>
      <c r="I88" s="318" t="s">
        <v>486</v>
      </c>
      <c r="J88" s="318">
        <v>1228</v>
      </c>
      <c r="K88" s="318">
        <v>1.82</v>
      </c>
      <c r="L88" s="318">
        <v>102.42</v>
      </c>
      <c r="M88" s="318" t="s">
        <v>6</v>
      </c>
      <c r="N88" s="318" t="s">
        <v>368</v>
      </c>
      <c r="O88" s="318" t="s">
        <v>1348</v>
      </c>
      <c r="P88" s="318" t="s">
        <v>392</v>
      </c>
      <c r="Q88" s="318" t="s">
        <v>487</v>
      </c>
      <c r="R88" s="318" t="s">
        <v>488</v>
      </c>
      <c r="S88" s="303">
        <f t="shared" si="2"/>
        <v>21838387.48</v>
      </c>
      <c r="T88" s="307">
        <f>+IFERROR(VLOOKUP(C88,'Tasas Diarias'!$B:$F,5,FALSE)*G88,0)</f>
        <v>0</v>
      </c>
      <c r="U88" s="311" t="str">
        <f ca="1">+VLOOKUP(C88,Spreads!$A$2:$G$345,7,0)</f>
        <v/>
      </c>
    </row>
    <row r="89" spans="1:21" ht="15" hidden="1" customHeight="1" thickTop="1" thickBot="1">
      <c r="A89" s="321" t="s">
        <v>2137</v>
      </c>
      <c r="B89" s="322" t="s">
        <v>260</v>
      </c>
      <c r="C89" s="322" t="s">
        <v>571</v>
      </c>
      <c r="D89" s="322" t="s">
        <v>572</v>
      </c>
      <c r="E89" s="323">
        <v>165995466</v>
      </c>
      <c r="F89" s="323">
        <v>7000</v>
      </c>
      <c r="G89" s="314">
        <v>7.9179999999999997E-3</v>
      </c>
      <c r="H89" s="324">
        <v>1.68</v>
      </c>
      <c r="I89" s="322" t="s">
        <v>573</v>
      </c>
      <c r="J89" s="322">
        <v>1272</v>
      </c>
      <c r="K89" s="322">
        <v>1.94</v>
      </c>
      <c r="L89" s="322">
        <v>101.57</v>
      </c>
      <c r="M89" s="322" t="s">
        <v>6</v>
      </c>
      <c r="N89" s="322" t="s">
        <v>368</v>
      </c>
      <c r="O89" s="322" t="s">
        <v>1346</v>
      </c>
      <c r="P89" s="322" t="s">
        <v>444</v>
      </c>
      <c r="Q89" s="322" t="s">
        <v>574</v>
      </c>
      <c r="R89" s="322" t="s">
        <v>575</v>
      </c>
      <c r="S89" s="303">
        <f t="shared" si="2"/>
        <v>322031204.03999996</v>
      </c>
      <c r="T89" s="307">
        <f>+IFERROR(VLOOKUP(C89,'Tasas Diarias'!$B:$F,5,FALSE)*G89,0)</f>
        <v>0</v>
      </c>
      <c r="U89" s="311" t="str">
        <f ca="1">+VLOOKUP(C89,Spreads!$A$2:$G$345,7,0)</f>
        <v/>
      </c>
    </row>
    <row r="90" spans="1:21" ht="15" hidden="1" customHeight="1" thickTop="1" thickBot="1">
      <c r="A90" s="321" t="s">
        <v>2137</v>
      </c>
      <c r="B90" s="322" t="s">
        <v>260</v>
      </c>
      <c r="C90" s="322" t="s">
        <v>492</v>
      </c>
      <c r="D90" s="322" t="s">
        <v>182</v>
      </c>
      <c r="E90" s="323">
        <v>53161774</v>
      </c>
      <c r="F90" s="323">
        <v>50000000</v>
      </c>
      <c r="G90" s="314">
        <v>2.5349999999999999E-3</v>
      </c>
      <c r="H90" s="324">
        <v>3.93</v>
      </c>
      <c r="I90" s="322" t="s">
        <v>493</v>
      </c>
      <c r="J90" s="322">
        <v>772</v>
      </c>
      <c r="K90" s="322">
        <v>1.98</v>
      </c>
      <c r="L90" s="322">
        <v>103.96</v>
      </c>
      <c r="M90" s="322" t="s">
        <v>9</v>
      </c>
      <c r="N90" s="322" t="s">
        <v>368</v>
      </c>
      <c r="O90" s="322" t="s">
        <v>8</v>
      </c>
      <c r="P90" s="322" t="s">
        <v>7</v>
      </c>
      <c r="Q90" s="322" t="s">
        <v>390</v>
      </c>
      <c r="R90" s="322" t="s">
        <v>402</v>
      </c>
      <c r="S90" s="303">
        <f t="shared" si="2"/>
        <v>105260312.52</v>
      </c>
      <c r="T90" s="307">
        <f>+IFERROR(VLOOKUP(C90,'Tasas Diarias'!$B:$F,5,FALSE)*G90,0)</f>
        <v>1.0325470573212654E-6</v>
      </c>
      <c r="U90" s="311" t="str">
        <f ca="1">+VLOOKUP(C90,Spreads!$A$2:$G$345,7,0)</f>
        <v/>
      </c>
    </row>
    <row r="91" spans="1:21" ht="15" hidden="1" customHeight="1" thickTop="1" thickBot="1">
      <c r="A91" s="321" t="s">
        <v>2137</v>
      </c>
      <c r="B91" s="322" t="s">
        <v>260</v>
      </c>
      <c r="C91" s="322" t="s">
        <v>489</v>
      </c>
      <c r="D91" s="322" t="s">
        <v>12</v>
      </c>
      <c r="E91" s="323">
        <v>156441092</v>
      </c>
      <c r="F91" s="323">
        <v>9500</v>
      </c>
      <c r="G91" s="314">
        <v>7.4619999999999999E-3</v>
      </c>
      <c r="H91" s="324">
        <v>1.79</v>
      </c>
      <c r="I91" s="322" t="s">
        <v>490</v>
      </c>
      <c r="J91" s="322">
        <v>1318</v>
      </c>
      <c r="K91" s="322">
        <v>2.09</v>
      </c>
      <c r="L91" s="322">
        <v>102.38</v>
      </c>
      <c r="M91" s="322" t="s">
        <v>6</v>
      </c>
      <c r="N91" s="322" t="s">
        <v>368</v>
      </c>
      <c r="O91" s="322" t="s">
        <v>1349</v>
      </c>
      <c r="P91" s="322" t="s">
        <v>379</v>
      </c>
      <c r="Q91" s="322" t="s">
        <v>328</v>
      </c>
      <c r="R91" s="322" t="s">
        <v>491</v>
      </c>
      <c r="S91" s="303">
        <f t="shared" si="2"/>
        <v>326961882.27999997</v>
      </c>
      <c r="T91" s="307">
        <f>+IFERROR(VLOOKUP(C91,'Tasas Diarias'!$B:$F,5,FALSE)*G91,0)</f>
        <v>3.195912303359433E-6</v>
      </c>
      <c r="U91" s="311" t="str">
        <f ca="1">+VLOOKUP(C91,Spreads!$A$2:$G$345,7,0)</f>
        <v/>
      </c>
    </row>
    <row r="92" spans="1:21" ht="15" hidden="1" customHeight="1" thickTop="1" thickBot="1">
      <c r="A92" s="321" t="s">
        <v>2137</v>
      </c>
      <c r="B92" s="322" t="s">
        <v>260</v>
      </c>
      <c r="C92" s="322" t="s">
        <v>1554</v>
      </c>
      <c r="D92" s="322" t="s">
        <v>233</v>
      </c>
      <c r="E92" s="323">
        <v>485732766</v>
      </c>
      <c r="F92" s="323">
        <v>470000000</v>
      </c>
      <c r="G92" s="314">
        <v>2.317E-2</v>
      </c>
      <c r="H92" s="324">
        <v>4.25</v>
      </c>
      <c r="I92" s="322" t="s">
        <v>591</v>
      </c>
      <c r="J92" s="322">
        <v>832</v>
      </c>
      <c r="K92" s="322">
        <v>2.16</v>
      </c>
      <c r="L92" s="322">
        <v>102.19</v>
      </c>
      <c r="M92" s="322" t="s">
        <v>9</v>
      </c>
      <c r="N92" s="322" t="s">
        <v>368</v>
      </c>
      <c r="O92" s="322" t="s">
        <v>8</v>
      </c>
      <c r="P92" s="322" t="s">
        <v>417</v>
      </c>
      <c r="Q92" s="322" t="s">
        <v>60</v>
      </c>
      <c r="R92" s="322" t="s">
        <v>481</v>
      </c>
      <c r="S92" s="303">
        <f t="shared" si="2"/>
        <v>1049182774.5600001</v>
      </c>
      <c r="T92" s="307">
        <f>+IFERROR(VLOOKUP(C92,'Tasas Diarias'!$B:$F,5,FALSE)*G92,0)</f>
        <v>0</v>
      </c>
      <c r="U92" s="311" t="e">
        <f>+VLOOKUP(C92,Spreads!$A$2:$G$345,7,0)</f>
        <v>#N/A</v>
      </c>
    </row>
    <row r="93" spans="1:21" ht="15" hidden="1" customHeight="1" thickTop="1" thickBot="1">
      <c r="A93" s="317" t="s">
        <v>2137</v>
      </c>
      <c r="B93" s="318" t="s">
        <v>260</v>
      </c>
      <c r="C93" s="318" t="s">
        <v>593</v>
      </c>
      <c r="D93" s="318" t="s">
        <v>233</v>
      </c>
      <c r="E93" s="319">
        <v>136344438</v>
      </c>
      <c r="F93" s="319">
        <v>5000</v>
      </c>
      <c r="G93" s="314">
        <v>6.5040000000000002E-3</v>
      </c>
      <c r="H93" s="320">
        <v>1.84</v>
      </c>
      <c r="I93" s="318" t="s">
        <v>591</v>
      </c>
      <c r="J93" s="318">
        <v>832</v>
      </c>
      <c r="K93" s="318">
        <v>2.2200000000000002</v>
      </c>
      <c r="L93" s="318">
        <v>101.67</v>
      </c>
      <c r="M93" s="318" t="s">
        <v>6</v>
      </c>
      <c r="N93" s="318" t="s">
        <v>368</v>
      </c>
      <c r="O93" s="318" t="s">
        <v>8</v>
      </c>
      <c r="P93" s="318" t="s">
        <v>417</v>
      </c>
      <c r="Q93" s="318" t="s">
        <v>60</v>
      </c>
      <c r="R93" s="318" t="s">
        <v>481</v>
      </c>
      <c r="S93" s="303">
        <f t="shared" si="2"/>
        <v>302684652.36000001</v>
      </c>
      <c r="T93" s="307">
        <f>+IFERROR(VLOOKUP(C93,'Tasas Diarias'!$B:$F,5,FALSE)*G93,0)</f>
        <v>0</v>
      </c>
      <c r="U93" s="311" t="str">
        <f ca="1">+VLOOKUP(C93,Spreads!$A$2:$G$345,7,0)</f>
        <v/>
      </c>
    </row>
    <row r="94" spans="1:21" ht="15" hidden="1" customHeight="1" thickTop="1" thickBot="1">
      <c r="A94" s="321" t="s">
        <v>2137</v>
      </c>
      <c r="B94" s="322" t="s">
        <v>260</v>
      </c>
      <c r="C94" s="334" t="s">
        <v>496</v>
      </c>
      <c r="D94" s="322" t="s">
        <v>38</v>
      </c>
      <c r="E94" s="323">
        <v>51545729</v>
      </c>
      <c r="F94" s="323">
        <v>50000000</v>
      </c>
      <c r="G94" s="314">
        <v>2.4580000000000001E-3</v>
      </c>
      <c r="H94" s="322">
        <v>4.2</v>
      </c>
      <c r="I94" s="322" t="s">
        <v>497</v>
      </c>
      <c r="J94" s="322">
        <v>863</v>
      </c>
      <c r="K94" s="322">
        <v>2.2400000000000002</v>
      </c>
      <c r="L94" s="322">
        <v>102.38</v>
      </c>
      <c r="M94" s="322" t="s">
        <v>9</v>
      </c>
      <c r="N94" s="322" t="s">
        <v>368</v>
      </c>
      <c r="O94" s="322" t="s">
        <v>8</v>
      </c>
      <c r="P94" s="322" t="s">
        <v>7</v>
      </c>
      <c r="Q94" s="322" t="s">
        <v>76</v>
      </c>
      <c r="R94" s="322" t="s">
        <v>498</v>
      </c>
      <c r="S94" s="303">
        <f t="shared" si="2"/>
        <v>115462432.96000001</v>
      </c>
      <c r="T94" s="307">
        <f>+IFERROR(VLOOKUP(C94,'Tasas Diarias'!$B:$F,5,FALSE)*G94,0)</f>
        <v>-5.6516559430010878E-7</v>
      </c>
      <c r="U94" s="311" t="str">
        <f ca="1">+VLOOKUP(C94,Spreads!$A$2:$G$345,7,0)</f>
        <v/>
      </c>
    </row>
    <row r="95" spans="1:21" ht="15" hidden="1" customHeight="1" thickTop="1" thickBot="1">
      <c r="A95" s="321" t="s">
        <v>2137</v>
      </c>
      <c r="B95" s="322" t="s">
        <v>260</v>
      </c>
      <c r="C95" s="322" t="s">
        <v>499</v>
      </c>
      <c r="D95" s="322" t="s">
        <v>176</v>
      </c>
      <c r="E95" s="323">
        <v>83691552</v>
      </c>
      <c r="F95" s="323">
        <v>3000</v>
      </c>
      <c r="G95" s="314">
        <v>3.9919999999999999E-3</v>
      </c>
      <c r="H95" s="324">
        <v>1.69</v>
      </c>
      <c r="I95" s="322" t="s">
        <v>497</v>
      </c>
      <c r="J95" s="322">
        <v>863</v>
      </c>
      <c r="K95" s="322">
        <v>2.2799999999999998</v>
      </c>
      <c r="L95" s="322">
        <v>104.1</v>
      </c>
      <c r="M95" s="322" t="s">
        <v>6</v>
      </c>
      <c r="N95" s="322" t="s">
        <v>368</v>
      </c>
      <c r="O95" s="322" t="s">
        <v>8</v>
      </c>
      <c r="P95" s="322" t="s">
        <v>7</v>
      </c>
      <c r="Q95" s="322" t="s">
        <v>326</v>
      </c>
      <c r="R95" s="322" t="s">
        <v>450</v>
      </c>
      <c r="S95" s="303">
        <f t="shared" si="2"/>
        <v>190816738.55999997</v>
      </c>
      <c r="T95" s="307">
        <f>+IFERROR(VLOOKUP(C95,'Tasas Diarias'!$B:$F,5,FALSE)*G95,0)</f>
        <v>0</v>
      </c>
      <c r="U95" s="311" t="str">
        <f ca="1">+VLOOKUP(C95,Spreads!$A$2:$G$345,7,0)</f>
        <v/>
      </c>
    </row>
    <row r="96" spans="1:21" ht="15" hidden="1" customHeight="1" thickTop="1" thickBot="1">
      <c r="A96" s="317" t="s">
        <v>2137</v>
      </c>
      <c r="B96" s="318" t="s">
        <v>260</v>
      </c>
      <c r="C96" s="318" t="s">
        <v>598</v>
      </c>
      <c r="D96" s="318" t="s">
        <v>170</v>
      </c>
      <c r="E96" s="319">
        <v>62402120</v>
      </c>
      <c r="F96" s="319">
        <v>60000000</v>
      </c>
      <c r="G96" s="314">
        <v>2.9759999999999999E-3</v>
      </c>
      <c r="H96" s="320">
        <v>4.25</v>
      </c>
      <c r="I96" s="318" t="s">
        <v>599</v>
      </c>
      <c r="J96" s="318">
        <v>893</v>
      </c>
      <c r="K96" s="318">
        <v>2.31</v>
      </c>
      <c r="L96" s="318">
        <v>103.7</v>
      </c>
      <c r="M96" s="318" t="s">
        <v>9</v>
      </c>
      <c r="N96" s="318" t="s">
        <v>368</v>
      </c>
      <c r="O96" s="318" t="s">
        <v>8</v>
      </c>
      <c r="P96" s="318" t="s">
        <v>392</v>
      </c>
      <c r="Q96" s="318" t="s">
        <v>88</v>
      </c>
      <c r="R96" s="318" t="s">
        <v>512</v>
      </c>
      <c r="S96" s="303">
        <f t="shared" si="2"/>
        <v>144148897.20000002</v>
      </c>
      <c r="T96" s="307">
        <f>+IFERROR(VLOOKUP(C96,'Tasas Diarias'!$B:$F,5,FALSE)*G96,0)</f>
        <v>-2.0578537949827189E-6</v>
      </c>
      <c r="U96" s="311" t="str">
        <f ca="1">+VLOOKUP(C96,Spreads!$A$2:$G$345,7,0)</f>
        <v/>
      </c>
    </row>
    <row r="97" spans="1:21" ht="15" hidden="1" customHeight="1" thickTop="1" thickBot="1">
      <c r="A97" s="317" t="s">
        <v>2137</v>
      </c>
      <c r="B97" s="318" t="s">
        <v>260</v>
      </c>
      <c r="C97" s="318" t="s">
        <v>608</v>
      </c>
      <c r="D97" s="318" t="s">
        <v>528</v>
      </c>
      <c r="E97" s="319">
        <v>28237052</v>
      </c>
      <c r="F97" s="319">
        <v>1000</v>
      </c>
      <c r="G97" s="314">
        <v>1.346E-3</v>
      </c>
      <c r="H97" s="320">
        <v>2</v>
      </c>
      <c r="I97" s="318" t="s">
        <v>478</v>
      </c>
      <c r="J97" s="318">
        <v>1289</v>
      </c>
      <c r="K97" s="318">
        <v>2.4300000000000002</v>
      </c>
      <c r="L97" s="318">
        <v>104.08</v>
      </c>
      <c r="M97" s="318" t="s">
        <v>6</v>
      </c>
      <c r="N97" s="318" t="s">
        <v>368</v>
      </c>
      <c r="O97" s="318" t="s">
        <v>530</v>
      </c>
      <c r="P97" s="318" t="s">
        <v>7</v>
      </c>
      <c r="Q97" s="318" t="s">
        <v>531</v>
      </c>
      <c r="R97" s="318" t="s">
        <v>532</v>
      </c>
      <c r="S97" s="303">
        <f t="shared" si="2"/>
        <v>68616036.359999999</v>
      </c>
      <c r="T97" s="307">
        <f>+IFERROR(VLOOKUP(C97,'Tasas Diarias'!$B:$F,5,FALSE)*G97,0)</f>
        <v>0</v>
      </c>
      <c r="U97" s="311" t="str">
        <f ca="1">+VLOOKUP(C97,Spreads!$A$2:$G$345,7,0)</f>
        <v/>
      </c>
    </row>
    <row r="98" spans="1:21" ht="15" hidden="1" customHeight="1" thickTop="1" thickBot="1">
      <c r="A98" s="321" t="s">
        <v>2137</v>
      </c>
      <c r="B98" s="322" t="s">
        <v>260</v>
      </c>
      <c r="C98" s="322" t="s">
        <v>613</v>
      </c>
      <c r="D98" s="322" t="s">
        <v>11</v>
      </c>
      <c r="E98" s="323">
        <v>28645847</v>
      </c>
      <c r="F98" s="323">
        <v>1000</v>
      </c>
      <c r="G98" s="314">
        <v>1.366E-3</v>
      </c>
      <c r="H98" s="324">
        <v>1.69</v>
      </c>
      <c r="I98" s="322" t="s">
        <v>1499</v>
      </c>
      <c r="J98" s="322">
        <v>962</v>
      </c>
      <c r="K98" s="322">
        <v>2.5</v>
      </c>
      <c r="L98" s="322">
        <v>105.86</v>
      </c>
      <c r="M98" s="322" t="s">
        <v>6</v>
      </c>
      <c r="N98" s="322" t="s">
        <v>368</v>
      </c>
      <c r="O98" s="322" t="s">
        <v>8</v>
      </c>
      <c r="P98" s="322" t="s">
        <v>7</v>
      </c>
      <c r="Q98" s="322" t="s">
        <v>326</v>
      </c>
      <c r="R98" s="322" t="s">
        <v>404</v>
      </c>
      <c r="S98" s="303">
        <f t="shared" si="2"/>
        <v>71614617.5</v>
      </c>
      <c r="T98" s="307">
        <f>+IFERROR(VLOOKUP(C98,'Tasas Diarias'!$B:$F,5,FALSE)*G98,0)</f>
        <v>3.4898791301811979E-7</v>
      </c>
      <c r="U98" s="311" t="str">
        <f ca="1">+VLOOKUP(C98,Spreads!$A$2:$G$345,7,0)</f>
        <v/>
      </c>
    </row>
    <row r="99" spans="1:21" ht="15" hidden="1" customHeight="1" thickTop="1" thickBot="1">
      <c r="A99" s="321" t="s">
        <v>2137</v>
      </c>
      <c r="B99" s="322" t="s">
        <v>260</v>
      </c>
      <c r="C99" s="322" t="s">
        <v>500</v>
      </c>
      <c r="D99" s="322" t="s">
        <v>11</v>
      </c>
      <c r="E99" s="323">
        <v>27860438</v>
      </c>
      <c r="F99" s="323">
        <v>1000</v>
      </c>
      <c r="G99" s="314">
        <v>1.3290000000000001E-3</v>
      </c>
      <c r="H99" s="324">
        <v>1.71</v>
      </c>
      <c r="I99" s="322" t="s">
        <v>501</v>
      </c>
      <c r="J99" s="322">
        <v>954</v>
      </c>
      <c r="K99" s="322">
        <v>2.5099999999999998</v>
      </c>
      <c r="L99" s="322">
        <v>103.26</v>
      </c>
      <c r="M99" s="322" t="s">
        <v>6</v>
      </c>
      <c r="N99" s="322" t="s">
        <v>368</v>
      </c>
      <c r="O99" s="322" t="s">
        <v>8</v>
      </c>
      <c r="P99" s="322" t="s">
        <v>7</v>
      </c>
      <c r="Q99" s="322" t="s">
        <v>326</v>
      </c>
      <c r="R99" s="322" t="s">
        <v>404</v>
      </c>
      <c r="S99" s="303">
        <f t="shared" si="2"/>
        <v>69929699.379999995</v>
      </c>
      <c r="T99" s="307">
        <f>+IFERROR(VLOOKUP(C99,'Tasas Diarias'!$B:$F,5,FALSE)*G99,0)</f>
        <v>2.7265282667718515E-6</v>
      </c>
      <c r="U99" s="311" t="str">
        <f ca="1">+VLOOKUP(C99,Spreads!$A$2:$G$345,7,0)</f>
        <v/>
      </c>
    </row>
    <row r="100" spans="1:21" ht="15" hidden="1" customHeight="1" thickTop="1" thickBot="1">
      <c r="A100" s="317" t="s">
        <v>2137</v>
      </c>
      <c r="B100" s="318" t="s">
        <v>260</v>
      </c>
      <c r="C100" s="318" t="s">
        <v>502</v>
      </c>
      <c r="D100" s="318" t="s">
        <v>38</v>
      </c>
      <c r="E100" s="319">
        <v>94446689</v>
      </c>
      <c r="F100" s="319">
        <v>3500</v>
      </c>
      <c r="G100" s="314">
        <v>4.5050000000000003E-3</v>
      </c>
      <c r="H100" s="320">
        <v>2</v>
      </c>
      <c r="I100" s="318" t="s">
        <v>503</v>
      </c>
      <c r="J100" s="318">
        <v>985</v>
      </c>
      <c r="K100" s="318">
        <v>2.62</v>
      </c>
      <c r="L100" s="318">
        <v>100.51</v>
      </c>
      <c r="M100" s="318" t="s">
        <v>6</v>
      </c>
      <c r="N100" s="318" t="s">
        <v>368</v>
      </c>
      <c r="O100" s="318" t="s">
        <v>8</v>
      </c>
      <c r="P100" s="318" t="s">
        <v>7</v>
      </c>
      <c r="Q100" s="318" t="s">
        <v>76</v>
      </c>
      <c r="R100" s="318" t="s">
        <v>498</v>
      </c>
      <c r="S100" s="303">
        <f t="shared" si="2"/>
        <v>247450325.18000001</v>
      </c>
      <c r="T100" s="307">
        <f>+IFERROR(VLOOKUP(C100,'Tasas Diarias'!$B:$F,5,FALSE)*G100,0)</f>
        <v>1.2056734130762602E-6</v>
      </c>
      <c r="U100" s="311" t="str">
        <f ca="1">+VLOOKUP(C100,Spreads!$A$2:$G$345,7,0)</f>
        <v/>
      </c>
    </row>
    <row r="101" spans="1:21" ht="15" hidden="1" customHeight="1" thickTop="1" thickBot="1">
      <c r="A101" s="317" t="s">
        <v>2137</v>
      </c>
      <c r="B101" s="318" t="s">
        <v>260</v>
      </c>
      <c r="C101" s="318" t="s">
        <v>619</v>
      </c>
      <c r="D101" s="318" t="s">
        <v>620</v>
      </c>
      <c r="E101" s="319">
        <v>80887365</v>
      </c>
      <c r="F101" s="319">
        <v>3000</v>
      </c>
      <c r="G101" s="314">
        <v>3.8579999999999999E-3</v>
      </c>
      <c r="H101" s="320">
        <v>1.73</v>
      </c>
      <c r="I101" s="318" t="s">
        <v>621</v>
      </c>
      <c r="J101" s="318">
        <v>998</v>
      </c>
      <c r="K101" s="318">
        <v>2.66</v>
      </c>
      <c r="L101" s="318">
        <v>100.57</v>
      </c>
      <c r="M101" s="318" t="s">
        <v>6</v>
      </c>
      <c r="N101" s="318" t="s">
        <v>368</v>
      </c>
      <c r="O101" s="318" t="s">
        <v>560</v>
      </c>
      <c r="P101" s="318" t="s">
        <v>7</v>
      </c>
      <c r="Q101" s="318" t="s">
        <v>622</v>
      </c>
      <c r="R101" s="318" t="s">
        <v>623</v>
      </c>
      <c r="S101" s="303">
        <f t="shared" si="2"/>
        <v>215160390.90000001</v>
      </c>
      <c r="T101" s="307">
        <f>+IFERROR(VLOOKUP(C101,'Tasas Diarias'!$B:$F,5,FALSE)*G101,0)</f>
        <v>3.1487067058517951E-6</v>
      </c>
      <c r="U101" s="311" t="str">
        <f ca="1">+VLOOKUP(C101,Spreads!$A$2:$G$345,7,0)</f>
        <v/>
      </c>
    </row>
    <row r="102" spans="1:21" ht="15" hidden="1" customHeight="1" thickTop="1" thickBot="1">
      <c r="A102" s="321" t="s">
        <v>2137</v>
      </c>
      <c r="B102" s="322" t="s">
        <v>260</v>
      </c>
      <c r="C102" s="322" t="s">
        <v>618</v>
      </c>
      <c r="D102" s="322" t="s">
        <v>485</v>
      </c>
      <c r="E102" s="323">
        <v>41966478</v>
      </c>
      <c r="F102" s="323">
        <v>1500</v>
      </c>
      <c r="G102" s="314">
        <v>2.0010000000000002E-3</v>
      </c>
      <c r="H102" s="324">
        <v>1.68</v>
      </c>
      <c r="I102" s="322" t="s">
        <v>617</v>
      </c>
      <c r="J102" s="322">
        <v>1016</v>
      </c>
      <c r="K102" s="322">
        <v>2.67</v>
      </c>
      <c r="L102" s="322">
        <v>104.17</v>
      </c>
      <c r="M102" s="322" t="s">
        <v>6</v>
      </c>
      <c r="N102" s="322" t="s">
        <v>368</v>
      </c>
      <c r="O102" s="322" t="s">
        <v>1348</v>
      </c>
      <c r="P102" s="322" t="s">
        <v>392</v>
      </c>
      <c r="Q102" s="322" t="s">
        <v>487</v>
      </c>
      <c r="R102" s="322" t="s">
        <v>488</v>
      </c>
      <c r="S102" s="303">
        <f t="shared" si="2"/>
        <v>112050496.25999999</v>
      </c>
      <c r="T102" s="307">
        <f>+IFERROR(VLOOKUP(C102,'Tasas Diarias'!$B:$F,5,FALSE)*G102,0)</f>
        <v>0</v>
      </c>
      <c r="U102" s="311" t="str">
        <f ca="1">+VLOOKUP(C102,Spreads!$A$2:$G$345,7,0)</f>
        <v/>
      </c>
    </row>
    <row r="103" spans="1:21" ht="15" hidden="1" customHeight="1" thickTop="1" thickBot="1">
      <c r="A103" s="317" t="s">
        <v>2137</v>
      </c>
      <c r="B103" s="318" t="s">
        <v>260</v>
      </c>
      <c r="C103" s="318" t="s">
        <v>504</v>
      </c>
      <c r="D103" s="318" t="s">
        <v>295</v>
      </c>
      <c r="E103" s="319">
        <v>52916485</v>
      </c>
      <c r="F103" s="319">
        <v>50000000</v>
      </c>
      <c r="G103" s="314">
        <v>2.5240000000000002E-3</v>
      </c>
      <c r="H103" s="320">
        <v>4.25</v>
      </c>
      <c r="I103" s="318" t="s">
        <v>505</v>
      </c>
      <c r="J103" s="318">
        <v>1138</v>
      </c>
      <c r="K103" s="318">
        <v>2.85</v>
      </c>
      <c r="L103" s="318">
        <v>103.64</v>
      </c>
      <c r="M103" s="318" t="s">
        <v>9</v>
      </c>
      <c r="N103" s="318" t="s">
        <v>368</v>
      </c>
      <c r="O103" s="318" t="s">
        <v>8</v>
      </c>
      <c r="P103" s="318" t="s">
        <v>7</v>
      </c>
      <c r="Q103" s="318" t="s">
        <v>70</v>
      </c>
      <c r="R103" s="318" t="s">
        <v>506</v>
      </c>
      <c r="S103" s="303">
        <f t="shared" si="2"/>
        <v>150811982.25</v>
      </c>
      <c r="T103" s="307">
        <f>+IFERROR(VLOOKUP(C103,'Tasas Diarias'!$B:$F,5,FALSE)*G103,0)</f>
        <v>-1.4703078029661025E-6</v>
      </c>
      <c r="U103" s="311" t="str">
        <f ca="1">+VLOOKUP(C103,Spreads!$A$2:$G$345,7,0)</f>
        <v/>
      </c>
    </row>
    <row r="104" spans="1:21" ht="15" hidden="1" customHeight="1" thickTop="1" thickBot="1">
      <c r="A104" s="317" t="s">
        <v>2137</v>
      </c>
      <c r="B104" s="318" t="s">
        <v>260</v>
      </c>
      <c r="C104" s="318" t="s">
        <v>356</v>
      </c>
      <c r="D104" s="318" t="s">
        <v>115</v>
      </c>
      <c r="E104" s="319">
        <v>491488331</v>
      </c>
      <c r="F104" s="319">
        <v>475000000</v>
      </c>
      <c r="G104" s="314">
        <v>2.3445000000000001E-2</v>
      </c>
      <c r="H104" s="320">
        <v>3.72</v>
      </c>
      <c r="I104" s="318" t="s">
        <v>507</v>
      </c>
      <c r="J104" s="318">
        <v>1197</v>
      </c>
      <c r="K104" s="318">
        <v>3.06</v>
      </c>
      <c r="L104" s="318">
        <v>102.48</v>
      </c>
      <c r="M104" s="318" t="s">
        <v>9</v>
      </c>
      <c r="N104" s="318" t="s">
        <v>458</v>
      </c>
      <c r="O104" s="318" t="s">
        <v>378</v>
      </c>
      <c r="P104" s="318" t="s">
        <v>379</v>
      </c>
      <c r="Q104" s="318" t="s">
        <v>2139</v>
      </c>
      <c r="R104" s="318" t="s">
        <v>885</v>
      </c>
      <c r="S104" s="303">
        <f t="shared" si="2"/>
        <v>1503954292.8600001</v>
      </c>
      <c r="T104" s="307">
        <f>+IFERROR(VLOOKUP(C104,'Tasas Diarias'!$B:$F,5,FALSE)*G104,0)</f>
        <v>-7.3098631551563161E-6</v>
      </c>
      <c r="U104" s="311" t="str">
        <f>+VLOOKUP(C104,Spreads!$A$2:$G$345,7,0)</f>
        <v/>
      </c>
    </row>
    <row r="105" spans="1:21" ht="15" hidden="1" customHeight="1" thickTop="1" thickBot="1">
      <c r="A105" s="317" t="s">
        <v>2137</v>
      </c>
      <c r="B105" s="318" t="s">
        <v>260</v>
      </c>
      <c r="C105" s="318" t="s">
        <v>1003</v>
      </c>
      <c r="D105" s="318" t="s">
        <v>1004</v>
      </c>
      <c r="E105" s="319">
        <v>109088363</v>
      </c>
      <c r="F105" s="319">
        <v>6500</v>
      </c>
      <c r="G105" s="314">
        <v>5.2030000000000002E-3</v>
      </c>
      <c r="H105" s="318">
        <v>1.92</v>
      </c>
      <c r="I105" s="318" t="s">
        <v>1005</v>
      </c>
      <c r="J105" s="318">
        <v>2186</v>
      </c>
      <c r="K105" s="318">
        <v>3.09</v>
      </c>
      <c r="L105" s="318">
        <v>104.83</v>
      </c>
      <c r="M105" s="318" t="s">
        <v>6</v>
      </c>
      <c r="N105" s="318" t="s">
        <v>368</v>
      </c>
      <c r="O105" s="318" t="s">
        <v>1347</v>
      </c>
      <c r="P105" s="318" t="s">
        <v>7</v>
      </c>
      <c r="Q105" s="318" t="s">
        <v>1006</v>
      </c>
      <c r="R105" s="318" t="s">
        <v>1007</v>
      </c>
      <c r="S105" s="303">
        <f t="shared" si="2"/>
        <v>337083041.66999996</v>
      </c>
      <c r="T105" s="307">
        <f>+IFERROR(VLOOKUP(C105,'Tasas Diarias'!$B:$F,5,FALSE)*G105,0)</f>
        <v>1.4893410083394505E-6</v>
      </c>
      <c r="U105" s="311" t="str">
        <f ca="1">+VLOOKUP(C105,Spreads!$A$2:$G$345,7,0)</f>
        <v/>
      </c>
    </row>
    <row r="106" spans="1:21" ht="15" hidden="1" customHeight="1" thickTop="1" thickBot="1">
      <c r="A106" s="321" t="s">
        <v>2137</v>
      </c>
      <c r="B106" s="322" t="s">
        <v>260</v>
      </c>
      <c r="C106" s="322" t="s">
        <v>843</v>
      </c>
      <c r="D106" s="322" t="s">
        <v>844</v>
      </c>
      <c r="E106" s="323">
        <v>21496024</v>
      </c>
      <c r="F106" s="323">
        <v>1500</v>
      </c>
      <c r="G106" s="314">
        <v>1.0250000000000001E-3</v>
      </c>
      <c r="H106" s="324">
        <v>1.86</v>
      </c>
      <c r="I106" s="322" t="s">
        <v>730</v>
      </c>
      <c r="J106" s="322">
        <v>2446</v>
      </c>
      <c r="K106" s="322">
        <v>3.18</v>
      </c>
      <c r="L106" s="322">
        <v>113.12</v>
      </c>
      <c r="M106" s="322" t="s">
        <v>6</v>
      </c>
      <c r="N106" s="322" t="s">
        <v>368</v>
      </c>
      <c r="O106" s="322" t="s">
        <v>1346</v>
      </c>
      <c r="P106" s="322" t="s">
        <v>392</v>
      </c>
      <c r="Q106" s="322" t="s">
        <v>845</v>
      </c>
      <c r="R106" s="322" t="s">
        <v>846</v>
      </c>
      <c r="S106" s="303">
        <f t="shared" si="2"/>
        <v>68357356.320000008</v>
      </c>
      <c r="T106" s="307">
        <f>+IFERROR(VLOOKUP(C106,'Tasas Diarias'!$B:$F,5,FALSE)*G106,0)</f>
        <v>0</v>
      </c>
      <c r="U106" s="311" t="str">
        <f ca="1">+VLOOKUP(C106,Spreads!$A$2:$G$345,7,0)</f>
        <v/>
      </c>
    </row>
    <row r="107" spans="1:21" ht="15" hidden="1" customHeight="1" thickTop="1" thickBot="1">
      <c r="A107" s="321" t="s">
        <v>2137</v>
      </c>
      <c r="B107" s="322" t="s">
        <v>260</v>
      </c>
      <c r="C107" s="322" t="s">
        <v>159</v>
      </c>
      <c r="D107" s="322" t="s">
        <v>116</v>
      </c>
      <c r="E107" s="323">
        <v>675728610</v>
      </c>
      <c r="F107" s="323">
        <v>25000</v>
      </c>
      <c r="G107" s="314">
        <v>3.2233999999999999E-2</v>
      </c>
      <c r="H107" s="324">
        <v>1.19</v>
      </c>
      <c r="I107" s="322" t="s">
        <v>507</v>
      </c>
      <c r="J107" s="322">
        <v>1197</v>
      </c>
      <c r="K107" s="322">
        <v>3.2</v>
      </c>
      <c r="L107" s="322">
        <v>101</v>
      </c>
      <c r="M107" s="322" t="s">
        <v>6</v>
      </c>
      <c r="N107" s="322" t="s">
        <v>458</v>
      </c>
      <c r="O107" s="322" t="s">
        <v>378</v>
      </c>
      <c r="P107" s="322" t="s">
        <v>379</v>
      </c>
      <c r="Q107" s="322" t="s">
        <v>2139</v>
      </c>
      <c r="R107" s="322" t="s">
        <v>508</v>
      </c>
      <c r="S107" s="303">
        <f t="shared" si="2"/>
        <v>2162331552</v>
      </c>
      <c r="T107" s="307">
        <f>+IFERROR(VLOOKUP(C107,'Tasas Diarias'!$B:$F,5,FALSE)*G107,0)</f>
        <v>0</v>
      </c>
      <c r="U107" s="311" t="str">
        <f>+VLOOKUP(C107,Spreads!$A$2:$G$345,7,0)</f>
        <v/>
      </c>
    </row>
    <row r="108" spans="1:21" ht="15" hidden="1" customHeight="1" thickTop="1" thickBot="1">
      <c r="A108" s="317" t="s">
        <v>2137</v>
      </c>
      <c r="B108" s="318" t="s">
        <v>260</v>
      </c>
      <c r="C108" s="318" t="s">
        <v>1028</v>
      </c>
      <c r="D108" s="318" t="s">
        <v>37</v>
      </c>
      <c r="E108" s="319">
        <v>133155199</v>
      </c>
      <c r="F108" s="319">
        <v>130000000</v>
      </c>
      <c r="G108" s="314">
        <v>6.3509999999999999E-3</v>
      </c>
      <c r="H108" s="318">
        <v>4.5</v>
      </c>
      <c r="I108" s="318" t="s">
        <v>1029</v>
      </c>
      <c r="J108" s="318">
        <v>1607</v>
      </c>
      <c r="K108" s="318">
        <v>3.37</v>
      </c>
      <c r="L108" s="318">
        <v>101.94</v>
      </c>
      <c r="M108" s="318" t="s">
        <v>9</v>
      </c>
      <c r="N108" s="318" t="s">
        <v>368</v>
      </c>
      <c r="O108" s="318" t="s">
        <v>429</v>
      </c>
      <c r="P108" s="318" t="s">
        <v>7</v>
      </c>
      <c r="Q108" s="318" t="s">
        <v>329</v>
      </c>
      <c r="R108" s="318" t="s">
        <v>1032</v>
      </c>
      <c r="S108" s="303">
        <f t="shared" si="2"/>
        <v>448733020.63</v>
      </c>
      <c r="T108" s="307">
        <f>+IFERROR(VLOOKUP(C108,'Tasas Diarias'!$B:$F,5,FALSE)*G108,0)</f>
        <v>0</v>
      </c>
      <c r="U108" s="311" t="str">
        <f ca="1">+VLOOKUP(C108,Spreads!$A$2:$G$345,7,0)</f>
        <v/>
      </c>
    </row>
    <row r="109" spans="1:21" ht="15" hidden="1" customHeight="1" thickTop="1" thickBot="1">
      <c r="A109" s="321" t="s">
        <v>2137</v>
      </c>
      <c r="B109" s="322" t="s">
        <v>260</v>
      </c>
      <c r="C109" s="322" t="s">
        <v>509</v>
      </c>
      <c r="D109" s="322" t="s">
        <v>173</v>
      </c>
      <c r="E109" s="323">
        <v>134982077</v>
      </c>
      <c r="F109" s="323">
        <v>5000</v>
      </c>
      <c r="G109" s="314">
        <v>6.4390000000000003E-3</v>
      </c>
      <c r="H109" s="324">
        <v>2.4900000000000002</v>
      </c>
      <c r="I109" s="322" t="s">
        <v>510</v>
      </c>
      <c r="J109" s="322">
        <v>1350</v>
      </c>
      <c r="K109" s="322">
        <v>3.52</v>
      </c>
      <c r="L109" s="322">
        <v>100.43</v>
      </c>
      <c r="M109" s="322" t="s">
        <v>6</v>
      </c>
      <c r="N109" s="322" t="s">
        <v>368</v>
      </c>
      <c r="O109" s="322" t="s">
        <v>8</v>
      </c>
      <c r="P109" s="322" t="s">
        <v>444</v>
      </c>
      <c r="Q109" s="322" t="s">
        <v>55</v>
      </c>
      <c r="R109" s="322" t="s">
        <v>445</v>
      </c>
      <c r="S109" s="303">
        <f t="shared" si="2"/>
        <v>475136911.04000002</v>
      </c>
      <c r="T109" s="307">
        <f>+IFERROR(VLOOKUP(C109,'Tasas Diarias'!$B:$F,5,FALSE)*G109,0)</f>
        <v>-1.6142159020259392E-5</v>
      </c>
      <c r="U109" s="311" t="str">
        <f ca="1">+VLOOKUP(C109,Spreads!$A$2:$G$345,7,0)</f>
        <v/>
      </c>
    </row>
    <row r="110" spans="1:21" ht="15" hidden="1" customHeight="1" thickTop="1" thickBot="1">
      <c r="A110" s="317" t="s">
        <v>2137</v>
      </c>
      <c r="B110" s="318" t="s">
        <v>260</v>
      </c>
      <c r="C110" s="318" t="s">
        <v>1500</v>
      </c>
      <c r="D110" s="318" t="s">
        <v>38</v>
      </c>
      <c r="E110" s="319">
        <v>204251434</v>
      </c>
      <c r="F110" s="319">
        <v>200000000</v>
      </c>
      <c r="G110" s="314">
        <v>9.7429999999999999E-3</v>
      </c>
      <c r="H110" s="320">
        <v>4.62</v>
      </c>
      <c r="I110" s="318" t="s">
        <v>1228</v>
      </c>
      <c r="J110" s="318">
        <v>1425</v>
      </c>
      <c r="K110" s="318">
        <v>3.58</v>
      </c>
      <c r="L110" s="318">
        <v>101.64</v>
      </c>
      <c r="M110" s="318" t="s">
        <v>9</v>
      </c>
      <c r="N110" s="318" t="s">
        <v>368</v>
      </c>
      <c r="O110" s="318" t="s">
        <v>8</v>
      </c>
      <c r="P110" s="318" t="s">
        <v>7</v>
      </c>
      <c r="Q110" s="318" t="s">
        <v>76</v>
      </c>
      <c r="R110" s="318" t="s">
        <v>498</v>
      </c>
      <c r="S110" s="303">
        <f t="shared" si="2"/>
        <v>731220133.72000003</v>
      </c>
      <c r="T110" s="307">
        <f>+IFERROR(VLOOKUP(C110,'Tasas Diarias'!$B:$F,5,FALSE)*G110,0)</f>
        <v>-3.5438691781814834E-6</v>
      </c>
      <c r="U110" s="311" t="e">
        <f>+VLOOKUP(C110,Spreads!$A$2:$G$345,7,0)</f>
        <v>#N/A</v>
      </c>
    </row>
    <row r="111" spans="1:21" ht="15" hidden="1" customHeight="1" thickTop="1" thickBot="1">
      <c r="A111" s="321" t="s">
        <v>2137</v>
      </c>
      <c r="B111" s="322" t="s">
        <v>260</v>
      </c>
      <c r="C111" s="322" t="s">
        <v>1950</v>
      </c>
      <c r="D111" s="322" t="s">
        <v>24</v>
      </c>
      <c r="E111" s="323">
        <v>419147966</v>
      </c>
      <c r="F111" s="335">
        <v>400000000</v>
      </c>
      <c r="G111" s="314">
        <v>1.9994000000000001E-2</v>
      </c>
      <c r="H111" s="324">
        <v>4.5</v>
      </c>
      <c r="I111" s="322" t="s">
        <v>871</v>
      </c>
      <c r="J111" s="322">
        <v>1534</v>
      </c>
      <c r="K111" s="322">
        <v>3.77</v>
      </c>
      <c r="L111" s="322">
        <v>103.14</v>
      </c>
      <c r="M111" s="322" t="s">
        <v>9</v>
      </c>
      <c r="N111" s="322" t="s">
        <v>368</v>
      </c>
      <c r="O111" s="322" t="s">
        <v>8</v>
      </c>
      <c r="P111" s="322" t="s">
        <v>392</v>
      </c>
      <c r="Q111" s="322" t="s">
        <v>51</v>
      </c>
      <c r="R111" s="322" t="s">
        <v>414</v>
      </c>
      <c r="S111" s="303">
        <f t="shared" si="2"/>
        <v>1580187831.8199999</v>
      </c>
      <c r="T111" s="307">
        <f>+IFERROR(VLOOKUP(C111,'Tasas Diarias'!$B:$F,5,FALSE)*G111,0)</f>
        <v>-1.5316365524855935E-5</v>
      </c>
      <c r="U111" s="311" t="e">
        <f>+VLOOKUP(C111,Spreads!$A$2:$G$345,7,0)</f>
        <v>#N/A</v>
      </c>
    </row>
    <row r="112" spans="1:21" ht="15" hidden="1" customHeight="1" thickTop="1" thickBot="1">
      <c r="A112" s="317" t="s">
        <v>2137</v>
      </c>
      <c r="B112" s="318" t="s">
        <v>260</v>
      </c>
      <c r="C112" s="318" t="s">
        <v>1213</v>
      </c>
      <c r="D112" s="318" t="s">
        <v>166</v>
      </c>
      <c r="E112" s="319">
        <v>80417330</v>
      </c>
      <c r="F112" s="319">
        <v>80000000</v>
      </c>
      <c r="G112" s="314">
        <v>3.836E-3</v>
      </c>
      <c r="H112" s="320">
        <v>4.5999999999999996</v>
      </c>
      <c r="I112" s="318" t="s">
        <v>1214</v>
      </c>
      <c r="J112" s="318">
        <v>1813</v>
      </c>
      <c r="K112" s="318">
        <v>3.87</v>
      </c>
      <c r="L112" s="318">
        <v>100.37</v>
      </c>
      <c r="M112" s="318" t="s">
        <v>9</v>
      </c>
      <c r="N112" s="318" t="s">
        <v>368</v>
      </c>
      <c r="O112" s="318" t="s">
        <v>429</v>
      </c>
      <c r="P112" s="318" t="s">
        <v>392</v>
      </c>
      <c r="Q112" s="318" t="s">
        <v>57</v>
      </c>
      <c r="R112" s="318" t="s">
        <v>447</v>
      </c>
      <c r="S112" s="303">
        <f t="shared" si="2"/>
        <v>311215067.10000002</v>
      </c>
      <c r="T112" s="307">
        <f>+IFERROR(VLOOKUP(C112,'Tasas Diarias'!$B:$F,5,FALSE)*G112,0)</f>
        <v>-2.9413277975216313E-6</v>
      </c>
      <c r="U112" s="311" t="str">
        <f ca="1">+VLOOKUP(C112,Spreads!$A$2:$G$345,7,0)</f>
        <v/>
      </c>
    </row>
    <row r="113" spans="1:21" ht="15" hidden="1" customHeight="1" thickTop="1" thickBot="1">
      <c r="A113" s="321" t="s">
        <v>2137</v>
      </c>
      <c r="B113" s="322" t="s">
        <v>234</v>
      </c>
      <c r="C113" s="322" t="s">
        <v>2096</v>
      </c>
      <c r="D113" s="322" t="s">
        <v>2097</v>
      </c>
      <c r="E113" s="323">
        <v>490924819</v>
      </c>
      <c r="F113" s="323">
        <v>18000</v>
      </c>
      <c r="G113" s="314">
        <v>8.6219999999999995E-3</v>
      </c>
      <c r="H113" s="322">
        <v>-2.08</v>
      </c>
      <c r="I113" s="322" t="s">
        <v>2092</v>
      </c>
      <c r="J113" s="322">
        <v>25</v>
      </c>
      <c r="K113" s="322">
        <v>7.0000000000000007E-2</v>
      </c>
      <c r="L113" s="322">
        <v>100.43</v>
      </c>
      <c r="M113" s="322" t="s">
        <v>6</v>
      </c>
      <c r="N113" s="322" t="s">
        <v>368</v>
      </c>
      <c r="O113" s="322" t="s">
        <v>8</v>
      </c>
      <c r="P113" s="322" t="s">
        <v>417</v>
      </c>
      <c r="Q113" s="322" t="s">
        <v>2098</v>
      </c>
      <c r="R113" s="322" t="s">
        <v>2099</v>
      </c>
      <c r="S113" s="303">
        <f t="shared" si="2"/>
        <v>34364737.330000006</v>
      </c>
      <c r="T113" s="307">
        <f>+IFERROR(VLOOKUP(C113,'Tasas Diarias'!$B:$F,5,FALSE)*G113,0)</f>
        <v>0</v>
      </c>
      <c r="U113" s="311" t="e">
        <f>+VLOOKUP(C113,Spreads!$A$2:$G$345,7,0)</f>
        <v>#N/A</v>
      </c>
    </row>
    <row r="114" spans="1:21" ht="15" hidden="1" customHeight="1" thickTop="1" thickBot="1">
      <c r="A114" s="317" t="s">
        <v>2137</v>
      </c>
      <c r="B114" s="318" t="s">
        <v>234</v>
      </c>
      <c r="C114" s="318" t="s">
        <v>538</v>
      </c>
      <c r="D114" s="318" t="s">
        <v>24</v>
      </c>
      <c r="E114" s="319">
        <v>54102086</v>
      </c>
      <c r="F114" s="319">
        <v>2000</v>
      </c>
      <c r="G114" s="314">
        <v>9.5E-4</v>
      </c>
      <c r="H114" s="318">
        <v>0.66</v>
      </c>
      <c r="I114" s="318" t="s">
        <v>539</v>
      </c>
      <c r="J114" s="318">
        <v>42</v>
      </c>
      <c r="K114" s="318">
        <v>0.12</v>
      </c>
      <c r="L114" s="318">
        <v>100.26</v>
      </c>
      <c r="M114" s="318" t="s">
        <v>6</v>
      </c>
      <c r="N114" s="318" t="s">
        <v>368</v>
      </c>
      <c r="O114" s="318" t="s">
        <v>8</v>
      </c>
      <c r="P114" s="318" t="s">
        <v>392</v>
      </c>
      <c r="Q114" s="318" t="s">
        <v>51</v>
      </c>
      <c r="R114" s="318" t="s">
        <v>414</v>
      </c>
      <c r="S114" s="303">
        <f t="shared" si="2"/>
        <v>6492250.3199999994</v>
      </c>
      <c r="T114" s="307">
        <f>+IFERROR(VLOOKUP(C114,'Tasas Diarias'!$B:$F,5,FALSE)*G114,0)</f>
        <v>-1.63972602739725E-8</v>
      </c>
      <c r="U114" s="311" t="str">
        <f ca="1">+VLOOKUP(C114,Spreads!$A$2:$G$345,7,0)</f>
        <v/>
      </c>
    </row>
    <row r="115" spans="1:21" ht="15" hidden="1" customHeight="1" thickTop="1" thickBot="1">
      <c r="A115" s="327" t="s">
        <v>2137</v>
      </c>
      <c r="B115" s="328" t="s">
        <v>234</v>
      </c>
      <c r="C115" s="328" t="s">
        <v>22</v>
      </c>
      <c r="D115" s="328" t="s">
        <v>167</v>
      </c>
      <c r="E115" s="328">
        <v>459818822</v>
      </c>
      <c r="F115" s="328">
        <v>462075000</v>
      </c>
      <c r="G115" s="328">
        <v>8.0759999999999998E-3</v>
      </c>
      <c r="H115" s="329">
        <v>2.76</v>
      </c>
      <c r="I115" s="328" t="s">
        <v>2101</v>
      </c>
      <c r="J115" s="328">
        <v>63</v>
      </c>
      <c r="K115" s="328">
        <v>0.18</v>
      </c>
      <c r="L115" s="328">
        <v>99.511729000000003</v>
      </c>
      <c r="M115" s="328" t="s">
        <v>9</v>
      </c>
      <c r="N115" s="328" t="s">
        <v>374</v>
      </c>
      <c r="O115" s="328" t="s">
        <v>8</v>
      </c>
      <c r="P115" s="328" t="s">
        <v>375</v>
      </c>
      <c r="Q115" s="328" t="s">
        <v>77</v>
      </c>
      <c r="R115" s="328" t="s">
        <v>400</v>
      </c>
      <c r="S115" s="303">
        <f t="shared" si="2"/>
        <v>82767387.959999993</v>
      </c>
      <c r="T115" s="307">
        <f>+IFERROR(VLOOKUP(C115,'Tasas Diarias'!$B:$F,5,FALSE)*G115,0)</f>
        <v>0</v>
      </c>
      <c r="U115" s="311" t="str">
        <f>+VLOOKUP(C115,Spreads!$A$2:$G$345,7,0)</f>
        <v/>
      </c>
    </row>
    <row r="116" spans="1:21" ht="15" hidden="1" customHeight="1" thickTop="1" thickBot="1">
      <c r="A116" s="327" t="s">
        <v>2137</v>
      </c>
      <c r="B116" s="328" t="s">
        <v>234</v>
      </c>
      <c r="C116" s="328" t="s">
        <v>22</v>
      </c>
      <c r="D116" s="328" t="s">
        <v>55</v>
      </c>
      <c r="E116" s="328">
        <v>497294717</v>
      </c>
      <c r="F116" s="328">
        <v>500000000</v>
      </c>
      <c r="G116" s="328">
        <v>8.7340000000000004E-3</v>
      </c>
      <c r="H116" s="329">
        <v>2.88</v>
      </c>
      <c r="I116" s="328" t="s">
        <v>1319</v>
      </c>
      <c r="J116" s="328">
        <v>67</v>
      </c>
      <c r="K116" s="328">
        <v>0.19</v>
      </c>
      <c r="L116" s="328">
        <v>99.458943000000005</v>
      </c>
      <c r="M116" s="328" t="s">
        <v>9</v>
      </c>
      <c r="N116" s="328" t="s">
        <v>374</v>
      </c>
      <c r="O116" s="328" t="s">
        <v>8</v>
      </c>
      <c r="P116" s="328" t="s">
        <v>375</v>
      </c>
      <c r="Q116" s="328" t="s">
        <v>55</v>
      </c>
      <c r="R116" s="328" t="s">
        <v>386</v>
      </c>
      <c r="S116" s="303">
        <f t="shared" si="2"/>
        <v>94485996.230000004</v>
      </c>
      <c r="T116" s="307">
        <f>+IFERROR(VLOOKUP(C116,'Tasas Diarias'!$B:$F,5,FALSE)*G116,0)</f>
        <v>0</v>
      </c>
      <c r="U116" s="311" t="str">
        <f>+VLOOKUP(C116,Spreads!$A$2:$G$345,7,0)</f>
        <v/>
      </c>
    </row>
    <row r="117" spans="1:21" ht="15" hidden="1" customHeight="1" thickTop="1" thickBot="1">
      <c r="A117" s="317" t="s">
        <v>2137</v>
      </c>
      <c r="B117" s="318" t="s">
        <v>234</v>
      </c>
      <c r="C117" s="318" t="s">
        <v>22</v>
      </c>
      <c r="D117" s="318" t="s">
        <v>23</v>
      </c>
      <c r="E117" s="319">
        <v>16092637</v>
      </c>
      <c r="F117" s="319">
        <v>16260000</v>
      </c>
      <c r="G117" s="314">
        <v>2.8200000000000002E-4</v>
      </c>
      <c r="H117" s="320">
        <v>2.88</v>
      </c>
      <c r="I117" s="318" t="s">
        <v>1852</v>
      </c>
      <c r="J117" s="318">
        <v>129</v>
      </c>
      <c r="K117" s="318">
        <v>0.36</v>
      </c>
      <c r="L117" s="318">
        <v>98.970707000000004</v>
      </c>
      <c r="M117" s="318" t="s">
        <v>9</v>
      </c>
      <c r="N117" s="318" t="s">
        <v>374</v>
      </c>
      <c r="O117" s="318" t="s">
        <v>8</v>
      </c>
      <c r="P117" s="318" t="s">
        <v>375</v>
      </c>
      <c r="Q117" s="318" t="s">
        <v>67</v>
      </c>
      <c r="R117" s="318" t="s">
        <v>376</v>
      </c>
      <c r="S117" s="303">
        <f t="shared" si="2"/>
        <v>5793349.3199999994</v>
      </c>
      <c r="T117" s="307">
        <f>+IFERROR(VLOOKUP(C117,'Tasas Diarias'!$B:$F,5,FALSE)*G117,0)</f>
        <v>0</v>
      </c>
      <c r="U117" s="311" t="str">
        <f>+VLOOKUP(C117,Spreads!$A$2:$G$345,7,0)</f>
        <v/>
      </c>
    </row>
    <row r="118" spans="1:21" ht="15" hidden="1" customHeight="1" thickTop="1" thickBot="1">
      <c r="A118" s="321" t="s">
        <v>2137</v>
      </c>
      <c r="B118" s="322" t="s">
        <v>234</v>
      </c>
      <c r="C118" s="322" t="s">
        <v>437</v>
      </c>
      <c r="D118" s="322" t="s">
        <v>32</v>
      </c>
      <c r="E118" s="323">
        <v>216326902</v>
      </c>
      <c r="F118" s="323">
        <v>8000</v>
      </c>
      <c r="G118" s="314">
        <v>3.7989999999999999E-3</v>
      </c>
      <c r="H118" s="324">
        <v>1</v>
      </c>
      <c r="I118" s="322" t="s">
        <v>434</v>
      </c>
      <c r="J118" s="322">
        <v>132</v>
      </c>
      <c r="K118" s="322">
        <v>0.36</v>
      </c>
      <c r="L118" s="322">
        <v>100.9</v>
      </c>
      <c r="M118" s="322" t="s">
        <v>6</v>
      </c>
      <c r="N118" s="322" t="s">
        <v>368</v>
      </c>
      <c r="O118" s="322" t="s">
        <v>8</v>
      </c>
      <c r="P118" s="322" t="s">
        <v>379</v>
      </c>
      <c r="Q118" s="322" t="s">
        <v>67</v>
      </c>
      <c r="R118" s="322" t="s">
        <v>389</v>
      </c>
      <c r="S118" s="303">
        <f t="shared" si="2"/>
        <v>77877684.719999999</v>
      </c>
      <c r="T118" s="307">
        <f>+IFERROR(VLOOKUP(C118,'Tasas Diarias'!$B:$F,5,FALSE)*G118,0)</f>
        <v>1.2739660273972588E-6</v>
      </c>
      <c r="U118" s="311" t="str">
        <f ca="1">+VLOOKUP(C118,Spreads!$A$2:$G$345,7,0)</f>
        <v/>
      </c>
    </row>
    <row r="119" spans="1:21" ht="15" hidden="1" customHeight="1" thickTop="1" thickBot="1">
      <c r="A119" s="321" t="s">
        <v>2137</v>
      </c>
      <c r="B119" s="322" t="s">
        <v>234</v>
      </c>
      <c r="C119" s="322" t="s">
        <v>541</v>
      </c>
      <c r="D119" s="322" t="s">
        <v>182</v>
      </c>
      <c r="E119" s="323">
        <v>134736235</v>
      </c>
      <c r="F119" s="323">
        <v>5000</v>
      </c>
      <c r="G119" s="314">
        <v>2.366E-3</v>
      </c>
      <c r="H119" s="324">
        <v>1.24</v>
      </c>
      <c r="I119" s="322" t="s">
        <v>434</v>
      </c>
      <c r="J119" s="322">
        <v>132</v>
      </c>
      <c r="K119" s="322">
        <v>0.36</v>
      </c>
      <c r="L119" s="322">
        <v>100.63</v>
      </c>
      <c r="M119" s="322" t="s">
        <v>6</v>
      </c>
      <c r="N119" s="322" t="s">
        <v>368</v>
      </c>
      <c r="O119" s="322" t="s">
        <v>8</v>
      </c>
      <c r="P119" s="322" t="s">
        <v>7</v>
      </c>
      <c r="Q119" s="322" t="s">
        <v>390</v>
      </c>
      <c r="R119" s="322" t="s">
        <v>402</v>
      </c>
      <c r="S119" s="303">
        <f t="shared" si="2"/>
        <v>48505044.600000001</v>
      </c>
      <c r="T119" s="307">
        <f>+IFERROR(VLOOKUP(C119,'Tasas Diarias'!$B:$F,5,FALSE)*G119,0)</f>
        <v>-8.9259780821917489E-7</v>
      </c>
      <c r="U119" s="311" t="str">
        <f ca="1">+VLOOKUP(C119,Spreads!$A$2:$G$345,7,0)</f>
        <v/>
      </c>
    </row>
    <row r="120" spans="1:21" ht="15" hidden="1" customHeight="1" thickTop="1" thickBot="1">
      <c r="A120" s="321" t="s">
        <v>2137</v>
      </c>
      <c r="B120" s="322" t="s">
        <v>234</v>
      </c>
      <c r="C120" s="322" t="s">
        <v>440</v>
      </c>
      <c r="D120" s="322" t="s">
        <v>182</v>
      </c>
      <c r="E120" s="323">
        <v>94235551</v>
      </c>
      <c r="F120" s="323">
        <v>3500</v>
      </c>
      <c r="G120" s="314">
        <v>1.655E-3</v>
      </c>
      <c r="H120" s="324">
        <v>1.4</v>
      </c>
      <c r="I120" s="322" t="s">
        <v>441</v>
      </c>
      <c r="J120" s="322">
        <v>140</v>
      </c>
      <c r="K120" s="322">
        <v>0.38</v>
      </c>
      <c r="L120" s="322">
        <v>100.61</v>
      </c>
      <c r="M120" s="322" t="s">
        <v>6</v>
      </c>
      <c r="N120" s="322" t="s">
        <v>368</v>
      </c>
      <c r="O120" s="322" t="s">
        <v>8</v>
      </c>
      <c r="P120" s="322" t="s">
        <v>7</v>
      </c>
      <c r="Q120" s="322" t="s">
        <v>390</v>
      </c>
      <c r="R120" s="322" t="s">
        <v>402</v>
      </c>
      <c r="S120" s="303">
        <f t="shared" si="2"/>
        <v>35809509.380000003</v>
      </c>
      <c r="T120" s="307">
        <f>+IFERROR(VLOOKUP(C120,'Tasas Diarias'!$B:$F,5,FALSE)*G120,0)</f>
        <v>7.3001369863012311E-8</v>
      </c>
      <c r="U120" s="311" t="str">
        <f ca="1">+VLOOKUP(C120,Spreads!$A$2:$G$345,7,0)</f>
        <v/>
      </c>
    </row>
    <row r="121" spans="1:21" ht="15" hidden="1" customHeight="1" thickTop="1" thickBot="1">
      <c r="A121" s="321" t="s">
        <v>2137</v>
      </c>
      <c r="B121" s="322" t="s">
        <v>234</v>
      </c>
      <c r="C121" s="322" t="s">
        <v>22</v>
      </c>
      <c r="D121" s="322" t="s">
        <v>305</v>
      </c>
      <c r="E121" s="323">
        <v>98814229</v>
      </c>
      <c r="F121" s="323">
        <v>100000000</v>
      </c>
      <c r="G121" s="314">
        <v>1.735E-3</v>
      </c>
      <c r="H121" s="322">
        <v>2.88</v>
      </c>
      <c r="I121" s="322" t="s">
        <v>1892</v>
      </c>
      <c r="J121" s="322">
        <v>149</v>
      </c>
      <c r="K121" s="322">
        <v>0.41</v>
      </c>
      <c r="L121" s="322">
        <v>98.814228999999997</v>
      </c>
      <c r="M121" s="322" t="s">
        <v>9</v>
      </c>
      <c r="N121" s="322" t="s">
        <v>374</v>
      </c>
      <c r="O121" s="322" t="s">
        <v>8</v>
      </c>
      <c r="P121" s="322" t="s">
        <v>375</v>
      </c>
      <c r="Q121" s="322" t="s">
        <v>326</v>
      </c>
      <c r="R121" s="322" t="s">
        <v>387</v>
      </c>
      <c r="S121" s="303">
        <f t="shared" si="2"/>
        <v>40513833.890000001</v>
      </c>
      <c r="T121" s="307">
        <f>+IFERROR(VLOOKUP(C121,'Tasas Diarias'!$B:$F,5,FALSE)*G121,0)</f>
        <v>0</v>
      </c>
      <c r="U121" s="311" t="str">
        <f>+VLOOKUP(C121,Spreads!$A$2:$G$345,7,0)</f>
        <v/>
      </c>
    </row>
    <row r="122" spans="1:21" ht="15" hidden="1" customHeight="1" thickTop="1" thickBot="1">
      <c r="A122" s="321" t="s">
        <v>2137</v>
      </c>
      <c r="B122" s="322" t="s">
        <v>234</v>
      </c>
      <c r="C122" s="322" t="s">
        <v>1030</v>
      </c>
      <c r="D122" s="322" t="s">
        <v>170</v>
      </c>
      <c r="E122" s="323">
        <v>268213552</v>
      </c>
      <c r="F122" s="323">
        <v>10000</v>
      </c>
      <c r="G122" s="314">
        <v>4.7099999999999998E-3</v>
      </c>
      <c r="H122" s="324">
        <v>1.19</v>
      </c>
      <c r="I122" s="322" t="s">
        <v>443</v>
      </c>
      <c r="J122" s="322">
        <v>162</v>
      </c>
      <c r="K122" s="322">
        <v>0.44</v>
      </c>
      <c r="L122" s="322">
        <v>100.45</v>
      </c>
      <c r="M122" s="322" t="s">
        <v>6</v>
      </c>
      <c r="N122" s="322" t="s">
        <v>368</v>
      </c>
      <c r="O122" s="322" t="s">
        <v>8</v>
      </c>
      <c r="P122" s="322" t="s">
        <v>392</v>
      </c>
      <c r="Q122" s="322" t="s">
        <v>88</v>
      </c>
      <c r="R122" s="322" t="s">
        <v>512</v>
      </c>
      <c r="S122" s="303">
        <f t="shared" si="2"/>
        <v>118013962.88</v>
      </c>
      <c r="T122" s="307">
        <f>+IFERROR(VLOOKUP(C122,'Tasas Diarias'!$B:$F,5,FALSE)*G122,0)</f>
        <v>7.0086676950371608E-7</v>
      </c>
      <c r="U122" s="311" t="str">
        <f ca="1">+VLOOKUP(C122,Spreads!$A$2:$G$345,7,0)</f>
        <v/>
      </c>
    </row>
    <row r="123" spans="1:21" ht="15" hidden="1" customHeight="1" thickTop="1" thickBot="1">
      <c r="A123" s="317" t="s">
        <v>2137</v>
      </c>
      <c r="B123" s="318" t="s">
        <v>234</v>
      </c>
      <c r="C123" s="318" t="s">
        <v>527</v>
      </c>
      <c r="D123" s="318" t="s">
        <v>528</v>
      </c>
      <c r="E123" s="319">
        <v>256192793</v>
      </c>
      <c r="F123" s="319">
        <v>23000</v>
      </c>
      <c r="G123" s="314">
        <v>4.4990000000000004E-3</v>
      </c>
      <c r="H123" s="318">
        <v>1.55</v>
      </c>
      <c r="I123" s="318" t="s">
        <v>529</v>
      </c>
      <c r="J123" s="318">
        <v>376</v>
      </c>
      <c r="K123" s="318">
        <v>0.52</v>
      </c>
      <c r="L123" s="318">
        <v>100.99</v>
      </c>
      <c r="M123" s="318" t="s">
        <v>6</v>
      </c>
      <c r="N123" s="318" t="s">
        <v>368</v>
      </c>
      <c r="O123" s="318" t="s">
        <v>530</v>
      </c>
      <c r="P123" s="318" t="s">
        <v>7</v>
      </c>
      <c r="Q123" s="318" t="s">
        <v>531</v>
      </c>
      <c r="R123" s="318" t="s">
        <v>532</v>
      </c>
      <c r="S123" s="303">
        <f t="shared" si="2"/>
        <v>133220252.36</v>
      </c>
      <c r="T123" s="307">
        <f>+IFERROR(VLOOKUP(C123,'Tasas Diarias'!$B:$F,5,FALSE)*G123,0)</f>
        <v>4.1318338328480704E-6</v>
      </c>
      <c r="U123" s="311" t="str">
        <f ca="1">+VLOOKUP(C123,Spreads!$A$2:$G$345,7,0)</f>
        <v/>
      </c>
    </row>
    <row r="124" spans="1:21" ht="15" hidden="1" customHeight="1" thickTop="1" thickBot="1">
      <c r="A124" s="317" t="s">
        <v>2137</v>
      </c>
      <c r="B124" s="318" t="s">
        <v>234</v>
      </c>
      <c r="C124" s="318" t="s">
        <v>993</v>
      </c>
      <c r="D124" s="318" t="s">
        <v>170</v>
      </c>
      <c r="E124" s="319">
        <v>109648438</v>
      </c>
      <c r="F124" s="319">
        <v>4000</v>
      </c>
      <c r="G124" s="314">
        <v>1.9250000000000001E-3</v>
      </c>
      <c r="H124" s="320">
        <v>1.55</v>
      </c>
      <c r="I124" s="318" t="s">
        <v>994</v>
      </c>
      <c r="J124" s="318">
        <v>207</v>
      </c>
      <c r="K124" s="318">
        <v>0.56000000000000005</v>
      </c>
      <c r="L124" s="318">
        <v>101.18</v>
      </c>
      <c r="M124" s="318" t="s">
        <v>6</v>
      </c>
      <c r="N124" s="318" t="s">
        <v>368</v>
      </c>
      <c r="O124" s="318" t="s">
        <v>8</v>
      </c>
      <c r="P124" s="318" t="s">
        <v>392</v>
      </c>
      <c r="Q124" s="318" t="s">
        <v>88</v>
      </c>
      <c r="R124" s="318" t="s">
        <v>512</v>
      </c>
      <c r="S124" s="303">
        <f t="shared" si="2"/>
        <v>61403125.280000009</v>
      </c>
      <c r="T124" s="307">
        <f>+IFERROR(VLOOKUP(C124,'Tasas Diarias'!$B:$F,5,FALSE)*G124,0)</f>
        <v>4.7413189638698777E-7</v>
      </c>
      <c r="U124" s="311" t="str">
        <f ca="1">+VLOOKUP(C124,Spreads!$A$2:$G$345,7,0)</f>
        <v/>
      </c>
    </row>
    <row r="125" spans="1:21" ht="15" hidden="1" customHeight="1" thickTop="1" thickBot="1">
      <c r="A125" s="321" t="s">
        <v>2137</v>
      </c>
      <c r="B125" s="322" t="s">
        <v>234</v>
      </c>
      <c r="C125" s="322" t="s">
        <v>415</v>
      </c>
      <c r="D125" s="322" t="s">
        <v>175</v>
      </c>
      <c r="E125" s="323">
        <v>40604122</v>
      </c>
      <c r="F125" s="323">
        <v>100000000</v>
      </c>
      <c r="G125" s="314">
        <v>7.1299999999999998E-4</v>
      </c>
      <c r="H125" s="324">
        <v>4.1100000000000003</v>
      </c>
      <c r="I125" s="322" t="s">
        <v>416</v>
      </c>
      <c r="J125" s="322">
        <v>299</v>
      </c>
      <c r="K125" s="322">
        <v>0.56000000000000005</v>
      </c>
      <c r="L125" s="322">
        <v>100.6</v>
      </c>
      <c r="M125" s="322" t="s">
        <v>9</v>
      </c>
      <c r="N125" s="322" t="s">
        <v>368</v>
      </c>
      <c r="O125" s="322" t="s">
        <v>8</v>
      </c>
      <c r="P125" s="322" t="s">
        <v>392</v>
      </c>
      <c r="Q125" s="322" t="s">
        <v>66</v>
      </c>
      <c r="R125" s="322" t="s">
        <v>418</v>
      </c>
      <c r="S125" s="303">
        <f t="shared" si="2"/>
        <v>22738308.320000004</v>
      </c>
      <c r="T125" s="307">
        <f>+IFERROR(VLOOKUP(C125,'Tasas Diarias'!$B:$F,5,FALSE)*G125,0)</f>
        <v>0</v>
      </c>
      <c r="U125" s="311" t="str">
        <f ca="1">+VLOOKUP(C125,Spreads!$A$2:$G$345,7,0)</f>
        <v/>
      </c>
    </row>
    <row r="126" spans="1:21" ht="15" hidden="1" customHeight="1" thickTop="1" thickBot="1">
      <c r="A126" s="321" t="s">
        <v>2137</v>
      </c>
      <c r="B126" s="322" t="s">
        <v>234</v>
      </c>
      <c r="C126" s="322" t="s">
        <v>419</v>
      </c>
      <c r="D126" s="322" t="s">
        <v>420</v>
      </c>
      <c r="E126" s="323">
        <v>27309316</v>
      </c>
      <c r="F126" s="323">
        <v>5000</v>
      </c>
      <c r="G126" s="314">
        <v>4.7899999999999999E-4</v>
      </c>
      <c r="H126" s="324">
        <v>1.7</v>
      </c>
      <c r="I126" s="322" t="s">
        <v>416</v>
      </c>
      <c r="J126" s="322">
        <v>299</v>
      </c>
      <c r="K126" s="322">
        <v>0.56000000000000005</v>
      </c>
      <c r="L126" s="322">
        <v>101.58</v>
      </c>
      <c r="M126" s="322" t="s">
        <v>6</v>
      </c>
      <c r="N126" s="322" t="s">
        <v>368</v>
      </c>
      <c r="O126" s="322" t="s">
        <v>421</v>
      </c>
      <c r="P126" s="322" t="s">
        <v>417</v>
      </c>
      <c r="Q126" s="322" t="s">
        <v>422</v>
      </c>
      <c r="R126" s="322" t="s">
        <v>423</v>
      </c>
      <c r="S126" s="303">
        <f t="shared" si="2"/>
        <v>15293216.960000001</v>
      </c>
      <c r="T126" s="307">
        <f>+IFERROR(VLOOKUP(C126,'Tasas Diarias'!$B:$F,5,FALSE)*G126,0)</f>
        <v>5.9426229555212325E-8</v>
      </c>
      <c r="U126" s="311" t="str">
        <f ca="1">+VLOOKUP(C126,Spreads!$A$2:$G$345,7,0)</f>
        <v/>
      </c>
    </row>
    <row r="127" spans="1:21" ht="15" hidden="1" customHeight="1" thickTop="1" thickBot="1">
      <c r="A127" s="321" t="s">
        <v>2137</v>
      </c>
      <c r="B127" s="322" t="s">
        <v>234</v>
      </c>
      <c r="C127" s="322" t="s">
        <v>455</v>
      </c>
      <c r="D127" s="322" t="s">
        <v>16</v>
      </c>
      <c r="E127" s="323">
        <v>109654195</v>
      </c>
      <c r="F127" s="323">
        <v>4000</v>
      </c>
      <c r="G127" s="314">
        <v>1.9250000000000001E-3</v>
      </c>
      <c r="H127" s="324">
        <v>1.1599999999999999</v>
      </c>
      <c r="I127" s="322" t="s">
        <v>456</v>
      </c>
      <c r="J127" s="322">
        <v>223</v>
      </c>
      <c r="K127" s="322">
        <v>0.6</v>
      </c>
      <c r="L127" s="322">
        <v>101.41</v>
      </c>
      <c r="M127" s="322" t="s">
        <v>6</v>
      </c>
      <c r="N127" s="322" t="s">
        <v>368</v>
      </c>
      <c r="O127" s="322" t="s">
        <v>8</v>
      </c>
      <c r="P127" s="322" t="s">
        <v>379</v>
      </c>
      <c r="Q127" s="322" t="s">
        <v>61</v>
      </c>
      <c r="R127" s="322" t="s">
        <v>394</v>
      </c>
      <c r="S127" s="303">
        <f t="shared" si="2"/>
        <v>65792517</v>
      </c>
      <c r="T127" s="307">
        <f>+IFERROR(VLOOKUP(C127,'Tasas Diarias'!$B:$F,5,FALSE)*G127,0)</f>
        <v>5.0822936121879502E-7</v>
      </c>
      <c r="U127" s="311" t="str">
        <f ca="1">+VLOOKUP(C127,Spreads!$A$2:$G$345,7,0)</f>
        <v/>
      </c>
    </row>
    <row r="128" spans="1:21" ht="15" hidden="1" customHeight="1" thickTop="1" thickBot="1">
      <c r="A128" s="321" t="s">
        <v>2137</v>
      </c>
      <c r="B128" s="322" t="s">
        <v>234</v>
      </c>
      <c r="C128" s="322" t="s">
        <v>546</v>
      </c>
      <c r="D128" s="322" t="s">
        <v>173</v>
      </c>
      <c r="E128" s="323">
        <v>132375866</v>
      </c>
      <c r="F128" s="323">
        <v>5000</v>
      </c>
      <c r="G128" s="314">
        <v>2.3249999999999998E-3</v>
      </c>
      <c r="H128" s="324">
        <v>1.21</v>
      </c>
      <c r="I128" s="322" t="s">
        <v>456</v>
      </c>
      <c r="J128" s="322">
        <v>223</v>
      </c>
      <c r="K128" s="322">
        <v>0.61</v>
      </c>
      <c r="L128" s="322">
        <v>99.27</v>
      </c>
      <c r="M128" s="322" t="s">
        <v>6</v>
      </c>
      <c r="N128" s="322" t="s">
        <v>368</v>
      </c>
      <c r="O128" s="322" t="s">
        <v>8</v>
      </c>
      <c r="P128" s="322" t="s">
        <v>444</v>
      </c>
      <c r="Q128" s="322" t="s">
        <v>55</v>
      </c>
      <c r="R128" s="322" t="s">
        <v>445</v>
      </c>
      <c r="S128" s="303">
        <f t="shared" si="2"/>
        <v>80749278.260000005</v>
      </c>
      <c r="T128" s="307">
        <f>+IFERROR(VLOOKUP(C128,'Tasas Diarias'!$B:$F,5,FALSE)*G128,0)</f>
        <v>1.0879726027397244E-6</v>
      </c>
      <c r="U128" s="311" t="str">
        <f ca="1">+VLOOKUP(C128,Spreads!$A$2:$G$345,7,0)</f>
        <v/>
      </c>
    </row>
    <row r="129" spans="1:21" ht="15" hidden="1" customHeight="1" thickTop="1" thickBot="1">
      <c r="A129" s="321" t="s">
        <v>2137</v>
      </c>
      <c r="B129" s="322" t="s">
        <v>234</v>
      </c>
      <c r="C129" s="322" t="s">
        <v>426</v>
      </c>
      <c r="D129" s="322" t="s">
        <v>427</v>
      </c>
      <c r="E129" s="323">
        <v>63090910</v>
      </c>
      <c r="F129" s="323">
        <v>7000</v>
      </c>
      <c r="G129" s="314">
        <v>1.108E-3</v>
      </c>
      <c r="H129" s="324">
        <v>1.72</v>
      </c>
      <c r="I129" s="322" t="s">
        <v>428</v>
      </c>
      <c r="J129" s="322">
        <v>350</v>
      </c>
      <c r="K129" s="322">
        <v>0.7</v>
      </c>
      <c r="L129" s="322">
        <v>101.23</v>
      </c>
      <c r="M129" s="322" t="s">
        <v>6</v>
      </c>
      <c r="N129" s="322" t="s">
        <v>368</v>
      </c>
      <c r="O129" s="322" t="s">
        <v>429</v>
      </c>
      <c r="P129" s="322" t="s">
        <v>392</v>
      </c>
      <c r="Q129" s="322" t="s">
        <v>430</v>
      </c>
      <c r="R129" s="322" t="s">
        <v>431</v>
      </c>
      <c r="S129" s="303">
        <f t="shared" si="2"/>
        <v>44163637</v>
      </c>
      <c r="T129" s="307">
        <f>+IFERROR(VLOOKUP(C129,'Tasas Diarias'!$B:$F,5,FALSE)*G129,0)</f>
        <v>1.1205041174018453E-7</v>
      </c>
      <c r="U129" s="311" t="str">
        <f ca="1">+VLOOKUP(C129,Spreads!$A$2:$G$345,7,0)</f>
        <v/>
      </c>
    </row>
    <row r="130" spans="1:21" ht="15" hidden="1" customHeight="1" thickTop="1" thickBot="1">
      <c r="A130" s="321" t="s">
        <v>2137</v>
      </c>
      <c r="B130" s="322" t="s">
        <v>234</v>
      </c>
      <c r="C130" s="322" t="s">
        <v>451</v>
      </c>
      <c r="D130" s="322" t="s">
        <v>175</v>
      </c>
      <c r="E130" s="323">
        <v>131386831</v>
      </c>
      <c r="F130" s="323">
        <v>6000</v>
      </c>
      <c r="G130" s="314">
        <v>2.307E-3</v>
      </c>
      <c r="H130" s="324">
        <v>2.57</v>
      </c>
      <c r="I130" s="322" t="s">
        <v>452</v>
      </c>
      <c r="J130" s="322">
        <v>558</v>
      </c>
      <c r="K130" s="322">
        <v>0.76</v>
      </c>
      <c r="L130" s="322">
        <v>100.87</v>
      </c>
      <c r="M130" s="322" t="s">
        <v>6</v>
      </c>
      <c r="N130" s="322" t="s">
        <v>368</v>
      </c>
      <c r="O130" s="322" t="s">
        <v>8</v>
      </c>
      <c r="P130" s="322" t="s">
        <v>392</v>
      </c>
      <c r="Q130" s="322" t="s">
        <v>66</v>
      </c>
      <c r="R130" s="322" t="s">
        <v>418</v>
      </c>
      <c r="S130" s="303">
        <f t="shared" si="2"/>
        <v>99853991.560000002</v>
      </c>
      <c r="T130" s="307">
        <f>+IFERROR(VLOOKUP(C130,'Tasas Diarias'!$B:$F,5,FALSE)*G130,0)</f>
        <v>5.6557818029607833E-7</v>
      </c>
      <c r="U130" s="311" t="str">
        <f ca="1">+VLOOKUP(C130,Spreads!$A$2:$G$345,7,0)</f>
        <v/>
      </c>
    </row>
    <row r="131" spans="1:21" ht="15" hidden="1" customHeight="1" thickTop="1" thickBot="1">
      <c r="A131" s="317" t="s">
        <v>2137</v>
      </c>
      <c r="B131" s="318" t="s">
        <v>234</v>
      </c>
      <c r="C131" s="318" t="s">
        <v>542</v>
      </c>
      <c r="D131" s="318" t="s">
        <v>543</v>
      </c>
      <c r="E131" s="319">
        <v>72280169</v>
      </c>
      <c r="F131" s="319">
        <v>8000</v>
      </c>
      <c r="G131" s="314">
        <v>1.2689999999999999E-3</v>
      </c>
      <c r="H131" s="320">
        <v>1.9</v>
      </c>
      <c r="I131" s="318" t="s">
        <v>480</v>
      </c>
      <c r="J131" s="318">
        <v>497</v>
      </c>
      <c r="K131" s="318">
        <v>0.85</v>
      </c>
      <c r="L131" s="318">
        <v>101.17</v>
      </c>
      <c r="M131" s="318" t="s">
        <v>6</v>
      </c>
      <c r="N131" s="318" t="s">
        <v>368</v>
      </c>
      <c r="O131" s="318" t="s">
        <v>1347</v>
      </c>
      <c r="P131" s="318" t="s">
        <v>444</v>
      </c>
      <c r="Q131" s="318" t="s">
        <v>544</v>
      </c>
      <c r="R131" s="318" t="s">
        <v>545</v>
      </c>
      <c r="S131" s="303">
        <f t="shared" ref="S131:S194" si="3">+IFERROR(E131*K131,0)</f>
        <v>61438143.649999999</v>
      </c>
      <c r="T131" s="307">
        <f>+IFERROR(VLOOKUP(C131,'Tasas Diarias'!$B:$F,5,FALSE)*G131,0)</f>
        <v>2.3121651014609465E-7</v>
      </c>
      <c r="U131" s="311" t="str">
        <f ca="1">+VLOOKUP(C131,Spreads!$A$2:$G$345,7,0)</f>
        <v/>
      </c>
    </row>
    <row r="132" spans="1:21" ht="15" hidden="1" customHeight="1" thickTop="1" thickBot="1">
      <c r="A132" s="321" t="s">
        <v>2137</v>
      </c>
      <c r="B132" s="322" t="s">
        <v>234</v>
      </c>
      <c r="C132" s="322" t="s">
        <v>553</v>
      </c>
      <c r="D132" s="322" t="s">
        <v>168</v>
      </c>
      <c r="E132" s="323">
        <v>108941926</v>
      </c>
      <c r="F132" s="323">
        <v>4000</v>
      </c>
      <c r="G132" s="314">
        <v>1.913E-3</v>
      </c>
      <c r="H132" s="336">
        <v>1.21</v>
      </c>
      <c r="I132" s="322" t="s">
        <v>554</v>
      </c>
      <c r="J132" s="322">
        <v>315</v>
      </c>
      <c r="K132" s="322">
        <v>0.86</v>
      </c>
      <c r="L132" s="322">
        <v>101.68</v>
      </c>
      <c r="M132" s="322" t="s">
        <v>6</v>
      </c>
      <c r="N132" s="322" t="s">
        <v>368</v>
      </c>
      <c r="O132" s="322" t="s">
        <v>8</v>
      </c>
      <c r="P132" s="322" t="s">
        <v>379</v>
      </c>
      <c r="Q132" s="322" t="s">
        <v>77</v>
      </c>
      <c r="R132" s="322" t="s">
        <v>453</v>
      </c>
      <c r="S132" s="303">
        <f t="shared" si="3"/>
        <v>93690056.359999999</v>
      </c>
      <c r="T132" s="307">
        <f>+IFERROR(VLOOKUP(C132,'Tasas Diarias'!$B:$F,5,FALSE)*G132,0)</f>
        <v>0</v>
      </c>
      <c r="U132" s="311" t="str">
        <f ca="1">+VLOOKUP(C132,Spreads!$A$2:$G$345,7,0)</f>
        <v/>
      </c>
    </row>
    <row r="133" spans="1:21" ht="15" hidden="1" customHeight="1" thickTop="1" thickBot="1">
      <c r="A133" s="327" t="s">
        <v>2137</v>
      </c>
      <c r="B133" s="328" t="s">
        <v>234</v>
      </c>
      <c r="C133" s="328" t="s">
        <v>463</v>
      </c>
      <c r="D133" s="328" t="s">
        <v>464</v>
      </c>
      <c r="E133" s="328">
        <v>304453428</v>
      </c>
      <c r="F133" s="328">
        <v>300000000</v>
      </c>
      <c r="G133" s="328">
        <v>5.3470000000000002E-3</v>
      </c>
      <c r="H133" s="329">
        <v>3.71</v>
      </c>
      <c r="I133" s="328" t="s">
        <v>465</v>
      </c>
      <c r="J133" s="328">
        <v>329</v>
      </c>
      <c r="K133" s="328">
        <v>0.89</v>
      </c>
      <c r="L133" s="328">
        <v>101.02</v>
      </c>
      <c r="M133" s="328" t="s">
        <v>9</v>
      </c>
      <c r="N133" s="328" t="s">
        <v>368</v>
      </c>
      <c r="O133" s="328" t="s">
        <v>8</v>
      </c>
      <c r="P133" s="328" t="s">
        <v>379</v>
      </c>
      <c r="Q133" s="328" t="s">
        <v>466</v>
      </c>
      <c r="R133" s="328" t="s">
        <v>467</v>
      </c>
      <c r="S133" s="303">
        <f t="shared" si="3"/>
        <v>270963550.92000002</v>
      </c>
      <c r="T133" s="307">
        <f>+IFERROR(VLOOKUP(C133,'Tasas Diarias'!$B:$F,5,FALSE)*G133,0)</f>
        <v>-5.0642601001725305E-7</v>
      </c>
      <c r="U133" s="311" t="str">
        <f ca="1">+VLOOKUP(C133,Spreads!$A$2:$G$345,7,0)</f>
        <v/>
      </c>
    </row>
    <row r="134" spans="1:21" ht="15" hidden="1" customHeight="1" thickTop="1" thickBot="1">
      <c r="A134" s="317" t="s">
        <v>2137</v>
      </c>
      <c r="B134" s="318" t="s">
        <v>234</v>
      </c>
      <c r="C134" s="318" t="s">
        <v>548</v>
      </c>
      <c r="D134" s="318" t="s">
        <v>10</v>
      </c>
      <c r="E134" s="319">
        <v>46705421</v>
      </c>
      <c r="F134" s="319">
        <v>70000000</v>
      </c>
      <c r="G134" s="314">
        <v>8.1999999999999998E-4</v>
      </c>
      <c r="H134" s="320">
        <v>6.81</v>
      </c>
      <c r="I134" s="318" t="s">
        <v>501</v>
      </c>
      <c r="J134" s="318">
        <v>954</v>
      </c>
      <c r="K134" s="318">
        <v>0.98</v>
      </c>
      <c r="L134" s="318">
        <v>100.17</v>
      </c>
      <c r="M134" s="318" t="s">
        <v>9</v>
      </c>
      <c r="N134" s="318" t="s">
        <v>368</v>
      </c>
      <c r="O134" s="318" t="s">
        <v>8</v>
      </c>
      <c r="P134" s="318" t="s">
        <v>7</v>
      </c>
      <c r="Q134" s="318" t="s">
        <v>56</v>
      </c>
      <c r="R134" s="318" t="s">
        <v>445</v>
      </c>
      <c r="S134" s="303">
        <f t="shared" si="3"/>
        <v>45771312.579999998</v>
      </c>
      <c r="T134" s="307">
        <f>+IFERROR(VLOOKUP(C134,'Tasas Diarias'!$B:$F,5,FALSE)*G134,0)</f>
        <v>-8.5331174659635756E-8</v>
      </c>
      <c r="U134" s="311" t="str">
        <f ca="1">+VLOOKUP(C134,Spreads!$A$2:$G$345,7,0)</f>
        <v/>
      </c>
    </row>
    <row r="135" spans="1:21" ht="15" hidden="1" customHeight="1" thickTop="1" thickBot="1">
      <c r="A135" s="317" t="s">
        <v>2137</v>
      </c>
      <c r="B135" s="318" t="s">
        <v>234</v>
      </c>
      <c r="C135" s="318" t="s">
        <v>475</v>
      </c>
      <c r="D135" s="318" t="s">
        <v>175</v>
      </c>
      <c r="E135" s="319">
        <v>257339736</v>
      </c>
      <c r="F135" s="319">
        <v>250000000</v>
      </c>
      <c r="G135" s="314">
        <v>4.5189999999999996E-3</v>
      </c>
      <c r="H135" s="320">
        <v>4.32</v>
      </c>
      <c r="I135" s="318" t="s">
        <v>476</v>
      </c>
      <c r="J135" s="318">
        <v>803</v>
      </c>
      <c r="K135" s="318">
        <v>1.1499999999999999</v>
      </c>
      <c r="L135" s="318">
        <v>101.29</v>
      </c>
      <c r="M135" s="318" t="s">
        <v>9</v>
      </c>
      <c r="N135" s="318" t="s">
        <v>368</v>
      </c>
      <c r="O135" s="318" t="s">
        <v>8</v>
      </c>
      <c r="P135" s="318" t="s">
        <v>392</v>
      </c>
      <c r="Q135" s="318" t="s">
        <v>66</v>
      </c>
      <c r="R135" s="318" t="s">
        <v>418</v>
      </c>
      <c r="S135" s="303">
        <f t="shared" si="3"/>
        <v>295940696.39999998</v>
      </c>
      <c r="T135" s="307">
        <f>+IFERROR(VLOOKUP(C135,'Tasas Diarias'!$B:$F,5,FALSE)*G135,0)</f>
        <v>0</v>
      </c>
      <c r="U135" s="311" t="str">
        <f ca="1">+VLOOKUP(C135,Spreads!$A$2:$G$345,7,0)</f>
        <v/>
      </c>
    </row>
    <row r="136" spans="1:21" ht="15" hidden="1" customHeight="1" thickTop="1" thickBot="1">
      <c r="A136" s="317" t="s">
        <v>2137</v>
      </c>
      <c r="B136" s="318" t="s">
        <v>234</v>
      </c>
      <c r="C136" s="318" t="s">
        <v>558</v>
      </c>
      <c r="D136" s="318" t="s">
        <v>289</v>
      </c>
      <c r="E136" s="319">
        <v>206899643</v>
      </c>
      <c r="F136" s="319">
        <v>200000000</v>
      </c>
      <c r="G136" s="314">
        <v>3.6340000000000001E-3</v>
      </c>
      <c r="H136" s="320">
        <v>3.81</v>
      </c>
      <c r="I136" s="318" t="s">
        <v>559</v>
      </c>
      <c r="J136" s="318">
        <v>479</v>
      </c>
      <c r="K136" s="318">
        <v>1.27</v>
      </c>
      <c r="L136" s="318">
        <v>102.41</v>
      </c>
      <c r="M136" s="318" t="s">
        <v>9</v>
      </c>
      <c r="N136" s="318" t="s">
        <v>368</v>
      </c>
      <c r="O136" s="318" t="s">
        <v>560</v>
      </c>
      <c r="P136" s="318" t="s">
        <v>7</v>
      </c>
      <c r="Q136" s="318" t="s">
        <v>79</v>
      </c>
      <c r="R136" s="318" t="s">
        <v>561</v>
      </c>
      <c r="S136" s="303">
        <f t="shared" si="3"/>
        <v>262762546.61000001</v>
      </c>
      <c r="T136" s="307">
        <f>+IFERROR(VLOOKUP(C136,'Tasas Diarias'!$B:$F,5,FALSE)*G136,0)</f>
        <v>-4.8317887622219084E-7</v>
      </c>
      <c r="U136" s="311" t="str">
        <f ca="1">+VLOOKUP(C136,Spreads!$A$2:$G$345,7,0)</f>
        <v/>
      </c>
    </row>
    <row r="137" spans="1:21" ht="15" hidden="1" customHeight="1" thickTop="1" thickBot="1">
      <c r="A137" s="317" t="s">
        <v>2137</v>
      </c>
      <c r="B137" s="318" t="s">
        <v>234</v>
      </c>
      <c r="C137" s="318" t="s">
        <v>549</v>
      </c>
      <c r="D137" s="318" t="s">
        <v>292</v>
      </c>
      <c r="E137" s="319">
        <v>160712329</v>
      </c>
      <c r="F137" s="319">
        <v>200000000</v>
      </c>
      <c r="G137" s="314">
        <v>2.8219999999999999E-3</v>
      </c>
      <c r="H137" s="318">
        <v>4.0599999999999996</v>
      </c>
      <c r="I137" s="318" t="s">
        <v>550</v>
      </c>
      <c r="J137" s="318">
        <v>872</v>
      </c>
      <c r="K137" s="318">
        <v>1.32</v>
      </c>
      <c r="L137" s="318">
        <v>103.09</v>
      </c>
      <c r="M137" s="318" t="s">
        <v>9</v>
      </c>
      <c r="N137" s="318" t="s">
        <v>368</v>
      </c>
      <c r="O137" s="318" t="s">
        <v>551</v>
      </c>
      <c r="P137" s="318" t="s">
        <v>392</v>
      </c>
      <c r="Q137" s="318" t="s">
        <v>327</v>
      </c>
      <c r="R137" s="318" t="s">
        <v>552</v>
      </c>
      <c r="S137" s="303">
        <f t="shared" si="3"/>
        <v>212140274.28</v>
      </c>
      <c r="T137" s="307">
        <f>+IFERROR(VLOOKUP(C137,'Tasas Diarias'!$B:$F,5,FALSE)*G137,0)</f>
        <v>0</v>
      </c>
      <c r="U137" s="311" t="str">
        <f ca="1">+VLOOKUP(C137,Spreads!$A$2:$G$345,7,0)</f>
        <v/>
      </c>
    </row>
    <row r="138" spans="1:21" ht="15" hidden="1" customHeight="1" thickTop="1" thickBot="1">
      <c r="A138" s="317" t="s">
        <v>2137</v>
      </c>
      <c r="B138" s="318" t="s">
        <v>234</v>
      </c>
      <c r="C138" s="318" t="s">
        <v>563</v>
      </c>
      <c r="D138" s="318" t="s">
        <v>170</v>
      </c>
      <c r="E138" s="319">
        <v>286404504</v>
      </c>
      <c r="F138" s="319">
        <v>10500</v>
      </c>
      <c r="G138" s="314">
        <v>5.0299999999999997E-3</v>
      </c>
      <c r="H138" s="320">
        <v>1.6</v>
      </c>
      <c r="I138" s="318" t="s">
        <v>480</v>
      </c>
      <c r="J138" s="318">
        <v>497</v>
      </c>
      <c r="K138" s="318">
        <v>1.34</v>
      </c>
      <c r="L138" s="318">
        <v>101.85</v>
      </c>
      <c r="M138" s="318" t="s">
        <v>6</v>
      </c>
      <c r="N138" s="318" t="s">
        <v>368</v>
      </c>
      <c r="O138" s="318" t="s">
        <v>8</v>
      </c>
      <c r="P138" s="318" t="s">
        <v>392</v>
      </c>
      <c r="Q138" s="318" t="s">
        <v>88</v>
      </c>
      <c r="R138" s="318" t="s">
        <v>512</v>
      </c>
      <c r="S138" s="303">
        <f t="shared" si="3"/>
        <v>383782035.36000001</v>
      </c>
      <c r="T138" s="307">
        <f>+IFERROR(VLOOKUP(C138,'Tasas Diarias'!$B:$F,5,FALSE)*G138,0)</f>
        <v>0</v>
      </c>
      <c r="U138" s="311" t="str">
        <f ca="1">+VLOOKUP(C138,Spreads!$A$2:$G$345,7,0)</f>
        <v/>
      </c>
    </row>
    <row r="139" spans="1:21" ht="15" hidden="1" customHeight="1" thickTop="1" thickBot="1">
      <c r="A139" s="321" t="s">
        <v>2137</v>
      </c>
      <c r="B139" s="322" t="s">
        <v>234</v>
      </c>
      <c r="C139" s="322" t="s">
        <v>479</v>
      </c>
      <c r="D139" s="322" t="s">
        <v>233</v>
      </c>
      <c r="E139" s="323">
        <v>507754805</v>
      </c>
      <c r="F139" s="323">
        <v>18500</v>
      </c>
      <c r="G139" s="314">
        <v>8.9180000000000006E-3</v>
      </c>
      <c r="H139" s="324">
        <v>1.56</v>
      </c>
      <c r="I139" s="322" t="s">
        <v>480</v>
      </c>
      <c r="J139" s="322">
        <v>497</v>
      </c>
      <c r="K139" s="322">
        <v>1.34</v>
      </c>
      <c r="L139" s="322">
        <v>102.43</v>
      </c>
      <c r="M139" s="322" t="s">
        <v>6</v>
      </c>
      <c r="N139" s="322" t="s">
        <v>368</v>
      </c>
      <c r="O139" s="322" t="s">
        <v>8</v>
      </c>
      <c r="P139" s="322" t="s">
        <v>417</v>
      </c>
      <c r="Q139" s="322" t="s">
        <v>60</v>
      </c>
      <c r="R139" s="322" t="s">
        <v>481</v>
      </c>
      <c r="S139" s="303">
        <f t="shared" si="3"/>
        <v>680391438.70000005</v>
      </c>
      <c r="T139" s="307">
        <f>+IFERROR(VLOOKUP(C139,'Tasas Diarias'!$B:$F,5,FALSE)*G139,0)</f>
        <v>2.4876752658643258E-6</v>
      </c>
      <c r="U139" s="311" t="str">
        <f ca="1">+VLOOKUP(C139,Spreads!$A$2:$G$345,7,0)</f>
        <v/>
      </c>
    </row>
    <row r="140" spans="1:21" ht="15" hidden="1" customHeight="1" thickTop="1" thickBot="1">
      <c r="A140" s="321" t="s">
        <v>2137</v>
      </c>
      <c r="B140" s="322" t="s">
        <v>234</v>
      </c>
      <c r="C140" s="322" t="s">
        <v>562</v>
      </c>
      <c r="D140" s="322" t="s">
        <v>10</v>
      </c>
      <c r="E140" s="323">
        <v>201882149</v>
      </c>
      <c r="F140" s="323">
        <v>200000000</v>
      </c>
      <c r="G140" s="314">
        <v>3.545E-3</v>
      </c>
      <c r="H140" s="324">
        <v>5.66</v>
      </c>
      <c r="I140" s="322" t="s">
        <v>497</v>
      </c>
      <c r="J140" s="322">
        <v>863</v>
      </c>
      <c r="K140" s="322">
        <v>1.36</v>
      </c>
      <c r="L140" s="322">
        <v>100.18</v>
      </c>
      <c r="M140" s="322" t="s">
        <v>9</v>
      </c>
      <c r="N140" s="322" t="s">
        <v>368</v>
      </c>
      <c r="O140" s="322" t="s">
        <v>8</v>
      </c>
      <c r="P140" s="322" t="s">
        <v>7</v>
      </c>
      <c r="Q140" s="322" t="s">
        <v>56</v>
      </c>
      <c r="R140" s="322" t="s">
        <v>445</v>
      </c>
      <c r="S140" s="303">
        <f t="shared" si="3"/>
        <v>274559722.64000005</v>
      </c>
      <c r="T140" s="307">
        <f>+IFERROR(VLOOKUP(C140,'Tasas Diarias'!$B:$F,5,FALSE)*G140,0)</f>
        <v>0</v>
      </c>
      <c r="U140" s="311" t="str">
        <f ca="1">+VLOOKUP(C140,Spreads!$A$2:$G$345,7,0)</f>
        <v/>
      </c>
    </row>
    <row r="141" spans="1:21" ht="15" hidden="1" customHeight="1" thickTop="1" thickBot="1">
      <c r="A141" s="317" t="s">
        <v>2137</v>
      </c>
      <c r="B141" s="318" t="s">
        <v>234</v>
      </c>
      <c r="C141" s="318" t="s">
        <v>1256</v>
      </c>
      <c r="D141" s="318" t="s">
        <v>1257</v>
      </c>
      <c r="E141" s="319">
        <v>39248572</v>
      </c>
      <c r="F141" s="319">
        <v>5000</v>
      </c>
      <c r="G141" s="314">
        <v>6.8900000000000005E-4</v>
      </c>
      <c r="H141" s="320">
        <v>1.82</v>
      </c>
      <c r="I141" s="318" t="s">
        <v>503</v>
      </c>
      <c r="J141" s="318">
        <v>985</v>
      </c>
      <c r="K141" s="318">
        <v>1.44</v>
      </c>
      <c r="L141" s="318">
        <v>107.27</v>
      </c>
      <c r="M141" s="318" t="s">
        <v>6</v>
      </c>
      <c r="N141" s="318" t="s">
        <v>368</v>
      </c>
      <c r="O141" s="318" t="s">
        <v>8</v>
      </c>
      <c r="P141" s="318" t="s">
        <v>379</v>
      </c>
      <c r="Q141" s="318" t="s">
        <v>1258</v>
      </c>
      <c r="R141" s="318" t="s">
        <v>1259</v>
      </c>
      <c r="S141" s="303">
        <f t="shared" si="3"/>
        <v>56517943.68</v>
      </c>
      <c r="T141" s="307">
        <f>+IFERROR(VLOOKUP(C141,'Tasas Diarias'!$B:$F,5,FALSE)*G141,0)</f>
        <v>1.0270524916276861E-7</v>
      </c>
      <c r="U141" s="311" t="str">
        <f ca="1">+VLOOKUP(C141,Spreads!$A$2:$G$345,7,0)</f>
        <v/>
      </c>
    </row>
    <row r="142" spans="1:21" ht="15" hidden="1" customHeight="1" thickTop="1" thickBot="1">
      <c r="A142" s="317" t="s">
        <v>2137</v>
      </c>
      <c r="B142" s="318" t="s">
        <v>234</v>
      </c>
      <c r="C142" s="318" t="s">
        <v>482</v>
      </c>
      <c r="D142" s="318" t="s">
        <v>16</v>
      </c>
      <c r="E142" s="319">
        <v>63254682</v>
      </c>
      <c r="F142" s="319">
        <v>60000000</v>
      </c>
      <c r="G142" s="314">
        <v>1.111E-3</v>
      </c>
      <c r="H142" s="320">
        <v>3.6</v>
      </c>
      <c r="I142" s="318" t="s">
        <v>452</v>
      </c>
      <c r="J142" s="318">
        <v>558</v>
      </c>
      <c r="K142" s="318">
        <v>1.45</v>
      </c>
      <c r="L142" s="318">
        <v>102.78</v>
      </c>
      <c r="M142" s="318" t="s">
        <v>9</v>
      </c>
      <c r="N142" s="318" t="s">
        <v>368</v>
      </c>
      <c r="O142" s="318" t="s">
        <v>8</v>
      </c>
      <c r="P142" s="318" t="s">
        <v>379</v>
      </c>
      <c r="Q142" s="318" t="s">
        <v>61</v>
      </c>
      <c r="R142" s="318" t="s">
        <v>394</v>
      </c>
      <c r="S142" s="303">
        <f t="shared" si="3"/>
        <v>91719288.899999991</v>
      </c>
      <c r="T142" s="307">
        <f>+IFERROR(VLOOKUP(C142,'Tasas Diarias'!$B:$F,5,FALSE)*G142,0)</f>
        <v>3.3531542813505268E-7</v>
      </c>
      <c r="U142" s="311" t="str">
        <f ca="1">+VLOOKUP(C142,Spreads!$A$2:$G$345,7,0)</f>
        <v/>
      </c>
    </row>
    <row r="143" spans="1:21" ht="15" hidden="1" customHeight="1" thickTop="1" thickBot="1">
      <c r="A143" s="321" t="s">
        <v>2137</v>
      </c>
      <c r="B143" s="322" t="s">
        <v>234</v>
      </c>
      <c r="C143" s="322" t="s">
        <v>468</v>
      </c>
      <c r="D143" s="322" t="s">
        <v>469</v>
      </c>
      <c r="E143" s="323">
        <v>93335202</v>
      </c>
      <c r="F143" s="323">
        <v>4500</v>
      </c>
      <c r="G143" s="314">
        <v>1.639E-3</v>
      </c>
      <c r="H143" s="324">
        <v>1.57</v>
      </c>
      <c r="I143" s="322" t="s">
        <v>470</v>
      </c>
      <c r="J143" s="322">
        <v>999</v>
      </c>
      <c r="K143" s="322">
        <v>1.45</v>
      </c>
      <c r="L143" s="322">
        <v>102.75</v>
      </c>
      <c r="M143" s="322" t="s">
        <v>6</v>
      </c>
      <c r="N143" s="322" t="s">
        <v>368</v>
      </c>
      <c r="O143" s="322" t="s">
        <v>429</v>
      </c>
      <c r="P143" s="322" t="s">
        <v>7</v>
      </c>
      <c r="Q143" s="322" t="s">
        <v>471</v>
      </c>
      <c r="R143" s="322" t="s">
        <v>472</v>
      </c>
      <c r="S143" s="303">
        <f t="shared" si="3"/>
        <v>135336042.90000001</v>
      </c>
      <c r="T143" s="307">
        <f>+IFERROR(VLOOKUP(C143,'Tasas Diarias'!$B:$F,5,FALSE)*G143,0)</f>
        <v>-2.4682387123629148E-7</v>
      </c>
      <c r="U143" s="311" t="str">
        <f ca="1">+VLOOKUP(C143,Spreads!$A$2:$G$345,7,0)</f>
        <v/>
      </c>
    </row>
    <row r="144" spans="1:21" ht="15" hidden="1" customHeight="1" thickTop="1" thickBot="1">
      <c r="A144" s="317" t="s">
        <v>2137</v>
      </c>
      <c r="B144" s="318" t="s">
        <v>234</v>
      </c>
      <c r="C144" s="318" t="s">
        <v>1197</v>
      </c>
      <c r="D144" s="318" t="s">
        <v>175</v>
      </c>
      <c r="E144" s="319">
        <v>308352078</v>
      </c>
      <c r="F144" s="319">
        <v>300000000</v>
      </c>
      <c r="G144" s="314">
        <v>5.4149999999999997E-3</v>
      </c>
      <c r="H144" s="320">
        <v>4.5199999999999996</v>
      </c>
      <c r="I144" s="318" t="s">
        <v>1215</v>
      </c>
      <c r="J144" s="318">
        <v>955</v>
      </c>
      <c r="K144" s="318">
        <v>1.53</v>
      </c>
      <c r="L144" s="318">
        <v>100.84</v>
      </c>
      <c r="M144" s="318" t="s">
        <v>9</v>
      </c>
      <c r="N144" s="318" t="s">
        <v>368</v>
      </c>
      <c r="O144" s="318" t="s">
        <v>8</v>
      </c>
      <c r="P144" s="318" t="s">
        <v>392</v>
      </c>
      <c r="Q144" s="318" t="s">
        <v>66</v>
      </c>
      <c r="R144" s="318" t="s">
        <v>418</v>
      </c>
      <c r="S144" s="303">
        <f t="shared" si="3"/>
        <v>471778679.34000003</v>
      </c>
      <c r="T144" s="307">
        <f>+IFERROR(VLOOKUP(C144,'Tasas Diarias'!$B:$F,5,FALSE)*G144,0)</f>
        <v>-1.7239837852054246E-6</v>
      </c>
      <c r="U144" s="311" t="str">
        <f ca="1">+VLOOKUP(C144,Spreads!$A$2:$G$345,7,0)</f>
        <v/>
      </c>
    </row>
    <row r="145" spans="1:21" ht="15" hidden="1" customHeight="1" thickTop="1" thickBot="1">
      <c r="A145" s="317" t="s">
        <v>2137</v>
      </c>
      <c r="B145" s="318" t="s">
        <v>234</v>
      </c>
      <c r="C145" s="318" t="s">
        <v>581</v>
      </c>
      <c r="D145" s="318" t="s">
        <v>290</v>
      </c>
      <c r="E145" s="319">
        <v>92173640</v>
      </c>
      <c r="F145" s="319">
        <v>90000000</v>
      </c>
      <c r="G145" s="314">
        <v>1.6180000000000001E-3</v>
      </c>
      <c r="H145" s="320">
        <v>4.21</v>
      </c>
      <c r="I145" s="318" t="s">
        <v>495</v>
      </c>
      <c r="J145" s="318">
        <v>711</v>
      </c>
      <c r="K145" s="318">
        <v>1.87</v>
      </c>
      <c r="L145" s="318">
        <v>102.15</v>
      </c>
      <c r="M145" s="318" t="s">
        <v>9</v>
      </c>
      <c r="N145" s="318" t="s">
        <v>368</v>
      </c>
      <c r="O145" s="318" t="s">
        <v>1350</v>
      </c>
      <c r="P145" s="318" t="s">
        <v>392</v>
      </c>
      <c r="Q145" s="318" t="s">
        <v>84</v>
      </c>
      <c r="R145" s="318" t="s">
        <v>582</v>
      </c>
      <c r="S145" s="303">
        <f t="shared" si="3"/>
        <v>172364706.80000001</v>
      </c>
      <c r="T145" s="307">
        <f>+IFERROR(VLOOKUP(C145,'Tasas Diarias'!$B:$F,5,FALSE)*G145,0)</f>
        <v>0</v>
      </c>
      <c r="U145" s="311" t="str">
        <f ca="1">+VLOOKUP(C145,Spreads!$A$2:$G$345,7,0)</f>
        <v/>
      </c>
    </row>
    <row r="146" spans="1:21" ht="15" hidden="1" customHeight="1" thickTop="1" thickBot="1">
      <c r="A146" s="321" t="s">
        <v>2137</v>
      </c>
      <c r="B146" s="322" t="s">
        <v>234</v>
      </c>
      <c r="C146" s="322" t="s">
        <v>494</v>
      </c>
      <c r="D146" s="322" t="s">
        <v>182</v>
      </c>
      <c r="E146" s="323">
        <v>274032685</v>
      </c>
      <c r="F146" s="323">
        <v>10000</v>
      </c>
      <c r="G146" s="314">
        <v>4.8129999999999996E-3</v>
      </c>
      <c r="H146" s="324">
        <v>1.63</v>
      </c>
      <c r="I146" s="322" t="s">
        <v>495</v>
      </c>
      <c r="J146" s="322">
        <v>711</v>
      </c>
      <c r="K146" s="322">
        <v>1.9</v>
      </c>
      <c r="L146" s="322">
        <v>102.58</v>
      </c>
      <c r="M146" s="322" t="s">
        <v>6</v>
      </c>
      <c r="N146" s="322" t="s">
        <v>368</v>
      </c>
      <c r="O146" s="322" t="s">
        <v>8</v>
      </c>
      <c r="P146" s="322" t="s">
        <v>7</v>
      </c>
      <c r="Q146" s="322" t="s">
        <v>390</v>
      </c>
      <c r="R146" s="322" t="s">
        <v>402</v>
      </c>
      <c r="S146" s="303">
        <f t="shared" si="3"/>
        <v>520662101.5</v>
      </c>
      <c r="T146" s="307">
        <f>+IFERROR(VLOOKUP(C146,'Tasas Diarias'!$B:$F,5,FALSE)*G146,0)</f>
        <v>-8.3780767724015583E-6</v>
      </c>
      <c r="U146" s="311" t="str">
        <f ca="1">+VLOOKUP(C146,Spreads!$A$2:$G$345,7,0)</f>
        <v/>
      </c>
    </row>
    <row r="147" spans="1:21" ht="15" hidden="1" customHeight="1" thickTop="1" thickBot="1">
      <c r="A147" s="321" t="s">
        <v>2137</v>
      </c>
      <c r="B147" s="322" t="s">
        <v>234</v>
      </c>
      <c r="C147" s="322" t="s">
        <v>489</v>
      </c>
      <c r="D147" s="322" t="s">
        <v>12</v>
      </c>
      <c r="E147" s="323">
        <v>732803012</v>
      </c>
      <c r="F147" s="323">
        <v>44500</v>
      </c>
      <c r="G147" s="314">
        <v>1.2871E-2</v>
      </c>
      <c r="H147" s="324">
        <v>1.79</v>
      </c>
      <c r="I147" s="322" t="s">
        <v>490</v>
      </c>
      <c r="J147" s="322">
        <v>1318</v>
      </c>
      <c r="K147" s="322">
        <v>2.09</v>
      </c>
      <c r="L147" s="322">
        <v>102.38</v>
      </c>
      <c r="M147" s="322" t="s">
        <v>6</v>
      </c>
      <c r="N147" s="322" t="s">
        <v>368</v>
      </c>
      <c r="O147" s="322" t="s">
        <v>1349</v>
      </c>
      <c r="P147" s="322" t="s">
        <v>379</v>
      </c>
      <c r="Q147" s="322" t="s">
        <v>328</v>
      </c>
      <c r="R147" s="322" t="s">
        <v>491</v>
      </c>
      <c r="S147" s="303">
        <f t="shared" si="3"/>
        <v>1531558295.0799999</v>
      </c>
      <c r="T147" s="307">
        <f>+IFERROR(VLOOKUP(C147,'Tasas Diarias'!$B:$F,5,FALSE)*G147,0)</f>
        <v>5.5125418462261143E-6</v>
      </c>
      <c r="U147" s="311" t="str">
        <f ca="1">+VLOOKUP(C147,Spreads!$A$2:$G$345,7,0)</f>
        <v/>
      </c>
    </row>
    <row r="148" spans="1:21" ht="15" hidden="1" customHeight="1" thickTop="1" thickBot="1">
      <c r="A148" s="317" t="s">
        <v>2137</v>
      </c>
      <c r="B148" s="318" t="s">
        <v>234</v>
      </c>
      <c r="C148" s="318" t="s">
        <v>567</v>
      </c>
      <c r="D148" s="318" t="s">
        <v>168</v>
      </c>
      <c r="E148" s="319">
        <v>349635375</v>
      </c>
      <c r="F148" s="319">
        <v>30000</v>
      </c>
      <c r="G148" s="314">
        <v>6.1409999999999998E-3</v>
      </c>
      <c r="H148" s="320">
        <v>1.78</v>
      </c>
      <c r="I148" s="318" t="s">
        <v>568</v>
      </c>
      <c r="J148" s="318">
        <v>1503</v>
      </c>
      <c r="K148" s="318">
        <v>2.09</v>
      </c>
      <c r="L148" s="318">
        <v>109.7</v>
      </c>
      <c r="M148" s="318" t="s">
        <v>6</v>
      </c>
      <c r="N148" s="318" t="s">
        <v>368</v>
      </c>
      <c r="O148" s="318" t="s">
        <v>8</v>
      </c>
      <c r="P148" s="318" t="s">
        <v>7</v>
      </c>
      <c r="Q148" s="318" t="s">
        <v>77</v>
      </c>
      <c r="R148" s="318" t="s">
        <v>569</v>
      </c>
      <c r="S148" s="303">
        <f t="shared" si="3"/>
        <v>730737933.75</v>
      </c>
      <c r="T148" s="307">
        <f>+IFERROR(VLOOKUP(C148,'Tasas Diarias'!$B:$F,5,FALSE)*G148,0)</f>
        <v>-1.3131177910917957E-6</v>
      </c>
      <c r="U148" s="311" t="str">
        <f ca="1">+VLOOKUP(C148,Spreads!$A$2:$G$345,7,0)</f>
        <v/>
      </c>
    </row>
    <row r="149" spans="1:21" ht="15" hidden="1" customHeight="1" thickTop="1" thickBot="1">
      <c r="A149" s="321" t="s">
        <v>2137</v>
      </c>
      <c r="B149" s="322" t="s">
        <v>234</v>
      </c>
      <c r="C149" s="322" t="s">
        <v>585</v>
      </c>
      <c r="D149" s="322" t="s">
        <v>586</v>
      </c>
      <c r="E149" s="323">
        <v>10320555</v>
      </c>
      <c r="F149" s="323">
        <v>10000000</v>
      </c>
      <c r="G149" s="314">
        <v>1.8100000000000001E-4</v>
      </c>
      <c r="H149" s="322">
        <v>4.2</v>
      </c>
      <c r="I149" s="322" t="s">
        <v>587</v>
      </c>
      <c r="J149" s="322">
        <v>1472</v>
      </c>
      <c r="K149" s="322">
        <v>2.12</v>
      </c>
      <c r="L149" s="322">
        <v>101.01</v>
      </c>
      <c r="M149" s="322" t="s">
        <v>9</v>
      </c>
      <c r="N149" s="322" t="s">
        <v>368</v>
      </c>
      <c r="O149" s="322" t="s">
        <v>1346</v>
      </c>
      <c r="P149" s="322" t="s">
        <v>7</v>
      </c>
      <c r="Q149" s="322" t="s">
        <v>588</v>
      </c>
      <c r="R149" s="322" t="s">
        <v>589</v>
      </c>
      <c r="S149" s="303">
        <f t="shared" si="3"/>
        <v>21879576.600000001</v>
      </c>
      <c r="T149" s="307">
        <f>+IFERROR(VLOOKUP(C149,'Tasas Diarias'!$B:$F,5,FALSE)*G149,0)</f>
        <v>0</v>
      </c>
      <c r="U149" s="311" t="str">
        <f ca="1">+VLOOKUP(C149,Spreads!$A$2:$G$345,7,0)</f>
        <v/>
      </c>
    </row>
    <row r="150" spans="1:21" ht="15" hidden="1" customHeight="1" thickTop="1" thickBot="1">
      <c r="A150" s="317" t="s">
        <v>2137</v>
      </c>
      <c r="B150" s="318" t="s">
        <v>234</v>
      </c>
      <c r="C150" s="318" t="s">
        <v>590</v>
      </c>
      <c r="D150" s="318" t="s">
        <v>16</v>
      </c>
      <c r="E150" s="319">
        <v>102960377</v>
      </c>
      <c r="F150" s="319">
        <v>100000000</v>
      </c>
      <c r="G150" s="314">
        <v>1.8079999999999999E-3</v>
      </c>
      <c r="H150" s="320">
        <v>3.95</v>
      </c>
      <c r="I150" s="318" t="s">
        <v>591</v>
      </c>
      <c r="J150" s="318">
        <v>832</v>
      </c>
      <c r="K150" s="318">
        <v>2.17</v>
      </c>
      <c r="L150" s="318">
        <v>101.91</v>
      </c>
      <c r="M150" s="318" t="s">
        <v>9</v>
      </c>
      <c r="N150" s="318" t="s">
        <v>368</v>
      </c>
      <c r="O150" s="318" t="s">
        <v>8</v>
      </c>
      <c r="P150" s="318" t="s">
        <v>379</v>
      </c>
      <c r="Q150" s="318" t="s">
        <v>61</v>
      </c>
      <c r="R150" s="318" t="s">
        <v>394</v>
      </c>
      <c r="S150" s="303">
        <f t="shared" si="3"/>
        <v>223424018.09</v>
      </c>
      <c r="T150" s="307">
        <f>+IFERROR(VLOOKUP(C150,'Tasas Diarias'!$B:$F,5,FALSE)*G150,0)</f>
        <v>8.0410843755080855E-7</v>
      </c>
      <c r="U150" s="311" t="str">
        <f ca="1">+VLOOKUP(C150,Spreads!$A$2:$G$345,7,0)</f>
        <v/>
      </c>
    </row>
    <row r="151" spans="1:21" ht="15" hidden="1" customHeight="1" thickTop="1" thickBot="1">
      <c r="A151" s="321" t="s">
        <v>2137</v>
      </c>
      <c r="B151" s="322" t="s">
        <v>234</v>
      </c>
      <c r="C151" s="322" t="s">
        <v>593</v>
      </c>
      <c r="D151" s="322" t="s">
        <v>233</v>
      </c>
      <c r="E151" s="323">
        <v>272688876</v>
      </c>
      <c r="F151" s="323">
        <v>10000</v>
      </c>
      <c r="G151" s="314">
        <v>4.7889999999999999E-3</v>
      </c>
      <c r="H151" s="324">
        <v>1.84</v>
      </c>
      <c r="I151" s="322" t="s">
        <v>591</v>
      </c>
      <c r="J151" s="322">
        <v>832</v>
      </c>
      <c r="K151" s="322">
        <v>2.2200000000000002</v>
      </c>
      <c r="L151" s="322">
        <v>101.67</v>
      </c>
      <c r="M151" s="322" t="s">
        <v>6</v>
      </c>
      <c r="N151" s="322" t="s">
        <v>368</v>
      </c>
      <c r="O151" s="322" t="s">
        <v>8</v>
      </c>
      <c r="P151" s="322" t="s">
        <v>417</v>
      </c>
      <c r="Q151" s="322" t="s">
        <v>60</v>
      </c>
      <c r="R151" s="322" t="s">
        <v>481</v>
      </c>
      <c r="S151" s="303">
        <f t="shared" si="3"/>
        <v>605369304.72000003</v>
      </c>
      <c r="T151" s="307">
        <f>+IFERROR(VLOOKUP(C151,'Tasas Diarias'!$B:$F,5,FALSE)*G151,0)</f>
        <v>0</v>
      </c>
      <c r="U151" s="311" t="str">
        <f ca="1">+VLOOKUP(C151,Spreads!$A$2:$G$345,7,0)</f>
        <v/>
      </c>
    </row>
    <row r="152" spans="1:21" ht="15" hidden="1" customHeight="1" thickTop="1" thickBot="1">
      <c r="A152" s="321" t="s">
        <v>2137</v>
      </c>
      <c r="B152" s="322" t="s">
        <v>234</v>
      </c>
      <c r="C152" s="322" t="s">
        <v>594</v>
      </c>
      <c r="D152" s="322" t="s">
        <v>595</v>
      </c>
      <c r="E152" s="323">
        <v>13576226</v>
      </c>
      <c r="F152" s="323">
        <v>500</v>
      </c>
      <c r="G152" s="314">
        <v>2.3800000000000001E-4</v>
      </c>
      <c r="H152" s="324">
        <v>1.71</v>
      </c>
      <c r="I152" s="322" t="s">
        <v>591</v>
      </c>
      <c r="J152" s="322">
        <v>832</v>
      </c>
      <c r="K152" s="322">
        <v>2.2200000000000002</v>
      </c>
      <c r="L152" s="322">
        <v>101.3</v>
      </c>
      <c r="M152" s="322" t="s">
        <v>6</v>
      </c>
      <c r="N152" s="322" t="s">
        <v>368</v>
      </c>
      <c r="O152" s="322" t="s">
        <v>429</v>
      </c>
      <c r="P152" s="322" t="s">
        <v>392</v>
      </c>
      <c r="Q152" s="322" t="s">
        <v>596</v>
      </c>
      <c r="R152" s="322" t="s">
        <v>597</v>
      </c>
      <c r="S152" s="303">
        <f t="shared" si="3"/>
        <v>30139221.720000003</v>
      </c>
      <c r="T152" s="307">
        <f>+IFERROR(VLOOKUP(C152,'Tasas Diarias'!$B:$F,5,FALSE)*G152,0)</f>
        <v>0</v>
      </c>
      <c r="U152" s="311" t="str">
        <f ca="1">+VLOOKUP(C152,Spreads!$A$2:$G$345,7,0)</f>
        <v/>
      </c>
    </row>
    <row r="153" spans="1:21" ht="15" hidden="1" customHeight="1" thickTop="1" thickBot="1">
      <c r="A153" s="317" t="s">
        <v>2137</v>
      </c>
      <c r="B153" s="318" t="s">
        <v>234</v>
      </c>
      <c r="C153" s="318" t="s">
        <v>496</v>
      </c>
      <c r="D153" s="318" t="s">
        <v>38</v>
      </c>
      <c r="E153" s="319">
        <v>443293266</v>
      </c>
      <c r="F153" s="319">
        <v>430000000</v>
      </c>
      <c r="G153" s="314">
        <v>7.7860000000000004E-3</v>
      </c>
      <c r="H153" s="320">
        <v>4.2</v>
      </c>
      <c r="I153" s="318" t="s">
        <v>497</v>
      </c>
      <c r="J153" s="318">
        <v>863</v>
      </c>
      <c r="K153" s="318">
        <v>2.2400000000000002</v>
      </c>
      <c r="L153" s="318">
        <v>102.38</v>
      </c>
      <c r="M153" s="318" t="s">
        <v>9</v>
      </c>
      <c r="N153" s="318" t="s">
        <v>368</v>
      </c>
      <c r="O153" s="318" t="s">
        <v>8</v>
      </c>
      <c r="P153" s="318" t="s">
        <v>7</v>
      </c>
      <c r="Q153" s="318" t="s">
        <v>76</v>
      </c>
      <c r="R153" s="318" t="s">
        <v>498</v>
      </c>
      <c r="S153" s="303">
        <f t="shared" si="3"/>
        <v>992976915.84000015</v>
      </c>
      <c r="T153" s="307">
        <f>+IFERROR(VLOOKUP(C153,'Tasas Diarias'!$B:$F,5,FALSE)*G153,0)</f>
        <v>-1.7902275497236157E-6</v>
      </c>
      <c r="U153" s="311" t="str">
        <f ca="1">+VLOOKUP(C153,Spreads!$A$2:$G$345,7,0)</f>
        <v/>
      </c>
    </row>
    <row r="154" spans="1:21" ht="15" hidden="1" customHeight="1" thickTop="1" thickBot="1">
      <c r="A154" s="321" t="s">
        <v>2137</v>
      </c>
      <c r="B154" s="322" t="s">
        <v>234</v>
      </c>
      <c r="C154" s="322" t="s">
        <v>598</v>
      </c>
      <c r="D154" s="322" t="s">
        <v>170</v>
      </c>
      <c r="E154" s="323">
        <v>135204594</v>
      </c>
      <c r="F154" s="323">
        <v>130000000</v>
      </c>
      <c r="G154" s="314">
        <v>2.3739999999999998E-3</v>
      </c>
      <c r="H154" s="324">
        <v>4.25</v>
      </c>
      <c r="I154" s="322" t="s">
        <v>599</v>
      </c>
      <c r="J154" s="322">
        <v>893</v>
      </c>
      <c r="K154" s="322">
        <v>2.31</v>
      </c>
      <c r="L154" s="322">
        <v>103.7</v>
      </c>
      <c r="M154" s="322" t="s">
        <v>9</v>
      </c>
      <c r="N154" s="322" t="s">
        <v>368</v>
      </c>
      <c r="O154" s="322" t="s">
        <v>8</v>
      </c>
      <c r="P154" s="322" t="s">
        <v>392</v>
      </c>
      <c r="Q154" s="322" t="s">
        <v>88</v>
      </c>
      <c r="R154" s="322" t="s">
        <v>512</v>
      </c>
      <c r="S154" s="303">
        <f t="shared" si="3"/>
        <v>312322612.13999999</v>
      </c>
      <c r="T154" s="307">
        <f>+IFERROR(VLOOKUP(C154,'Tasas Diarias'!$B:$F,5,FALSE)*G154,0)</f>
        <v>-1.6415809507019402E-6</v>
      </c>
      <c r="U154" s="311" t="str">
        <f ca="1">+VLOOKUP(C154,Spreads!$A$2:$G$345,7,0)</f>
        <v/>
      </c>
    </row>
    <row r="155" spans="1:21" ht="15" hidden="1" customHeight="1" thickTop="1" thickBot="1">
      <c r="A155" s="317" t="s">
        <v>2137</v>
      </c>
      <c r="B155" s="318" t="s">
        <v>234</v>
      </c>
      <c r="C155" s="318" t="s">
        <v>604</v>
      </c>
      <c r="D155" s="318" t="s">
        <v>295</v>
      </c>
      <c r="E155" s="319">
        <v>111767527</v>
      </c>
      <c r="F155" s="319">
        <v>4000</v>
      </c>
      <c r="G155" s="314">
        <v>1.9629999999999999E-3</v>
      </c>
      <c r="H155" s="320">
        <v>1.59</v>
      </c>
      <c r="I155" s="318" t="s">
        <v>599</v>
      </c>
      <c r="J155" s="318">
        <v>893</v>
      </c>
      <c r="K155" s="318">
        <v>2.36</v>
      </c>
      <c r="L155" s="318">
        <v>104.58</v>
      </c>
      <c r="M155" s="318" t="s">
        <v>6</v>
      </c>
      <c r="N155" s="318" t="s">
        <v>368</v>
      </c>
      <c r="O155" s="318" t="s">
        <v>8</v>
      </c>
      <c r="P155" s="318" t="s">
        <v>7</v>
      </c>
      <c r="Q155" s="318" t="s">
        <v>70</v>
      </c>
      <c r="R155" s="318" t="s">
        <v>605</v>
      </c>
      <c r="S155" s="303">
        <f t="shared" si="3"/>
        <v>263771363.72</v>
      </c>
      <c r="T155" s="307">
        <f>+IFERROR(VLOOKUP(C155,'Tasas Diarias'!$B:$F,5,FALSE)*G155,0)</f>
        <v>-9.3489239320993635E-7</v>
      </c>
      <c r="U155" s="311" t="str">
        <f ca="1">+VLOOKUP(C155,Spreads!$A$2:$G$345,7,0)</f>
        <v/>
      </c>
    </row>
    <row r="156" spans="1:21" ht="15" hidden="1" customHeight="1" thickTop="1" thickBot="1">
      <c r="A156" s="321" t="s">
        <v>2137</v>
      </c>
      <c r="B156" s="322" t="s">
        <v>234</v>
      </c>
      <c r="C156" s="322" t="s">
        <v>609</v>
      </c>
      <c r="D156" s="322" t="s">
        <v>15</v>
      </c>
      <c r="E156" s="323">
        <v>166399835</v>
      </c>
      <c r="F156" s="323">
        <v>6000</v>
      </c>
      <c r="G156" s="314">
        <v>2.9220000000000001E-3</v>
      </c>
      <c r="H156" s="324">
        <v>1.66</v>
      </c>
      <c r="I156" s="322" t="s">
        <v>610</v>
      </c>
      <c r="J156" s="322">
        <v>907</v>
      </c>
      <c r="K156" s="322">
        <v>2.41</v>
      </c>
      <c r="L156" s="322">
        <v>103.93</v>
      </c>
      <c r="M156" s="322" t="s">
        <v>6</v>
      </c>
      <c r="N156" s="322" t="s">
        <v>368</v>
      </c>
      <c r="O156" s="322" t="s">
        <v>8</v>
      </c>
      <c r="P156" s="322" t="s">
        <v>7</v>
      </c>
      <c r="Q156" s="322" t="s">
        <v>28</v>
      </c>
      <c r="R156" s="322" t="s">
        <v>603</v>
      </c>
      <c r="S156" s="303">
        <f t="shared" si="3"/>
        <v>401023602.35000002</v>
      </c>
      <c r="T156" s="307">
        <f>+IFERROR(VLOOKUP(C156,'Tasas Diarias'!$B:$F,5,FALSE)*G156,0)</f>
        <v>0</v>
      </c>
      <c r="U156" s="311" t="str">
        <f ca="1">+VLOOKUP(C156,Spreads!$A$2:$G$345,7,0)</f>
        <v/>
      </c>
    </row>
    <row r="157" spans="1:21" ht="15" hidden="1" customHeight="1" thickTop="1" thickBot="1">
      <c r="A157" s="317" t="s">
        <v>2137</v>
      </c>
      <c r="B157" s="318" t="s">
        <v>234</v>
      </c>
      <c r="C157" s="318" t="s">
        <v>601</v>
      </c>
      <c r="D157" s="318" t="s">
        <v>15</v>
      </c>
      <c r="E157" s="319">
        <v>10503277</v>
      </c>
      <c r="F157" s="319">
        <v>10000000</v>
      </c>
      <c r="G157" s="314">
        <v>1.84E-4</v>
      </c>
      <c r="H157" s="320">
        <v>4.2699999999999996</v>
      </c>
      <c r="I157" s="318" t="s">
        <v>602</v>
      </c>
      <c r="J157" s="318">
        <v>953</v>
      </c>
      <c r="K157" s="318">
        <v>2.42</v>
      </c>
      <c r="L157" s="318">
        <v>102.87</v>
      </c>
      <c r="M157" s="318" t="s">
        <v>9</v>
      </c>
      <c r="N157" s="318" t="s">
        <v>368</v>
      </c>
      <c r="O157" s="318" t="s">
        <v>8</v>
      </c>
      <c r="P157" s="318" t="s">
        <v>7</v>
      </c>
      <c r="Q157" s="318" t="s">
        <v>28</v>
      </c>
      <c r="R157" s="318" t="s">
        <v>603</v>
      </c>
      <c r="S157" s="303">
        <f t="shared" si="3"/>
        <v>25417930.34</v>
      </c>
      <c r="T157" s="307">
        <f>+IFERROR(VLOOKUP(C157,'Tasas Diarias'!$B:$F,5,FALSE)*G157,0)</f>
        <v>0</v>
      </c>
      <c r="U157" s="311" t="str">
        <f ca="1">+VLOOKUP(C157,Spreads!$A$2:$G$345,7,0)</f>
        <v/>
      </c>
    </row>
    <row r="158" spans="1:21" ht="15" hidden="1" customHeight="1" thickTop="1" thickBot="1">
      <c r="A158" s="317" t="s">
        <v>2137</v>
      </c>
      <c r="B158" s="318" t="s">
        <v>234</v>
      </c>
      <c r="C158" s="318" t="s">
        <v>606</v>
      </c>
      <c r="D158" s="318" t="s">
        <v>24</v>
      </c>
      <c r="E158" s="319">
        <v>104835401</v>
      </c>
      <c r="F158" s="319">
        <v>100000000</v>
      </c>
      <c r="G158" s="314">
        <v>1.841E-3</v>
      </c>
      <c r="H158" s="320">
        <v>4.1399999999999997</v>
      </c>
      <c r="I158" s="318" t="s">
        <v>501</v>
      </c>
      <c r="J158" s="318">
        <v>954</v>
      </c>
      <c r="K158" s="318">
        <v>2.4300000000000002</v>
      </c>
      <c r="L158" s="318">
        <v>102.76</v>
      </c>
      <c r="M158" s="318" t="s">
        <v>9</v>
      </c>
      <c r="N158" s="318" t="s">
        <v>368</v>
      </c>
      <c r="O158" s="318" t="s">
        <v>8</v>
      </c>
      <c r="P158" s="318" t="s">
        <v>392</v>
      </c>
      <c r="Q158" s="318" t="s">
        <v>51</v>
      </c>
      <c r="R158" s="318" t="s">
        <v>414</v>
      </c>
      <c r="S158" s="303">
        <f t="shared" si="3"/>
        <v>254750024.43000001</v>
      </c>
      <c r="T158" s="307">
        <f>+IFERROR(VLOOKUP(C158,'Tasas Diarias'!$B:$F,5,FALSE)*G158,0)</f>
        <v>-4.5828250553491484E-7</v>
      </c>
      <c r="U158" s="311" t="str">
        <f ca="1">+VLOOKUP(C158,Spreads!$A$2:$G$345,7,0)</f>
        <v/>
      </c>
    </row>
    <row r="159" spans="1:21" ht="15" hidden="1" customHeight="1" thickTop="1" thickBot="1">
      <c r="A159" s="317" t="s">
        <v>2137</v>
      </c>
      <c r="B159" s="318" t="s">
        <v>234</v>
      </c>
      <c r="C159" s="318" t="s">
        <v>611</v>
      </c>
      <c r="D159" s="318" t="s">
        <v>24</v>
      </c>
      <c r="E159" s="319">
        <v>655353147</v>
      </c>
      <c r="F159" s="319">
        <v>24000</v>
      </c>
      <c r="G159" s="314">
        <v>1.1509999999999999E-2</v>
      </c>
      <c r="H159" s="320">
        <v>1.72</v>
      </c>
      <c r="I159" s="318" t="s">
        <v>612</v>
      </c>
      <c r="J159" s="318">
        <v>924</v>
      </c>
      <c r="K159" s="318">
        <v>2.4500000000000002</v>
      </c>
      <c r="L159" s="318">
        <v>101.31</v>
      </c>
      <c r="M159" s="318" t="s">
        <v>6</v>
      </c>
      <c r="N159" s="318" t="s">
        <v>368</v>
      </c>
      <c r="O159" s="318" t="s">
        <v>8</v>
      </c>
      <c r="P159" s="318" t="s">
        <v>392</v>
      </c>
      <c r="Q159" s="318" t="s">
        <v>51</v>
      </c>
      <c r="R159" s="318" t="s">
        <v>414</v>
      </c>
      <c r="S159" s="303">
        <f t="shared" si="3"/>
        <v>1605615210.1500001</v>
      </c>
      <c r="T159" s="307">
        <f>+IFERROR(VLOOKUP(C159,'Tasas Diarias'!$B:$F,5,FALSE)*G159,0)</f>
        <v>-2.8857655634376616E-6</v>
      </c>
      <c r="U159" s="311" t="str">
        <f ca="1">+VLOOKUP(C159,Spreads!$A$2:$G$345,7,0)</f>
        <v/>
      </c>
    </row>
    <row r="160" spans="1:21" ht="15" hidden="1" customHeight="1" thickTop="1" thickBot="1">
      <c r="A160" s="317" t="s">
        <v>2137</v>
      </c>
      <c r="B160" s="318" t="s">
        <v>234</v>
      </c>
      <c r="C160" s="318" t="s">
        <v>500</v>
      </c>
      <c r="D160" s="318" t="s">
        <v>11</v>
      </c>
      <c r="E160" s="319">
        <v>278604383</v>
      </c>
      <c r="F160" s="319">
        <v>10000</v>
      </c>
      <c r="G160" s="314">
        <v>4.8929999999999998E-3</v>
      </c>
      <c r="H160" s="320">
        <v>1.71</v>
      </c>
      <c r="I160" s="318" t="s">
        <v>501</v>
      </c>
      <c r="J160" s="318">
        <v>954</v>
      </c>
      <c r="K160" s="318">
        <v>2.5099999999999998</v>
      </c>
      <c r="L160" s="318">
        <v>103.26</v>
      </c>
      <c r="M160" s="318" t="s">
        <v>6</v>
      </c>
      <c r="N160" s="318" t="s">
        <v>368</v>
      </c>
      <c r="O160" s="318" t="s">
        <v>8</v>
      </c>
      <c r="P160" s="318" t="s">
        <v>7</v>
      </c>
      <c r="Q160" s="318" t="s">
        <v>326</v>
      </c>
      <c r="R160" s="318" t="s">
        <v>404</v>
      </c>
      <c r="S160" s="303">
        <f t="shared" si="3"/>
        <v>699297001.32999992</v>
      </c>
      <c r="T160" s="307">
        <f>+IFERROR(VLOOKUP(C160,'Tasas Diarias'!$B:$F,5,FALSE)*G160,0)</f>
        <v>1.0038301587144219E-5</v>
      </c>
      <c r="U160" s="311" t="str">
        <f ca="1">+VLOOKUP(C160,Spreads!$A$2:$G$345,7,0)</f>
        <v/>
      </c>
    </row>
    <row r="161" spans="1:21" ht="15" hidden="1" customHeight="1" thickTop="1" thickBot="1">
      <c r="A161" s="321" t="s">
        <v>2137</v>
      </c>
      <c r="B161" s="322" t="s">
        <v>234</v>
      </c>
      <c r="C161" s="322" t="s">
        <v>616</v>
      </c>
      <c r="D161" s="322" t="s">
        <v>11</v>
      </c>
      <c r="E161" s="323">
        <v>155552492</v>
      </c>
      <c r="F161" s="323">
        <v>150000000</v>
      </c>
      <c r="G161" s="314">
        <v>2.7320000000000001E-3</v>
      </c>
      <c r="H161" s="324">
        <v>4.03</v>
      </c>
      <c r="I161" s="322" t="s">
        <v>617</v>
      </c>
      <c r="J161" s="322">
        <v>1016</v>
      </c>
      <c r="K161" s="322">
        <v>2.61</v>
      </c>
      <c r="L161" s="322">
        <v>102.6</v>
      </c>
      <c r="M161" s="322" t="s">
        <v>9</v>
      </c>
      <c r="N161" s="322" t="s">
        <v>368</v>
      </c>
      <c r="O161" s="322" t="s">
        <v>8</v>
      </c>
      <c r="P161" s="322" t="s">
        <v>7</v>
      </c>
      <c r="Q161" s="322" t="s">
        <v>326</v>
      </c>
      <c r="R161" s="322" t="s">
        <v>404</v>
      </c>
      <c r="S161" s="303">
        <f t="shared" si="3"/>
        <v>405992004.12</v>
      </c>
      <c r="T161" s="307">
        <f>+IFERROR(VLOOKUP(C161,'Tasas Diarias'!$B:$F,5,FALSE)*G161,0)</f>
        <v>0</v>
      </c>
      <c r="U161" s="311" t="str">
        <f ca="1">+VLOOKUP(C161,Spreads!$A$2:$G$345,7,0)</f>
        <v/>
      </c>
    </row>
    <row r="162" spans="1:21" ht="15" hidden="1" customHeight="1" thickTop="1" thickBot="1">
      <c r="A162" s="321" t="s">
        <v>2137</v>
      </c>
      <c r="B162" s="322" t="s">
        <v>234</v>
      </c>
      <c r="C162" s="322" t="s">
        <v>614</v>
      </c>
      <c r="D162" s="322" t="s">
        <v>30</v>
      </c>
      <c r="E162" s="323">
        <v>647548658</v>
      </c>
      <c r="F162" s="323">
        <v>635000000</v>
      </c>
      <c r="G162" s="314">
        <v>1.1372999999999999E-2</v>
      </c>
      <c r="H162" s="324">
        <v>0</v>
      </c>
      <c r="I162" s="322" t="s">
        <v>615</v>
      </c>
      <c r="J162" s="322">
        <v>1037</v>
      </c>
      <c r="K162" s="322">
        <v>2.61</v>
      </c>
      <c r="L162" s="322">
        <v>100.947</v>
      </c>
      <c r="M162" s="322" t="s">
        <v>9</v>
      </c>
      <c r="N162" s="322" t="s">
        <v>368</v>
      </c>
      <c r="O162" s="322" t="s">
        <v>8</v>
      </c>
      <c r="P162" s="322" t="s">
        <v>379</v>
      </c>
      <c r="Q162" s="322" t="s">
        <v>61</v>
      </c>
      <c r="R162" s="322" t="s">
        <v>394</v>
      </c>
      <c r="S162" s="303">
        <f t="shared" si="3"/>
        <v>1690101997.3799999</v>
      </c>
      <c r="T162" s="307">
        <f>+IFERROR(VLOOKUP(C162,'Tasas Diarias'!$B:$F,5,FALSE)*G162,0)</f>
        <v>0</v>
      </c>
      <c r="U162" s="311" t="e">
        <f>+VLOOKUP(C162,Spreads!$A$2:$G$345,7,0)</f>
        <v>#N/A</v>
      </c>
    </row>
    <row r="163" spans="1:21" ht="15" hidden="1" customHeight="1" thickTop="1" thickBot="1">
      <c r="A163" s="317" t="s">
        <v>2137</v>
      </c>
      <c r="B163" s="318" t="s">
        <v>234</v>
      </c>
      <c r="C163" s="318" t="s">
        <v>502</v>
      </c>
      <c r="D163" s="318" t="s">
        <v>38</v>
      </c>
      <c r="E163" s="319">
        <v>269847684</v>
      </c>
      <c r="F163" s="319">
        <v>10000</v>
      </c>
      <c r="G163" s="314">
        <v>4.7390000000000002E-3</v>
      </c>
      <c r="H163" s="320">
        <v>2</v>
      </c>
      <c r="I163" s="318" t="s">
        <v>503</v>
      </c>
      <c r="J163" s="318">
        <v>985</v>
      </c>
      <c r="K163" s="318">
        <v>2.62</v>
      </c>
      <c r="L163" s="318">
        <v>100.51</v>
      </c>
      <c r="M163" s="318" t="s">
        <v>6</v>
      </c>
      <c r="N163" s="318" t="s">
        <v>368</v>
      </c>
      <c r="O163" s="318" t="s">
        <v>8</v>
      </c>
      <c r="P163" s="318" t="s">
        <v>7</v>
      </c>
      <c r="Q163" s="318" t="s">
        <v>76</v>
      </c>
      <c r="R163" s="318" t="s">
        <v>498</v>
      </c>
      <c r="S163" s="303">
        <f t="shared" si="3"/>
        <v>707000932.08000004</v>
      </c>
      <c r="T163" s="307">
        <f>+IFERROR(VLOOKUP(C163,'Tasas Diarias'!$B:$F,5,FALSE)*G163,0)</f>
        <v>1.2682988467410427E-6</v>
      </c>
      <c r="U163" s="311" t="str">
        <f ca="1">+VLOOKUP(C163,Spreads!$A$2:$G$345,7,0)</f>
        <v/>
      </c>
    </row>
    <row r="164" spans="1:21" ht="15" hidden="1" customHeight="1" thickTop="1" thickBot="1">
      <c r="A164" s="321" t="s">
        <v>2137</v>
      </c>
      <c r="B164" s="322" t="s">
        <v>234</v>
      </c>
      <c r="C164" s="322" t="s">
        <v>2102</v>
      </c>
      <c r="D164" s="322" t="s">
        <v>178</v>
      </c>
      <c r="E164" s="323">
        <v>416419102</v>
      </c>
      <c r="F164" s="323">
        <v>15000</v>
      </c>
      <c r="G164" s="314">
        <v>7.3140000000000002E-3</v>
      </c>
      <c r="H164" s="337">
        <v>2.48</v>
      </c>
      <c r="I164" s="322" t="s">
        <v>2103</v>
      </c>
      <c r="J164" s="322">
        <v>1025</v>
      </c>
      <c r="K164" s="322">
        <v>2.68</v>
      </c>
      <c r="L164" s="322">
        <v>103.34</v>
      </c>
      <c r="M164" s="322" t="s">
        <v>6</v>
      </c>
      <c r="N164" s="322" t="s">
        <v>368</v>
      </c>
      <c r="O164" s="322" t="s">
        <v>8</v>
      </c>
      <c r="P164" s="322" t="s">
        <v>417</v>
      </c>
      <c r="Q164" s="322" t="s">
        <v>68</v>
      </c>
      <c r="R164" s="322" t="s">
        <v>2104</v>
      </c>
      <c r="S164" s="303">
        <f t="shared" si="3"/>
        <v>1116003193.3600001</v>
      </c>
      <c r="T164" s="307">
        <f>+IFERROR(VLOOKUP(C164,'Tasas Diarias'!$B:$F,5,FALSE)*G164,0)</f>
        <v>0</v>
      </c>
      <c r="U164" s="311" t="e">
        <f>+VLOOKUP(C164,Spreads!$A$2:$G$345,7,0)</f>
        <v>#N/A</v>
      </c>
    </row>
    <row r="165" spans="1:21" ht="15" hidden="1" customHeight="1" thickTop="1" thickBot="1">
      <c r="A165" s="327" t="s">
        <v>2137</v>
      </c>
      <c r="B165" s="328" t="s">
        <v>234</v>
      </c>
      <c r="C165" s="328" t="s">
        <v>625</v>
      </c>
      <c r="D165" s="328" t="s">
        <v>16</v>
      </c>
      <c r="E165" s="328">
        <v>108901096</v>
      </c>
      <c r="F165" s="328">
        <v>4000</v>
      </c>
      <c r="G165" s="332">
        <v>1.9120000000000001E-3</v>
      </c>
      <c r="H165" s="329">
        <v>1.67</v>
      </c>
      <c r="I165" s="328" t="s">
        <v>617</v>
      </c>
      <c r="J165" s="328">
        <v>1016</v>
      </c>
      <c r="K165" s="328">
        <v>2.7</v>
      </c>
      <c r="L165" s="328">
        <v>101.58</v>
      </c>
      <c r="M165" s="328" t="s">
        <v>6</v>
      </c>
      <c r="N165" s="328" t="s">
        <v>368</v>
      </c>
      <c r="O165" s="328" t="s">
        <v>8</v>
      </c>
      <c r="P165" s="328" t="s">
        <v>379</v>
      </c>
      <c r="Q165" s="328" t="s">
        <v>61</v>
      </c>
      <c r="R165" s="328" t="s">
        <v>394</v>
      </c>
      <c r="S165" s="303">
        <f t="shared" si="3"/>
        <v>294032959.20000005</v>
      </c>
      <c r="T165" s="307">
        <f>+IFERROR(VLOOKUP(C165,'Tasas Diarias'!$B:$F,5,FALSE)*G165,0)</f>
        <v>-1.0551273178220736E-6</v>
      </c>
      <c r="U165" s="311" t="str">
        <f ca="1">+VLOOKUP(C165,Spreads!$A$2:$G$345,7,0)</f>
        <v/>
      </c>
    </row>
    <row r="166" spans="1:21" ht="15" hidden="1" customHeight="1" thickTop="1" thickBot="1">
      <c r="A166" s="321" t="s">
        <v>2137</v>
      </c>
      <c r="B166" s="322" t="s">
        <v>234</v>
      </c>
      <c r="C166" s="322" t="s">
        <v>624</v>
      </c>
      <c r="D166" s="322" t="s">
        <v>170</v>
      </c>
      <c r="E166" s="323">
        <v>473901628</v>
      </c>
      <c r="F166" s="335">
        <v>17500</v>
      </c>
      <c r="G166" s="314">
        <v>8.3230000000000005E-3</v>
      </c>
      <c r="H166" s="322">
        <v>1.91</v>
      </c>
      <c r="I166" s="322" t="s">
        <v>617</v>
      </c>
      <c r="J166" s="322">
        <v>1016</v>
      </c>
      <c r="K166" s="322">
        <v>2.7</v>
      </c>
      <c r="L166" s="322">
        <v>101.03</v>
      </c>
      <c r="M166" s="322" t="s">
        <v>6</v>
      </c>
      <c r="N166" s="322" t="s">
        <v>368</v>
      </c>
      <c r="O166" s="322" t="s">
        <v>8</v>
      </c>
      <c r="P166" s="322" t="s">
        <v>392</v>
      </c>
      <c r="Q166" s="322" t="s">
        <v>88</v>
      </c>
      <c r="R166" s="322" t="s">
        <v>512</v>
      </c>
      <c r="S166" s="303">
        <f t="shared" si="3"/>
        <v>1279534395.6000001</v>
      </c>
      <c r="T166" s="307">
        <f>+IFERROR(VLOOKUP(C166,'Tasas Diarias'!$B:$F,5,FALSE)*G166,0)</f>
        <v>2.2952516028623577E-6</v>
      </c>
      <c r="U166" s="311" t="str">
        <f ca="1">+VLOOKUP(C166,Spreads!$A$2:$G$345,7,0)</f>
        <v/>
      </c>
    </row>
    <row r="167" spans="1:21" ht="15" hidden="1" customHeight="1" thickTop="1" thickBot="1">
      <c r="A167" s="321" t="s">
        <v>2137</v>
      </c>
      <c r="B167" s="322" t="s">
        <v>234</v>
      </c>
      <c r="C167" s="322" t="s">
        <v>1216</v>
      </c>
      <c r="D167" s="322" t="s">
        <v>175</v>
      </c>
      <c r="E167" s="323">
        <v>573107444</v>
      </c>
      <c r="F167" s="323">
        <v>20000</v>
      </c>
      <c r="G167" s="314">
        <v>1.0066E-2</v>
      </c>
      <c r="H167" s="324">
        <v>2.06</v>
      </c>
      <c r="I167" s="322" t="s">
        <v>1217</v>
      </c>
      <c r="J167" s="322">
        <v>1107</v>
      </c>
      <c r="K167" s="322">
        <v>2.84</v>
      </c>
      <c r="L167" s="322">
        <v>105.48</v>
      </c>
      <c r="M167" s="322" t="s">
        <v>6</v>
      </c>
      <c r="N167" s="322" t="s">
        <v>368</v>
      </c>
      <c r="O167" s="322" t="s">
        <v>8</v>
      </c>
      <c r="P167" s="322" t="s">
        <v>392</v>
      </c>
      <c r="Q167" s="322" t="s">
        <v>66</v>
      </c>
      <c r="R167" s="322" t="s">
        <v>418</v>
      </c>
      <c r="S167" s="303">
        <f t="shared" si="3"/>
        <v>1627625140.9599998</v>
      </c>
      <c r="T167" s="307">
        <f>+IFERROR(VLOOKUP(C167,'Tasas Diarias'!$B:$F,5,FALSE)*G167,0)</f>
        <v>-2.9182226858490513E-6</v>
      </c>
      <c r="U167" s="311" t="str">
        <f ca="1">+VLOOKUP(C167,Spreads!$A$2:$G$345,7,0)</f>
        <v/>
      </c>
    </row>
    <row r="168" spans="1:21" ht="15" hidden="1" customHeight="1" thickTop="1" thickBot="1">
      <c r="A168" s="317" t="s">
        <v>2137</v>
      </c>
      <c r="B168" s="318" t="s">
        <v>234</v>
      </c>
      <c r="C168" s="318" t="s">
        <v>504</v>
      </c>
      <c r="D168" s="318" t="s">
        <v>295</v>
      </c>
      <c r="E168" s="319">
        <v>232832533</v>
      </c>
      <c r="F168" s="319">
        <v>220000000</v>
      </c>
      <c r="G168" s="314">
        <v>4.0889999999999998E-3</v>
      </c>
      <c r="H168" s="318">
        <v>4.25</v>
      </c>
      <c r="I168" s="318" t="s">
        <v>505</v>
      </c>
      <c r="J168" s="318">
        <v>1138</v>
      </c>
      <c r="K168" s="318">
        <v>2.85</v>
      </c>
      <c r="L168" s="318">
        <v>103.64</v>
      </c>
      <c r="M168" s="318" t="s">
        <v>9</v>
      </c>
      <c r="N168" s="318" t="s">
        <v>368</v>
      </c>
      <c r="O168" s="318" t="s">
        <v>8</v>
      </c>
      <c r="P168" s="318" t="s">
        <v>7</v>
      </c>
      <c r="Q168" s="318" t="s">
        <v>70</v>
      </c>
      <c r="R168" s="318" t="s">
        <v>506</v>
      </c>
      <c r="S168" s="303">
        <f t="shared" si="3"/>
        <v>663572719.05000007</v>
      </c>
      <c r="T168" s="307">
        <f>+IFERROR(VLOOKUP(C168,'Tasas Diarias'!$B:$F,5,FALSE)*G168,0)</f>
        <v>-2.3819685445041176E-6</v>
      </c>
      <c r="U168" s="311" t="str">
        <f ca="1">+VLOOKUP(C168,Spreads!$A$2:$G$345,7,0)</f>
        <v/>
      </c>
    </row>
    <row r="169" spans="1:21" ht="15" hidden="1" customHeight="1" thickTop="1" thickBot="1">
      <c r="A169" s="317" t="s">
        <v>2137</v>
      </c>
      <c r="B169" s="318" t="s">
        <v>234</v>
      </c>
      <c r="C169" s="318" t="s">
        <v>1218</v>
      </c>
      <c r="D169" s="318" t="s">
        <v>16</v>
      </c>
      <c r="E169" s="319">
        <v>210537306</v>
      </c>
      <c r="F169" s="319">
        <v>200000000</v>
      </c>
      <c r="G169" s="314">
        <v>3.6970000000000002E-3</v>
      </c>
      <c r="H169" s="320">
        <v>4.2</v>
      </c>
      <c r="I169" s="318" t="s">
        <v>507</v>
      </c>
      <c r="J169" s="318">
        <v>1197</v>
      </c>
      <c r="K169" s="318">
        <v>3.02</v>
      </c>
      <c r="L169" s="318">
        <v>104.04</v>
      </c>
      <c r="M169" s="318" t="s">
        <v>9</v>
      </c>
      <c r="N169" s="318" t="s">
        <v>368</v>
      </c>
      <c r="O169" s="318" t="s">
        <v>8</v>
      </c>
      <c r="P169" s="318" t="s">
        <v>379</v>
      </c>
      <c r="Q169" s="318" t="s">
        <v>61</v>
      </c>
      <c r="R169" s="318" t="s">
        <v>394</v>
      </c>
      <c r="S169" s="303">
        <f t="shared" si="3"/>
        <v>635822664.12</v>
      </c>
      <c r="T169" s="307">
        <f>+IFERROR(VLOOKUP(C169,'Tasas Diarias'!$B:$F,5,FALSE)*G169,0)</f>
        <v>0</v>
      </c>
      <c r="U169" s="311" t="str">
        <f ca="1">+VLOOKUP(C169,Spreads!$A$2:$G$345,7,0)</f>
        <v/>
      </c>
    </row>
    <row r="170" spans="1:21" ht="15" hidden="1" customHeight="1" thickTop="1" thickBot="1">
      <c r="A170" s="321" t="s">
        <v>2137</v>
      </c>
      <c r="B170" s="322" t="s">
        <v>234</v>
      </c>
      <c r="C170" s="322" t="s">
        <v>356</v>
      </c>
      <c r="D170" s="322" t="s">
        <v>115</v>
      </c>
      <c r="E170" s="323">
        <v>1526200607</v>
      </c>
      <c r="F170" s="323">
        <v>1475000000</v>
      </c>
      <c r="G170" s="314">
        <v>2.6806E-2</v>
      </c>
      <c r="H170" s="322">
        <v>3.72</v>
      </c>
      <c r="I170" s="322" t="s">
        <v>507</v>
      </c>
      <c r="J170" s="322">
        <v>1197</v>
      </c>
      <c r="K170" s="322">
        <v>3.06</v>
      </c>
      <c r="L170" s="322">
        <v>102.48</v>
      </c>
      <c r="M170" s="322" t="s">
        <v>9</v>
      </c>
      <c r="N170" s="322" t="s">
        <v>458</v>
      </c>
      <c r="O170" s="322" t="s">
        <v>378</v>
      </c>
      <c r="P170" s="322" t="s">
        <v>379</v>
      </c>
      <c r="Q170" s="322" t="s">
        <v>2139</v>
      </c>
      <c r="R170" s="322" t="s">
        <v>885</v>
      </c>
      <c r="S170" s="303">
        <f t="shared" si="3"/>
        <v>4670173857.4200001</v>
      </c>
      <c r="T170" s="307">
        <f>+IFERROR(VLOOKUP(C170,'Tasas Diarias'!$B:$F,5,FALSE)*G170,0)</f>
        <v>-8.3577816906427889E-6</v>
      </c>
      <c r="U170" s="311" t="str">
        <f>+VLOOKUP(C170,Spreads!$A$2:$G$345,7,0)</f>
        <v/>
      </c>
    </row>
    <row r="171" spans="1:21" ht="15" hidden="1" customHeight="1" thickTop="1" thickBot="1">
      <c r="A171" s="317" t="s">
        <v>2137</v>
      </c>
      <c r="B171" s="318" t="s">
        <v>234</v>
      </c>
      <c r="C171" s="318" t="s">
        <v>630</v>
      </c>
      <c r="D171" s="318" t="s">
        <v>631</v>
      </c>
      <c r="E171" s="319">
        <v>287859870</v>
      </c>
      <c r="F171" s="319">
        <v>280000000</v>
      </c>
      <c r="G171" s="314">
        <v>5.0559999999999997E-3</v>
      </c>
      <c r="H171" s="320">
        <v>5.48</v>
      </c>
      <c r="I171" s="318" t="s">
        <v>632</v>
      </c>
      <c r="J171" s="318">
        <v>1562</v>
      </c>
      <c r="K171" s="318">
        <v>3.07</v>
      </c>
      <c r="L171" s="318">
        <v>101.52</v>
      </c>
      <c r="M171" s="318" t="s">
        <v>9</v>
      </c>
      <c r="N171" s="318" t="s">
        <v>368</v>
      </c>
      <c r="O171" s="318" t="s">
        <v>8</v>
      </c>
      <c r="P171" s="318" t="s">
        <v>7</v>
      </c>
      <c r="Q171" s="318" t="s">
        <v>633</v>
      </c>
      <c r="R171" s="318" t="s">
        <v>634</v>
      </c>
      <c r="S171" s="303">
        <f t="shared" si="3"/>
        <v>883729800.89999998</v>
      </c>
      <c r="T171" s="307">
        <f>+IFERROR(VLOOKUP(C171,'Tasas Diarias'!$B:$F,5,FALSE)*G171,0)</f>
        <v>-1.5814167209809075E-6</v>
      </c>
      <c r="U171" s="311" t="str">
        <f ca="1">+VLOOKUP(C171,Spreads!$A$2:$G$345,7,0)</f>
        <v/>
      </c>
    </row>
    <row r="172" spans="1:21" ht="15" hidden="1" customHeight="1" thickTop="1" thickBot="1">
      <c r="A172" s="317" t="s">
        <v>2137</v>
      </c>
      <c r="B172" s="318" t="s">
        <v>234</v>
      </c>
      <c r="C172" s="318" t="s">
        <v>1003</v>
      </c>
      <c r="D172" s="318" t="s">
        <v>1004</v>
      </c>
      <c r="E172" s="319">
        <v>184611074</v>
      </c>
      <c r="F172" s="319">
        <v>11000</v>
      </c>
      <c r="G172" s="314">
        <v>3.2420000000000001E-3</v>
      </c>
      <c r="H172" s="320">
        <v>1.92</v>
      </c>
      <c r="I172" s="318" t="s">
        <v>1005</v>
      </c>
      <c r="J172" s="318">
        <v>2186</v>
      </c>
      <c r="K172" s="318">
        <v>3.09</v>
      </c>
      <c r="L172" s="318">
        <v>104.83</v>
      </c>
      <c r="M172" s="318" t="s">
        <v>6</v>
      </c>
      <c r="N172" s="318" t="s">
        <v>368</v>
      </c>
      <c r="O172" s="318" t="s">
        <v>1347</v>
      </c>
      <c r="P172" s="318" t="s">
        <v>7</v>
      </c>
      <c r="Q172" s="318" t="s">
        <v>1006</v>
      </c>
      <c r="R172" s="318" t="s">
        <v>1007</v>
      </c>
      <c r="S172" s="303">
        <f t="shared" si="3"/>
        <v>570448218.65999997</v>
      </c>
      <c r="T172" s="307">
        <f>+IFERROR(VLOOKUP(C172,'Tasas Diarias'!$B:$F,5,FALSE)*G172,0)</f>
        <v>9.280114451348259E-7</v>
      </c>
      <c r="U172" s="311" t="str">
        <f ca="1">+VLOOKUP(C172,Spreads!$A$2:$G$345,7,0)</f>
        <v/>
      </c>
    </row>
    <row r="173" spans="1:21" ht="15" hidden="1" customHeight="1" thickTop="1" thickBot="1">
      <c r="A173" s="317" t="s">
        <v>2137</v>
      </c>
      <c r="B173" s="318" t="s">
        <v>234</v>
      </c>
      <c r="C173" s="318" t="s">
        <v>159</v>
      </c>
      <c r="D173" s="318" t="s">
        <v>116</v>
      </c>
      <c r="E173" s="319">
        <v>2702914439</v>
      </c>
      <c r="F173" s="319">
        <v>100000</v>
      </c>
      <c r="G173" s="314">
        <v>4.7474000000000002E-2</v>
      </c>
      <c r="H173" s="320">
        <v>1.19</v>
      </c>
      <c r="I173" s="318" t="s">
        <v>507</v>
      </c>
      <c r="J173" s="318">
        <v>1197</v>
      </c>
      <c r="K173" s="318">
        <v>3.2</v>
      </c>
      <c r="L173" s="318">
        <v>101</v>
      </c>
      <c r="M173" s="318" t="s">
        <v>6</v>
      </c>
      <c r="N173" s="318" t="s">
        <v>458</v>
      </c>
      <c r="O173" s="318" t="s">
        <v>378</v>
      </c>
      <c r="P173" s="318" t="s">
        <v>379</v>
      </c>
      <c r="Q173" s="318" t="s">
        <v>2139</v>
      </c>
      <c r="R173" s="318" t="s">
        <v>508</v>
      </c>
      <c r="S173" s="303">
        <f t="shared" si="3"/>
        <v>8649326204.8000011</v>
      </c>
      <c r="T173" s="307">
        <f>+IFERROR(VLOOKUP(C173,'Tasas Diarias'!$B:$F,5,FALSE)*G173,0)</f>
        <v>0</v>
      </c>
      <c r="U173" s="311" t="str">
        <f>+VLOOKUP(C173,Spreads!$A$2:$G$345,7,0)</f>
        <v/>
      </c>
    </row>
    <row r="174" spans="1:21" ht="15" hidden="1" customHeight="1" thickTop="1" thickBot="1">
      <c r="A174" s="317" t="s">
        <v>2137</v>
      </c>
      <c r="B174" s="318" t="s">
        <v>234</v>
      </c>
      <c r="C174" s="318" t="s">
        <v>850</v>
      </c>
      <c r="D174" s="318" t="s">
        <v>851</v>
      </c>
      <c r="E174" s="319">
        <v>148957896</v>
      </c>
      <c r="F174" s="319">
        <v>5000</v>
      </c>
      <c r="G174" s="314">
        <v>2.6159999999999998E-3</v>
      </c>
      <c r="H174" s="318">
        <v>3.42</v>
      </c>
      <c r="I174" s="318" t="s">
        <v>644</v>
      </c>
      <c r="J174" s="318">
        <v>1319</v>
      </c>
      <c r="K174" s="318">
        <v>3.24</v>
      </c>
      <c r="L174" s="318">
        <v>109.1</v>
      </c>
      <c r="M174" s="318" t="s">
        <v>6</v>
      </c>
      <c r="N174" s="318" t="s">
        <v>368</v>
      </c>
      <c r="O174" s="318" t="s">
        <v>421</v>
      </c>
      <c r="P174" s="318" t="s">
        <v>417</v>
      </c>
      <c r="Q174" s="318" t="s">
        <v>851</v>
      </c>
      <c r="R174" s="318" t="s">
        <v>852</v>
      </c>
      <c r="S174" s="303">
        <f t="shared" si="3"/>
        <v>482623583.04000002</v>
      </c>
      <c r="T174" s="307">
        <f>+IFERROR(VLOOKUP(C174,'Tasas Diarias'!$B:$F,5,FALSE)*G174,0)</f>
        <v>0</v>
      </c>
      <c r="U174" s="311" t="str">
        <f ca="1">+VLOOKUP(C174,Spreads!$A$2:$G$345,7,0)</f>
        <v/>
      </c>
    </row>
    <row r="175" spans="1:21" ht="15" hidden="1" customHeight="1" thickTop="1" thickBot="1">
      <c r="A175" s="317" t="s">
        <v>2137</v>
      </c>
      <c r="B175" s="318" t="s">
        <v>234</v>
      </c>
      <c r="C175" s="318" t="s">
        <v>627</v>
      </c>
      <c r="D175" s="318" t="s">
        <v>294</v>
      </c>
      <c r="E175" s="319">
        <v>388738884</v>
      </c>
      <c r="F175" s="319">
        <v>25000</v>
      </c>
      <c r="G175" s="314">
        <v>6.8269999999999997E-3</v>
      </c>
      <c r="H175" s="320">
        <v>2.13</v>
      </c>
      <c r="I175" s="318" t="s">
        <v>628</v>
      </c>
      <c r="J175" s="318">
        <v>2415</v>
      </c>
      <c r="K175" s="318">
        <v>3.28</v>
      </c>
      <c r="L175" s="318">
        <v>114.3</v>
      </c>
      <c r="M175" s="318" t="s">
        <v>6</v>
      </c>
      <c r="N175" s="318" t="s">
        <v>368</v>
      </c>
      <c r="O175" s="318" t="s">
        <v>8</v>
      </c>
      <c r="P175" s="318" t="s">
        <v>7</v>
      </c>
      <c r="Q175" s="318" t="s">
        <v>74</v>
      </c>
      <c r="R175" s="318" t="s">
        <v>407</v>
      </c>
      <c r="S175" s="303">
        <f t="shared" si="3"/>
        <v>1275063539.52</v>
      </c>
      <c r="T175" s="307">
        <f>+IFERROR(VLOOKUP(C175,'Tasas Diarias'!$B:$F,5,FALSE)*G175,0)</f>
        <v>4.5484902464915113E-6</v>
      </c>
      <c r="U175" s="311" t="str">
        <f ca="1">+VLOOKUP(C175,Spreads!$A$2:$G$345,7,0)</f>
        <v/>
      </c>
    </row>
    <row r="176" spans="1:21" ht="15" hidden="1" customHeight="1" thickTop="1" thickBot="1">
      <c r="A176" s="321" t="s">
        <v>2137</v>
      </c>
      <c r="B176" s="322" t="s">
        <v>234</v>
      </c>
      <c r="C176" s="322" t="s">
        <v>641</v>
      </c>
      <c r="D176" s="322" t="s">
        <v>182</v>
      </c>
      <c r="E176" s="323">
        <v>564046950</v>
      </c>
      <c r="F176" s="323">
        <v>20000</v>
      </c>
      <c r="G176" s="314">
        <v>9.9069999999999991E-3</v>
      </c>
      <c r="H176" s="324">
        <v>1.7</v>
      </c>
      <c r="I176" s="322" t="s">
        <v>642</v>
      </c>
      <c r="J176" s="322">
        <v>1297</v>
      </c>
      <c r="K176" s="322">
        <v>3.36</v>
      </c>
      <c r="L176" s="322">
        <v>104.35</v>
      </c>
      <c r="M176" s="322" t="s">
        <v>6</v>
      </c>
      <c r="N176" s="322" t="s">
        <v>368</v>
      </c>
      <c r="O176" s="322" t="s">
        <v>8</v>
      </c>
      <c r="P176" s="322" t="s">
        <v>7</v>
      </c>
      <c r="Q176" s="322" t="s">
        <v>390</v>
      </c>
      <c r="R176" s="322" t="s">
        <v>402</v>
      </c>
      <c r="S176" s="303">
        <f t="shared" si="3"/>
        <v>1895197752</v>
      </c>
      <c r="T176" s="307">
        <f>+IFERROR(VLOOKUP(C176,'Tasas Diarias'!$B:$F,5,FALSE)*G176,0)</f>
        <v>2.7071470165182624E-5</v>
      </c>
      <c r="U176" s="311" t="str">
        <f ca="1">+VLOOKUP(C176,Spreads!$A$2:$G$345,7,0)</f>
        <v/>
      </c>
    </row>
    <row r="177" spans="1:21" ht="15" hidden="1" customHeight="1" thickTop="1" thickBot="1">
      <c r="A177" s="317" t="s">
        <v>2137</v>
      </c>
      <c r="B177" s="318" t="s">
        <v>234</v>
      </c>
      <c r="C177" s="318" t="s">
        <v>1028</v>
      </c>
      <c r="D177" s="318" t="s">
        <v>37</v>
      </c>
      <c r="E177" s="319">
        <v>204854152</v>
      </c>
      <c r="F177" s="319">
        <v>200000000</v>
      </c>
      <c r="G177" s="314">
        <v>3.5980000000000001E-3</v>
      </c>
      <c r="H177" s="318">
        <v>4.5</v>
      </c>
      <c r="I177" s="318" t="s">
        <v>1029</v>
      </c>
      <c r="J177" s="318">
        <v>1607</v>
      </c>
      <c r="K177" s="318">
        <v>3.37</v>
      </c>
      <c r="L177" s="318">
        <v>101.94</v>
      </c>
      <c r="M177" s="318" t="s">
        <v>9</v>
      </c>
      <c r="N177" s="318" t="s">
        <v>368</v>
      </c>
      <c r="O177" s="318" t="s">
        <v>429</v>
      </c>
      <c r="P177" s="318" t="s">
        <v>7</v>
      </c>
      <c r="Q177" s="318" t="s">
        <v>329</v>
      </c>
      <c r="R177" s="318" t="s">
        <v>1032</v>
      </c>
      <c r="S177" s="303">
        <f t="shared" si="3"/>
        <v>690358492.24000001</v>
      </c>
      <c r="T177" s="307">
        <f>+IFERROR(VLOOKUP(C177,'Tasas Diarias'!$B:$F,5,FALSE)*G177,0)</f>
        <v>0</v>
      </c>
      <c r="U177" s="311" t="str">
        <f ca="1">+VLOOKUP(C177,Spreads!$A$2:$G$345,7,0)</f>
        <v/>
      </c>
    </row>
    <row r="178" spans="1:21" ht="15" hidden="1" customHeight="1" thickTop="1" thickBot="1">
      <c r="A178" s="317" t="s">
        <v>2137</v>
      </c>
      <c r="B178" s="318" t="s">
        <v>234</v>
      </c>
      <c r="C178" s="318" t="s">
        <v>1417</v>
      </c>
      <c r="D178" s="318" t="s">
        <v>173</v>
      </c>
      <c r="E178" s="319">
        <v>283862239</v>
      </c>
      <c r="F178" s="319">
        <v>20000</v>
      </c>
      <c r="G178" s="314">
        <v>4.9849999999999998E-3</v>
      </c>
      <c r="H178" s="320">
        <v>1.87</v>
      </c>
      <c r="I178" s="318" t="s">
        <v>1418</v>
      </c>
      <c r="J178" s="318">
        <v>2354</v>
      </c>
      <c r="K178" s="318">
        <v>3.38</v>
      </c>
      <c r="L178" s="318">
        <v>115.83</v>
      </c>
      <c r="M178" s="318" t="s">
        <v>6</v>
      </c>
      <c r="N178" s="318" t="s">
        <v>368</v>
      </c>
      <c r="O178" s="318" t="s">
        <v>8</v>
      </c>
      <c r="P178" s="318" t="s">
        <v>392</v>
      </c>
      <c r="Q178" s="318" t="s">
        <v>55</v>
      </c>
      <c r="R178" s="318" t="s">
        <v>724</v>
      </c>
      <c r="S178" s="303">
        <f t="shared" si="3"/>
        <v>959454367.81999993</v>
      </c>
      <c r="T178" s="307">
        <f>+IFERROR(VLOOKUP(C178,'Tasas Diarias'!$B:$F,5,FALSE)*G178,0)</f>
        <v>1.5814784328399476E-6</v>
      </c>
      <c r="U178" s="311" t="e">
        <f>+VLOOKUP(C178,Spreads!$A$2:$G$345,7,0)</f>
        <v>#N/A</v>
      </c>
    </row>
    <row r="179" spans="1:21" ht="15" hidden="1" customHeight="1" thickTop="1" thickBot="1">
      <c r="A179" s="317" t="s">
        <v>2137</v>
      </c>
      <c r="B179" s="318" t="s">
        <v>234</v>
      </c>
      <c r="C179" s="318" t="s">
        <v>1836</v>
      </c>
      <c r="D179" s="318" t="s">
        <v>178</v>
      </c>
      <c r="E179" s="319">
        <v>609793540</v>
      </c>
      <c r="F179" s="319">
        <v>22000</v>
      </c>
      <c r="G179" s="314">
        <v>1.0710000000000001E-2</v>
      </c>
      <c r="H179" s="320">
        <v>2.4500000000000002</v>
      </c>
      <c r="I179" s="318" t="s">
        <v>1837</v>
      </c>
      <c r="J179" s="318">
        <v>1323</v>
      </c>
      <c r="K179" s="318">
        <v>3.41</v>
      </c>
      <c r="L179" s="318">
        <v>102.68</v>
      </c>
      <c r="M179" s="318" t="s">
        <v>6</v>
      </c>
      <c r="N179" s="318" t="s">
        <v>368</v>
      </c>
      <c r="O179" s="318" t="s">
        <v>8</v>
      </c>
      <c r="P179" s="318" t="s">
        <v>417</v>
      </c>
      <c r="Q179" s="318" t="s">
        <v>68</v>
      </c>
      <c r="R179" s="318" t="s">
        <v>812</v>
      </c>
      <c r="S179" s="303">
        <f t="shared" si="3"/>
        <v>2079395971.4000001</v>
      </c>
      <c r="T179" s="307">
        <f>+IFERROR(VLOOKUP(C179,'Tasas Diarias'!$B:$F,5,FALSE)*G179,0)</f>
        <v>0</v>
      </c>
      <c r="U179" s="311" t="e">
        <f>+VLOOKUP(C179,Spreads!$A$2:$G$345,7,0)</f>
        <v>#N/A</v>
      </c>
    </row>
    <row r="180" spans="1:21" ht="15" hidden="1" customHeight="1" thickTop="1" thickBot="1">
      <c r="A180" s="321" t="s">
        <v>2137</v>
      </c>
      <c r="B180" s="322" t="s">
        <v>234</v>
      </c>
      <c r="C180" s="322" t="s">
        <v>1019</v>
      </c>
      <c r="D180" s="322" t="s">
        <v>851</v>
      </c>
      <c r="E180" s="323">
        <v>595948613</v>
      </c>
      <c r="F180" s="323">
        <v>20000</v>
      </c>
      <c r="G180" s="314">
        <v>1.0467000000000001E-2</v>
      </c>
      <c r="H180" s="324">
        <v>3.24</v>
      </c>
      <c r="I180" s="322" t="s">
        <v>656</v>
      </c>
      <c r="J180" s="322">
        <v>1381</v>
      </c>
      <c r="K180" s="322">
        <v>3.41</v>
      </c>
      <c r="L180" s="322">
        <v>110.25</v>
      </c>
      <c r="M180" s="322" t="s">
        <v>6</v>
      </c>
      <c r="N180" s="322" t="s">
        <v>368</v>
      </c>
      <c r="O180" s="322" t="s">
        <v>421</v>
      </c>
      <c r="P180" s="322" t="s">
        <v>417</v>
      </c>
      <c r="Q180" s="322" t="s">
        <v>851</v>
      </c>
      <c r="R180" s="322" t="s">
        <v>852</v>
      </c>
      <c r="S180" s="303">
        <f t="shared" si="3"/>
        <v>2032184770.3300002</v>
      </c>
      <c r="T180" s="307">
        <f>+IFERROR(VLOOKUP(C180,'Tasas Diarias'!$B:$F,5,FALSE)*G180,0)</f>
        <v>-3.6301089852755013E-6</v>
      </c>
      <c r="U180" s="311" t="str">
        <f ca="1">+VLOOKUP(C180,Spreads!$A$2:$G$345,7,0)</f>
        <v/>
      </c>
    </row>
    <row r="181" spans="1:21" ht="15" hidden="1" customHeight="1" thickTop="1" thickBot="1">
      <c r="A181" s="338" t="s">
        <v>2137</v>
      </c>
      <c r="B181" s="318" t="s">
        <v>234</v>
      </c>
      <c r="C181" s="318" t="s">
        <v>1533</v>
      </c>
      <c r="D181" s="318" t="s">
        <v>11</v>
      </c>
      <c r="E181" s="319">
        <v>310529248</v>
      </c>
      <c r="F181" s="319">
        <v>300000000</v>
      </c>
      <c r="G181" s="314">
        <v>5.4539999999999996E-3</v>
      </c>
      <c r="H181" s="320">
        <v>4.34</v>
      </c>
      <c r="I181" s="318" t="s">
        <v>656</v>
      </c>
      <c r="J181" s="318">
        <v>1381</v>
      </c>
      <c r="K181" s="318">
        <v>3.46</v>
      </c>
      <c r="L181" s="318">
        <v>102.41</v>
      </c>
      <c r="M181" s="318" t="s">
        <v>9</v>
      </c>
      <c r="N181" s="318" t="s">
        <v>368</v>
      </c>
      <c r="O181" s="318" t="s">
        <v>8</v>
      </c>
      <c r="P181" s="318" t="s">
        <v>7</v>
      </c>
      <c r="Q181" s="318" t="s">
        <v>326</v>
      </c>
      <c r="R181" s="318" t="s">
        <v>404</v>
      </c>
      <c r="S181" s="303">
        <f t="shared" si="3"/>
        <v>1074431198.0799999</v>
      </c>
      <c r="T181" s="307">
        <f>+IFERROR(VLOOKUP(C181,'Tasas Diarias'!$B:$F,5,FALSE)*G181,0)</f>
        <v>-3.8392899246950728E-6</v>
      </c>
      <c r="U181" s="311" t="e">
        <f>+VLOOKUP(C181,Spreads!$A$2:$G$345,7,0)</f>
        <v>#N/A</v>
      </c>
    </row>
    <row r="182" spans="1:21" ht="15" hidden="1" customHeight="1" thickTop="1" thickBot="1">
      <c r="A182" s="321" t="s">
        <v>2137</v>
      </c>
      <c r="B182" s="322" t="s">
        <v>234</v>
      </c>
      <c r="C182" s="322" t="s">
        <v>650</v>
      </c>
      <c r="D182" s="322" t="s">
        <v>651</v>
      </c>
      <c r="E182" s="323">
        <v>679702415</v>
      </c>
      <c r="F182" s="323">
        <v>25000</v>
      </c>
      <c r="G182" s="314">
        <v>1.1938000000000001E-2</v>
      </c>
      <c r="H182" s="322">
        <v>1.97</v>
      </c>
      <c r="I182" s="322" t="s">
        <v>652</v>
      </c>
      <c r="J182" s="322">
        <v>1333</v>
      </c>
      <c r="K182" s="322">
        <v>3.5</v>
      </c>
      <c r="L182" s="322">
        <v>101.13</v>
      </c>
      <c r="M182" s="322" t="s">
        <v>6</v>
      </c>
      <c r="N182" s="322" t="s">
        <v>368</v>
      </c>
      <c r="O182" s="322" t="s">
        <v>1349</v>
      </c>
      <c r="P182" s="322" t="s">
        <v>392</v>
      </c>
      <c r="Q182" s="322" t="s">
        <v>653</v>
      </c>
      <c r="R182" s="322" t="s">
        <v>654</v>
      </c>
      <c r="S182" s="303">
        <f t="shared" si="3"/>
        <v>2378958452.5</v>
      </c>
      <c r="T182" s="307">
        <f>+IFERROR(VLOOKUP(C182,'Tasas Diarias'!$B:$F,5,FALSE)*G182,0)</f>
        <v>0</v>
      </c>
      <c r="U182" s="311" t="e">
        <f>+VLOOKUP(C182,Spreads!$A$2:$G$345,7,0)</f>
        <v>#N/A</v>
      </c>
    </row>
    <row r="183" spans="1:21" ht="15" hidden="1" customHeight="1" thickTop="1" thickBot="1">
      <c r="A183" s="317" t="s">
        <v>2137</v>
      </c>
      <c r="B183" s="318" t="s">
        <v>234</v>
      </c>
      <c r="C183" s="318" t="s">
        <v>647</v>
      </c>
      <c r="D183" s="318" t="s">
        <v>620</v>
      </c>
      <c r="E183" s="319">
        <v>614429401</v>
      </c>
      <c r="F183" s="319">
        <v>600000000</v>
      </c>
      <c r="G183" s="314">
        <v>1.0791E-2</v>
      </c>
      <c r="H183" s="320">
        <v>4.45</v>
      </c>
      <c r="I183" s="318" t="s">
        <v>648</v>
      </c>
      <c r="J183" s="318">
        <v>1393</v>
      </c>
      <c r="K183" s="318">
        <v>3.5</v>
      </c>
      <c r="L183" s="318">
        <v>101.51</v>
      </c>
      <c r="M183" s="318" t="s">
        <v>9</v>
      </c>
      <c r="N183" s="318" t="s">
        <v>368</v>
      </c>
      <c r="O183" s="318" t="s">
        <v>560</v>
      </c>
      <c r="P183" s="318" t="s">
        <v>7</v>
      </c>
      <c r="Q183" s="318" t="s">
        <v>622</v>
      </c>
      <c r="R183" s="318" t="s">
        <v>623</v>
      </c>
      <c r="S183" s="303">
        <f t="shared" si="3"/>
        <v>2150502903.5</v>
      </c>
      <c r="T183" s="307">
        <f>+IFERROR(VLOOKUP(C183,'Tasas Diarias'!$B:$F,5,FALSE)*G183,0)</f>
        <v>-3.8416777571481559E-6</v>
      </c>
      <c r="U183" s="311" t="str">
        <f ca="1">+VLOOKUP(C183,Spreads!$A$2:$G$345,7,0)</f>
        <v/>
      </c>
    </row>
    <row r="184" spans="1:21" ht="15" hidden="1" customHeight="1" thickTop="1" thickBot="1">
      <c r="A184" s="321" t="s">
        <v>2137</v>
      </c>
      <c r="B184" s="322" t="s">
        <v>234</v>
      </c>
      <c r="C184" s="322" t="s">
        <v>1897</v>
      </c>
      <c r="D184" s="322" t="s">
        <v>24</v>
      </c>
      <c r="E184" s="323">
        <v>411476261</v>
      </c>
      <c r="F184" s="323">
        <v>15000</v>
      </c>
      <c r="G184" s="314">
        <v>7.2269999999999999E-3</v>
      </c>
      <c r="H184" s="324">
        <v>1.81</v>
      </c>
      <c r="I184" s="322" t="s">
        <v>510</v>
      </c>
      <c r="J184" s="322">
        <v>1350</v>
      </c>
      <c r="K184" s="322">
        <v>3.54</v>
      </c>
      <c r="L184" s="322">
        <v>102.11</v>
      </c>
      <c r="M184" s="322" t="s">
        <v>6</v>
      </c>
      <c r="N184" s="322" t="s">
        <v>368</v>
      </c>
      <c r="O184" s="322" t="s">
        <v>8</v>
      </c>
      <c r="P184" s="322" t="s">
        <v>392</v>
      </c>
      <c r="Q184" s="322" t="s">
        <v>51</v>
      </c>
      <c r="R184" s="322" t="s">
        <v>414</v>
      </c>
      <c r="S184" s="303">
        <f t="shared" si="3"/>
        <v>1456625963.9400001</v>
      </c>
      <c r="T184" s="307">
        <f>+IFERROR(VLOOKUP(C184,'Tasas Diarias'!$B:$F,5,FALSE)*G184,0)</f>
        <v>-2.5985440524136362E-6</v>
      </c>
      <c r="U184" s="311" t="e">
        <f>+VLOOKUP(C184,Spreads!$A$2:$G$345,7,0)</f>
        <v>#N/A</v>
      </c>
    </row>
    <row r="185" spans="1:21" ht="15" hidden="1" customHeight="1" thickTop="1" thickBot="1">
      <c r="A185" s="317" t="s">
        <v>2137</v>
      </c>
      <c r="B185" s="318" t="s">
        <v>234</v>
      </c>
      <c r="C185" s="318" t="s">
        <v>655</v>
      </c>
      <c r="D185" s="318" t="s">
        <v>176</v>
      </c>
      <c r="E185" s="319">
        <v>142406744</v>
      </c>
      <c r="F185" s="319">
        <v>5000</v>
      </c>
      <c r="G185" s="314">
        <v>2.5010000000000002E-3</v>
      </c>
      <c r="H185" s="320">
        <v>1.82</v>
      </c>
      <c r="I185" s="318" t="s">
        <v>656</v>
      </c>
      <c r="J185" s="318">
        <v>1381</v>
      </c>
      <c r="K185" s="318">
        <v>3.56</v>
      </c>
      <c r="L185" s="318">
        <v>105.99</v>
      </c>
      <c r="M185" s="318" t="s">
        <v>6</v>
      </c>
      <c r="N185" s="318" t="s">
        <v>368</v>
      </c>
      <c r="O185" s="318" t="s">
        <v>8</v>
      </c>
      <c r="P185" s="318" t="s">
        <v>7</v>
      </c>
      <c r="Q185" s="318" t="s">
        <v>326</v>
      </c>
      <c r="R185" s="318" t="s">
        <v>450</v>
      </c>
      <c r="S185" s="303">
        <f t="shared" si="3"/>
        <v>506968008.63999999</v>
      </c>
      <c r="T185" s="307">
        <f>+IFERROR(VLOOKUP(C185,'Tasas Diarias'!$B:$F,5,FALSE)*G185,0)</f>
        <v>2.7139174185032081E-6</v>
      </c>
      <c r="U185" s="311" t="str">
        <f ca="1">+VLOOKUP(C185,Spreads!$A$2:$G$345,7,0)</f>
        <v/>
      </c>
    </row>
    <row r="186" spans="1:21" ht="15" hidden="1" customHeight="1" thickTop="1" thickBot="1">
      <c r="A186" s="317" t="s">
        <v>2137</v>
      </c>
      <c r="B186" s="318" t="s">
        <v>234</v>
      </c>
      <c r="C186" s="318" t="s">
        <v>1500</v>
      </c>
      <c r="D186" s="318" t="s">
        <v>38</v>
      </c>
      <c r="E186" s="319">
        <v>510628586</v>
      </c>
      <c r="F186" s="319">
        <v>500000000</v>
      </c>
      <c r="G186" s="314">
        <v>8.9680000000000003E-3</v>
      </c>
      <c r="H186" s="318">
        <v>4.62</v>
      </c>
      <c r="I186" s="318" t="s">
        <v>1228</v>
      </c>
      <c r="J186" s="318">
        <v>1425</v>
      </c>
      <c r="K186" s="318">
        <v>3.58</v>
      </c>
      <c r="L186" s="318">
        <v>101.64</v>
      </c>
      <c r="M186" s="318" t="s">
        <v>9</v>
      </c>
      <c r="N186" s="318" t="s">
        <v>368</v>
      </c>
      <c r="O186" s="318" t="s">
        <v>8</v>
      </c>
      <c r="P186" s="318" t="s">
        <v>7</v>
      </c>
      <c r="Q186" s="318" t="s">
        <v>76</v>
      </c>
      <c r="R186" s="318" t="s">
        <v>498</v>
      </c>
      <c r="S186" s="303">
        <f t="shared" si="3"/>
        <v>1828050337.8800001</v>
      </c>
      <c r="T186" s="307">
        <f>+IFERROR(VLOOKUP(C186,'Tasas Diarias'!$B:$F,5,FALSE)*G186,0)</f>
        <v>-3.2619746269046027E-6</v>
      </c>
      <c r="U186" s="311" t="e">
        <f>+VLOOKUP(C186,Spreads!$A$2:$G$345,7,0)</f>
        <v>#N/A</v>
      </c>
    </row>
    <row r="187" spans="1:21" ht="15" hidden="1" customHeight="1" thickTop="1" thickBot="1">
      <c r="A187" s="317" t="s">
        <v>2137</v>
      </c>
      <c r="B187" s="318" t="s">
        <v>234</v>
      </c>
      <c r="C187" s="318" t="s">
        <v>1534</v>
      </c>
      <c r="D187" s="318" t="s">
        <v>37</v>
      </c>
      <c r="E187" s="319">
        <v>524259135</v>
      </c>
      <c r="F187" s="319">
        <v>500000000</v>
      </c>
      <c r="G187" s="314">
        <v>9.2079999999999992E-3</v>
      </c>
      <c r="H187" s="320">
        <v>4.42</v>
      </c>
      <c r="I187" s="318" t="s">
        <v>1535</v>
      </c>
      <c r="J187" s="318">
        <v>1466</v>
      </c>
      <c r="K187" s="318">
        <v>3.6</v>
      </c>
      <c r="L187" s="318">
        <v>102.33</v>
      </c>
      <c r="M187" s="318" t="s">
        <v>9</v>
      </c>
      <c r="N187" s="318" t="s">
        <v>368</v>
      </c>
      <c r="O187" s="318" t="s">
        <v>429</v>
      </c>
      <c r="P187" s="318" t="s">
        <v>7</v>
      </c>
      <c r="Q187" s="318" t="s">
        <v>329</v>
      </c>
      <c r="R187" s="318" t="s">
        <v>1032</v>
      </c>
      <c r="S187" s="303">
        <f t="shared" si="3"/>
        <v>1887332886</v>
      </c>
      <c r="T187" s="307">
        <f>+IFERROR(VLOOKUP(C187,'Tasas Diarias'!$B:$F,5,FALSE)*G187,0)</f>
        <v>-6.74418535030924E-6</v>
      </c>
      <c r="U187" s="311" t="e">
        <f>+VLOOKUP(C187,Spreads!$A$2:$G$345,7,0)</f>
        <v>#N/A</v>
      </c>
    </row>
    <row r="188" spans="1:21" ht="15" hidden="1" customHeight="1" thickTop="1" thickBot="1">
      <c r="A188" s="321" t="s">
        <v>2137</v>
      </c>
      <c r="B188" s="322" t="s">
        <v>234</v>
      </c>
      <c r="C188" s="322" t="s">
        <v>1942</v>
      </c>
      <c r="D188" s="322" t="s">
        <v>175</v>
      </c>
      <c r="E188" s="323">
        <v>299226266</v>
      </c>
      <c r="F188" s="323">
        <v>300000000</v>
      </c>
      <c r="G188" s="314">
        <v>5.2550000000000001E-3</v>
      </c>
      <c r="H188" s="324">
        <v>5.07</v>
      </c>
      <c r="I188" s="322" t="s">
        <v>1946</v>
      </c>
      <c r="J188" s="322">
        <v>1770</v>
      </c>
      <c r="K188" s="322">
        <v>3.74</v>
      </c>
      <c r="L188" s="322">
        <v>99.04</v>
      </c>
      <c r="M188" s="322" t="s">
        <v>9</v>
      </c>
      <c r="N188" s="322" t="s">
        <v>368</v>
      </c>
      <c r="O188" s="322" t="s">
        <v>8</v>
      </c>
      <c r="P188" s="322" t="s">
        <v>392</v>
      </c>
      <c r="Q188" s="322" t="s">
        <v>66</v>
      </c>
      <c r="R188" s="322" t="s">
        <v>418</v>
      </c>
      <c r="S188" s="303">
        <f t="shared" si="3"/>
        <v>1119106234.8400002</v>
      </c>
      <c r="T188" s="307">
        <f>+IFERROR(VLOOKUP(C188,'Tasas Diarias'!$B:$F,5,FALSE)*G188,0)</f>
        <v>-1.9935116235314852E-6</v>
      </c>
      <c r="U188" s="311" t="e">
        <f>+VLOOKUP(C188,Spreads!$A$2:$G$345,7,0)</f>
        <v>#N/A</v>
      </c>
    </row>
    <row r="189" spans="1:21" ht="15" hidden="1" customHeight="1" thickTop="1" thickBot="1">
      <c r="A189" s="317" t="s">
        <v>2137</v>
      </c>
      <c r="B189" s="318" t="s">
        <v>234</v>
      </c>
      <c r="C189" s="318" t="s">
        <v>638</v>
      </c>
      <c r="D189" s="318" t="s">
        <v>285</v>
      </c>
      <c r="E189" s="319">
        <v>292326272</v>
      </c>
      <c r="F189" s="319">
        <v>10000</v>
      </c>
      <c r="G189" s="314">
        <v>5.1339999999999997E-3</v>
      </c>
      <c r="H189" s="320">
        <v>1.89</v>
      </c>
      <c r="I189" s="318" t="s">
        <v>639</v>
      </c>
      <c r="J189" s="318">
        <v>2597</v>
      </c>
      <c r="K189" s="318">
        <v>3.75</v>
      </c>
      <c r="L189" s="318">
        <v>114.48</v>
      </c>
      <c r="M189" s="318" t="s">
        <v>6</v>
      </c>
      <c r="N189" s="318" t="s">
        <v>368</v>
      </c>
      <c r="O189" s="318" t="s">
        <v>1898</v>
      </c>
      <c r="P189" s="318" t="s">
        <v>379</v>
      </c>
      <c r="Q189" s="318" t="s">
        <v>1918</v>
      </c>
      <c r="R189" s="318" t="s">
        <v>640</v>
      </c>
      <c r="S189" s="303">
        <f t="shared" si="3"/>
        <v>1096223520</v>
      </c>
      <c r="T189" s="307">
        <f>+IFERROR(VLOOKUP(C189,'Tasas Diarias'!$B:$F,5,FALSE)*G189,0)</f>
        <v>0</v>
      </c>
      <c r="U189" s="311" t="str">
        <f ca="1">+VLOOKUP(C189,Spreads!$A$2:$G$345,7,0)</f>
        <v/>
      </c>
    </row>
    <row r="190" spans="1:21" ht="15" hidden="1" customHeight="1" thickTop="1" thickBot="1">
      <c r="A190" s="317" t="s">
        <v>2137</v>
      </c>
      <c r="B190" s="318" t="s">
        <v>234</v>
      </c>
      <c r="C190" s="318" t="s">
        <v>1950</v>
      </c>
      <c r="D190" s="318" t="s">
        <v>24</v>
      </c>
      <c r="E190" s="319">
        <v>1047869914</v>
      </c>
      <c r="F190" s="319">
        <v>1000000000</v>
      </c>
      <c r="G190" s="314">
        <v>1.8405000000000001E-2</v>
      </c>
      <c r="H190" s="320">
        <v>4.5</v>
      </c>
      <c r="I190" s="318" t="s">
        <v>871</v>
      </c>
      <c r="J190" s="318">
        <v>1534</v>
      </c>
      <c r="K190" s="318">
        <v>3.77</v>
      </c>
      <c r="L190" s="318">
        <v>103.14</v>
      </c>
      <c r="M190" s="318" t="s">
        <v>9</v>
      </c>
      <c r="N190" s="318" t="s">
        <v>368</v>
      </c>
      <c r="O190" s="318" t="s">
        <v>8</v>
      </c>
      <c r="P190" s="318" t="s">
        <v>392</v>
      </c>
      <c r="Q190" s="318" t="s">
        <v>51</v>
      </c>
      <c r="R190" s="318" t="s">
        <v>414</v>
      </c>
      <c r="S190" s="303">
        <f t="shared" si="3"/>
        <v>3950469575.7800002</v>
      </c>
      <c r="T190" s="307">
        <f>+IFERROR(VLOOKUP(C190,'Tasas Diarias'!$B:$F,5,FALSE)*G190,0)</f>
        <v>-1.4099115108781309E-5</v>
      </c>
      <c r="U190" s="311" t="e">
        <f>+VLOOKUP(C190,Spreads!$A$2:$G$345,7,0)</f>
        <v>#N/A</v>
      </c>
    </row>
    <row r="191" spans="1:21" ht="15" hidden="1" customHeight="1" thickTop="1" thickBot="1">
      <c r="A191" s="321" t="s">
        <v>2137</v>
      </c>
      <c r="B191" s="322" t="s">
        <v>234</v>
      </c>
      <c r="C191" s="322" t="s">
        <v>1203</v>
      </c>
      <c r="D191" s="322" t="s">
        <v>292</v>
      </c>
      <c r="E191" s="323">
        <v>547318856</v>
      </c>
      <c r="F191" s="323">
        <v>20000</v>
      </c>
      <c r="G191" s="314">
        <v>9.613E-3</v>
      </c>
      <c r="H191" s="324">
        <v>2.14</v>
      </c>
      <c r="I191" s="322" t="s">
        <v>1219</v>
      </c>
      <c r="J191" s="322">
        <v>2202</v>
      </c>
      <c r="K191" s="322">
        <v>4.03</v>
      </c>
      <c r="L191" s="322">
        <v>101.42</v>
      </c>
      <c r="M191" s="322" t="s">
        <v>6</v>
      </c>
      <c r="N191" s="322" t="s">
        <v>368</v>
      </c>
      <c r="O191" s="322" t="s">
        <v>551</v>
      </c>
      <c r="P191" s="322" t="s">
        <v>392</v>
      </c>
      <c r="Q191" s="322" t="s">
        <v>327</v>
      </c>
      <c r="R191" s="322" t="s">
        <v>552</v>
      </c>
      <c r="S191" s="303">
        <f t="shared" si="3"/>
        <v>2205694989.6800003</v>
      </c>
      <c r="T191" s="307">
        <f>+IFERROR(VLOOKUP(C191,'Tasas Diarias'!$B:$F,5,FALSE)*G191,0)</f>
        <v>0</v>
      </c>
      <c r="U191" s="311" t="str">
        <f ca="1">+VLOOKUP(C191,Spreads!$A$2:$G$345,7,0)</f>
        <v/>
      </c>
    </row>
    <row r="192" spans="1:21" ht="15" hidden="1" customHeight="1" thickTop="1" thickBot="1">
      <c r="A192" s="321" t="s">
        <v>2137</v>
      </c>
      <c r="B192" s="322" t="s">
        <v>234</v>
      </c>
      <c r="C192" s="322" t="s">
        <v>1563</v>
      </c>
      <c r="D192" s="322" t="s">
        <v>1523</v>
      </c>
      <c r="E192" s="323">
        <v>711432207</v>
      </c>
      <c r="F192" s="323">
        <v>700000000</v>
      </c>
      <c r="G192" s="314">
        <v>1.2494999999999999E-2</v>
      </c>
      <c r="H192" s="324">
        <v>4.6100000000000003</v>
      </c>
      <c r="I192" s="322" t="s">
        <v>668</v>
      </c>
      <c r="J192" s="322">
        <v>1654</v>
      </c>
      <c r="K192" s="322">
        <v>4.07</v>
      </c>
      <c r="L192" s="322">
        <v>99.56</v>
      </c>
      <c r="M192" s="322" t="s">
        <v>9</v>
      </c>
      <c r="N192" s="322" t="s">
        <v>368</v>
      </c>
      <c r="O192" s="322" t="s">
        <v>8</v>
      </c>
      <c r="P192" s="322" t="s">
        <v>417</v>
      </c>
      <c r="Q192" s="322" t="s">
        <v>325</v>
      </c>
      <c r="R192" s="322" t="s">
        <v>1525</v>
      </c>
      <c r="S192" s="303">
        <f t="shared" si="3"/>
        <v>2895529082.4900002</v>
      </c>
      <c r="T192" s="307">
        <f>+IFERROR(VLOOKUP(C192,'Tasas Diarias'!$B:$F,5,FALSE)*G192,0)</f>
        <v>0</v>
      </c>
      <c r="U192" s="311" t="e">
        <f>+VLOOKUP(C192,Spreads!$A$2:$G$345,7,0)</f>
        <v>#N/A</v>
      </c>
    </row>
    <row r="193" spans="1:21" ht="15" hidden="1" customHeight="1" thickTop="1" thickBot="1">
      <c r="A193" s="321" t="s">
        <v>2137</v>
      </c>
      <c r="B193" s="322" t="s">
        <v>234</v>
      </c>
      <c r="C193" s="322" t="s">
        <v>661</v>
      </c>
      <c r="D193" s="322" t="s">
        <v>16</v>
      </c>
      <c r="E193" s="323">
        <v>461080071</v>
      </c>
      <c r="F193" s="323">
        <v>16000</v>
      </c>
      <c r="G193" s="314">
        <v>8.0979999999999993E-3</v>
      </c>
      <c r="H193" s="336">
        <v>1.7</v>
      </c>
      <c r="I193" s="322" t="s">
        <v>660</v>
      </c>
      <c r="J193" s="322">
        <v>1593</v>
      </c>
      <c r="K193" s="322">
        <v>4.08</v>
      </c>
      <c r="L193" s="322">
        <v>107.53</v>
      </c>
      <c r="M193" s="322" t="s">
        <v>6</v>
      </c>
      <c r="N193" s="322" t="s">
        <v>368</v>
      </c>
      <c r="O193" s="322" t="s">
        <v>8</v>
      </c>
      <c r="P193" s="322" t="s">
        <v>379</v>
      </c>
      <c r="Q193" s="322" t="s">
        <v>61</v>
      </c>
      <c r="R193" s="322" t="s">
        <v>394</v>
      </c>
      <c r="S193" s="303">
        <f t="shared" si="3"/>
        <v>1881206689.6800001</v>
      </c>
      <c r="T193" s="307">
        <f>+IFERROR(VLOOKUP(C193,'Tasas Diarias'!$B:$F,5,FALSE)*G193,0)</f>
        <v>6.6981042571342039E-6</v>
      </c>
      <c r="U193" s="311" t="str">
        <f ca="1">+VLOOKUP(C193,Spreads!$A$2:$G$345,7,0)</f>
        <v/>
      </c>
    </row>
    <row r="194" spans="1:21" ht="15" hidden="1" customHeight="1" thickTop="1" thickBot="1">
      <c r="A194" s="317" t="s">
        <v>2137</v>
      </c>
      <c r="B194" s="318" t="s">
        <v>234</v>
      </c>
      <c r="C194" s="318" t="s">
        <v>1392</v>
      </c>
      <c r="D194" s="318" t="s">
        <v>38</v>
      </c>
      <c r="E194" s="319">
        <v>241417897</v>
      </c>
      <c r="F194" s="319">
        <v>9000</v>
      </c>
      <c r="G194" s="314">
        <v>4.2399999999999998E-3</v>
      </c>
      <c r="H194" s="339">
        <v>1.86</v>
      </c>
      <c r="I194" s="318" t="s">
        <v>632</v>
      </c>
      <c r="J194" s="318">
        <v>1562</v>
      </c>
      <c r="K194" s="318">
        <v>4.1100000000000003</v>
      </c>
      <c r="L194" s="318">
        <v>100.16</v>
      </c>
      <c r="M194" s="318" t="s">
        <v>6</v>
      </c>
      <c r="N194" s="318" t="s">
        <v>368</v>
      </c>
      <c r="O194" s="318" t="s">
        <v>8</v>
      </c>
      <c r="P194" s="318" t="s">
        <v>7</v>
      </c>
      <c r="Q194" s="318" t="s">
        <v>76</v>
      </c>
      <c r="R194" s="318" t="s">
        <v>498</v>
      </c>
      <c r="S194" s="303">
        <f t="shared" si="3"/>
        <v>992227556.67000008</v>
      </c>
      <c r="T194" s="307">
        <f>+IFERROR(VLOOKUP(C194,'Tasas Diarias'!$B:$F,5,FALSE)*G194,0)</f>
        <v>1.061063918558554E-5</v>
      </c>
      <c r="U194" s="311" t="e">
        <f>+VLOOKUP(C194,Spreads!$A$2:$G$345,7,0)</f>
        <v>#N/A</v>
      </c>
    </row>
    <row r="195" spans="1:21" ht="15" hidden="1" customHeight="1" thickTop="1" thickBot="1">
      <c r="A195" s="327" t="s">
        <v>2137</v>
      </c>
      <c r="B195" s="328" t="s">
        <v>234</v>
      </c>
      <c r="C195" s="328" t="s">
        <v>1046</v>
      </c>
      <c r="D195" s="328" t="s">
        <v>288</v>
      </c>
      <c r="E195" s="328">
        <v>506720012</v>
      </c>
      <c r="F195" s="328">
        <v>500000000</v>
      </c>
      <c r="G195" s="332">
        <v>8.8999999999999999E-3</v>
      </c>
      <c r="H195" s="329">
        <v>4.62</v>
      </c>
      <c r="I195" s="328" t="s">
        <v>1047</v>
      </c>
      <c r="J195" s="328">
        <v>2125</v>
      </c>
      <c r="K195" s="328">
        <v>4.12</v>
      </c>
      <c r="L195" s="328">
        <v>100.51</v>
      </c>
      <c r="M195" s="328" t="s">
        <v>9</v>
      </c>
      <c r="N195" s="328" t="s">
        <v>368</v>
      </c>
      <c r="O195" s="328" t="s">
        <v>1348</v>
      </c>
      <c r="P195" s="328" t="s">
        <v>392</v>
      </c>
      <c r="Q195" s="328" t="s">
        <v>83</v>
      </c>
      <c r="R195" s="328" t="s">
        <v>1048</v>
      </c>
      <c r="S195" s="303">
        <f t="shared" ref="S195:S258" si="4">+IFERROR(E195*K195,0)</f>
        <v>2087686449.4400001</v>
      </c>
      <c r="T195" s="307">
        <f>+IFERROR(VLOOKUP(C195,'Tasas Diarias'!$B:$F,5,FALSE)*G195,0)</f>
        <v>-7.440410627562643E-6</v>
      </c>
      <c r="U195" s="311" t="str">
        <f ca="1">+VLOOKUP(C195,Spreads!$A$2:$G$345,7,0)</f>
        <v/>
      </c>
    </row>
    <row r="196" spans="1:21" ht="15" hidden="1" customHeight="1" thickTop="1" thickBot="1">
      <c r="A196" s="317" t="s">
        <v>2137</v>
      </c>
      <c r="B196" s="318" t="s">
        <v>234</v>
      </c>
      <c r="C196" s="318" t="s">
        <v>667</v>
      </c>
      <c r="D196" s="318" t="s">
        <v>176</v>
      </c>
      <c r="E196" s="319">
        <v>203229589</v>
      </c>
      <c r="F196" s="319">
        <v>7000</v>
      </c>
      <c r="G196" s="314">
        <v>3.5690000000000001E-3</v>
      </c>
      <c r="H196" s="320">
        <v>1.81</v>
      </c>
      <c r="I196" s="318" t="s">
        <v>668</v>
      </c>
      <c r="J196" s="318">
        <v>1654</v>
      </c>
      <c r="K196" s="318">
        <v>4.18</v>
      </c>
      <c r="L196" s="318">
        <v>107.1</v>
      </c>
      <c r="M196" s="318" t="s">
        <v>6</v>
      </c>
      <c r="N196" s="318" t="s">
        <v>368</v>
      </c>
      <c r="O196" s="318" t="s">
        <v>8</v>
      </c>
      <c r="P196" s="318" t="s">
        <v>7</v>
      </c>
      <c r="Q196" s="318" t="s">
        <v>326</v>
      </c>
      <c r="R196" s="318" t="s">
        <v>450</v>
      </c>
      <c r="S196" s="303">
        <f t="shared" si="4"/>
        <v>849499682.01999998</v>
      </c>
      <c r="T196" s="307">
        <f>+IFERROR(VLOOKUP(C196,'Tasas Diarias'!$B:$F,5,FALSE)*G196,0)</f>
        <v>0</v>
      </c>
      <c r="U196" s="311" t="str">
        <f ca="1">+VLOOKUP(C196,Spreads!$A$2:$G$345,7,0)</f>
        <v/>
      </c>
    </row>
    <row r="197" spans="1:21" ht="15" hidden="1" customHeight="1" thickTop="1" thickBot="1">
      <c r="A197" s="321" t="s">
        <v>2137</v>
      </c>
      <c r="B197" s="322" t="s">
        <v>234</v>
      </c>
      <c r="C197" s="322" t="s">
        <v>1140</v>
      </c>
      <c r="D197" s="322" t="s">
        <v>168</v>
      </c>
      <c r="E197" s="323">
        <v>286955147</v>
      </c>
      <c r="F197" s="323">
        <v>15000</v>
      </c>
      <c r="G197" s="314">
        <v>5.0400000000000002E-3</v>
      </c>
      <c r="H197" s="324">
        <v>2.0499999999999998</v>
      </c>
      <c r="I197" s="322" t="s">
        <v>1139</v>
      </c>
      <c r="J197" s="322">
        <v>3054</v>
      </c>
      <c r="K197" s="322">
        <v>4.24</v>
      </c>
      <c r="L197" s="322">
        <v>110.4</v>
      </c>
      <c r="M197" s="322" t="s">
        <v>6</v>
      </c>
      <c r="N197" s="322" t="s">
        <v>368</v>
      </c>
      <c r="O197" s="322" t="s">
        <v>8</v>
      </c>
      <c r="P197" s="322" t="s">
        <v>7</v>
      </c>
      <c r="Q197" s="322" t="s">
        <v>77</v>
      </c>
      <c r="R197" s="322" t="s">
        <v>569</v>
      </c>
      <c r="S197" s="303">
        <f t="shared" si="4"/>
        <v>1216689823.28</v>
      </c>
      <c r="T197" s="307">
        <f>+IFERROR(VLOOKUP(C197,'Tasas Diarias'!$B:$F,5,FALSE)*G197,0)</f>
        <v>0</v>
      </c>
      <c r="U197" s="311" t="str">
        <f ca="1">+VLOOKUP(C197,Spreads!$A$2:$G$345,7,0)</f>
        <v/>
      </c>
    </row>
    <row r="198" spans="1:21" ht="15" hidden="1" customHeight="1" thickTop="1" thickBot="1">
      <c r="A198" s="317" t="s">
        <v>2137</v>
      </c>
      <c r="B198" s="318" t="s">
        <v>234</v>
      </c>
      <c r="C198" s="318" t="s">
        <v>1504</v>
      </c>
      <c r="D198" s="318" t="s">
        <v>433</v>
      </c>
      <c r="E198" s="319">
        <v>525960107</v>
      </c>
      <c r="F198" s="319">
        <v>20000</v>
      </c>
      <c r="G198" s="314">
        <v>9.2379999999999997E-3</v>
      </c>
      <c r="H198" s="320">
        <v>2.0699999999999998</v>
      </c>
      <c r="I198" s="318" t="s">
        <v>1505</v>
      </c>
      <c r="J198" s="318">
        <v>1637</v>
      </c>
      <c r="K198" s="318">
        <v>4.33</v>
      </c>
      <c r="L198" s="318">
        <v>97.6</v>
      </c>
      <c r="M198" s="318" t="s">
        <v>6</v>
      </c>
      <c r="N198" s="318" t="s">
        <v>368</v>
      </c>
      <c r="O198" s="318" t="s">
        <v>8</v>
      </c>
      <c r="P198" s="318" t="s">
        <v>392</v>
      </c>
      <c r="Q198" s="318" t="s">
        <v>435</v>
      </c>
      <c r="R198" s="318" t="s">
        <v>436</v>
      </c>
      <c r="S198" s="303">
        <f t="shared" si="4"/>
        <v>2277407263.3099999</v>
      </c>
      <c r="T198" s="307">
        <f>+IFERROR(VLOOKUP(C198,'Tasas Diarias'!$B:$F,5,FALSE)*G198,0)</f>
        <v>8.0997212231538984E-6</v>
      </c>
      <c r="U198" s="311" t="e">
        <f>+VLOOKUP(C198,Spreads!$A$2:$G$345,7,0)</f>
        <v>#N/A</v>
      </c>
    </row>
    <row r="199" spans="1:21" ht="15" hidden="1" customHeight="1" thickTop="1" thickBot="1">
      <c r="A199" s="321" t="s">
        <v>2137</v>
      </c>
      <c r="B199" s="322" t="s">
        <v>234</v>
      </c>
      <c r="C199" s="322" t="s">
        <v>662</v>
      </c>
      <c r="D199" s="322" t="s">
        <v>663</v>
      </c>
      <c r="E199" s="323">
        <v>470586564</v>
      </c>
      <c r="F199" s="323">
        <v>20000</v>
      </c>
      <c r="G199" s="314">
        <v>8.2649999999999998E-3</v>
      </c>
      <c r="H199" s="322">
        <v>1.98</v>
      </c>
      <c r="I199" s="322" t="s">
        <v>664</v>
      </c>
      <c r="J199" s="322">
        <v>3207</v>
      </c>
      <c r="K199" s="322">
        <v>4.5599999999999996</v>
      </c>
      <c r="L199" s="322">
        <v>121.11</v>
      </c>
      <c r="M199" s="322" t="s">
        <v>6</v>
      </c>
      <c r="N199" s="322" t="s">
        <v>368</v>
      </c>
      <c r="O199" s="322" t="s">
        <v>665</v>
      </c>
      <c r="P199" s="322" t="s">
        <v>392</v>
      </c>
      <c r="Q199" s="322" t="s">
        <v>57</v>
      </c>
      <c r="R199" s="322" t="s">
        <v>666</v>
      </c>
      <c r="S199" s="303">
        <f t="shared" si="4"/>
        <v>2145874731.8399999</v>
      </c>
      <c r="T199" s="307">
        <f>+IFERROR(VLOOKUP(C199,'Tasas Diarias'!$B:$F,5,FALSE)*G199,0)</f>
        <v>7.6161986720978402E-6</v>
      </c>
      <c r="U199" s="311" t="str">
        <f ca="1">+VLOOKUP(C199,Spreads!$A$2:$G$345,7,0)</f>
        <v/>
      </c>
    </row>
    <row r="200" spans="1:21" ht="15" hidden="1" customHeight="1" thickTop="1" thickBot="1">
      <c r="A200" s="327" t="s">
        <v>2137</v>
      </c>
      <c r="B200" s="328" t="s">
        <v>234</v>
      </c>
      <c r="C200" s="328" t="s">
        <v>669</v>
      </c>
      <c r="D200" s="328" t="s">
        <v>670</v>
      </c>
      <c r="E200" s="328">
        <v>545627754</v>
      </c>
      <c r="F200" s="328">
        <v>20000</v>
      </c>
      <c r="G200" s="332">
        <v>9.5829999999999995E-3</v>
      </c>
      <c r="H200" s="329">
        <v>1.92</v>
      </c>
      <c r="I200" s="328" t="s">
        <v>671</v>
      </c>
      <c r="J200" s="328">
        <v>3312</v>
      </c>
      <c r="K200" s="328">
        <v>4.59</v>
      </c>
      <c r="L200" s="328">
        <v>115.64</v>
      </c>
      <c r="M200" s="328" t="s">
        <v>6</v>
      </c>
      <c r="N200" s="328" t="s">
        <v>368</v>
      </c>
      <c r="O200" s="328" t="s">
        <v>1898</v>
      </c>
      <c r="P200" s="328" t="s">
        <v>7</v>
      </c>
      <c r="Q200" s="328" t="s">
        <v>673</v>
      </c>
      <c r="R200" s="328" t="s">
        <v>674</v>
      </c>
      <c r="S200" s="303">
        <f t="shared" si="4"/>
        <v>2504431390.8600001</v>
      </c>
      <c r="T200" s="307">
        <f>+IFERROR(VLOOKUP(C200,'Tasas Diarias'!$B:$F,5,FALSE)*G200,0)</f>
        <v>0</v>
      </c>
      <c r="U200" s="311" t="str">
        <f ca="1">+VLOOKUP(C200,Spreads!$A$2:$G$345,7,0)</f>
        <v/>
      </c>
    </row>
    <row r="201" spans="1:21" ht="15" hidden="1" customHeight="1" thickTop="1" thickBot="1">
      <c r="A201" s="317" t="s">
        <v>2137</v>
      </c>
      <c r="B201" s="318" t="s">
        <v>234</v>
      </c>
      <c r="C201" s="318" t="s">
        <v>1220</v>
      </c>
      <c r="D201" s="318" t="s">
        <v>82</v>
      </c>
      <c r="E201" s="319">
        <v>208600418</v>
      </c>
      <c r="F201" s="319">
        <v>10000</v>
      </c>
      <c r="G201" s="314">
        <v>3.663E-3</v>
      </c>
      <c r="H201" s="320">
        <v>2.09</v>
      </c>
      <c r="I201" s="318" t="s">
        <v>1221</v>
      </c>
      <c r="J201" s="318">
        <v>3480</v>
      </c>
      <c r="K201" s="318">
        <v>4.62</v>
      </c>
      <c r="L201" s="318">
        <v>118.23</v>
      </c>
      <c r="M201" s="318" t="s">
        <v>6</v>
      </c>
      <c r="N201" s="318" t="s">
        <v>368</v>
      </c>
      <c r="O201" s="318" t="s">
        <v>1347</v>
      </c>
      <c r="P201" s="318" t="s">
        <v>7</v>
      </c>
      <c r="Q201" s="318" t="s">
        <v>82</v>
      </c>
      <c r="R201" s="318" t="s">
        <v>679</v>
      </c>
      <c r="S201" s="303">
        <f t="shared" si="4"/>
        <v>963733931.15999997</v>
      </c>
      <c r="T201" s="307">
        <f>+IFERROR(VLOOKUP(C201,'Tasas Diarias'!$B:$F,5,FALSE)*G201,0)</f>
        <v>0</v>
      </c>
      <c r="U201" s="311" t="str">
        <f ca="1">+VLOOKUP(C201,Spreads!$A$2:$G$345,7,0)</f>
        <v/>
      </c>
    </row>
    <row r="202" spans="1:21" ht="15" hidden="1" customHeight="1" thickTop="1" thickBot="1">
      <c r="A202" s="317" t="s">
        <v>2137</v>
      </c>
      <c r="B202" s="318" t="s">
        <v>234</v>
      </c>
      <c r="C202" s="318" t="s">
        <v>1260</v>
      </c>
      <c r="D202" s="318" t="s">
        <v>1261</v>
      </c>
      <c r="E202" s="319">
        <v>188444296</v>
      </c>
      <c r="F202" s="319">
        <v>10000</v>
      </c>
      <c r="G202" s="314">
        <v>3.3089999999999999E-3</v>
      </c>
      <c r="H202" s="320">
        <v>1.99</v>
      </c>
      <c r="I202" s="318" t="s">
        <v>930</v>
      </c>
      <c r="J202" s="318">
        <v>3846</v>
      </c>
      <c r="K202" s="318">
        <v>4.6500000000000004</v>
      </c>
      <c r="L202" s="318">
        <v>118.74</v>
      </c>
      <c r="M202" s="318" t="s">
        <v>6</v>
      </c>
      <c r="N202" s="318" t="s">
        <v>368</v>
      </c>
      <c r="O202" s="318" t="s">
        <v>1347</v>
      </c>
      <c r="P202" s="318" t="s">
        <v>444</v>
      </c>
      <c r="Q202" s="318" t="s">
        <v>1262</v>
      </c>
      <c r="R202" s="318" t="s">
        <v>1263</v>
      </c>
      <c r="S202" s="303">
        <f t="shared" si="4"/>
        <v>876265976.4000001</v>
      </c>
      <c r="T202" s="307">
        <f>+IFERROR(VLOOKUP(C202,'Tasas Diarias'!$B:$F,5,FALSE)*G202,0)</f>
        <v>3.0938359087172685E-6</v>
      </c>
      <c r="U202" s="311" t="str">
        <f ca="1">+VLOOKUP(C202,Spreads!$A$2:$G$345,7,0)</f>
        <v/>
      </c>
    </row>
    <row r="203" spans="1:21" ht="15" hidden="1" customHeight="1" thickTop="1" thickBot="1">
      <c r="A203" s="317" t="s">
        <v>2137</v>
      </c>
      <c r="B203" s="318" t="s">
        <v>234</v>
      </c>
      <c r="C203" s="318" t="s">
        <v>675</v>
      </c>
      <c r="D203" s="318" t="s">
        <v>294</v>
      </c>
      <c r="E203" s="319">
        <v>290255749</v>
      </c>
      <c r="F203" s="319">
        <v>15000</v>
      </c>
      <c r="G203" s="314">
        <v>5.0980000000000001E-3</v>
      </c>
      <c r="H203" s="320">
        <v>2.13</v>
      </c>
      <c r="I203" s="318" t="s">
        <v>676</v>
      </c>
      <c r="J203" s="318">
        <v>3419</v>
      </c>
      <c r="K203" s="318">
        <v>4.71</v>
      </c>
      <c r="L203" s="318">
        <v>111.17</v>
      </c>
      <c r="M203" s="318" t="s">
        <v>6</v>
      </c>
      <c r="N203" s="318" t="s">
        <v>368</v>
      </c>
      <c r="O203" s="318" t="s">
        <v>8</v>
      </c>
      <c r="P203" s="318" t="s">
        <v>7</v>
      </c>
      <c r="Q203" s="318" t="s">
        <v>74</v>
      </c>
      <c r="R203" s="318" t="s">
        <v>677</v>
      </c>
      <c r="S203" s="303">
        <f t="shared" si="4"/>
        <v>1367104577.79</v>
      </c>
      <c r="T203" s="307">
        <f>+IFERROR(VLOOKUP(C203,'Tasas Diarias'!$B:$F,5,FALSE)*G203,0)</f>
        <v>4.8537148505969847E-6</v>
      </c>
      <c r="U203" s="311" t="str">
        <f ca="1">+VLOOKUP(C203,Spreads!$A$2:$G$345,7,0)</f>
        <v/>
      </c>
    </row>
    <row r="204" spans="1:21" ht="15" hidden="1" customHeight="1" thickTop="1" thickBot="1">
      <c r="A204" s="317" t="s">
        <v>2137</v>
      </c>
      <c r="B204" s="318" t="s">
        <v>234</v>
      </c>
      <c r="C204" s="318" t="s">
        <v>700</v>
      </c>
      <c r="D204" s="318" t="s">
        <v>168</v>
      </c>
      <c r="E204" s="319">
        <v>260595739</v>
      </c>
      <c r="F204" s="319">
        <v>9000</v>
      </c>
      <c r="G204" s="314">
        <v>4.5770000000000003E-3</v>
      </c>
      <c r="H204" s="320">
        <v>1.85</v>
      </c>
      <c r="I204" s="318" t="s">
        <v>701</v>
      </c>
      <c r="J204" s="318">
        <v>1899</v>
      </c>
      <c r="K204" s="318">
        <v>4.79</v>
      </c>
      <c r="L204" s="318">
        <v>107.46</v>
      </c>
      <c r="M204" s="318" t="s">
        <v>6</v>
      </c>
      <c r="N204" s="318" t="s">
        <v>368</v>
      </c>
      <c r="O204" s="318" t="s">
        <v>8</v>
      </c>
      <c r="P204" s="318" t="s">
        <v>379</v>
      </c>
      <c r="Q204" s="318" t="s">
        <v>77</v>
      </c>
      <c r="R204" s="318" t="s">
        <v>453</v>
      </c>
      <c r="S204" s="303">
        <f t="shared" si="4"/>
        <v>1248253589.8099999</v>
      </c>
      <c r="T204" s="307">
        <f>+IFERROR(VLOOKUP(C204,'Tasas Diarias'!$B:$F,5,FALSE)*G204,0)</f>
        <v>-6.6510271309435179E-6</v>
      </c>
      <c r="U204" s="311" t="str">
        <f ca="1">+VLOOKUP(C204,Spreads!$A$2:$G$345,7,0)</f>
        <v/>
      </c>
    </row>
    <row r="205" spans="1:21" ht="15" hidden="1" customHeight="1" thickTop="1" thickBot="1">
      <c r="A205" s="317" t="s">
        <v>2137</v>
      </c>
      <c r="B205" s="318" t="s">
        <v>234</v>
      </c>
      <c r="C205" s="318" t="s">
        <v>688</v>
      </c>
      <c r="D205" s="318" t="s">
        <v>689</v>
      </c>
      <c r="E205" s="319">
        <v>619880813</v>
      </c>
      <c r="F205" s="340">
        <v>22000</v>
      </c>
      <c r="G205" s="314">
        <v>1.0887000000000001E-2</v>
      </c>
      <c r="H205" s="320">
        <v>1.95</v>
      </c>
      <c r="I205" s="318" t="s">
        <v>690</v>
      </c>
      <c r="J205" s="318">
        <v>3774</v>
      </c>
      <c r="K205" s="318">
        <v>4.8600000000000003</v>
      </c>
      <c r="L205" s="318">
        <v>109.97</v>
      </c>
      <c r="M205" s="318" t="s">
        <v>6</v>
      </c>
      <c r="N205" s="318" t="s">
        <v>368</v>
      </c>
      <c r="O205" s="318" t="s">
        <v>1494</v>
      </c>
      <c r="P205" s="318" t="s">
        <v>444</v>
      </c>
      <c r="Q205" s="318" t="s">
        <v>691</v>
      </c>
      <c r="R205" s="318" t="s">
        <v>692</v>
      </c>
      <c r="S205" s="303">
        <f t="shared" si="4"/>
        <v>3012620751.1800003</v>
      </c>
      <c r="T205" s="307">
        <f>+IFERROR(VLOOKUP(C205,'Tasas Diarias'!$B:$F,5,FALSE)*G205,0)</f>
        <v>0</v>
      </c>
      <c r="U205" s="311" t="str">
        <f ca="1">+VLOOKUP(C205,Spreads!$A$2:$G$345,7,0)</f>
        <v/>
      </c>
    </row>
    <row r="206" spans="1:21" ht="15" hidden="1" customHeight="1" thickTop="1" thickBot="1">
      <c r="A206" s="317" t="s">
        <v>2137</v>
      </c>
      <c r="B206" s="318" t="s">
        <v>234</v>
      </c>
      <c r="C206" s="318" t="s">
        <v>1536</v>
      </c>
      <c r="D206" s="318" t="s">
        <v>175</v>
      </c>
      <c r="E206" s="319">
        <v>265137733</v>
      </c>
      <c r="F206" s="319">
        <v>10000</v>
      </c>
      <c r="G206" s="314">
        <v>4.6560000000000004E-3</v>
      </c>
      <c r="H206" s="320">
        <v>2.39</v>
      </c>
      <c r="I206" s="318" t="s">
        <v>1537</v>
      </c>
      <c r="J206" s="318">
        <v>2358</v>
      </c>
      <c r="K206" s="318">
        <v>4.93</v>
      </c>
      <c r="L206" s="318">
        <v>99.32</v>
      </c>
      <c r="M206" s="318" t="s">
        <v>6</v>
      </c>
      <c r="N206" s="318" t="s">
        <v>368</v>
      </c>
      <c r="O206" s="318" t="s">
        <v>8</v>
      </c>
      <c r="P206" s="318" t="s">
        <v>392</v>
      </c>
      <c r="Q206" s="318" t="s">
        <v>66</v>
      </c>
      <c r="R206" s="318" t="s">
        <v>418</v>
      </c>
      <c r="S206" s="303">
        <f t="shared" si="4"/>
        <v>1307129023.6899998</v>
      </c>
      <c r="T206" s="307">
        <f>+IFERROR(VLOOKUP(C206,'Tasas Diarias'!$B:$F,5,FALSE)*G206,0)</f>
        <v>2.2977884439702343E-6</v>
      </c>
      <c r="U206" s="311" t="e">
        <f>+VLOOKUP(C206,Spreads!$A$2:$G$345,7,0)</f>
        <v>#N/A</v>
      </c>
    </row>
    <row r="207" spans="1:21" ht="15" hidden="1" customHeight="1" thickTop="1" thickBot="1">
      <c r="A207" s="321" t="s">
        <v>2137</v>
      </c>
      <c r="B207" s="322" t="s">
        <v>234</v>
      </c>
      <c r="C207" s="322" t="s">
        <v>696</v>
      </c>
      <c r="D207" s="322" t="s">
        <v>697</v>
      </c>
      <c r="E207" s="323">
        <v>555626472</v>
      </c>
      <c r="F207" s="323">
        <v>20000</v>
      </c>
      <c r="G207" s="314">
        <v>9.7590000000000003E-3</v>
      </c>
      <c r="H207" s="324">
        <v>2.1800000000000002</v>
      </c>
      <c r="I207" s="322" t="s">
        <v>698</v>
      </c>
      <c r="J207" s="322">
        <v>3829</v>
      </c>
      <c r="K207" s="322">
        <v>4.99</v>
      </c>
      <c r="L207" s="322">
        <v>109.06</v>
      </c>
      <c r="M207" s="322" t="s">
        <v>6</v>
      </c>
      <c r="N207" s="322" t="s">
        <v>368</v>
      </c>
      <c r="O207" s="322" t="s">
        <v>1347</v>
      </c>
      <c r="P207" s="322" t="s">
        <v>392</v>
      </c>
      <c r="Q207" s="322" t="s">
        <v>691</v>
      </c>
      <c r="R207" s="322" t="s">
        <v>699</v>
      </c>
      <c r="S207" s="303">
        <f t="shared" si="4"/>
        <v>2772576095.2800002</v>
      </c>
      <c r="T207" s="307">
        <f>+IFERROR(VLOOKUP(C207,'Tasas Diarias'!$B:$F,5,FALSE)*G207,0)</f>
        <v>0</v>
      </c>
      <c r="U207" s="311" t="str">
        <f ca="1">+VLOOKUP(C207,Spreads!$A$2:$G$345,7,0)</f>
        <v/>
      </c>
    </row>
    <row r="208" spans="1:21" ht="15" hidden="1" customHeight="1" thickTop="1" thickBot="1">
      <c r="A208" s="321" t="s">
        <v>2137</v>
      </c>
      <c r="B208" s="322" t="s">
        <v>234</v>
      </c>
      <c r="C208" s="322" t="s">
        <v>872</v>
      </c>
      <c r="D208" s="322" t="s">
        <v>15</v>
      </c>
      <c r="E208" s="323">
        <v>513581912</v>
      </c>
      <c r="F208" s="323">
        <v>21000</v>
      </c>
      <c r="G208" s="314">
        <v>9.0200000000000002E-3</v>
      </c>
      <c r="H208" s="324">
        <v>2.2799999999999998</v>
      </c>
      <c r="I208" s="322" t="s">
        <v>873</v>
      </c>
      <c r="J208" s="322">
        <v>3860</v>
      </c>
      <c r="K208" s="322">
        <v>5.09</v>
      </c>
      <c r="L208" s="322">
        <v>108.7</v>
      </c>
      <c r="M208" s="322" t="s">
        <v>6</v>
      </c>
      <c r="N208" s="322" t="s">
        <v>368</v>
      </c>
      <c r="O208" s="322" t="s">
        <v>8</v>
      </c>
      <c r="P208" s="322" t="s">
        <v>417</v>
      </c>
      <c r="Q208" s="322" t="s">
        <v>28</v>
      </c>
      <c r="R208" s="322" t="s">
        <v>874</v>
      </c>
      <c r="S208" s="303">
        <f t="shared" si="4"/>
        <v>2614131932.0799999</v>
      </c>
      <c r="T208" s="307">
        <f>+IFERROR(VLOOKUP(C208,'Tasas Diarias'!$B:$F,5,FALSE)*G208,0)</f>
        <v>4.6433729475479622E-6</v>
      </c>
      <c r="U208" s="311" t="str">
        <f ca="1">+VLOOKUP(C208,Spreads!$A$2:$G$345,7,0)</f>
        <v/>
      </c>
    </row>
    <row r="209" spans="1:21" ht="15" hidden="1" customHeight="1" thickTop="1" thickBot="1">
      <c r="A209" s="321" t="s">
        <v>2137</v>
      </c>
      <c r="B209" s="322" t="s">
        <v>234</v>
      </c>
      <c r="C209" s="322" t="s">
        <v>705</v>
      </c>
      <c r="D209" s="322" t="s">
        <v>620</v>
      </c>
      <c r="E209" s="323">
        <v>579503153</v>
      </c>
      <c r="F209" s="323">
        <v>20000</v>
      </c>
      <c r="G209" s="314">
        <v>1.0178E-2</v>
      </c>
      <c r="H209" s="324">
        <v>2.09</v>
      </c>
      <c r="I209" s="322" t="s">
        <v>706</v>
      </c>
      <c r="J209" s="322">
        <v>2144</v>
      </c>
      <c r="K209" s="322">
        <v>5.35</v>
      </c>
      <c r="L209" s="322">
        <v>108.15</v>
      </c>
      <c r="M209" s="322" t="s">
        <v>6</v>
      </c>
      <c r="N209" s="322" t="s">
        <v>368</v>
      </c>
      <c r="O209" s="322" t="s">
        <v>560</v>
      </c>
      <c r="P209" s="322" t="s">
        <v>7</v>
      </c>
      <c r="Q209" s="322" t="s">
        <v>622</v>
      </c>
      <c r="R209" s="322" t="s">
        <v>623</v>
      </c>
      <c r="S209" s="303">
        <f t="shared" si="4"/>
        <v>3100341868.5499997</v>
      </c>
      <c r="T209" s="307">
        <f>+IFERROR(VLOOKUP(C209,'Tasas Diarias'!$B:$F,5,FALSE)*G209,0)</f>
        <v>5.5076070686307069E-6</v>
      </c>
      <c r="U209" s="311" t="str">
        <f ca="1">+VLOOKUP(C209,Spreads!$A$2:$G$345,7,0)</f>
        <v/>
      </c>
    </row>
    <row r="210" spans="1:21" ht="15" hidden="1" customHeight="1" thickTop="1" thickBot="1">
      <c r="A210" s="317" t="s">
        <v>2137</v>
      </c>
      <c r="B210" s="318" t="s">
        <v>234</v>
      </c>
      <c r="C210" s="318" t="s">
        <v>881</v>
      </c>
      <c r="D210" s="318" t="s">
        <v>292</v>
      </c>
      <c r="E210" s="319">
        <v>269107448</v>
      </c>
      <c r="F210" s="319">
        <v>15000</v>
      </c>
      <c r="G210" s="314">
        <v>4.7260000000000002E-3</v>
      </c>
      <c r="H210" s="320">
        <v>2.37</v>
      </c>
      <c r="I210" s="318" t="s">
        <v>882</v>
      </c>
      <c r="J210" s="318">
        <v>4181</v>
      </c>
      <c r="K210" s="318">
        <v>5.36</v>
      </c>
      <c r="L210" s="318">
        <v>104.63</v>
      </c>
      <c r="M210" s="318" t="s">
        <v>6</v>
      </c>
      <c r="N210" s="318" t="s">
        <v>368</v>
      </c>
      <c r="O210" s="318" t="s">
        <v>551</v>
      </c>
      <c r="P210" s="318" t="s">
        <v>392</v>
      </c>
      <c r="Q210" s="318" t="s">
        <v>327</v>
      </c>
      <c r="R210" s="318" t="s">
        <v>883</v>
      </c>
      <c r="S210" s="303">
        <f t="shared" si="4"/>
        <v>1442415921.28</v>
      </c>
      <c r="T210" s="307">
        <f>+IFERROR(VLOOKUP(C210,'Tasas Diarias'!$B:$F,5,FALSE)*G210,0)</f>
        <v>5.1031657943287122E-6</v>
      </c>
      <c r="U210" s="311" t="str">
        <f ca="1">+VLOOKUP(C210,Spreads!$A$2:$G$345,7,0)</f>
        <v/>
      </c>
    </row>
    <row r="211" spans="1:21" ht="15" hidden="1" customHeight="1" thickTop="1" thickBot="1">
      <c r="A211" s="321" t="s">
        <v>2137</v>
      </c>
      <c r="B211" s="322" t="s">
        <v>234</v>
      </c>
      <c r="C211" s="322" t="s">
        <v>1527</v>
      </c>
      <c r="D211" s="322" t="s">
        <v>168</v>
      </c>
      <c r="E211" s="323">
        <v>640449855</v>
      </c>
      <c r="F211" s="323">
        <v>22000</v>
      </c>
      <c r="G211" s="314">
        <v>1.1249E-2</v>
      </c>
      <c r="H211" s="324">
        <v>1.98</v>
      </c>
      <c r="I211" s="322" t="s">
        <v>1528</v>
      </c>
      <c r="J211" s="322">
        <v>2264</v>
      </c>
      <c r="K211" s="322">
        <v>5.62</v>
      </c>
      <c r="L211" s="322">
        <v>108.04</v>
      </c>
      <c r="M211" s="322" t="s">
        <v>6</v>
      </c>
      <c r="N211" s="322" t="s">
        <v>368</v>
      </c>
      <c r="O211" s="322" t="s">
        <v>8</v>
      </c>
      <c r="P211" s="322" t="s">
        <v>379</v>
      </c>
      <c r="Q211" s="322" t="s">
        <v>77</v>
      </c>
      <c r="R211" s="322" t="s">
        <v>453</v>
      </c>
      <c r="S211" s="303">
        <f t="shared" si="4"/>
        <v>3599328185.0999999</v>
      </c>
      <c r="T211" s="307">
        <f>+IFERROR(VLOOKUP(C211,'Tasas Diarias'!$B:$F,5,FALSE)*G211,0)</f>
        <v>6.3880512716187311E-6</v>
      </c>
      <c r="U211" s="311" t="e">
        <f>+VLOOKUP(C211,Spreads!$A$2:$G$345,7,0)</f>
        <v>#N/A</v>
      </c>
    </row>
    <row r="212" spans="1:21" ht="15" hidden="1" customHeight="1" thickTop="1" thickBot="1">
      <c r="A212" s="317" t="s">
        <v>2137</v>
      </c>
      <c r="B212" s="318" t="s">
        <v>234</v>
      </c>
      <c r="C212" s="318" t="s">
        <v>710</v>
      </c>
      <c r="D212" s="318" t="s">
        <v>166</v>
      </c>
      <c r="E212" s="319">
        <v>857428204</v>
      </c>
      <c r="F212" s="319">
        <v>27000</v>
      </c>
      <c r="G212" s="314">
        <v>1.506E-2</v>
      </c>
      <c r="H212" s="320">
        <v>2.54</v>
      </c>
      <c r="I212" s="318" t="s">
        <v>711</v>
      </c>
      <c r="J212" s="318">
        <v>4347</v>
      </c>
      <c r="K212" s="318">
        <v>5.73</v>
      </c>
      <c r="L212" s="318">
        <v>118.42</v>
      </c>
      <c r="M212" s="318" t="s">
        <v>6</v>
      </c>
      <c r="N212" s="318" t="s">
        <v>368</v>
      </c>
      <c r="O212" s="318" t="s">
        <v>429</v>
      </c>
      <c r="P212" s="318" t="s">
        <v>392</v>
      </c>
      <c r="Q212" s="318" t="s">
        <v>57</v>
      </c>
      <c r="R212" s="318" t="s">
        <v>447</v>
      </c>
      <c r="S212" s="303">
        <f t="shared" si="4"/>
        <v>4913063608.9200001</v>
      </c>
      <c r="T212" s="307">
        <f>+IFERROR(VLOOKUP(C212,'Tasas Diarias'!$B:$F,5,FALSE)*G212,0)</f>
        <v>0</v>
      </c>
      <c r="U212" s="311" t="str">
        <f ca="1">+VLOOKUP(C212,Spreads!$A$2:$G$345,7,0)</f>
        <v/>
      </c>
    </row>
    <row r="213" spans="1:21" ht="15" hidden="1" customHeight="1" thickTop="1" thickBot="1">
      <c r="A213" s="321" t="s">
        <v>2137</v>
      </c>
      <c r="B213" s="322" t="s">
        <v>234</v>
      </c>
      <c r="C213" s="322" t="s">
        <v>716</v>
      </c>
      <c r="D213" s="322" t="s">
        <v>295</v>
      </c>
      <c r="E213" s="323">
        <v>311829844</v>
      </c>
      <c r="F213" s="323">
        <v>11000</v>
      </c>
      <c r="G213" s="314">
        <v>5.4770000000000001E-3</v>
      </c>
      <c r="H213" s="324">
        <v>2.0499999999999998</v>
      </c>
      <c r="I213" s="322" t="s">
        <v>717</v>
      </c>
      <c r="J213" s="322">
        <v>2293</v>
      </c>
      <c r="K213" s="322">
        <v>5.75</v>
      </c>
      <c r="L213" s="322">
        <v>105.6</v>
      </c>
      <c r="M213" s="322" t="s">
        <v>6</v>
      </c>
      <c r="N213" s="322" t="s">
        <v>368</v>
      </c>
      <c r="O213" s="322" t="s">
        <v>8</v>
      </c>
      <c r="P213" s="322" t="s">
        <v>7</v>
      </c>
      <c r="Q213" s="322" t="s">
        <v>70</v>
      </c>
      <c r="R213" s="322" t="s">
        <v>506</v>
      </c>
      <c r="S213" s="303">
        <f t="shared" si="4"/>
        <v>1793021603</v>
      </c>
      <c r="T213" s="307">
        <f>+IFERROR(VLOOKUP(C213,'Tasas Diarias'!$B:$F,5,FALSE)*G213,0)</f>
        <v>0</v>
      </c>
      <c r="U213" s="311" t="str">
        <f ca="1">+VLOOKUP(C213,Spreads!$A$2:$G$345,7,0)</f>
        <v/>
      </c>
    </row>
    <row r="214" spans="1:21" ht="15" hidden="1" customHeight="1" thickTop="1" thickBot="1">
      <c r="A214" s="321" t="s">
        <v>2137</v>
      </c>
      <c r="B214" s="322" t="s">
        <v>234</v>
      </c>
      <c r="C214" s="322" t="s">
        <v>712</v>
      </c>
      <c r="D214" s="322" t="s">
        <v>40</v>
      </c>
      <c r="E214" s="323">
        <v>315218302</v>
      </c>
      <c r="F214" s="323">
        <v>10000</v>
      </c>
      <c r="G214" s="314">
        <v>5.5360000000000001E-3</v>
      </c>
      <c r="H214" s="324">
        <v>2.2799999999999998</v>
      </c>
      <c r="I214" s="322" t="s">
        <v>713</v>
      </c>
      <c r="J214" s="322">
        <v>4240</v>
      </c>
      <c r="K214" s="322">
        <v>5.78</v>
      </c>
      <c r="L214" s="322">
        <v>115.95</v>
      </c>
      <c r="M214" s="322" t="s">
        <v>6</v>
      </c>
      <c r="N214" s="322" t="s">
        <v>368</v>
      </c>
      <c r="O214" s="322" t="s">
        <v>1346</v>
      </c>
      <c r="P214" s="322" t="s">
        <v>392</v>
      </c>
      <c r="Q214" s="322" t="s">
        <v>714</v>
      </c>
      <c r="R214" s="322" t="s">
        <v>715</v>
      </c>
      <c r="S214" s="303">
        <f t="shared" si="4"/>
        <v>1821961785.5600002</v>
      </c>
      <c r="T214" s="307">
        <f>+IFERROR(VLOOKUP(C214,'Tasas Diarias'!$B:$F,5,FALSE)*G214,0)</f>
        <v>-3.2324832186827779E-6</v>
      </c>
      <c r="U214" s="311" t="str">
        <f ca="1">+VLOOKUP(C214,Spreads!$A$2:$G$345,7,0)</f>
        <v/>
      </c>
    </row>
    <row r="215" spans="1:21" ht="15" hidden="1" customHeight="1" thickTop="1" thickBot="1">
      <c r="A215" s="321" t="s">
        <v>2137</v>
      </c>
      <c r="B215" s="322" t="s">
        <v>234</v>
      </c>
      <c r="C215" s="322" t="s">
        <v>1919</v>
      </c>
      <c r="D215" s="322" t="s">
        <v>176</v>
      </c>
      <c r="E215" s="323">
        <v>440126234</v>
      </c>
      <c r="F215" s="323">
        <v>15000</v>
      </c>
      <c r="G215" s="314">
        <v>7.7299999999999999E-3</v>
      </c>
      <c r="H215" s="324">
        <v>2.1</v>
      </c>
      <c r="I215" s="322" t="s">
        <v>1920</v>
      </c>
      <c r="J215" s="322">
        <v>2385</v>
      </c>
      <c r="K215" s="322">
        <v>5.85</v>
      </c>
      <c r="L215" s="322">
        <v>108.24</v>
      </c>
      <c r="M215" s="322" t="s">
        <v>6</v>
      </c>
      <c r="N215" s="322" t="s">
        <v>368</v>
      </c>
      <c r="O215" s="322" t="s">
        <v>8</v>
      </c>
      <c r="P215" s="322" t="s">
        <v>7</v>
      </c>
      <c r="Q215" s="322" t="s">
        <v>326</v>
      </c>
      <c r="R215" s="322" t="s">
        <v>450</v>
      </c>
      <c r="S215" s="303">
        <f t="shared" si="4"/>
        <v>2574738468.8999996</v>
      </c>
      <c r="T215" s="307">
        <f>+IFERROR(VLOOKUP(C215,'Tasas Diarias'!$B:$F,5,FALSE)*G215,0)</f>
        <v>0</v>
      </c>
      <c r="U215" s="311" t="e">
        <f>+VLOOKUP(C215,Spreads!$A$2:$G$345,7,0)</f>
        <v>#N/A</v>
      </c>
    </row>
    <row r="216" spans="1:21" ht="15" hidden="1" customHeight="1" thickTop="1" thickBot="1">
      <c r="A216" s="317" t="s">
        <v>2137</v>
      </c>
      <c r="B216" s="318" t="s">
        <v>234</v>
      </c>
      <c r="C216" s="318" t="s">
        <v>719</v>
      </c>
      <c r="D216" s="318" t="s">
        <v>172</v>
      </c>
      <c r="E216" s="319">
        <v>565108160</v>
      </c>
      <c r="F216" s="319">
        <v>18000</v>
      </c>
      <c r="G216" s="314">
        <v>9.9249999999999998E-3</v>
      </c>
      <c r="H216" s="320">
        <v>2.1800000000000002</v>
      </c>
      <c r="I216" s="318" t="s">
        <v>720</v>
      </c>
      <c r="J216" s="318">
        <v>4408</v>
      </c>
      <c r="K216" s="318">
        <v>5.9</v>
      </c>
      <c r="L216" s="318">
        <v>115.38</v>
      </c>
      <c r="M216" s="318" t="s">
        <v>6</v>
      </c>
      <c r="N216" s="318" t="s">
        <v>368</v>
      </c>
      <c r="O216" s="318" t="s">
        <v>1346</v>
      </c>
      <c r="P216" s="318" t="s">
        <v>7</v>
      </c>
      <c r="Q216" s="318" t="s">
        <v>81</v>
      </c>
      <c r="R216" s="318" t="s">
        <v>721</v>
      </c>
      <c r="S216" s="303">
        <f t="shared" si="4"/>
        <v>3334138144</v>
      </c>
      <c r="T216" s="307">
        <f>+IFERROR(VLOOKUP(C216,'Tasas Diarias'!$B:$F,5,FALSE)*G216,0)</f>
        <v>1.7663318990044191E-5</v>
      </c>
      <c r="U216" s="311" t="str">
        <f ca="1">+VLOOKUP(C216,Spreads!$A$2:$G$345,7,0)</f>
        <v/>
      </c>
    </row>
    <row r="217" spans="1:21" ht="15" hidden="1" customHeight="1" thickTop="1" thickBot="1">
      <c r="A217" s="321" t="s">
        <v>2137</v>
      </c>
      <c r="B217" s="322" t="s">
        <v>234</v>
      </c>
      <c r="C217" s="322" t="s">
        <v>1461</v>
      </c>
      <c r="D217" s="322" t="s">
        <v>1462</v>
      </c>
      <c r="E217" s="323">
        <v>494579278</v>
      </c>
      <c r="F217" s="323">
        <v>16000</v>
      </c>
      <c r="G217" s="314">
        <v>8.6859999999999993E-3</v>
      </c>
      <c r="H217" s="322">
        <v>2.57</v>
      </c>
      <c r="I217" s="322" t="s">
        <v>1463</v>
      </c>
      <c r="J217" s="322">
        <v>4429</v>
      </c>
      <c r="K217" s="322">
        <v>5.9</v>
      </c>
      <c r="L217" s="322">
        <v>113.83</v>
      </c>
      <c r="M217" s="322" t="s">
        <v>6</v>
      </c>
      <c r="N217" s="322" t="s">
        <v>368</v>
      </c>
      <c r="O217" s="322" t="s">
        <v>1348</v>
      </c>
      <c r="P217" s="322" t="s">
        <v>417</v>
      </c>
      <c r="Q217" s="322" t="s">
        <v>1464</v>
      </c>
      <c r="R217" s="322" t="s">
        <v>1465</v>
      </c>
      <c r="S217" s="303">
        <f t="shared" si="4"/>
        <v>2918017740.2000003</v>
      </c>
      <c r="T217" s="307">
        <f>+IFERROR(VLOOKUP(C217,'Tasas Diarias'!$B:$F,5,FALSE)*G217,0)</f>
        <v>5.1717344701537025E-6</v>
      </c>
      <c r="U217" s="311" t="e">
        <f>+VLOOKUP(C217,Spreads!$A$2:$G$345,7,0)</f>
        <v>#N/A</v>
      </c>
    </row>
    <row r="218" spans="1:21" ht="15" hidden="1" customHeight="1" thickTop="1" thickBot="1">
      <c r="A218" s="317" t="s">
        <v>2137</v>
      </c>
      <c r="B218" s="318" t="s">
        <v>234</v>
      </c>
      <c r="C218" s="318" t="s">
        <v>725</v>
      </c>
      <c r="D218" s="318" t="s">
        <v>485</v>
      </c>
      <c r="E218" s="319">
        <v>527109450</v>
      </c>
      <c r="F218" s="319">
        <v>17500</v>
      </c>
      <c r="G218" s="314">
        <v>9.2580000000000006E-3</v>
      </c>
      <c r="H218" s="320">
        <v>2.14</v>
      </c>
      <c r="I218" s="318" t="s">
        <v>726</v>
      </c>
      <c r="J218" s="318">
        <v>4362</v>
      </c>
      <c r="K218" s="318">
        <v>5.95</v>
      </c>
      <c r="L218" s="318">
        <v>112.66</v>
      </c>
      <c r="M218" s="318" t="s">
        <v>6</v>
      </c>
      <c r="N218" s="318" t="s">
        <v>368</v>
      </c>
      <c r="O218" s="318" t="s">
        <v>1348</v>
      </c>
      <c r="P218" s="318" t="s">
        <v>392</v>
      </c>
      <c r="Q218" s="318" t="s">
        <v>487</v>
      </c>
      <c r="R218" s="318" t="s">
        <v>488</v>
      </c>
      <c r="S218" s="303">
        <f t="shared" si="4"/>
        <v>3136301227.5</v>
      </c>
      <c r="T218" s="307">
        <f>+IFERROR(VLOOKUP(C218,'Tasas Diarias'!$B:$F,5,FALSE)*G218,0)</f>
        <v>5.540152425681657E-6</v>
      </c>
      <c r="U218" s="311" t="str">
        <f ca="1">+VLOOKUP(C218,Spreads!$A$2:$G$345,7,0)</f>
        <v/>
      </c>
    </row>
    <row r="219" spans="1:21" ht="15" hidden="1" customHeight="1" thickTop="1" thickBot="1">
      <c r="A219" s="317" t="s">
        <v>2137</v>
      </c>
      <c r="B219" s="318" t="s">
        <v>234</v>
      </c>
      <c r="C219" s="318" t="s">
        <v>1445</v>
      </c>
      <c r="D219" s="318" t="s">
        <v>420</v>
      </c>
      <c r="E219" s="319">
        <v>474927984</v>
      </c>
      <c r="F219" s="319">
        <v>15000</v>
      </c>
      <c r="G219" s="314">
        <v>8.3409999999999995E-3</v>
      </c>
      <c r="H219" s="320">
        <v>2.4500000000000002</v>
      </c>
      <c r="I219" s="318" t="s">
        <v>1446</v>
      </c>
      <c r="J219" s="318">
        <v>4498</v>
      </c>
      <c r="K219" s="318">
        <v>6.06</v>
      </c>
      <c r="L219" s="318">
        <v>117.61</v>
      </c>
      <c r="M219" s="318" t="s">
        <v>6</v>
      </c>
      <c r="N219" s="318" t="s">
        <v>368</v>
      </c>
      <c r="O219" s="318" t="s">
        <v>421</v>
      </c>
      <c r="P219" s="318" t="s">
        <v>417</v>
      </c>
      <c r="Q219" s="318" t="s">
        <v>422</v>
      </c>
      <c r="R219" s="318" t="s">
        <v>423</v>
      </c>
      <c r="S219" s="303">
        <f t="shared" si="4"/>
        <v>2878063583.04</v>
      </c>
      <c r="T219" s="307">
        <f>+IFERROR(VLOOKUP(C219,'Tasas Diarias'!$B:$F,5,FALSE)*G219,0)</f>
        <v>1.0186262363800202E-5</v>
      </c>
      <c r="U219" s="311" t="e">
        <f>+VLOOKUP(C219,Spreads!$A$2:$G$345,7,0)</f>
        <v>#N/A</v>
      </c>
    </row>
    <row r="220" spans="1:21" ht="15" hidden="1" customHeight="1" thickTop="1" thickBot="1">
      <c r="A220" s="321" t="s">
        <v>2137</v>
      </c>
      <c r="B220" s="322" t="s">
        <v>234</v>
      </c>
      <c r="C220" s="322" t="s">
        <v>729</v>
      </c>
      <c r="D220" s="322" t="s">
        <v>32</v>
      </c>
      <c r="E220" s="323">
        <v>312263523</v>
      </c>
      <c r="F220" s="323">
        <v>11000</v>
      </c>
      <c r="G220" s="314">
        <v>5.4840000000000002E-3</v>
      </c>
      <c r="H220" s="324">
        <v>2.12</v>
      </c>
      <c r="I220" s="322" t="s">
        <v>730</v>
      </c>
      <c r="J220" s="322">
        <v>2446</v>
      </c>
      <c r="K220" s="322">
        <v>6.09</v>
      </c>
      <c r="L220" s="322">
        <v>105.48</v>
      </c>
      <c r="M220" s="322" t="s">
        <v>6</v>
      </c>
      <c r="N220" s="322" t="s">
        <v>368</v>
      </c>
      <c r="O220" s="322" t="s">
        <v>8</v>
      </c>
      <c r="P220" s="322" t="s">
        <v>379</v>
      </c>
      <c r="Q220" s="322" t="s">
        <v>67</v>
      </c>
      <c r="R220" s="322" t="s">
        <v>389</v>
      </c>
      <c r="S220" s="303">
        <f t="shared" si="4"/>
        <v>1901684855.0699999</v>
      </c>
      <c r="T220" s="307">
        <f>+IFERROR(VLOOKUP(C220,'Tasas Diarias'!$B:$F,5,FALSE)*G220,0)</f>
        <v>3.3695428930528237E-6</v>
      </c>
      <c r="U220" s="311" t="str">
        <f ca="1">+VLOOKUP(C220,Spreads!$A$2:$G$345,7,0)</f>
        <v/>
      </c>
    </row>
    <row r="221" spans="1:21" ht="15" hidden="1" customHeight="1" thickTop="1" thickBot="1">
      <c r="A221" s="321" t="s">
        <v>2137</v>
      </c>
      <c r="B221" s="322" t="s">
        <v>234</v>
      </c>
      <c r="C221" s="322" t="s">
        <v>722</v>
      </c>
      <c r="D221" s="322" t="s">
        <v>173</v>
      </c>
      <c r="E221" s="323">
        <v>217144247</v>
      </c>
      <c r="F221" s="323">
        <v>10000</v>
      </c>
      <c r="G221" s="314">
        <v>3.813E-3</v>
      </c>
      <c r="H221" s="324">
        <v>2.35</v>
      </c>
      <c r="I221" s="322" t="s">
        <v>723</v>
      </c>
      <c r="J221" s="322">
        <v>4759</v>
      </c>
      <c r="K221" s="322">
        <v>6.18</v>
      </c>
      <c r="L221" s="322">
        <v>113.32</v>
      </c>
      <c r="M221" s="322" t="s">
        <v>6</v>
      </c>
      <c r="N221" s="322" t="s">
        <v>368</v>
      </c>
      <c r="O221" s="322" t="s">
        <v>8</v>
      </c>
      <c r="P221" s="322" t="s">
        <v>392</v>
      </c>
      <c r="Q221" s="322" t="s">
        <v>55</v>
      </c>
      <c r="R221" s="322" t="s">
        <v>724</v>
      </c>
      <c r="S221" s="303">
        <f t="shared" si="4"/>
        <v>1341951446.46</v>
      </c>
      <c r="T221" s="307">
        <f>+IFERROR(VLOOKUP(C221,'Tasas Diarias'!$B:$F,5,FALSE)*G221,0)</f>
        <v>4.7511591599992542E-6</v>
      </c>
      <c r="U221" s="311" t="str">
        <f ca="1">+VLOOKUP(C221,Spreads!$A$2:$G$345,7,0)</f>
        <v/>
      </c>
    </row>
    <row r="222" spans="1:21" ht="15" hidden="1" customHeight="1" thickTop="1" thickBot="1">
      <c r="A222" s="317" t="s">
        <v>2137</v>
      </c>
      <c r="B222" s="318" t="s">
        <v>234</v>
      </c>
      <c r="C222" s="318" t="s">
        <v>1593</v>
      </c>
      <c r="D222" s="318" t="s">
        <v>173</v>
      </c>
      <c r="E222" s="319">
        <v>217144247</v>
      </c>
      <c r="F222" s="319">
        <v>10000</v>
      </c>
      <c r="G222" s="314">
        <v>3.813E-3</v>
      </c>
      <c r="H222" s="320">
        <v>2.35</v>
      </c>
      <c r="I222" s="318" t="s">
        <v>723</v>
      </c>
      <c r="J222" s="318">
        <v>4759</v>
      </c>
      <c r="K222" s="318">
        <v>6.18</v>
      </c>
      <c r="L222" s="318">
        <v>113.32</v>
      </c>
      <c r="M222" s="318" t="s">
        <v>6</v>
      </c>
      <c r="N222" s="318" t="s">
        <v>368</v>
      </c>
      <c r="O222" s="318" t="s">
        <v>8</v>
      </c>
      <c r="P222" s="318" t="s">
        <v>392</v>
      </c>
      <c r="Q222" s="318" t="s">
        <v>55</v>
      </c>
      <c r="R222" s="318" t="s">
        <v>724</v>
      </c>
      <c r="S222" s="303">
        <f t="shared" si="4"/>
        <v>1341951446.46</v>
      </c>
      <c r="T222" s="307">
        <f>+IFERROR(VLOOKUP(C222,'Tasas Diarias'!$B:$F,5,FALSE)*G222,0)</f>
        <v>4.7511591599992542E-6</v>
      </c>
      <c r="U222" s="311" t="e">
        <f>+VLOOKUP(C222,Spreads!$A$2:$G$345,7,0)</f>
        <v>#N/A</v>
      </c>
    </row>
    <row r="223" spans="1:21" ht="15" hidden="1" customHeight="1" thickTop="1" thickBot="1">
      <c r="A223" s="327" t="s">
        <v>2137</v>
      </c>
      <c r="B223" s="328" t="s">
        <v>234</v>
      </c>
      <c r="C223" s="328" t="s">
        <v>732</v>
      </c>
      <c r="D223" s="328" t="s">
        <v>469</v>
      </c>
      <c r="E223" s="341">
        <v>452505555</v>
      </c>
      <c r="F223" s="342">
        <v>15000</v>
      </c>
      <c r="G223" s="332">
        <v>7.9469999999999992E-3</v>
      </c>
      <c r="H223" s="329">
        <v>2.4700000000000002</v>
      </c>
      <c r="I223" s="328" t="s">
        <v>733</v>
      </c>
      <c r="J223" s="328">
        <v>4546</v>
      </c>
      <c r="K223" s="328">
        <v>6.28</v>
      </c>
      <c r="L223" s="328">
        <v>112.86</v>
      </c>
      <c r="M223" s="328" t="s">
        <v>6</v>
      </c>
      <c r="N223" s="328" t="s">
        <v>368</v>
      </c>
      <c r="O223" s="328" t="s">
        <v>429</v>
      </c>
      <c r="P223" s="328" t="s">
        <v>7</v>
      </c>
      <c r="Q223" s="328" t="s">
        <v>471</v>
      </c>
      <c r="R223" s="328" t="s">
        <v>472</v>
      </c>
      <c r="S223" s="303">
        <f t="shared" si="4"/>
        <v>2841734885.4000001</v>
      </c>
      <c r="T223" s="307">
        <f>+IFERROR(VLOOKUP(C223,'Tasas Diarias'!$B:$F,5,FALSE)*G223,0)</f>
        <v>0</v>
      </c>
      <c r="U223" s="311" t="str">
        <f ca="1">+VLOOKUP(C223,Spreads!$A$2:$G$345,7,0)</f>
        <v/>
      </c>
    </row>
    <row r="224" spans="1:21" ht="15" hidden="1" customHeight="1" thickTop="1" thickBot="1">
      <c r="A224" s="317" t="s">
        <v>2137</v>
      </c>
      <c r="B224" s="318" t="s">
        <v>234</v>
      </c>
      <c r="C224" s="318" t="s">
        <v>734</v>
      </c>
      <c r="D224" s="318" t="s">
        <v>288</v>
      </c>
      <c r="E224" s="319">
        <v>261988220</v>
      </c>
      <c r="F224" s="319">
        <v>9500</v>
      </c>
      <c r="G224" s="314">
        <v>4.6010000000000001E-3</v>
      </c>
      <c r="H224" s="320">
        <v>2.2000000000000002</v>
      </c>
      <c r="I224" s="318" t="s">
        <v>735</v>
      </c>
      <c r="J224" s="318">
        <v>2521</v>
      </c>
      <c r="K224" s="318">
        <v>6.35</v>
      </c>
      <c r="L224" s="318">
        <v>103.13</v>
      </c>
      <c r="M224" s="318" t="s">
        <v>6</v>
      </c>
      <c r="N224" s="318" t="s">
        <v>368</v>
      </c>
      <c r="O224" s="318" t="s">
        <v>1348</v>
      </c>
      <c r="P224" s="318" t="s">
        <v>392</v>
      </c>
      <c r="Q224" s="318" t="s">
        <v>83</v>
      </c>
      <c r="R224" s="318" t="s">
        <v>736</v>
      </c>
      <c r="S224" s="303">
        <f t="shared" si="4"/>
        <v>1663625197</v>
      </c>
      <c r="T224" s="307">
        <f>+IFERROR(VLOOKUP(C224,'Tasas Diarias'!$B:$F,5,FALSE)*G224,0)</f>
        <v>5.8875137465861286E-6</v>
      </c>
      <c r="U224" s="311" t="str">
        <f ca="1">+VLOOKUP(C224,Spreads!$A$2:$G$345,7,0)</f>
        <v/>
      </c>
    </row>
    <row r="225" spans="1:21" ht="15" hidden="1" customHeight="1" thickTop="1" thickBot="1">
      <c r="A225" s="317" t="s">
        <v>2137</v>
      </c>
      <c r="B225" s="318" t="s">
        <v>234</v>
      </c>
      <c r="C225" s="318" t="s">
        <v>1419</v>
      </c>
      <c r="D225" s="318" t="s">
        <v>16</v>
      </c>
      <c r="E225" s="319">
        <v>278862576</v>
      </c>
      <c r="F225" s="319">
        <v>10000</v>
      </c>
      <c r="G225" s="314">
        <v>4.8979999999999996E-3</v>
      </c>
      <c r="H225" s="318">
        <v>2.15</v>
      </c>
      <c r="I225" s="318" t="s">
        <v>855</v>
      </c>
      <c r="J225" s="318">
        <v>2568</v>
      </c>
      <c r="K225" s="318">
        <v>6.4</v>
      </c>
      <c r="L225" s="318">
        <v>103.27</v>
      </c>
      <c r="M225" s="318" t="s">
        <v>6</v>
      </c>
      <c r="N225" s="318" t="s">
        <v>368</v>
      </c>
      <c r="O225" s="318" t="s">
        <v>8</v>
      </c>
      <c r="P225" s="318" t="s">
        <v>379</v>
      </c>
      <c r="Q225" s="318" t="s">
        <v>61</v>
      </c>
      <c r="R225" s="318" t="s">
        <v>394</v>
      </c>
      <c r="S225" s="303">
        <f t="shared" si="4"/>
        <v>1784720486.4000001</v>
      </c>
      <c r="T225" s="307">
        <f>+IFERROR(VLOOKUP(C225,'Tasas Diarias'!$B:$F,5,FALSE)*G225,0)</f>
        <v>6.3251158076293159E-6</v>
      </c>
      <c r="U225" s="311" t="e">
        <f>+VLOOKUP(C225,Spreads!$A$2:$G$345,7,0)</f>
        <v>#N/A</v>
      </c>
    </row>
    <row r="226" spans="1:21" ht="15" hidden="1" customHeight="1" thickTop="1" thickBot="1">
      <c r="A226" s="317" t="s">
        <v>2137</v>
      </c>
      <c r="B226" s="318" t="s">
        <v>234</v>
      </c>
      <c r="C226" s="318" t="s">
        <v>739</v>
      </c>
      <c r="D226" s="318" t="s">
        <v>173</v>
      </c>
      <c r="E226" s="319">
        <v>789237676</v>
      </c>
      <c r="F226" s="319">
        <v>30000</v>
      </c>
      <c r="G226" s="314">
        <v>1.3861999999999999E-2</v>
      </c>
      <c r="H226" s="320">
        <v>2.27</v>
      </c>
      <c r="I226" s="318" t="s">
        <v>740</v>
      </c>
      <c r="J226" s="318">
        <v>2507</v>
      </c>
      <c r="K226" s="318">
        <v>6.43</v>
      </c>
      <c r="L226" s="318">
        <v>98.37</v>
      </c>
      <c r="M226" s="318" t="s">
        <v>6</v>
      </c>
      <c r="N226" s="318" t="s">
        <v>368</v>
      </c>
      <c r="O226" s="318" t="s">
        <v>8</v>
      </c>
      <c r="P226" s="318" t="s">
        <v>444</v>
      </c>
      <c r="Q226" s="318" t="s">
        <v>55</v>
      </c>
      <c r="R226" s="318" t="s">
        <v>445</v>
      </c>
      <c r="S226" s="303">
        <f t="shared" si="4"/>
        <v>5074798256.6799994</v>
      </c>
      <c r="T226" s="307">
        <f>+IFERROR(VLOOKUP(C226,'Tasas Diarias'!$B:$F,5,FALSE)*G226,0)</f>
        <v>8.9945863449228194E-6</v>
      </c>
      <c r="U226" s="311" t="str">
        <f ca="1">+VLOOKUP(C226,Spreads!$A$2:$G$345,7,0)</f>
        <v/>
      </c>
    </row>
    <row r="227" spans="1:21" ht="15" hidden="1" customHeight="1" thickTop="1" thickBot="1">
      <c r="A227" s="317" t="s">
        <v>2137</v>
      </c>
      <c r="B227" s="318" t="s">
        <v>234</v>
      </c>
      <c r="C227" s="318" t="s">
        <v>1529</v>
      </c>
      <c r="D227" s="318" t="s">
        <v>294</v>
      </c>
      <c r="E227" s="319">
        <v>396592517</v>
      </c>
      <c r="F227" s="319">
        <v>14000</v>
      </c>
      <c r="G227" s="314">
        <v>6.9649999999999998E-3</v>
      </c>
      <c r="H227" s="320">
        <v>2.16</v>
      </c>
      <c r="I227" s="318" t="s">
        <v>742</v>
      </c>
      <c r="J227" s="318">
        <v>2658</v>
      </c>
      <c r="K227" s="318">
        <v>6.58</v>
      </c>
      <c r="L227" s="318">
        <v>105.52</v>
      </c>
      <c r="M227" s="318" t="s">
        <v>6</v>
      </c>
      <c r="N227" s="318" t="s">
        <v>368</v>
      </c>
      <c r="O227" s="318" t="s">
        <v>8</v>
      </c>
      <c r="P227" s="318" t="s">
        <v>379</v>
      </c>
      <c r="Q227" s="318" t="s">
        <v>74</v>
      </c>
      <c r="R227" s="318" t="s">
        <v>407</v>
      </c>
      <c r="S227" s="303">
        <f t="shared" si="4"/>
        <v>2609578761.8600001</v>
      </c>
      <c r="T227" s="307">
        <f>+IFERROR(VLOOKUP(C227,'Tasas Diarias'!$B:$F,5,FALSE)*G227,0)</f>
        <v>4.6239648122493258E-6</v>
      </c>
      <c r="U227" s="311" t="e">
        <f>+VLOOKUP(C227,Spreads!$A$2:$G$345,7,0)</f>
        <v>#N/A</v>
      </c>
    </row>
    <row r="228" spans="1:21" ht="15" hidden="1" customHeight="1" thickTop="1" thickBot="1">
      <c r="A228" s="321" t="s">
        <v>2137</v>
      </c>
      <c r="B228" s="322" t="s">
        <v>234</v>
      </c>
      <c r="C228" s="322" t="s">
        <v>738</v>
      </c>
      <c r="D228" s="322" t="s">
        <v>290</v>
      </c>
      <c r="E228" s="323">
        <v>154695526</v>
      </c>
      <c r="F228" s="323">
        <v>5000</v>
      </c>
      <c r="G228" s="314">
        <v>2.7169999999999998E-3</v>
      </c>
      <c r="H228" s="322">
        <v>2.46</v>
      </c>
      <c r="I228" s="322" t="s">
        <v>723</v>
      </c>
      <c r="J228" s="322">
        <v>4759</v>
      </c>
      <c r="K228" s="322">
        <v>6.61</v>
      </c>
      <c r="L228" s="322">
        <v>113.63</v>
      </c>
      <c r="M228" s="322" t="s">
        <v>6</v>
      </c>
      <c r="N228" s="322" t="s">
        <v>368</v>
      </c>
      <c r="O228" s="322" t="s">
        <v>1350</v>
      </c>
      <c r="P228" s="322" t="s">
        <v>392</v>
      </c>
      <c r="Q228" s="322" t="s">
        <v>84</v>
      </c>
      <c r="R228" s="322" t="s">
        <v>582</v>
      </c>
      <c r="S228" s="303">
        <f t="shared" si="4"/>
        <v>1022537426.86</v>
      </c>
      <c r="T228" s="307">
        <f>+IFERROR(VLOOKUP(C228,'Tasas Diarias'!$B:$F,5,FALSE)*G228,0)</f>
        <v>1.8094212755981293E-6</v>
      </c>
      <c r="U228" s="311" t="str">
        <f ca="1">+VLOOKUP(C228,Spreads!$A$2:$G$345,7,0)</f>
        <v/>
      </c>
    </row>
    <row r="229" spans="1:21" ht="15" hidden="1" customHeight="1" thickTop="1" thickBot="1">
      <c r="A229" s="321" t="s">
        <v>2137</v>
      </c>
      <c r="B229" s="322" t="s">
        <v>234</v>
      </c>
      <c r="C229" s="322" t="s">
        <v>741</v>
      </c>
      <c r="D229" s="322" t="s">
        <v>24</v>
      </c>
      <c r="E229" s="323">
        <v>665891328</v>
      </c>
      <c r="F229" s="323">
        <v>24000</v>
      </c>
      <c r="G229" s="314">
        <v>1.1695000000000001E-2</v>
      </c>
      <c r="H229" s="324">
        <v>2.25</v>
      </c>
      <c r="I229" s="322" t="s">
        <v>742</v>
      </c>
      <c r="J229" s="322">
        <v>2658</v>
      </c>
      <c r="K229" s="322">
        <v>6.62</v>
      </c>
      <c r="L229" s="322">
        <v>103.4</v>
      </c>
      <c r="M229" s="322" t="s">
        <v>6</v>
      </c>
      <c r="N229" s="322" t="s">
        <v>368</v>
      </c>
      <c r="O229" s="322" t="s">
        <v>8</v>
      </c>
      <c r="P229" s="322" t="s">
        <v>392</v>
      </c>
      <c r="Q229" s="322" t="s">
        <v>51</v>
      </c>
      <c r="R229" s="322" t="s">
        <v>414</v>
      </c>
      <c r="S229" s="303">
        <f t="shared" si="4"/>
        <v>4408200591.3599997</v>
      </c>
      <c r="T229" s="307">
        <f>+IFERROR(VLOOKUP(C229,'Tasas Diarias'!$B:$F,5,FALSE)*G229,0)</f>
        <v>7.8109421175678444E-6</v>
      </c>
      <c r="U229" s="311" t="str">
        <f ca="1">+VLOOKUP(C229,Spreads!$A$2:$G$345,7,0)</f>
        <v/>
      </c>
    </row>
    <row r="230" spans="1:21" ht="15" hidden="1" customHeight="1" thickTop="1" thickBot="1">
      <c r="A230" s="321" t="s">
        <v>2137</v>
      </c>
      <c r="B230" s="322" t="s">
        <v>234</v>
      </c>
      <c r="C230" s="322" t="s">
        <v>746</v>
      </c>
      <c r="D230" s="322" t="s">
        <v>182</v>
      </c>
      <c r="E230" s="323">
        <v>589774374</v>
      </c>
      <c r="F230" s="323">
        <v>20000</v>
      </c>
      <c r="G230" s="314">
        <v>1.0357999999999999E-2</v>
      </c>
      <c r="H230" s="336">
        <v>2.16</v>
      </c>
      <c r="I230" s="322" t="s">
        <v>747</v>
      </c>
      <c r="J230" s="322">
        <v>2780</v>
      </c>
      <c r="K230" s="322">
        <v>6.72</v>
      </c>
      <c r="L230" s="322">
        <v>109.1</v>
      </c>
      <c r="M230" s="322" t="s">
        <v>6</v>
      </c>
      <c r="N230" s="322" t="s">
        <v>368</v>
      </c>
      <c r="O230" s="322" t="s">
        <v>8</v>
      </c>
      <c r="P230" s="322" t="s">
        <v>7</v>
      </c>
      <c r="Q230" s="322" t="s">
        <v>390</v>
      </c>
      <c r="R230" s="322" t="s">
        <v>402</v>
      </c>
      <c r="S230" s="303">
        <f t="shared" si="4"/>
        <v>3963283793.2799997</v>
      </c>
      <c r="T230" s="307">
        <f>+IFERROR(VLOOKUP(C230,'Tasas Diarias'!$B:$F,5,FALSE)*G230,0)</f>
        <v>1.4031937014980006E-5</v>
      </c>
      <c r="U230" s="311" t="str">
        <f ca="1">+VLOOKUP(C230,Spreads!$A$2:$G$345,7,0)</f>
        <v/>
      </c>
    </row>
    <row r="231" spans="1:21" ht="15" hidden="1" customHeight="1" thickTop="1" thickBot="1">
      <c r="A231" s="327" t="s">
        <v>2137</v>
      </c>
      <c r="B231" s="328" t="s">
        <v>234</v>
      </c>
      <c r="C231" s="328" t="s">
        <v>748</v>
      </c>
      <c r="D231" s="328" t="s">
        <v>32</v>
      </c>
      <c r="E231" s="328">
        <v>476440779</v>
      </c>
      <c r="F231" s="328">
        <v>17000</v>
      </c>
      <c r="G231" s="332">
        <v>8.3680000000000004E-3</v>
      </c>
      <c r="H231" s="329">
        <v>2.29</v>
      </c>
      <c r="I231" s="328" t="s">
        <v>749</v>
      </c>
      <c r="J231" s="328">
        <v>2719</v>
      </c>
      <c r="K231" s="328">
        <v>6.74</v>
      </c>
      <c r="L231" s="328">
        <v>104.92</v>
      </c>
      <c r="M231" s="328" t="s">
        <v>6</v>
      </c>
      <c r="N231" s="328" t="s">
        <v>368</v>
      </c>
      <c r="O231" s="328" t="s">
        <v>8</v>
      </c>
      <c r="P231" s="328" t="s">
        <v>379</v>
      </c>
      <c r="Q231" s="328" t="s">
        <v>67</v>
      </c>
      <c r="R231" s="328" t="s">
        <v>389</v>
      </c>
      <c r="S231" s="303">
        <f t="shared" si="4"/>
        <v>3211210850.46</v>
      </c>
      <c r="T231" s="307">
        <f>+IFERROR(VLOOKUP(C231,'Tasas Diarias'!$B:$F,5,FALSE)*G231,0)</f>
        <v>1.1218094110115239E-5</v>
      </c>
      <c r="U231" s="311" t="str">
        <f ca="1">+VLOOKUP(C231,Spreads!$A$2:$G$345,7,0)</f>
        <v/>
      </c>
    </row>
    <row r="232" spans="1:21" ht="15" hidden="1" customHeight="1" thickTop="1" thickBot="1">
      <c r="A232" s="317" t="s">
        <v>2137</v>
      </c>
      <c r="B232" s="318" t="s">
        <v>234</v>
      </c>
      <c r="C232" s="318" t="s">
        <v>1501</v>
      </c>
      <c r="D232" s="318" t="s">
        <v>294</v>
      </c>
      <c r="E232" s="319">
        <v>714303970</v>
      </c>
      <c r="F232" s="319">
        <v>25000</v>
      </c>
      <c r="G232" s="314">
        <v>1.2546E-2</v>
      </c>
      <c r="H232" s="320">
        <v>2.16</v>
      </c>
      <c r="I232" s="318" t="s">
        <v>1502</v>
      </c>
      <c r="J232" s="318">
        <v>2750</v>
      </c>
      <c r="K232" s="318">
        <v>6.74</v>
      </c>
      <c r="L232" s="318">
        <v>105.65</v>
      </c>
      <c r="M232" s="318" t="s">
        <v>6</v>
      </c>
      <c r="N232" s="318" t="s">
        <v>368</v>
      </c>
      <c r="O232" s="318" t="s">
        <v>8</v>
      </c>
      <c r="P232" s="318" t="s">
        <v>379</v>
      </c>
      <c r="Q232" s="318" t="s">
        <v>74</v>
      </c>
      <c r="R232" s="318" t="s">
        <v>407</v>
      </c>
      <c r="S232" s="303">
        <f t="shared" si="4"/>
        <v>4814408757.8000002</v>
      </c>
      <c r="T232" s="307">
        <f>+IFERROR(VLOOKUP(C232,'Tasas Diarias'!$B:$F,5,FALSE)*G232,0)</f>
        <v>1.704241483192791E-5</v>
      </c>
      <c r="U232" s="311" t="e">
        <f>+VLOOKUP(C232,Spreads!$A$2:$G$345,7,0)</f>
        <v>#N/A</v>
      </c>
    </row>
    <row r="233" spans="1:21" ht="15" hidden="1" customHeight="1" thickTop="1" thickBot="1">
      <c r="A233" s="321" t="s">
        <v>2137</v>
      </c>
      <c r="B233" s="322" t="s">
        <v>234</v>
      </c>
      <c r="C233" s="322" t="s">
        <v>2105</v>
      </c>
      <c r="D233" s="322" t="s">
        <v>11</v>
      </c>
      <c r="E233" s="323">
        <v>567893825</v>
      </c>
      <c r="F233" s="323">
        <v>20000</v>
      </c>
      <c r="G233" s="314">
        <v>9.9740000000000002E-3</v>
      </c>
      <c r="H233" s="324">
        <v>2.25</v>
      </c>
      <c r="I233" s="322" t="s">
        <v>747</v>
      </c>
      <c r="J233" s="322">
        <v>2780</v>
      </c>
      <c r="K233" s="322">
        <v>6.82</v>
      </c>
      <c r="L233" s="322">
        <v>105.24</v>
      </c>
      <c r="M233" s="322" t="s">
        <v>6</v>
      </c>
      <c r="N233" s="322" t="s">
        <v>368</v>
      </c>
      <c r="O233" s="322" t="s">
        <v>8</v>
      </c>
      <c r="P233" s="322" t="s">
        <v>7</v>
      </c>
      <c r="Q233" s="322" t="s">
        <v>326</v>
      </c>
      <c r="R233" s="322" t="s">
        <v>450</v>
      </c>
      <c r="S233" s="303">
        <f t="shared" si="4"/>
        <v>3873035886.5</v>
      </c>
      <c r="T233" s="307">
        <f>+IFERROR(VLOOKUP(C233,'Tasas Diarias'!$B:$F,5,FALSE)*G233,0)</f>
        <v>0</v>
      </c>
      <c r="U233" s="311" t="e">
        <f>+VLOOKUP(C233,Spreads!$A$2:$G$345,7,0)</f>
        <v>#N/A</v>
      </c>
    </row>
    <row r="234" spans="1:21" ht="15" hidden="1" customHeight="1" thickTop="1" thickBot="1">
      <c r="A234" s="321" t="s">
        <v>2137</v>
      </c>
      <c r="B234" s="322" t="s">
        <v>234</v>
      </c>
      <c r="C234" s="322" t="s">
        <v>1266</v>
      </c>
      <c r="D234" s="322" t="s">
        <v>176</v>
      </c>
      <c r="E234" s="323">
        <v>441960111</v>
      </c>
      <c r="F234" s="323">
        <v>20000</v>
      </c>
      <c r="G234" s="314">
        <v>7.7619999999999998E-3</v>
      </c>
      <c r="H234" s="324">
        <v>2.5499999999999998</v>
      </c>
      <c r="I234" s="322" t="s">
        <v>1267</v>
      </c>
      <c r="J234" s="322">
        <v>5611</v>
      </c>
      <c r="K234" s="322">
        <v>6.83</v>
      </c>
      <c r="L234" s="322">
        <v>106.4</v>
      </c>
      <c r="M234" s="322" t="s">
        <v>6</v>
      </c>
      <c r="N234" s="322" t="s">
        <v>368</v>
      </c>
      <c r="O234" s="322" t="s">
        <v>8</v>
      </c>
      <c r="P234" s="322" t="s">
        <v>392</v>
      </c>
      <c r="Q234" s="322" t="s">
        <v>326</v>
      </c>
      <c r="R234" s="322" t="s">
        <v>1268</v>
      </c>
      <c r="S234" s="303">
        <f t="shared" si="4"/>
        <v>3018587558.1300001</v>
      </c>
      <c r="T234" s="307">
        <f>+IFERROR(VLOOKUP(C234,'Tasas Diarias'!$B:$F,5,FALSE)*G234,0)</f>
        <v>0</v>
      </c>
      <c r="U234" s="311" t="str">
        <f ca="1">+VLOOKUP(C234,Spreads!$A$2:$G$345,7,0)</f>
        <v/>
      </c>
    </row>
    <row r="235" spans="1:21" ht="15" hidden="1" customHeight="1" thickTop="1" thickBot="1">
      <c r="A235" s="317" t="s">
        <v>2137</v>
      </c>
      <c r="B235" s="318" t="s">
        <v>234</v>
      </c>
      <c r="C235" s="318" t="s">
        <v>752</v>
      </c>
      <c r="D235" s="318" t="s">
        <v>286</v>
      </c>
      <c r="E235" s="319">
        <v>683962738</v>
      </c>
      <c r="F235" s="319">
        <v>24500</v>
      </c>
      <c r="G235" s="314">
        <v>1.2012999999999999E-2</v>
      </c>
      <c r="H235" s="318">
        <v>2.3199999999999998</v>
      </c>
      <c r="I235" s="318" t="s">
        <v>753</v>
      </c>
      <c r="J235" s="318">
        <v>2842</v>
      </c>
      <c r="K235" s="318">
        <v>7.01</v>
      </c>
      <c r="L235" s="318">
        <v>104.02</v>
      </c>
      <c r="M235" s="318" t="s">
        <v>6</v>
      </c>
      <c r="N235" s="318" t="s">
        <v>368</v>
      </c>
      <c r="O235" s="318" t="s">
        <v>1346</v>
      </c>
      <c r="P235" s="318" t="s">
        <v>392</v>
      </c>
      <c r="Q235" s="318" t="s">
        <v>286</v>
      </c>
      <c r="R235" s="318" t="s">
        <v>754</v>
      </c>
      <c r="S235" s="303">
        <f t="shared" si="4"/>
        <v>4794578793.3800001</v>
      </c>
      <c r="T235" s="307">
        <f>+IFERROR(VLOOKUP(C235,'Tasas Diarias'!$B:$F,5,FALSE)*G235,0)</f>
        <v>0</v>
      </c>
      <c r="U235" s="311" t="str">
        <f ca="1">+VLOOKUP(C235,Spreads!$A$2:$G$345,7,0)</f>
        <v/>
      </c>
    </row>
    <row r="236" spans="1:21" ht="15" hidden="1" customHeight="1" thickTop="1" thickBot="1">
      <c r="A236" s="327" t="s">
        <v>2137</v>
      </c>
      <c r="B236" s="328" t="s">
        <v>234</v>
      </c>
      <c r="C236" s="328" t="s">
        <v>750</v>
      </c>
      <c r="D236" s="328" t="s">
        <v>396</v>
      </c>
      <c r="E236" s="330">
        <v>883806137</v>
      </c>
      <c r="F236" s="343">
        <v>28000</v>
      </c>
      <c r="G236" s="332">
        <v>1.5523E-2</v>
      </c>
      <c r="H236" s="329">
        <v>2.42</v>
      </c>
      <c r="I236" s="328" t="s">
        <v>751</v>
      </c>
      <c r="J236" s="328">
        <v>4863</v>
      </c>
      <c r="K236" s="328">
        <v>7.02</v>
      </c>
      <c r="L236" s="328">
        <v>114.84</v>
      </c>
      <c r="M236" s="328" t="s">
        <v>6</v>
      </c>
      <c r="N236" s="328" t="s">
        <v>368</v>
      </c>
      <c r="O236" s="328" t="s">
        <v>8</v>
      </c>
      <c r="P236" s="328" t="s">
        <v>392</v>
      </c>
      <c r="Q236" s="328" t="s">
        <v>398</v>
      </c>
      <c r="R236" s="328" t="s">
        <v>399</v>
      </c>
      <c r="S236" s="303">
        <f t="shared" si="4"/>
        <v>6204319081.7399998</v>
      </c>
      <c r="T236" s="307">
        <f>+IFERROR(VLOOKUP(C236,'Tasas Diarias'!$B:$F,5,FALSE)*G236,0)</f>
        <v>2.1966028440072511E-5</v>
      </c>
      <c r="U236" s="311" t="str">
        <f ca="1">+VLOOKUP(C236,Spreads!$A$2:$G$345,7,0)</f>
        <v/>
      </c>
    </row>
    <row r="237" spans="1:21" ht="15" hidden="1" customHeight="1" thickTop="1" thickBot="1">
      <c r="A237" s="321" t="s">
        <v>2137</v>
      </c>
      <c r="B237" s="322" t="s">
        <v>234</v>
      </c>
      <c r="C237" s="322" t="s">
        <v>1899</v>
      </c>
      <c r="D237" s="322" t="s">
        <v>24</v>
      </c>
      <c r="E237" s="323">
        <v>138231082</v>
      </c>
      <c r="F237" s="323">
        <v>5000</v>
      </c>
      <c r="G237" s="314">
        <v>2.4269999999999999E-3</v>
      </c>
      <c r="H237" s="324">
        <v>2.33</v>
      </c>
      <c r="I237" s="322" t="s">
        <v>753</v>
      </c>
      <c r="J237" s="322">
        <v>2842</v>
      </c>
      <c r="K237" s="322">
        <v>7.04</v>
      </c>
      <c r="L237" s="322">
        <v>103.04</v>
      </c>
      <c r="M237" s="322" t="s">
        <v>6</v>
      </c>
      <c r="N237" s="322" t="s">
        <v>368</v>
      </c>
      <c r="O237" s="322" t="s">
        <v>8</v>
      </c>
      <c r="P237" s="322" t="s">
        <v>392</v>
      </c>
      <c r="Q237" s="322" t="s">
        <v>51</v>
      </c>
      <c r="R237" s="322" t="s">
        <v>414</v>
      </c>
      <c r="S237" s="303">
        <f t="shared" si="4"/>
        <v>973146817.27999997</v>
      </c>
      <c r="T237" s="307">
        <f>+IFERROR(VLOOKUP(C237,'Tasas Diarias'!$B:$F,5,FALSE)*G237,0)</f>
        <v>1.7206339410603832E-6</v>
      </c>
      <c r="U237" s="311" t="e">
        <f>+VLOOKUP(C237,Spreads!$A$2:$G$345,7,0)</f>
        <v>#N/A</v>
      </c>
    </row>
    <row r="238" spans="1:21" ht="15" hidden="1" customHeight="1" thickTop="1" thickBot="1">
      <c r="A238" s="317" t="s">
        <v>2137</v>
      </c>
      <c r="B238" s="318" t="s">
        <v>234</v>
      </c>
      <c r="C238" s="318" t="s">
        <v>1420</v>
      </c>
      <c r="D238" s="318" t="s">
        <v>32</v>
      </c>
      <c r="E238" s="319">
        <v>422095317</v>
      </c>
      <c r="F238" s="319">
        <v>15000</v>
      </c>
      <c r="G238" s="314">
        <v>7.4130000000000003E-3</v>
      </c>
      <c r="H238" s="320">
        <v>2.2999999999999998</v>
      </c>
      <c r="I238" s="318" t="s">
        <v>1421</v>
      </c>
      <c r="J238" s="318">
        <v>2872</v>
      </c>
      <c r="K238" s="318">
        <v>7.06</v>
      </c>
      <c r="L238" s="318">
        <v>105.07</v>
      </c>
      <c r="M238" s="318" t="s">
        <v>6</v>
      </c>
      <c r="N238" s="318" t="s">
        <v>368</v>
      </c>
      <c r="O238" s="318" t="s">
        <v>8</v>
      </c>
      <c r="P238" s="318" t="s">
        <v>379</v>
      </c>
      <c r="Q238" s="318" t="s">
        <v>67</v>
      </c>
      <c r="R238" s="318" t="s">
        <v>389</v>
      </c>
      <c r="S238" s="303">
        <f t="shared" si="4"/>
        <v>2979992938.02</v>
      </c>
      <c r="T238" s="307">
        <f>+IFERROR(VLOOKUP(C238,'Tasas Diarias'!$B:$F,5,FALSE)*G238,0)</f>
        <v>5.2795082386979539E-6</v>
      </c>
      <c r="U238" s="311" t="e">
        <f>+VLOOKUP(C238,Spreads!$A$2:$G$345,7,0)</f>
        <v>#N/A</v>
      </c>
    </row>
    <row r="239" spans="1:21" ht="15" hidden="1" customHeight="1" thickTop="1" thickBot="1">
      <c r="A239" s="317" t="s">
        <v>2137</v>
      </c>
      <c r="B239" s="318" t="s">
        <v>234</v>
      </c>
      <c r="C239" s="318" t="s">
        <v>743</v>
      </c>
      <c r="D239" s="318" t="s">
        <v>58</v>
      </c>
      <c r="E239" s="319">
        <v>440496523</v>
      </c>
      <c r="F239" s="319">
        <v>18500</v>
      </c>
      <c r="G239" s="314">
        <v>7.7359999999999998E-3</v>
      </c>
      <c r="H239" s="318">
        <v>2.6</v>
      </c>
      <c r="I239" s="318" t="s">
        <v>744</v>
      </c>
      <c r="J239" s="318">
        <v>6076</v>
      </c>
      <c r="K239" s="318">
        <v>7.11</v>
      </c>
      <c r="L239" s="318">
        <v>108.78</v>
      </c>
      <c r="M239" s="318" t="s">
        <v>6</v>
      </c>
      <c r="N239" s="318" t="s">
        <v>368</v>
      </c>
      <c r="O239" s="318" t="s">
        <v>8</v>
      </c>
      <c r="P239" s="318" t="s">
        <v>392</v>
      </c>
      <c r="Q239" s="318" t="s">
        <v>58</v>
      </c>
      <c r="R239" s="318" t="s">
        <v>745</v>
      </c>
      <c r="S239" s="303">
        <f t="shared" si="4"/>
        <v>3131930278.5300002</v>
      </c>
      <c r="T239" s="307">
        <f>+IFERROR(VLOOKUP(C239,'Tasas Diarias'!$B:$F,5,FALSE)*G239,0)</f>
        <v>5.5351311769127654E-6</v>
      </c>
      <c r="U239" s="311" t="str">
        <f ca="1">+VLOOKUP(C239,Spreads!$A$2:$G$345,7,0)</f>
        <v/>
      </c>
    </row>
    <row r="240" spans="1:21" ht="15" hidden="1" customHeight="1" thickTop="1" thickBot="1">
      <c r="A240" s="317" t="s">
        <v>2137</v>
      </c>
      <c r="B240" s="318" t="s">
        <v>234</v>
      </c>
      <c r="C240" s="318" t="s">
        <v>755</v>
      </c>
      <c r="D240" s="318" t="s">
        <v>514</v>
      </c>
      <c r="E240" s="319">
        <v>90920103</v>
      </c>
      <c r="F240" s="319">
        <v>3000</v>
      </c>
      <c r="G240" s="314">
        <v>1.596E-3</v>
      </c>
      <c r="H240" s="320">
        <v>2.31</v>
      </c>
      <c r="I240" s="318" t="s">
        <v>756</v>
      </c>
      <c r="J240" s="318">
        <v>5016</v>
      </c>
      <c r="K240" s="318">
        <v>7.29</v>
      </c>
      <c r="L240" s="318">
        <v>112.46</v>
      </c>
      <c r="M240" s="318" t="s">
        <v>6</v>
      </c>
      <c r="N240" s="318" t="s">
        <v>368</v>
      </c>
      <c r="O240" s="318" t="s">
        <v>421</v>
      </c>
      <c r="P240" s="318" t="s">
        <v>7</v>
      </c>
      <c r="Q240" s="318" t="s">
        <v>515</v>
      </c>
      <c r="R240" s="318" t="s">
        <v>516</v>
      </c>
      <c r="S240" s="303">
        <f t="shared" si="4"/>
        <v>662807550.87</v>
      </c>
      <c r="T240" s="307">
        <f>+IFERROR(VLOOKUP(C240,'Tasas Diarias'!$B:$F,5,FALSE)*G240,0)</f>
        <v>1.1718958693186384E-6</v>
      </c>
      <c r="U240" s="311" t="str">
        <f ca="1">+VLOOKUP(C240,Spreads!$A$2:$G$345,7,0)</f>
        <v/>
      </c>
    </row>
    <row r="241" spans="1:21" ht="15" hidden="1" customHeight="1" thickTop="1" thickBot="1">
      <c r="A241" s="321" t="s">
        <v>2137</v>
      </c>
      <c r="B241" s="322" t="s">
        <v>234</v>
      </c>
      <c r="C241" s="322" t="s">
        <v>1045</v>
      </c>
      <c r="D241" s="322" t="s">
        <v>16</v>
      </c>
      <c r="E241" s="323">
        <v>642268184</v>
      </c>
      <c r="F241" s="323">
        <v>20000</v>
      </c>
      <c r="G241" s="314">
        <v>1.128E-2</v>
      </c>
      <c r="H241" s="324">
        <v>2.36</v>
      </c>
      <c r="I241" s="322" t="s">
        <v>664</v>
      </c>
      <c r="J241" s="322">
        <v>3207</v>
      </c>
      <c r="K241" s="322">
        <v>7.36</v>
      </c>
      <c r="L241" s="322">
        <v>119.16</v>
      </c>
      <c r="M241" s="322" t="s">
        <v>6</v>
      </c>
      <c r="N241" s="322" t="s">
        <v>368</v>
      </c>
      <c r="O241" s="322" t="s">
        <v>8</v>
      </c>
      <c r="P241" s="322" t="s">
        <v>7</v>
      </c>
      <c r="Q241" s="322" t="s">
        <v>61</v>
      </c>
      <c r="R241" s="322" t="s">
        <v>394</v>
      </c>
      <c r="S241" s="303">
        <f t="shared" si="4"/>
        <v>4727093834.2399998</v>
      </c>
      <c r="T241" s="307">
        <f>+IFERROR(VLOOKUP(C241,'Tasas Diarias'!$B:$F,5,FALSE)*G241,0)</f>
        <v>8.3616251123184185E-6</v>
      </c>
      <c r="U241" s="311" t="str">
        <f ca="1">+VLOOKUP(C241,Spreads!$A$2:$G$345,7,0)</f>
        <v/>
      </c>
    </row>
    <row r="242" spans="1:21" ht="15" hidden="1" customHeight="1" thickTop="1" thickBot="1">
      <c r="A242" s="317" t="s">
        <v>2137</v>
      </c>
      <c r="B242" s="318" t="s">
        <v>234</v>
      </c>
      <c r="C242" s="318" t="s">
        <v>763</v>
      </c>
      <c r="D242" s="318" t="s">
        <v>764</v>
      </c>
      <c r="E242" s="319">
        <v>62482260</v>
      </c>
      <c r="F242" s="319">
        <v>2000</v>
      </c>
      <c r="G242" s="314">
        <v>1.0970000000000001E-3</v>
      </c>
      <c r="H242" s="320">
        <v>2.61</v>
      </c>
      <c r="I242" s="318" t="s">
        <v>765</v>
      </c>
      <c r="J242" s="318">
        <v>4282</v>
      </c>
      <c r="K242" s="318">
        <v>7.5</v>
      </c>
      <c r="L242" s="318">
        <v>115.68</v>
      </c>
      <c r="M242" s="318" t="s">
        <v>6</v>
      </c>
      <c r="N242" s="318" t="s">
        <v>368</v>
      </c>
      <c r="O242" s="318" t="s">
        <v>1347</v>
      </c>
      <c r="P242" s="318" t="s">
        <v>392</v>
      </c>
      <c r="Q242" s="318" t="s">
        <v>766</v>
      </c>
      <c r="R242" s="318" t="s">
        <v>767</v>
      </c>
      <c r="S242" s="303">
        <f t="shared" si="4"/>
        <v>468616950</v>
      </c>
      <c r="T242" s="307">
        <f>+IFERROR(VLOOKUP(C242,'Tasas Diarias'!$B:$F,5,FALSE)*G242,0)</f>
        <v>1.6581294525632252E-6</v>
      </c>
      <c r="U242" s="311" t="str">
        <f ca="1">+VLOOKUP(C242,Spreads!$A$2:$G$345,7,0)</f>
        <v/>
      </c>
    </row>
    <row r="243" spans="1:21" ht="15" hidden="1" customHeight="1" thickTop="1" thickBot="1">
      <c r="A243" s="317" t="s">
        <v>2137</v>
      </c>
      <c r="B243" s="318" t="s">
        <v>234</v>
      </c>
      <c r="C243" s="318" t="s">
        <v>760</v>
      </c>
      <c r="D243" s="318" t="s">
        <v>181</v>
      </c>
      <c r="E243" s="319">
        <v>795727425</v>
      </c>
      <c r="F243" s="319">
        <v>25000</v>
      </c>
      <c r="G243" s="314">
        <v>1.3976000000000001E-2</v>
      </c>
      <c r="H243" s="320">
        <v>2.48</v>
      </c>
      <c r="I243" s="318" t="s">
        <v>761</v>
      </c>
      <c r="J243" s="318">
        <v>5504</v>
      </c>
      <c r="K243" s="318">
        <v>7.51</v>
      </c>
      <c r="L243" s="318">
        <v>116.99</v>
      </c>
      <c r="M243" s="318" t="s">
        <v>6</v>
      </c>
      <c r="N243" s="318" t="s">
        <v>368</v>
      </c>
      <c r="O243" s="318" t="s">
        <v>530</v>
      </c>
      <c r="P243" s="318" t="s">
        <v>392</v>
      </c>
      <c r="Q243" s="318" t="s">
        <v>85</v>
      </c>
      <c r="R243" s="318" t="s">
        <v>762</v>
      </c>
      <c r="S243" s="303">
        <f t="shared" si="4"/>
        <v>5975912961.75</v>
      </c>
      <c r="T243" s="307">
        <f>+IFERROR(VLOOKUP(C243,'Tasas Diarias'!$B:$F,5,FALSE)*G243,0)</f>
        <v>1.052184783770851E-5</v>
      </c>
      <c r="U243" s="311" t="str">
        <f ca="1">+VLOOKUP(C243,Spreads!$A$2:$G$345,7,0)</f>
        <v/>
      </c>
    </row>
    <row r="244" spans="1:21" ht="15" hidden="1" customHeight="1" thickTop="1" thickBot="1">
      <c r="A244" s="317" t="s">
        <v>2137</v>
      </c>
      <c r="B244" s="318" t="s">
        <v>234</v>
      </c>
      <c r="C244" s="318" t="s">
        <v>768</v>
      </c>
      <c r="D244" s="318" t="s">
        <v>168</v>
      </c>
      <c r="E244" s="319">
        <v>59097950</v>
      </c>
      <c r="F244" s="319">
        <v>2000</v>
      </c>
      <c r="G244" s="314">
        <v>1.0380000000000001E-3</v>
      </c>
      <c r="H244" s="318">
        <v>2.34</v>
      </c>
      <c r="I244" s="318" t="s">
        <v>769</v>
      </c>
      <c r="J244" s="318">
        <v>3176</v>
      </c>
      <c r="K244" s="318">
        <v>7.55</v>
      </c>
      <c r="L244" s="318">
        <v>109.61</v>
      </c>
      <c r="M244" s="318" t="s">
        <v>6</v>
      </c>
      <c r="N244" s="318" t="s">
        <v>368</v>
      </c>
      <c r="O244" s="318" t="s">
        <v>8</v>
      </c>
      <c r="P244" s="318" t="s">
        <v>379</v>
      </c>
      <c r="Q244" s="318" t="s">
        <v>77</v>
      </c>
      <c r="R244" s="318" t="s">
        <v>453</v>
      </c>
      <c r="S244" s="303">
        <f t="shared" si="4"/>
        <v>446189522.5</v>
      </c>
      <c r="T244" s="307">
        <f>+IFERROR(VLOOKUP(C244,'Tasas Diarias'!$B:$F,5,FALSE)*G244,0)</f>
        <v>7.8929732990272119E-7</v>
      </c>
      <c r="U244" s="311" t="str">
        <f ca="1">+VLOOKUP(C244,Spreads!$A$2:$G$345,7,0)</f>
        <v/>
      </c>
    </row>
    <row r="245" spans="1:21" ht="15" hidden="1" customHeight="1" thickTop="1" thickBot="1">
      <c r="A245" s="317" t="s">
        <v>2137</v>
      </c>
      <c r="B245" s="318" t="s">
        <v>234</v>
      </c>
      <c r="C245" s="318" t="s">
        <v>1422</v>
      </c>
      <c r="D245" s="318" t="s">
        <v>11</v>
      </c>
      <c r="E245" s="319">
        <v>1015410082</v>
      </c>
      <c r="F245" s="319">
        <v>36000</v>
      </c>
      <c r="G245" s="314">
        <v>1.7833999999999999E-2</v>
      </c>
      <c r="H245" s="320">
        <v>2.42</v>
      </c>
      <c r="I245" s="318" t="s">
        <v>1423</v>
      </c>
      <c r="J245" s="318">
        <v>3145</v>
      </c>
      <c r="K245" s="318">
        <v>7.6</v>
      </c>
      <c r="L245" s="318">
        <v>104.53</v>
      </c>
      <c r="M245" s="318" t="s">
        <v>6</v>
      </c>
      <c r="N245" s="318" t="s">
        <v>368</v>
      </c>
      <c r="O245" s="318" t="s">
        <v>8</v>
      </c>
      <c r="P245" s="318" t="s">
        <v>7</v>
      </c>
      <c r="Q245" s="318" t="s">
        <v>326</v>
      </c>
      <c r="R245" s="318" t="s">
        <v>404</v>
      </c>
      <c r="S245" s="303">
        <f t="shared" si="4"/>
        <v>7717116623.1999998</v>
      </c>
      <c r="T245" s="307">
        <f>+IFERROR(VLOOKUP(C245,'Tasas Diarias'!$B:$F,5,FALSE)*G245,0)</f>
        <v>5.4575203308833187E-5</v>
      </c>
      <c r="U245" s="311" t="e">
        <f>+VLOOKUP(C245,Spreads!$A$2:$G$345,7,0)</f>
        <v>#N/A</v>
      </c>
    </row>
    <row r="246" spans="1:21" ht="15" hidden="1" customHeight="1" thickTop="1" thickBot="1">
      <c r="A246" s="317" t="s">
        <v>2137</v>
      </c>
      <c r="B246" s="318" t="s">
        <v>234</v>
      </c>
      <c r="C246" s="318" t="s">
        <v>1424</v>
      </c>
      <c r="D246" s="318" t="s">
        <v>1236</v>
      </c>
      <c r="E246" s="319">
        <v>387450309</v>
      </c>
      <c r="F246" s="319">
        <v>600000</v>
      </c>
      <c r="G246" s="314">
        <v>6.8050000000000003E-3</v>
      </c>
      <c r="H246" s="320">
        <v>0</v>
      </c>
      <c r="I246" s="318" t="s">
        <v>1425</v>
      </c>
      <c r="J246" s="318">
        <v>3422</v>
      </c>
      <c r="K246" s="318">
        <v>7.77</v>
      </c>
      <c r="L246" s="318">
        <v>102.0819</v>
      </c>
      <c r="M246" s="318" t="s">
        <v>369</v>
      </c>
      <c r="N246" s="318" t="s">
        <v>368</v>
      </c>
      <c r="O246" s="318" t="s">
        <v>1348</v>
      </c>
      <c r="P246" s="318" t="s">
        <v>7</v>
      </c>
      <c r="Q246" s="318" t="s">
        <v>86</v>
      </c>
      <c r="R246" s="318" t="s">
        <v>1352</v>
      </c>
      <c r="S246" s="303">
        <f t="shared" si="4"/>
        <v>3010488900.9299998</v>
      </c>
      <c r="T246" s="307">
        <f>+IFERROR(VLOOKUP(C246,'Tasas Diarias'!$B:$F,5,FALSE)*G246,0)</f>
        <v>0</v>
      </c>
      <c r="U246" s="311" t="e">
        <f>+VLOOKUP(C246,Spreads!$A$2:$G$345,7,0)</f>
        <v>#N/A</v>
      </c>
    </row>
    <row r="247" spans="1:21" ht="15" hidden="1" customHeight="1" thickTop="1" thickBot="1">
      <c r="A247" s="321" t="s">
        <v>2137</v>
      </c>
      <c r="B247" s="322" t="s">
        <v>234</v>
      </c>
      <c r="C247" s="322" t="s">
        <v>19</v>
      </c>
      <c r="D247" s="322" t="s">
        <v>116</v>
      </c>
      <c r="E247" s="323">
        <v>1049697780</v>
      </c>
      <c r="F247" s="323">
        <v>40000</v>
      </c>
      <c r="G247" s="314">
        <v>1.8436999999999999E-2</v>
      </c>
      <c r="H247" s="324">
        <v>1.76</v>
      </c>
      <c r="I247" s="322" t="s">
        <v>770</v>
      </c>
      <c r="J247" s="322">
        <v>3023</v>
      </c>
      <c r="K247" s="322">
        <v>7.79</v>
      </c>
      <c r="L247" s="322">
        <v>98.07</v>
      </c>
      <c r="M247" s="322" t="s">
        <v>6</v>
      </c>
      <c r="N247" s="322" t="s">
        <v>458</v>
      </c>
      <c r="O247" s="322" t="s">
        <v>378</v>
      </c>
      <c r="P247" s="322" t="s">
        <v>379</v>
      </c>
      <c r="Q247" s="322" t="s">
        <v>2139</v>
      </c>
      <c r="R247" s="322" t="s">
        <v>508</v>
      </c>
      <c r="S247" s="303">
        <f t="shared" si="4"/>
        <v>8177145706.1999998</v>
      </c>
      <c r="T247" s="307">
        <f>+IFERROR(VLOOKUP(C247,'Tasas Diarias'!$B:$F,5,FALSE)*G247,0)</f>
        <v>4.3398613550138742E-5</v>
      </c>
      <c r="U247" s="311" t="str">
        <f>+VLOOKUP(C247,Spreads!$A$2:$G$345,7,0)</f>
        <v/>
      </c>
    </row>
    <row r="248" spans="1:21" ht="15" hidden="1" customHeight="1" thickTop="1" thickBot="1">
      <c r="A248" s="317" t="s">
        <v>2137</v>
      </c>
      <c r="B248" s="318" t="s">
        <v>234</v>
      </c>
      <c r="C248" s="318" t="s">
        <v>1201</v>
      </c>
      <c r="D248" s="318" t="s">
        <v>1222</v>
      </c>
      <c r="E248" s="319">
        <v>276253736</v>
      </c>
      <c r="F248" s="319">
        <v>10000</v>
      </c>
      <c r="G248" s="314">
        <v>4.8520000000000004E-3</v>
      </c>
      <c r="H248" s="320">
        <v>2.5</v>
      </c>
      <c r="I248" s="318" t="s">
        <v>671</v>
      </c>
      <c r="J248" s="318">
        <v>3312</v>
      </c>
      <c r="K248" s="318">
        <v>8</v>
      </c>
      <c r="L248" s="318">
        <v>102.35</v>
      </c>
      <c r="M248" s="318" t="s">
        <v>6</v>
      </c>
      <c r="N248" s="318" t="s">
        <v>368</v>
      </c>
      <c r="O248" s="318" t="s">
        <v>421</v>
      </c>
      <c r="P248" s="318" t="s">
        <v>392</v>
      </c>
      <c r="Q248" s="318" t="s">
        <v>1223</v>
      </c>
      <c r="R248" s="318" t="s">
        <v>1224</v>
      </c>
      <c r="S248" s="303">
        <f t="shared" si="4"/>
        <v>2210029888</v>
      </c>
      <c r="T248" s="307">
        <f>+IFERROR(VLOOKUP(C248,'Tasas Diarias'!$B:$F,5,FALSE)*G248,0)</f>
        <v>3.9109047908388293E-6</v>
      </c>
      <c r="U248" s="311" t="str">
        <f ca="1">+VLOOKUP(C248,Spreads!$A$2:$G$345,7,0)</f>
        <v/>
      </c>
    </row>
    <row r="249" spans="1:21" ht="15" hidden="1" customHeight="1" thickTop="1" thickBot="1">
      <c r="A249" s="321" t="s">
        <v>2137</v>
      </c>
      <c r="B249" s="322" t="s">
        <v>234</v>
      </c>
      <c r="C249" s="322" t="s">
        <v>771</v>
      </c>
      <c r="D249" s="322" t="s">
        <v>521</v>
      </c>
      <c r="E249" s="323">
        <v>1018659805</v>
      </c>
      <c r="F249" s="323">
        <v>34500</v>
      </c>
      <c r="G249" s="314">
        <v>1.7891000000000001E-2</v>
      </c>
      <c r="H249" s="336">
        <v>2.59</v>
      </c>
      <c r="I249" s="322" t="s">
        <v>772</v>
      </c>
      <c r="J249" s="322">
        <v>5399</v>
      </c>
      <c r="K249" s="322">
        <v>8.07</v>
      </c>
      <c r="L249" s="322">
        <v>109.8</v>
      </c>
      <c r="M249" s="322" t="s">
        <v>6</v>
      </c>
      <c r="N249" s="322" t="s">
        <v>368</v>
      </c>
      <c r="O249" s="322" t="s">
        <v>429</v>
      </c>
      <c r="P249" s="322" t="s">
        <v>392</v>
      </c>
      <c r="Q249" s="322" t="s">
        <v>522</v>
      </c>
      <c r="R249" s="322" t="s">
        <v>523</v>
      </c>
      <c r="S249" s="303">
        <f t="shared" si="4"/>
        <v>8220584626.3500004</v>
      </c>
      <c r="T249" s="307">
        <f>+IFERROR(VLOOKUP(C249,'Tasas Diarias'!$B:$F,5,FALSE)*G249,0)</f>
        <v>1.4536639698920315E-5</v>
      </c>
      <c r="U249" s="311" t="str">
        <f ca="1">+VLOOKUP(C249,Spreads!$A$2:$G$345,7,0)</f>
        <v/>
      </c>
    </row>
    <row r="250" spans="1:21" ht="15" hidden="1" customHeight="1" thickTop="1" thickBot="1">
      <c r="A250" s="317" t="s">
        <v>2137</v>
      </c>
      <c r="B250" s="318" t="s">
        <v>234</v>
      </c>
      <c r="C250" s="318" t="s">
        <v>773</v>
      </c>
      <c r="D250" s="318" t="s">
        <v>528</v>
      </c>
      <c r="E250" s="319">
        <v>302270810</v>
      </c>
      <c r="F250" s="319">
        <v>10000</v>
      </c>
      <c r="G250" s="314">
        <v>5.3090000000000004E-3</v>
      </c>
      <c r="H250" s="333">
        <v>2.46</v>
      </c>
      <c r="I250" s="318" t="s">
        <v>774</v>
      </c>
      <c r="J250" s="318">
        <v>5307</v>
      </c>
      <c r="K250" s="318">
        <v>8.08</v>
      </c>
      <c r="L250" s="318">
        <v>111.34</v>
      </c>
      <c r="M250" s="318" t="s">
        <v>6</v>
      </c>
      <c r="N250" s="318" t="s">
        <v>368</v>
      </c>
      <c r="O250" s="318" t="s">
        <v>530</v>
      </c>
      <c r="P250" s="318" t="s">
        <v>7</v>
      </c>
      <c r="Q250" s="318" t="s">
        <v>531</v>
      </c>
      <c r="R250" s="318" t="s">
        <v>532</v>
      </c>
      <c r="S250" s="303">
        <f t="shared" si="4"/>
        <v>2442348144.8000002</v>
      </c>
      <c r="T250" s="307">
        <f>+IFERROR(VLOOKUP(C250,'Tasas Diarias'!$B:$F,5,FALSE)*G250,0)</f>
        <v>4.3146269529137178E-6</v>
      </c>
      <c r="U250" s="311" t="str">
        <f ca="1">+VLOOKUP(C250,Spreads!$A$2:$G$345,7,0)</f>
        <v/>
      </c>
    </row>
    <row r="251" spans="1:21" ht="15" hidden="1" customHeight="1" thickTop="1" thickBot="1">
      <c r="A251" s="317" t="s">
        <v>2137</v>
      </c>
      <c r="B251" s="318" t="s">
        <v>234</v>
      </c>
      <c r="C251" s="318" t="s">
        <v>1008</v>
      </c>
      <c r="D251" s="318" t="s">
        <v>485</v>
      </c>
      <c r="E251" s="319">
        <v>398231256</v>
      </c>
      <c r="F251" s="319">
        <v>15000</v>
      </c>
      <c r="G251" s="314">
        <v>6.9940000000000002E-3</v>
      </c>
      <c r="H251" s="320">
        <v>2.46</v>
      </c>
      <c r="I251" s="318" t="s">
        <v>1009</v>
      </c>
      <c r="J251" s="318">
        <v>3282</v>
      </c>
      <c r="K251" s="318">
        <v>8.14</v>
      </c>
      <c r="L251" s="318">
        <v>99.51</v>
      </c>
      <c r="M251" s="318" t="s">
        <v>6</v>
      </c>
      <c r="N251" s="318" t="s">
        <v>368</v>
      </c>
      <c r="O251" s="318" t="s">
        <v>1348</v>
      </c>
      <c r="P251" s="318" t="s">
        <v>392</v>
      </c>
      <c r="Q251" s="318" t="s">
        <v>487</v>
      </c>
      <c r="R251" s="318" t="s">
        <v>488</v>
      </c>
      <c r="S251" s="303">
        <f t="shared" si="4"/>
        <v>3241602423.8400002</v>
      </c>
      <c r="T251" s="307">
        <f>+IFERROR(VLOOKUP(C251,'Tasas Diarias'!$B:$F,5,FALSE)*G251,0)</f>
        <v>1.6982285548047692E-5</v>
      </c>
      <c r="U251" s="311" t="str">
        <f ca="1">+VLOOKUP(C251,Spreads!$A$2:$G$345,7,0)</f>
        <v/>
      </c>
    </row>
    <row r="252" spans="1:21" ht="15" hidden="1" customHeight="1" thickTop="1" thickBot="1">
      <c r="A252" s="321" t="s">
        <v>2137</v>
      </c>
      <c r="B252" s="322" t="s">
        <v>234</v>
      </c>
      <c r="C252" s="322" t="s">
        <v>1598</v>
      </c>
      <c r="D252" s="322" t="s">
        <v>485</v>
      </c>
      <c r="E252" s="323">
        <v>494309272</v>
      </c>
      <c r="F252" s="323">
        <v>16500</v>
      </c>
      <c r="G252" s="314">
        <v>8.6820000000000005E-3</v>
      </c>
      <c r="H252" s="324">
        <v>2.5299999999999998</v>
      </c>
      <c r="I252" s="322" t="s">
        <v>952</v>
      </c>
      <c r="J252" s="322">
        <v>5474</v>
      </c>
      <c r="K252" s="322">
        <v>8.24</v>
      </c>
      <c r="L252" s="322">
        <v>112.27</v>
      </c>
      <c r="M252" s="322" t="s">
        <v>6</v>
      </c>
      <c r="N252" s="322" t="s">
        <v>368</v>
      </c>
      <c r="O252" s="322" t="s">
        <v>1348</v>
      </c>
      <c r="P252" s="322" t="s">
        <v>392</v>
      </c>
      <c r="Q252" s="322" t="s">
        <v>487</v>
      </c>
      <c r="R252" s="322" t="s">
        <v>488</v>
      </c>
      <c r="S252" s="303">
        <f t="shared" si="4"/>
        <v>4073108401.2800002</v>
      </c>
      <c r="T252" s="307">
        <f>+IFERROR(VLOOKUP(C252,'Tasas Diarias'!$B:$F,5,FALSE)*G252,0)</f>
        <v>0</v>
      </c>
      <c r="U252" s="311" t="e">
        <f>+VLOOKUP(C252,Spreads!$A$2:$G$345,7,0)</f>
        <v>#N/A</v>
      </c>
    </row>
    <row r="253" spans="1:21" ht="15" hidden="1" customHeight="1" thickTop="1" thickBot="1">
      <c r="A253" s="321" t="s">
        <v>2137</v>
      </c>
      <c r="B253" s="322" t="s">
        <v>234</v>
      </c>
      <c r="C253" s="322" t="s">
        <v>775</v>
      </c>
      <c r="D253" s="322" t="s">
        <v>776</v>
      </c>
      <c r="E253" s="323">
        <v>933474971</v>
      </c>
      <c r="F253" s="323">
        <v>30000</v>
      </c>
      <c r="G253" s="314">
        <v>1.6395E-2</v>
      </c>
      <c r="H253" s="324">
        <v>2.54</v>
      </c>
      <c r="I253" s="322" t="s">
        <v>777</v>
      </c>
      <c r="J253" s="322">
        <v>3677</v>
      </c>
      <c r="K253" s="322">
        <v>8.32</v>
      </c>
      <c r="L253" s="322">
        <v>114.59</v>
      </c>
      <c r="M253" s="322" t="s">
        <v>6</v>
      </c>
      <c r="N253" s="322" t="s">
        <v>368</v>
      </c>
      <c r="O253" s="322" t="s">
        <v>1347</v>
      </c>
      <c r="P253" s="322" t="s">
        <v>392</v>
      </c>
      <c r="Q253" s="322" t="s">
        <v>778</v>
      </c>
      <c r="R253" s="322" t="s">
        <v>779</v>
      </c>
      <c r="S253" s="303">
        <f t="shared" si="4"/>
        <v>7766511758.7200003</v>
      </c>
      <c r="T253" s="307">
        <f>+IFERROR(VLOOKUP(C253,'Tasas Diarias'!$B:$F,5,FALSE)*G253,0)</f>
        <v>1.373548149620938E-5</v>
      </c>
      <c r="U253" s="311" t="str">
        <f ca="1">+VLOOKUP(C253,Spreads!$A$2:$G$345,7,0)</f>
        <v/>
      </c>
    </row>
    <row r="254" spans="1:21" ht="15" hidden="1" customHeight="1" thickTop="1" thickBot="1">
      <c r="A254" s="327" t="s">
        <v>2137</v>
      </c>
      <c r="B254" s="328" t="s">
        <v>234</v>
      </c>
      <c r="C254" s="328" t="s">
        <v>780</v>
      </c>
      <c r="D254" s="328" t="s">
        <v>420</v>
      </c>
      <c r="E254" s="328">
        <v>375158030</v>
      </c>
      <c r="F254" s="328">
        <v>12500</v>
      </c>
      <c r="G254" s="328">
        <v>6.5890000000000002E-3</v>
      </c>
      <c r="H254" s="329">
        <v>2.62</v>
      </c>
      <c r="I254" s="328" t="s">
        <v>781</v>
      </c>
      <c r="J254" s="328">
        <v>5594</v>
      </c>
      <c r="K254" s="328">
        <v>8.42</v>
      </c>
      <c r="L254" s="328">
        <v>111.73</v>
      </c>
      <c r="M254" s="328" t="s">
        <v>6</v>
      </c>
      <c r="N254" s="328" t="s">
        <v>368</v>
      </c>
      <c r="O254" s="328" t="s">
        <v>421</v>
      </c>
      <c r="P254" s="328" t="s">
        <v>417</v>
      </c>
      <c r="Q254" s="328" t="s">
        <v>422</v>
      </c>
      <c r="R254" s="328" t="s">
        <v>423</v>
      </c>
      <c r="S254" s="303">
        <f t="shared" si="4"/>
        <v>3158830612.5999999</v>
      </c>
      <c r="T254" s="307">
        <f>+IFERROR(VLOOKUP(C254,'Tasas Diarias'!$B:$F,5,FALSE)*G254,0)</f>
        <v>5.5790253645489328E-6</v>
      </c>
      <c r="U254" s="311" t="str">
        <f ca="1">+VLOOKUP(C254,Spreads!$A$2:$G$345,7,0)</f>
        <v/>
      </c>
    </row>
    <row r="255" spans="1:21" ht="15" hidden="1" customHeight="1" thickTop="1" thickBot="1">
      <c r="A255" s="321" t="s">
        <v>2137</v>
      </c>
      <c r="B255" s="322" t="s">
        <v>234</v>
      </c>
      <c r="C255" s="322" t="s">
        <v>784</v>
      </c>
      <c r="D255" s="322" t="s">
        <v>166</v>
      </c>
      <c r="E255" s="323">
        <v>624695720</v>
      </c>
      <c r="F255" s="323">
        <v>600000000</v>
      </c>
      <c r="G255" s="314">
        <v>1.0972000000000001E-2</v>
      </c>
      <c r="H255" s="324">
        <v>6.89</v>
      </c>
      <c r="I255" s="322" t="s">
        <v>785</v>
      </c>
      <c r="J255" s="322">
        <v>4941</v>
      </c>
      <c r="K255" s="322">
        <v>8.76</v>
      </c>
      <c r="L255" s="322">
        <v>100.87</v>
      </c>
      <c r="M255" s="322" t="s">
        <v>9</v>
      </c>
      <c r="N255" s="322" t="s">
        <v>368</v>
      </c>
      <c r="O255" s="322" t="s">
        <v>429</v>
      </c>
      <c r="P255" s="322" t="s">
        <v>392</v>
      </c>
      <c r="Q255" s="322" t="s">
        <v>57</v>
      </c>
      <c r="R255" s="322" t="s">
        <v>447</v>
      </c>
      <c r="S255" s="303">
        <f t="shared" si="4"/>
        <v>5472334507.1999998</v>
      </c>
      <c r="T255" s="307">
        <f>+IFERROR(VLOOKUP(C255,'Tasas Diarias'!$B:$F,5,FALSE)*G255,0)</f>
        <v>-9.6949861613415631E-6</v>
      </c>
      <c r="U255" s="311" t="str">
        <f ca="1">+VLOOKUP(C255,Spreads!$A$2:$G$345,7,0)</f>
        <v/>
      </c>
    </row>
    <row r="256" spans="1:21" ht="15" hidden="1" customHeight="1" thickTop="1" thickBot="1">
      <c r="A256" s="317" t="s">
        <v>2137</v>
      </c>
      <c r="B256" s="318" t="s">
        <v>234</v>
      </c>
      <c r="C256" s="318" t="s">
        <v>786</v>
      </c>
      <c r="D256" s="318" t="s">
        <v>58</v>
      </c>
      <c r="E256" s="319">
        <v>515646008</v>
      </c>
      <c r="F256" s="319">
        <v>20500</v>
      </c>
      <c r="G256" s="314">
        <v>9.0559999999999998E-3</v>
      </c>
      <c r="H256" s="318">
        <v>2.73</v>
      </c>
      <c r="I256" s="318" t="s">
        <v>787</v>
      </c>
      <c r="J256" s="318">
        <v>7836</v>
      </c>
      <c r="K256" s="318">
        <v>8.9499999999999993</v>
      </c>
      <c r="L256" s="318">
        <v>109.49</v>
      </c>
      <c r="M256" s="318" t="s">
        <v>6</v>
      </c>
      <c r="N256" s="318" t="s">
        <v>368</v>
      </c>
      <c r="O256" s="318" t="s">
        <v>8</v>
      </c>
      <c r="P256" s="318" t="s">
        <v>392</v>
      </c>
      <c r="Q256" s="318" t="s">
        <v>58</v>
      </c>
      <c r="R256" s="318" t="s">
        <v>745</v>
      </c>
      <c r="S256" s="303">
        <f t="shared" si="4"/>
        <v>4615031771.5999994</v>
      </c>
      <c r="T256" s="307">
        <f>+IFERROR(VLOOKUP(C256,'Tasas Diarias'!$B:$F,5,FALSE)*G256,0)</f>
        <v>7.8462718679515613E-6</v>
      </c>
      <c r="U256" s="311" t="str">
        <f ca="1">+VLOOKUP(C256,Spreads!$A$2:$G$345,7,0)</f>
        <v/>
      </c>
    </row>
    <row r="257" spans="1:21" ht="15" hidden="1" customHeight="1" thickTop="1" thickBot="1">
      <c r="A257" s="321" t="s">
        <v>2137</v>
      </c>
      <c r="B257" s="322" t="s">
        <v>234</v>
      </c>
      <c r="C257" s="322" t="s">
        <v>1274</v>
      </c>
      <c r="D257" s="322" t="s">
        <v>1275</v>
      </c>
      <c r="E257" s="323">
        <v>532822440</v>
      </c>
      <c r="F257" s="323">
        <v>800000</v>
      </c>
      <c r="G257" s="314">
        <v>9.358E-3</v>
      </c>
      <c r="H257" s="324">
        <v>0</v>
      </c>
      <c r="I257" s="322" t="s">
        <v>1276</v>
      </c>
      <c r="J257" s="322">
        <v>4271</v>
      </c>
      <c r="K257" s="322">
        <v>9.1</v>
      </c>
      <c r="L257" s="322">
        <v>104.44840000000001</v>
      </c>
      <c r="M257" s="322" t="s">
        <v>369</v>
      </c>
      <c r="N257" s="322" t="s">
        <v>368</v>
      </c>
      <c r="O257" s="322" t="s">
        <v>1346</v>
      </c>
      <c r="P257" s="322" t="s">
        <v>392</v>
      </c>
      <c r="Q257" s="322" t="s">
        <v>1031</v>
      </c>
      <c r="R257" s="322" t="s">
        <v>1277</v>
      </c>
      <c r="S257" s="303">
        <f t="shared" si="4"/>
        <v>4848684204</v>
      </c>
      <c r="T257" s="307">
        <f>+IFERROR(VLOOKUP(C257,'Tasas Diarias'!$B:$F,5,FALSE)*G257,0)</f>
        <v>0</v>
      </c>
      <c r="U257" s="311" t="e">
        <f>+VLOOKUP(C257,Spreads!$A$2:$G$345,7,0)</f>
        <v>#N/A</v>
      </c>
    </row>
    <row r="258" spans="1:21" ht="15" hidden="1" customHeight="1" thickTop="1" thickBot="1">
      <c r="A258" s="317" t="s">
        <v>2137</v>
      </c>
      <c r="B258" s="318" t="s">
        <v>234</v>
      </c>
      <c r="C258" s="318" t="s">
        <v>788</v>
      </c>
      <c r="D258" s="318" t="s">
        <v>433</v>
      </c>
      <c r="E258" s="319">
        <v>344354389</v>
      </c>
      <c r="F258" s="319">
        <v>11500</v>
      </c>
      <c r="G258" s="314">
        <v>6.0480000000000004E-3</v>
      </c>
      <c r="H258" s="320">
        <v>2.64</v>
      </c>
      <c r="I258" s="318" t="s">
        <v>789</v>
      </c>
      <c r="J258" s="318">
        <v>5976</v>
      </c>
      <c r="K258" s="318">
        <v>9.18</v>
      </c>
      <c r="L258" s="318">
        <v>111.69</v>
      </c>
      <c r="M258" s="318" t="s">
        <v>6</v>
      </c>
      <c r="N258" s="318" t="s">
        <v>368</v>
      </c>
      <c r="O258" s="318" t="s">
        <v>8</v>
      </c>
      <c r="P258" s="318" t="s">
        <v>392</v>
      </c>
      <c r="Q258" s="318" t="s">
        <v>435</v>
      </c>
      <c r="R258" s="318" t="s">
        <v>790</v>
      </c>
      <c r="S258" s="303">
        <f t="shared" si="4"/>
        <v>3161173291.02</v>
      </c>
      <c r="T258" s="307">
        <f>+IFERROR(VLOOKUP(C258,'Tasas Diarias'!$B:$F,5,FALSE)*G258,0)</f>
        <v>0</v>
      </c>
      <c r="U258" s="311" t="str">
        <f ca="1">+VLOOKUP(C258,Spreads!$A$2:$G$345,7,0)</f>
        <v/>
      </c>
    </row>
    <row r="259" spans="1:21" ht="15" customHeight="1" thickTop="1" thickBot="1">
      <c r="A259" s="321" t="s">
        <v>2137</v>
      </c>
      <c r="B259" s="322" t="s">
        <v>4</v>
      </c>
      <c r="C259" s="322" t="s">
        <v>791</v>
      </c>
      <c r="D259" s="322" t="s">
        <v>792</v>
      </c>
      <c r="E259" s="323">
        <v>31467268.454399999</v>
      </c>
      <c r="F259" s="323">
        <v>31233516.814520128</v>
      </c>
      <c r="G259" s="314">
        <v>7.1699999999999997E-4</v>
      </c>
      <c r="H259" s="324">
        <v>0</v>
      </c>
      <c r="I259" s="322"/>
      <c r="J259" s="322">
        <v>-43057</v>
      </c>
      <c r="K259" s="322">
        <v>0</v>
      </c>
      <c r="L259" s="322">
        <v>1.007484</v>
      </c>
      <c r="M259" s="322" t="s">
        <v>9</v>
      </c>
      <c r="N259" s="322" t="s">
        <v>793</v>
      </c>
      <c r="O259" s="322" t="s">
        <v>8</v>
      </c>
      <c r="P259" s="322" t="s">
        <v>794</v>
      </c>
      <c r="Q259" s="322" t="s">
        <v>795</v>
      </c>
      <c r="R259" s="322" t="s">
        <v>796</v>
      </c>
      <c r="S259" s="303">
        <f t="shared" ref="S259:S322" si="5">+IFERROR(E259*K259,0)</f>
        <v>0</v>
      </c>
      <c r="T259" s="307">
        <f>+IFERROR(VLOOKUP(C259,'Tasas Diarias'!$B:$F,5,FALSE)*G259,0)</f>
        <v>0</v>
      </c>
      <c r="U259" s="311" t="e">
        <f>+VLOOKUP(C259,Spreads!$A$2:$G$345,7,0)</f>
        <v>#N/A</v>
      </c>
    </row>
    <row r="260" spans="1:21" ht="15" customHeight="1" thickTop="1" thickBot="1">
      <c r="A260" s="317" t="s">
        <v>2137</v>
      </c>
      <c r="B260" s="318" t="s">
        <v>4</v>
      </c>
      <c r="C260" s="318" t="s">
        <v>797</v>
      </c>
      <c r="D260" s="318" t="s">
        <v>798</v>
      </c>
      <c r="E260" s="319">
        <v>21723399.7009</v>
      </c>
      <c r="F260" s="319">
        <v>21697037.800008986</v>
      </c>
      <c r="G260" s="314">
        <v>4.95E-4</v>
      </c>
      <c r="H260" s="320">
        <v>0</v>
      </c>
      <c r="I260" s="318"/>
      <c r="J260" s="318">
        <v>-43057</v>
      </c>
      <c r="K260" s="318">
        <v>0</v>
      </c>
      <c r="L260" s="318">
        <v>1.001215</v>
      </c>
      <c r="M260" s="318" t="s">
        <v>9</v>
      </c>
      <c r="N260" s="318" t="s">
        <v>793</v>
      </c>
      <c r="O260" s="318" t="s">
        <v>8</v>
      </c>
      <c r="P260" s="318" t="s">
        <v>29</v>
      </c>
      <c r="Q260" s="318" t="s">
        <v>64</v>
      </c>
      <c r="R260" s="318" t="s">
        <v>799</v>
      </c>
      <c r="S260" s="303">
        <f t="shared" si="5"/>
        <v>0</v>
      </c>
      <c r="T260" s="307">
        <f>+IFERROR(VLOOKUP(C260,'Tasas Diarias'!$B:$F,5,FALSE)*G260,0)</f>
        <v>0</v>
      </c>
      <c r="U260" s="311" t="e">
        <f>+VLOOKUP(C260,Spreads!$A$2:$G$345,7,0)</f>
        <v>#N/A</v>
      </c>
    </row>
    <row r="261" spans="1:21" ht="15" customHeight="1" thickTop="1" thickBot="1">
      <c r="A261" s="321" t="s">
        <v>2137</v>
      </c>
      <c r="B261" s="322" t="s">
        <v>4</v>
      </c>
      <c r="C261" s="322" t="s">
        <v>1921</v>
      </c>
      <c r="D261" s="322" t="s">
        <v>1922</v>
      </c>
      <c r="E261" s="323">
        <v>28469154.991799999</v>
      </c>
      <c r="F261" s="323">
        <v>28249.910240780398</v>
      </c>
      <c r="G261" s="314">
        <v>6.4899999999999995E-4</v>
      </c>
      <c r="H261" s="324">
        <v>0</v>
      </c>
      <c r="I261" s="322" t="s">
        <v>1923</v>
      </c>
      <c r="J261" s="322">
        <v>1426</v>
      </c>
      <c r="K261" s="322">
        <v>0</v>
      </c>
      <c r="L261" s="322">
        <v>1007.7609</v>
      </c>
      <c r="M261" s="322" t="s">
        <v>9</v>
      </c>
      <c r="N261" s="322" t="s">
        <v>793</v>
      </c>
      <c r="O261" s="322" t="s">
        <v>8</v>
      </c>
      <c r="P261" s="322" t="s">
        <v>109</v>
      </c>
      <c r="Q261" s="322" t="s">
        <v>1924</v>
      </c>
      <c r="R261" s="322" t="s">
        <v>1925</v>
      </c>
      <c r="S261" s="303">
        <f t="shared" si="5"/>
        <v>0</v>
      </c>
      <c r="T261" s="307">
        <f>+IFERROR(VLOOKUP(C261,'Tasas Diarias'!$B:$F,5,FALSE)*G261,0)</f>
        <v>0</v>
      </c>
      <c r="U261" s="311" t="e">
        <f>+VLOOKUP(C261,Spreads!$A$2:$G$345,7,0)</f>
        <v>#N/A</v>
      </c>
    </row>
    <row r="262" spans="1:21" ht="15" customHeight="1" thickTop="1" thickBot="1">
      <c r="A262" s="317" t="s">
        <v>2137</v>
      </c>
      <c r="B262" s="318" t="s">
        <v>4</v>
      </c>
      <c r="C262" s="318" t="s">
        <v>22</v>
      </c>
      <c r="D262" s="318" t="s">
        <v>1230</v>
      </c>
      <c r="E262" s="319">
        <v>13006901.7246</v>
      </c>
      <c r="F262" s="319">
        <v>13014094.614657519</v>
      </c>
      <c r="G262" s="314">
        <v>2.9599999999999998E-4</v>
      </c>
      <c r="H262" s="320">
        <v>6.6360000000000001</v>
      </c>
      <c r="I262" s="318" t="s">
        <v>1555</v>
      </c>
      <c r="J262" s="318">
        <v>2</v>
      </c>
      <c r="K262" s="318">
        <v>0.01</v>
      </c>
      <c r="L262" s="318">
        <v>99.944730000000007</v>
      </c>
      <c r="M262" s="318" t="s">
        <v>9</v>
      </c>
      <c r="N262" s="318" t="s">
        <v>377</v>
      </c>
      <c r="O262" s="318" t="s">
        <v>1182</v>
      </c>
      <c r="P262" s="318" t="s">
        <v>109</v>
      </c>
      <c r="Q262" s="318" t="s">
        <v>1231</v>
      </c>
      <c r="R262" s="318" t="s">
        <v>1317</v>
      </c>
      <c r="S262" s="303">
        <f t="shared" si="5"/>
        <v>130069.017246</v>
      </c>
      <c r="T262" s="307">
        <f>+IFERROR(VLOOKUP(C262,'Tasas Diarias'!$B:$F,5,FALSE)*G262,0)</f>
        <v>0</v>
      </c>
      <c r="U262" s="311" t="str">
        <f>+VLOOKUP(C262,Spreads!$A$2:$G$345,7,0)</f>
        <v/>
      </c>
    </row>
    <row r="263" spans="1:21" ht="15" customHeight="1" thickTop="1" thickBot="1">
      <c r="A263" s="321" t="s">
        <v>2137</v>
      </c>
      <c r="B263" s="322" t="s">
        <v>4</v>
      </c>
      <c r="C263" s="322" t="s">
        <v>22</v>
      </c>
      <c r="D263" s="322" t="s">
        <v>2109</v>
      </c>
      <c r="E263" s="323">
        <v>7424207.6908</v>
      </c>
      <c r="F263" s="323">
        <v>7427786.2496313471</v>
      </c>
      <c r="G263" s="314">
        <v>1.6899999999999999E-4</v>
      </c>
      <c r="H263" s="324">
        <v>5.7839999999999998</v>
      </c>
      <c r="I263" s="322" t="s">
        <v>1555</v>
      </c>
      <c r="J263" s="322">
        <v>2</v>
      </c>
      <c r="K263" s="322">
        <v>0.01</v>
      </c>
      <c r="L263" s="322">
        <v>99.951822000000007</v>
      </c>
      <c r="M263" s="322" t="s">
        <v>9</v>
      </c>
      <c r="N263" s="322" t="s">
        <v>377</v>
      </c>
      <c r="O263" s="322" t="s">
        <v>8</v>
      </c>
      <c r="P263" s="322" t="s">
        <v>444</v>
      </c>
      <c r="Q263" s="322" t="s">
        <v>1466</v>
      </c>
      <c r="R263" s="322" t="s">
        <v>2111</v>
      </c>
      <c r="S263" s="303">
        <f t="shared" si="5"/>
        <v>74242.076908000003</v>
      </c>
      <c r="T263" s="307">
        <f>+IFERROR(VLOOKUP(C263,'Tasas Diarias'!$B:$F,5,FALSE)*G263,0)</f>
        <v>0</v>
      </c>
      <c r="U263" s="311" t="str">
        <f>+VLOOKUP(C263,Spreads!$A$2:$G$345,7,0)</f>
        <v/>
      </c>
    </row>
    <row r="264" spans="1:21" ht="15" customHeight="1" thickTop="1" thickBot="1">
      <c r="A264" s="321" t="s">
        <v>2137</v>
      </c>
      <c r="B264" s="322" t="s">
        <v>4</v>
      </c>
      <c r="C264" s="322" t="s">
        <v>22</v>
      </c>
      <c r="D264" s="322" t="s">
        <v>2109</v>
      </c>
      <c r="E264" s="323">
        <v>2668579.4397999998</v>
      </c>
      <c r="F264" s="323">
        <v>2672902.5656446479</v>
      </c>
      <c r="G264" s="314">
        <v>6.0999999999999999E-5</v>
      </c>
      <c r="H264" s="322">
        <v>5.8319999999999999</v>
      </c>
      <c r="I264" s="322" t="s">
        <v>1552</v>
      </c>
      <c r="J264" s="322">
        <v>9</v>
      </c>
      <c r="K264" s="322">
        <v>0.03</v>
      </c>
      <c r="L264" s="322">
        <v>99.838261000000003</v>
      </c>
      <c r="M264" s="322" t="s">
        <v>9</v>
      </c>
      <c r="N264" s="322" t="s">
        <v>377</v>
      </c>
      <c r="O264" s="322" t="s">
        <v>8</v>
      </c>
      <c r="P264" s="322" t="s">
        <v>444</v>
      </c>
      <c r="Q264" s="322" t="s">
        <v>1466</v>
      </c>
      <c r="R264" s="322" t="s">
        <v>2111</v>
      </c>
      <c r="S264" s="303">
        <f t="shared" si="5"/>
        <v>80057.383193999995</v>
      </c>
      <c r="T264" s="307">
        <f>+IFERROR(VLOOKUP(C264,'Tasas Diarias'!$B:$F,5,FALSE)*G264,0)</f>
        <v>0</v>
      </c>
      <c r="U264" s="311" t="str">
        <f>+VLOOKUP(C264,Spreads!$A$2:$G$345,7,0)</f>
        <v/>
      </c>
    </row>
    <row r="265" spans="1:21" ht="15" customHeight="1" thickTop="1" thickBot="1">
      <c r="A265" s="317" t="s">
        <v>2137</v>
      </c>
      <c r="B265" s="318" t="s">
        <v>4</v>
      </c>
      <c r="C265" s="318" t="s">
        <v>817</v>
      </c>
      <c r="D265" s="318" t="s">
        <v>39</v>
      </c>
      <c r="E265" s="319">
        <v>17762529.9756</v>
      </c>
      <c r="F265" s="319">
        <v>17175737.562224049</v>
      </c>
      <c r="G265" s="314">
        <v>4.0499999999999998E-4</v>
      </c>
      <c r="H265" s="320">
        <v>5.17</v>
      </c>
      <c r="I265" s="318" t="s">
        <v>818</v>
      </c>
      <c r="J265" s="318">
        <v>11</v>
      </c>
      <c r="K265" s="318">
        <v>0.03</v>
      </c>
      <c r="L265" s="318">
        <v>100.05</v>
      </c>
      <c r="M265" s="318" t="s">
        <v>9</v>
      </c>
      <c r="N265" s="318" t="s">
        <v>368</v>
      </c>
      <c r="O265" s="318" t="s">
        <v>8</v>
      </c>
      <c r="P265" s="318" t="s">
        <v>801</v>
      </c>
      <c r="Q265" s="318" t="s">
        <v>69</v>
      </c>
      <c r="R265" s="318" t="s">
        <v>815</v>
      </c>
      <c r="S265" s="303">
        <f t="shared" si="5"/>
        <v>532875.89926800004</v>
      </c>
      <c r="T265" s="307">
        <f>+IFERROR(VLOOKUP(C265,'Tasas Diarias'!$B:$F,5,FALSE)*G265,0)</f>
        <v>7.1013698630138355E-9</v>
      </c>
      <c r="U265" s="311" t="str">
        <f ca="1">+VLOOKUP(C265,Spreads!$A$2:$G$345,7,0)</f>
        <v/>
      </c>
    </row>
    <row r="266" spans="1:21" ht="15" customHeight="1" thickTop="1" thickBot="1">
      <c r="A266" s="317" t="s">
        <v>2137</v>
      </c>
      <c r="B266" s="318" t="s">
        <v>4</v>
      </c>
      <c r="C266" s="318" t="s">
        <v>22</v>
      </c>
      <c r="D266" s="318" t="s">
        <v>1926</v>
      </c>
      <c r="E266" s="319">
        <v>4355018.2625000002</v>
      </c>
      <c r="F266" s="319">
        <v>4368861.4368207101</v>
      </c>
      <c r="G266" s="314">
        <v>9.8999999999999994E-5</v>
      </c>
      <c r="H266" s="320">
        <v>7.1520000000000001</v>
      </c>
      <c r="I266" s="318" t="s">
        <v>1098</v>
      </c>
      <c r="J266" s="318">
        <v>15</v>
      </c>
      <c r="K266" s="318">
        <v>0.04</v>
      </c>
      <c r="L266" s="318">
        <v>99.683139999999995</v>
      </c>
      <c r="M266" s="318" t="s">
        <v>9</v>
      </c>
      <c r="N266" s="318" t="s">
        <v>377</v>
      </c>
      <c r="O266" s="318" t="s">
        <v>421</v>
      </c>
      <c r="P266" s="318" t="s">
        <v>417</v>
      </c>
      <c r="Q266" s="318" t="s">
        <v>1927</v>
      </c>
      <c r="R266" s="318" t="s">
        <v>1928</v>
      </c>
      <c r="S266" s="303">
        <f t="shared" si="5"/>
        <v>174200.73050000001</v>
      </c>
      <c r="T266" s="307">
        <f>+IFERROR(VLOOKUP(C266,'Tasas Diarias'!$B:$F,5,FALSE)*G266,0)</f>
        <v>0</v>
      </c>
      <c r="U266" s="311" t="str">
        <f>+VLOOKUP(C266,Spreads!$A$2:$G$345,7,0)</f>
        <v/>
      </c>
    </row>
    <row r="267" spans="1:21" ht="15" customHeight="1" thickTop="1" thickBot="1">
      <c r="A267" s="317" t="s">
        <v>2137</v>
      </c>
      <c r="B267" s="318" t="s">
        <v>4</v>
      </c>
      <c r="C267" s="318" t="s">
        <v>22</v>
      </c>
      <c r="D267" s="318" t="s">
        <v>2109</v>
      </c>
      <c r="E267" s="319">
        <v>1841513.6569999999</v>
      </c>
      <c r="F267" s="319">
        <v>1846938.7440303904</v>
      </c>
      <c r="G267" s="314">
        <v>4.1999999999999998E-5</v>
      </c>
      <c r="H267" s="320">
        <v>5.8920000000000003</v>
      </c>
      <c r="I267" s="318" t="s">
        <v>1320</v>
      </c>
      <c r="J267" s="318">
        <v>17</v>
      </c>
      <c r="K267" s="318">
        <v>0.05</v>
      </c>
      <c r="L267" s="318">
        <v>99.706265999999999</v>
      </c>
      <c r="M267" s="318" t="s">
        <v>9</v>
      </c>
      <c r="N267" s="318" t="s">
        <v>377</v>
      </c>
      <c r="O267" s="318" t="s">
        <v>8</v>
      </c>
      <c r="P267" s="318" t="s">
        <v>444</v>
      </c>
      <c r="Q267" s="318" t="s">
        <v>1466</v>
      </c>
      <c r="R267" s="318" t="s">
        <v>2111</v>
      </c>
      <c r="S267" s="303">
        <f t="shared" si="5"/>
        <v>92075.682849999997</v>
      </c>
      <c r="T267" s="307">
        <f>+IFERROR(VLOOKUP(C267,'Tasas Diarias'!$B:$F,5,FALSE)*G267,0)</f>
        <v>0</v>
      </c>
      <c r="U267" s="311" t="str">
        <f>+VLOOKUP(C267,Spreads!$A$2:$G$345,7,0)</f>
        <v/>
      </c>
    </row>
    <row r="268" spans="1:21" ht="15" customHeight="1" thickTop="1" thickBot="1">
      <c r="A268" s="317" t="s">
        <v>2137</v>
      </c>
      <c r="B268" s="318" t="s">
        <v>4</v>
      </c>
      <c r="C268" s="318" t="s">
        <v>22</v>
      </c>
      <c r="D268" s="318" t="s">
        <v>1230</v>
      </c>
      <c r="E268" s="319">
        <v>26472566.500500001</v>
      </c>
      <c r="F268" s="319">
        <v>26592010.899553962</v>
      </c>
      <c r="G268" s="314">
        <v>6.0300000000000002E-4</v>
      </c>
      <c r="H268" s="320">
        <v>6.7679999999999998</v>
      </c>
      <c r="I268" s="318" t="s">
        <v>1568</v>
      </c>
      <c r="J268" s="318">
        <v>23</v>
      </c>
      <c r="K268" s="318">
        <v>7.0000000000000007E-2</v>
      </c>
      <c r="L268" s="318">
        <v>99.550826000000001</v>
      </c>
      <c r="M268" s="318" t="s">
        <v>9</v>
      </c>
      <c r="N268" s="318" t="s">
        <v>377</v>
      </c>
      <c r="O268" s="318" t="s">
        <v>1182</v>
      </c>
      <c r="P268" s="318" t="s">
        <v>109</v>
      </c>
      <c r="Q268" s="318" t="s">
        <v>1231</v>
      </c>
      <c r="R268" s="318" t="s">
        <v>1317</v>
      </c>
      <c r="S268" s="303">
        <f t="shared" si="5"/>
        <v>1853079.6550350003</v>
      </c>
      <c r="T268" s="307">
        <f>+IFERROR(VLOOKUP(C268,'Tasas Diarias'!$B:$F,5,FALSE)*G268,0)</f>
        <v>0</v>
      </c>
      <c r="U268" s="311" t="str">
        <f>+VLOOKUP(C268,Spreads!$A$2:$G$345,7,0)</f>
        <v/>
      </c>
    </row>
    <row r="269" spans="1:21" ht="15" customHeight="1" thickTop="1" thickBot="1">
      <c r="A269" s="321" t="s">
        <v>2137</v>
      </c>
      <c r="B269" s="322" t="s">
        <v>4</v>
      </c>
      <c r="C269" s="322" t="s">
        <v>2096</v>
      </c>
      <c r="D269" s="322" t="s">
        <v>2097</v>
      </c>
      <c r="E269" s="323">
        <v>39479082.758900002</v>
      </c>
      <c r="F269" s="323"/>
      <c r="G269" s="314">
        <v>8.9999999999999998E-4</v>
      </c>
      <c r="H269" s="324">
        <v>-2.08</v>
      </c>
      <c r="I269" s="322" t="s">
        <v>2092</v>
      </c>
      <c r="J269" s="322">
        <v>25</v>
      </c>
      <c r="K269" s="322">
        <v>7.0000000000000007E-2</v>
      </c>
      <c r="L269" s="322">
        <v>100.43</v>
      </c>
      <c r="M269" s="322" t="s">
        <v>6</v>
      </c>
      <c r="N269" s="322" t="s">
        <v>368</v>
      </c>
      <c r="O269" s="322" t="s">
        <v>8</v>
      </c>
      <c r="P269" s="322" t="s">
        <v>417</v>
      </c>
      <c r="Q269" s="322" t="s">
        <v>2098</v>
      </c>
      <c r="R269" s="322" t="s">
        <v>2099</v>
      </c>
      <c r="S269" s="303">
        <f t="shared" si="5"/>
        <v>2763535.7931230003</v>
      </c>
      <c r="T269" s="307">
        <f>+IFERROR(VLOOKUP(C269,'Tasas Diarias'!$B:$F,5,FALSE)*G269,0)</f>
        <v>0</v>
      </c>
      <c r="U269" s="311" t="e">
        <f>+VLOOKUP(C269,Spreads!$A$2:$G$345,7,0)</f>
        <v>#N/A</v>
      </c>
    </row>
    <row r="270" spans="1:21" ht="15" customHeight="1" thickTop="1" thickBot="1">
      <c r="A270" s="317" t="s">
        <v>2137</v>
      </c>
      <c r="B270" s="318" t="s">
        <v>4</v>
      </c>
      <c r="C270" s="318" t="s">
        <v>22</v>
      </c>
      <c r="D270" s="318" t="s">
        <v>2106</v>
      </c>
      <c r="E270" s="319">
        <v>3250110.0682999999</v>
      </c>
      <c r="F270" s="319">
        <v>3266478.7197967735</v>
      </c>
      <c r="G270" s="314">
        <v>7.3999999999999996E-5</v>
      </c>
      <c r="H270" s="320">
        <v>6.2519999999999998</v>
      </c>
      <c r="I270" s="318" t="s">
        <v>2107</v>
      </c>
      <c r="J270" s="318">
        <v>28</v>
      </c>
      <c r="K270" s="318">
        <v>0.08</v>
      </c>
      <c r="L270" s="318">
        <v>99.498890000000003</v>
      </c>
      <c r="M270" s="318" t="s">
        <v>9</v>
      </c>
      <c r="N270" s="318" t="s">
        <v>377</v>
      </c>
      <c r="O270" s="318" t="s">
        <v>1348</v>
      </c>
      <c r="P270" s="318" t="s">
        <v>392</v>
      </c>
      <c r="Q270" s="318" t="s">
        <v>487</v>
      </c>
      <c r="R270" s="318" t="s">
        <v>2108</v>
      </c>
      <c r="S270" s="303">
        <f t="shared" si="5"/>
        <v>260008.805464</v>
      </c>
      <c r="T270" s="307">
        <f>+IFERROR(VLOOKUP(C270,'Tasas Diarias'!$B:$F,5,FALSE)*G270,0)</f>
        <v>0</v>
      </c>
      <c r="U270" s="311" t="str">
        <f>+VLOOKUP(C270,Spreads!$A$2:$G$345,7,0)</f>
        <v/>
      </c>
    </row>
    <row r="271" spans="1:21" ht="15" customHeight="1" thickTop="1" thickBot="1">
      <c r="A271" s="317" t="s">
        <v>2137</v>
      </c>
      <c r="B271" s="318" t="s">
        <v>4</v>
      </c>
      <c r="C271" s="318" t="s">
        <v>22</v>
      </c>
      <c r="D271" s="318" t="s">
        <v>2109</v>
      </c>
      <c r="E271" s="319">
        <v>290765.31430000003</v>
      </c>
      <c r="F271" s="319">
        <v>292351.74345475261</v>
      </c>
      <c r="G271" s="314">
        <v>6.9999999999999999E-6</v>
      </c>
      <c r="H271" s="320">
        <v>5.952</v>
      </c>
      <c r="I271" s="318" t="s">
        <v>2110</v>
      </c>
      <c r="J271" s="318">
        <v>32</v>
      </c>
      <c r="K271" s="318">
        <v>0.09</v>
      </c>
      <c r="L271" s="318">
        <v>99.457356000000004</v>
      </c>
      <c r="M271" s="318" t="s">
        <v>9</v>
      </c>
      <c r="N271" s="318" t="s">
        <v>377</v>
      </c>
      <c r="O271" s="318" t="s">
        <v>8</v>
      </c>
      <c r="P271" s="318" t="s">
        <v>444</v>
      </c>
      <c r="Q271" s="318" t="s">
        <v>1466</v>
      </c>
      <c r="R271" s="318" t="s">
        <v>2111</v>
      </c>
      <c r="S271" s="303">
        <f t="shared" si="5"/>
        <v>26168.878287000003</v>
      </c>
      <c r="T271" s="307">
        <f>+IFERROR(VLOOKUP(C271,'Tasas Diarias'!$B:$F,5,FALSE)*G271,0)</f>
        <v>0</v>
      </c>
      <c r="U271" s="311" t="str">
        <f>+VLOOKUP(C271,Spreads!$A$2:$G$345,7,0)</f>
        <v/>
      </c>
    </row>
    <row r="272" spans="1:21" ht="15" customHeight="1" thickTop="1" thickBot="1">
      <c r="A272" s="317" t="s">
        <v>2137</v>
      </c>
      <c r="B272" s="318" t="s">
        <v>4</v>
      </c>
      <c r="C272" s="318" t="s">
        <v>22</v>
      </c>
      <c r="D272" s="318" t="s">
        <v>2112</v>
      </c>
      <c r="E272" s="319">
        <v>943371.90850000002</v>
      </c>
      <c r="F272" s="319">
        <v>950183.06776533963</v>
      </c>
      <c r="G272" s="314">
        <v>2.0999999999999999E-5</v>
      </c>
      <c r="H272" s="320">
        <v>6.84</v>
      </c>
      <c r="I272" s="318" t="s">
        <v>1310</v>
      </c>
      <c r="J272" s="318">
        <v>37</v>
      </c>
      <c r="K272" s="318">
        <v>0.1</v>
      </c>
      <c r="L272" s="318">
        <v>99.283174000000002</v>
      </c>
      <c r="M272" s="318" t="s">
        <v>9</v>
      </c>
      <c r="N272" s="318" t="s">
        <v>377</v>
      </c>
      <c r="O272" s="318" t="s">
        <v>421</v>
      </c>
      <c r="P272" s="318" t="s">
        <v>802</v>
      </c>
      <c r="Q272" s="318" t="s">
        <v>2113</v>
      </c>
      <c r="R272" s="318" t="s">
        <v>2114</v>
      </c>
      <c r="S272" s="303">
        <f t="shared" si="5"/>
        <v>94337.190850000014</v>
      </c>
      <c r="T272" s="307">
        <f>+IFERROR(VLOOKUP(C272,'Tasas Diarias'!$B:$F,5,FALSE)*G272,0)</f>
        <v>0</v>
      </c>
      <c r="U272" s="311" t="str">
        <f>+VLOOKUP(C272,Spreads!$A$2:$G$345,7,0)</f>
        <v/>
      </c>
    </row>
    <row r="273" spans="1:21" ht="15" customHeight="1" thickTop="1" thickBot="1">
      <c r="A273" s="317" t="s">
        <v>2137</v>
      </c>
      <c r="B273" s="318" t="s">
        <v>4</v>
      </c>
      <c r="C273" s="318" t="s">
        <v>22</v>
      </c>
      <c r="D273" s="318" t="s">
        <v>2109</v>
      </c>
      <c r="E273" s="319">
        <v>1059678.0342000001</v>
      </c>
      <c r="F273" s="319">
        <v>1067675.0914550128</v>
      </c>
      <c r="G273" s="314">
        <v>2.4000000000000001E-5</v>
      </c>
      <c r="H273" s="318">
        <v>6.7919999999999998</v>
      </c>
      <c r="I273" s="318" t="s">
        <v>2115</v>
      </c>
      <c r="J273" s="318">
        <v>39</v>
      </c>
      <c r="K273" s="318">
        <v>0.11</v>
      </c>
      <c r="L273" s="318">
        <v>99.250984000000003</v>
      </c>
      <c r="M273" s="318" t="s">
        <v>9</v>
      </c>
      <c r="N273" s="318" t="s">
        <v>377</v>
      </c>
      <c r="O273" s="318" t="s">
        <v>8</v>
      </c>
      <c r="P273" s="318" t="s">
        <v>444</v>
      </c>
      <c r="Q273" s="318" t="s">
        <v>1466</v>
      </c>
      <c r="R273" s="318" t="s">
        <v>2111</v>
      </c>
      <c r="S273" s="303">
        <f t="shared" si="5"/>
        <v>116564.58376200001</v>
      </c>
      <c r="T273" s="307">
        <f>+IFERROR(VLOOKUP(C273,'Tasas Diarias'!$B:$F,5,FALSE)*G273,0)</f>
        <v>0</v>
      </c>
      <c r="U273" s="311" t="str">
        <f>+VLOOKUP(C273,Spreads!$A$2:$G$345,7,0)</f>
        <v/>
      </c>
    </row>
    <row r="274" spans="1:21" ht="15" customHeight="1" thickTop="1" thickBot="1">
      <c r="A274" s="321" t="s">
        <v>2137</v>
      </c>
      <c r="B274" s="322" t="s">
        <v>4</v>
      </c>
      <c r="C274" s="322" t="s">
        <v>538</v>
      </c>
      <c r="D274" s="322" t="s">
        <v>24</v>
      </c>
      <c r="E274" s="323">
        <v>3517.2467999999999</v>
      </c>
      <c r="F274" s="323"/>
      <c r="G274" s="314">
        <v>0</v>
      </c>
      <c r="H274" s="324">
        <v>0.66</v>
      </c>
      <c r="I274" s="322" t="s">
        <v>539</v>
      </c>
      <c r="J274" s="322">
        <v>42</v>
      </c>
      <c r="K274" s="322">
        <v>0.12</v>
      </c>
      <c r="L274" s="322">
        <v>100.26</v>
      </c>
      <c r="M274" s="322" t="s">
        <v>6</v>
      </c>
      <c r="N274" s="322" t="s">
        <v>368</v>
      </c>
      <c r="O274" s="322" t="s">
        <v>8</v>
      </c>
      <c r="P274" s="322" t="s">
        <v>392</v>
      </c>
      <c r="Q274" s="322" t="s">
        <v>51</v>
      </c>
      <c r="R274" s="322" t="s">
        <v>414</v>
      </c>
      <c r="S274" s="303">
        <f t="shared" si="5"/>
        <v>422.069616</v>
      </c>
      <c r="T274" s="307">
        <f>+IFERROR(VLOOKUP(C274,'Tasas Diarias'!$B:$F,5,FALSE)*G274,0)</f>
        <v>0</v>
      </c>
      <c r="U274" s="311" t="str">
        <f ca="1">+VLOOKUP(C274,Spreads!$A$2:$G$345,7,0)</f>
        <v/>
      </c>
    </row>
    <row r="275" spans="1:21" ht="15" customHeight="1" thickTop="1" thickBot="1">
      <c r="A275" s="321" t="s">
        <v>2137</v>
      </c>
      <c r="B275" s="322" t="s">
        <v>4</v>
      </c>
      <c r="C275" s="322" t="s">
        <v>22</v>
      </c>
      <c r="D275" s="322" t="s">
        <v>167</v>
      </c>
      <c r="E275" s="323">
        <v>29900.2997</v>
      </c>
      <c r="F275" s="323">
        <v>30047.010579024307</v>
      </c>
      <c r="G275" s="314">
        <v>9.9999999999999995E-7</v>
      </c>
      <c r="H275" s="324">
        <v>2.76</v>
      </c>
      <c r="I275" s="322" t="s">
        <v>2101</v>
      </c>
      <c r="J275" s="322">
        <v>63</v>
      </c>
      <c r="K275" s="322">
        <v>0.18</v>
      </c>
      <c r="L275" s="322">
        <v>99.511729000000003</v>
      </c>
      <c r="M275" s="322" t="s">
        <v>9</v>
      </c>
      <c r="N275" s="322" t="s">
        <v>374</v>
      </c>
      <c r="O275" s="322" t="s">
        <v>8</v>
      </c>
      <c r="P275" s="322" t="s">
        <v>375</v>
      </c>
      <c r="Q275" s="322" t="s">
        <v>77</v>
      </c>
      <c r="R275" s="322" t="s">
        <v>400</v>
      </c>
      <c r="S275" s="303">
        <f t="shared" si="5"/>
        <v>5382.053946</v>
      </c>
      <c r="T275" s="307">
        <f>+IFERROR(VLOOKUP(C275,'Tasas Diarias'!$B:$F,5,FALSE)*G275,0)</f>
        <v>0</v>
      </c>
      <c r="U275" s="311" t="str">
        <f>+VLOOKUP(C275,Spreads!$A$2:$G$345,7,0)</f>
        <v/>
      </c>
    </row>
    <row r="276" spans="1:21" ht="15" customHeight="1" thickTop="1" thickBot="1">
      <c r="A276" s="321" t="s">
        <v>2137</v>
      </c>
      <c r="B276" s="322" t="s">
        <v>4</v>
      </c>
      <c r="C276" s="334" t="s">
        <v>806</v>
      </c>
      <c r="D276" s="322" t="s">
        <v>2140</v>
      </c>
      <c r="E276" s="323">
        <v>6222377.7252000002</v>
      </c>
      <c r="F276" s="323">
        <v>9033896.9146323744</v>
      </c>
      <c r="G276" s="314">
        <v>1.4200000000000001E-4</v>
      </c>
      <c r="H276" s="324">
        <v>309.26</v>
      </c>
      <c r="I276" s="322" t="s">
        <v>2141</v>
      </c>
      <c r="J276" s="322">
        <v>68</v>
      </c>
      <c r="K276" s="322">
        <v>0.18</v>
      </c>
      <c r="L276" s="322">
        <v>78.16</v>
      </c>
      <c r="M276" s="322" t="s">
        <v>9</v>
      </c>
      <c r="N276" s="322" t="s">
        <v>368</v>
      </c>
      <c r="O276" s="322" t="s">
        <v>8</v>
      </c>
      <c r="P276" s="322" t="s">
        <v>2142</v>
      </c>
      <c r="Q276" s="322" t="s">
        <v>63</v>
      </c>
      <c r="R276" s="322" t="s">
        <v>2143</v>
      </c>
      <c r="S276" s="303">
        <f t="shared" si="5"/>
        <v>1120027.9905360001</v>
      </c>
      <c r="T276" s="307">
        <f>+IFERROR(VLOOKUP(C276,'Tasas Diarias'!$B:$F,5,FALSE)*G276,0)</f>
        <v>0</v>
      </c>
      <c r="U276" s="311" t="str">
        <f ca="1">+VLOOKUP(C276,Spreads!$A$2:$G$345,7,0)</f>
        <v/>
      </c>
    </row>
    <row r="277" spans="1:21" ht="15" customHeight="1" thickTop="1" thickBot="1">
      <c r="A277" s="317" t="s">
        <v>2137</v>
      </c>
      <c r="B277" s="318" t="s">
        <v>4</v>
      </c>
      <c r="C277" s="318" t="s">
        <v>804</v>
      </c>
      <c r="D277" s="318" t="s">
        <v>2140</v>
      </c>
      <c r="E277" s="319">
        <v>12141067.233200001</v>
      </c>
      <c r="F277" s="319">
        <v>17625607.64815028</v>
      </c>
      <c r="G277" s="314">
        <v>2.7700000000000001E-4</v>
      </c>
      <c r="H277" s="318">
        <v>309.26</v>
      </c>
      <c r="I277" s="318" t="s">
        <v>2141</v>
      </c>
      <c r="J277" s="318">
        <v>68</v>
      </c>
      <c r="K277" s="318">
        <v>0.18</v>
      </c>
      <c r="L277" s="318">
        <v>78.19</v>
      </c>
      <c r="M277" s="318" t="s">
        <v>9</v>
      </c>
      <c r="N277" s="318" t="s">
        <v>368</v>
      </c>
      <c r="O277" s="318" t="s">
        <v>8</v>
      </c>
      <c r="P277" s="318" t="s">
        <v>2142</v>
      </c>
      <c r="Q277" s="318" t="s">
        <v>63</v>
      </c>
      <c r="R277" s="318" t="s">
        <v>2143</v>
      </c>
      <c r="S277" s="303">
        <f t="shared" si="5"/>
        <v>2185392.1019760002</v>
      </c>
      <c r="T277" s="307">
        <f>+IFERROR(VLOOKUP(C277,'Tasas Diarias'!$B:$F,5,FALSE)*G277,0)</f>
        <v>0</v>
      </c>
      <c r="U277" s="311" t="str">
        <f ca="1">+VLOOKUP(C277,Spreads!$A$2:$G$345,7,0)</f>
        <v/>
      </c>
    </row>
    <row r="278" spans="1:21" ht="15" customHeight="1" thickTop="1" thickBot="1">
      <c r="A278" s="317" t="s">
        <v>2137</v>
      </c>
      <c r="B278" s="318" t="s">
        <v>4</v>
      </c>
      <c r="C278" s="318" t="s">
        <v>2144</v>
      </c>
      <c r="D278" s="318" t="s">
        <v>2140</v>
      </c>
      <c r="E278" s="319">
        <v>310149.66850000003</v>
      </c>
      <c r="F278" s="319">
        <v>450292.2271827255</v>
      </c>
      <c r="G278" s="314">
        <v>6.9999999999999999E-6</v>
      </c>
      <c r="H278" s="318">
        <v>309.26</v>
      </c>
      <c r="I278" s="318" t="s">
        <v>2141</v>
      </c>
      <c r="J278" s="318">
        <v>68</v>
      </c>
      <c r="K278" s="318">
        <v>0.18</v>
      </c>
      <c r="L278" s="318">
        <v>78</v>
      </c>
      <c r="M278" s="318" t="s">
        <v>9</v>
      </c>
      <c r="N278" s="318" t="s">
        <v>368</v>
      </c>
      <c r="O278" s="318" t="s">
        <v>8</v>
      </c>
      <c r="P278" s="318" t="s">
        <v>2142</v>
      </c>
      <c r="Q278" s="318" t="s">
        <v>63</v>
      </c>
      <c r="R278" s="318" t="s">
        <v>2145</v>
      </c>
      <c r="S278" s="303">
        <f t="shared" si="5"/>
        <v>55826.940330000005</v>
      </c>
      <c r="T278" s="307">
        <f>+IFERROR(VLOOKUP(C278,'Tasas Diarias'!$B:$F,5,FALSE)*G278,0)</f>
        <v>0</v>
      </c>
      <c r="U278" s="311" t="e">
        <f>+VLOOKUP(C278,Spreads!$A$2:$G$345,7,0)</f>
        <v>#N/A</v>
      </c>
    </row>
    <row r="279" spans="1:21" ht="15" customHeight="1" thickTop="1" thickBot="1">
      <c r="A279" s="317" t="s">
        <v>2137</v>
      </c>
      <c r="B279" s="318" t="s">
        <v>4</v>
      </c>
      <c r="C279" s="318" t="s">
        <v>805</v>
      </c>
      <c r="D279" s="318" t="s">
        <v>2140</v>
      </c>
      <c r="E279" s="319">
        <v>1550748.3426999999</v>
      </c>
      <c r="F279" s="319">
        <v>2251457.8017484429</v>
      </c>
      <c r="G279" s="314">
        <v>3.4999999999999997E-5</v>
      </c>
      <c r="H279" s="318">
        <v>309.26</v>
      </c>
      <c r="I279" s="318" t="s">
        <v>2141</v>
      </c>
      <c r="J279" s="318">
        <v>68</v>
      </c>
      <c r="K279" s="318">
        <v>0.18</v>
      </c>
      <c r="L279" s="318">
        <v>78.180000000000007</v>
      </c>
      <c r="M279" s="318" t="s">
        <v>9</v>
      </c>
      <c r="N279" s="318" t="s">
        <v>368</v>
      </c>
      <c r="O279" s="318" t="s">
        <v>8</v>
      </c>
      <c r="P279" s="318" t="s">
        <v>2142</v>
      </c>
      <c r="Q279" s="318" t="s">
        <v>63</v>
      </c>
      <c r="R279" s="318" t="s">
        <v>2145</v>
      </c>
      <c r="S279" s="303">
        <f t="shared" si="5"/>
        <v>279134.70168599999</v>
      </c>
      <c r="T279" s="307">
        <f>+IFERROR(VLOOKUP(C279,'Tasas Diarias'!$B:$F,5,FALSE)*G279,0)</f>
        <v>0</v>
      </c>
      <c r="U279" s="311" t="str">
        <f ca="1">+VLOOKUP(C279,Spreads!$A$2:$G$345,7,0)</f>
        <v/>
      </c>
    </row>
    <row r="280" spans="1:21" ht="15" customHeight="1" thickTop="1" thickBot="1">
      <c r="A280" s="321" t="s">
        <v>2137</v>
      </c>
      <c r="B280" s="322" t="s">
        <v>4</v>
      </c>
      <c r="C280" s="322" t="s">
        <v>22</v>
      </c>
      <c r="D280" s="322" t="s">
        <v>55</v>
      </c>
      <c r="E280" s="323">
        <v>49761808.455899999</v>
      </c>
      <c r="F280" s="323">
        <v>50032512.366343968</v>
      </c>
      <c r="G280" s="314">
        <v>1.134E-3</v>
      </c>
      <c r="H280" s="324">
        <v>2.88</v>
      </c>
      <c r="I280" s="322" t="s">
        <v>1319</v>
      </c>
      <c r="J280" s="322">
        <v>67</v>
      </c>
      <c r="K280" s="322">
        <v>0.19</v>
      </c>
      <c r="L280" s="322">
        <v>99.458943500000004</v>
      </c>
      <c r="M280" s="322" t="s">
        <v>9</v>
      </c>
      <c r="N280" s="322" t="s">
        <v>374</v>
      </c>
      <c r="O280" s="322" t="s">
        <v>8</v>
      </c>
      <c r="P280" s="322" t="s">
        <v>375</v>
      </c>
      <c r="Q280" s="322" t="s">
        <v>55</v>
      </c>
      <c r="R280" s="322" t="s">
        <v>386</v>
      </c>
      <c r="S280" s="303">
        <f t="shared" si="5"/>
        <v>9454743.6066209991</v>
      </c>
      <c r="T280" s="307">
        <f>+IFERROR(VLOOKUP(C280,'Tasas Diarias'!$B:$F,5,FALSE)*G280,0)</f>
        <v>0</v>
      </c>
      <c r="U280" s="311" t="str">
        <f>+VLOOKUP(C280,Spreads!$A$2:$G$345,7,0)</f>
        <v/>
      </c>
    </row>
    <row r="281" spans="1:21" ht="15" customHeight="1" thickTop="1" thickBot="1">
      <c r="A281" s="321" t="s">
        <v>2137</v>
      </c>
      <c r="B281" s="322" t="s">
        <v>4</v>
      </c>
      <c r="C281" s="322" t="s">
        <v>22</v>
      </c>
      <c r="D281" s="322" t="s">
        <v>55</v>
      </c>
      <c r="E281" s="323">
        <v>248646534</v>
      </c>
      <c r="F281" s="345">
        <v>250000000</v>
      </c>
      <c r="G281" s="314">
        <v>5.666E-3</v>
      </c>
      <c r="H281" s="324">
        <v>2.76</v>
      </c>
      <c r="I281" s="322" t="s">
        <v>1306</v>
      </c>
      <c r="J281" s="322">
        <v>70</v>
      </c>
      <c r="K281" s="322">
        <v>0.19</v>
      </c>
      <c r="L281" s="322">
        <v>99.458613</v>
      </c>
      <c r="M281" s="322" t="s">
        <v>9</v>
      </c>
      <c r="N281" s="322" t="s">
        <v>374</v>
      </c>
      <c r="O281" s="322" t="s">
        <v>8</v>
      </c>
      <c r="P281" s="322" t="s">
        <v>375</v>
      </c>
      <c r="Q281" s="322" t="s">
        <v>55</v>
      </c>
      <c r="R281" s="322" t="s">
        <v>386</v>
      </c>
      <c r="S281" s="303">
        <f t="shared" si="5"/>
        <v>47242841.460000001</v>
      </c>
      <c r="T281" s="307">
        <f>+IFERROR(VLOOKUP(C281,'Tasas Diarias'!$B:$F,5,FALSE)*G281,0)</f>
        <v>0</v>
      </c>
      <c r="U281" s="311" t="str">
        <f>+VLOOKUP(C281,Spreads!$A$2:$G$345,7,0)</f>
        <v/>
      </c>
    </row>
    <row r="282" spans="1:21" ht="15" customHeight="1" thickTop="1" thickBot="1">
      <c r="A282" s="317" t="s">
        <v>2137</v>
      </c>
      <c r="B282" s="318" t="s">
        <v>4</v>
      </c>
      <c r="C282" s="318" t="s">
        <v>1612</v>
      </c>
      <c r="D282" s="318" t="s">
        <v>1613</v>
      </c>
      <c r="E282" s="319">
        <v>11107175.7479</v>
      </c>
      <c r="F282" s="319"/>
      <c r="G282" s="314">
        <v>2.5300000000000002E-4</v>
      </c>
      <c r="H282" s="320">
        <v>0</v>
      </c>
      <c r="I282" s="318" t="s">
        <v>1306</v>
      </c>
      <c r="J282" s="318">
        <v>70</v>
      </c>
      <c r="K282" s="318">
        <v>0.19</v>
      </c>
      <c r="L282" s="318">
        <v>99.964100000000002</v>
      </c>
      <c r="M282" s="318" t="s">
        <v>369</v>
      </c>
      <c r="N282" s="318" t="s">
        <v>368</v>
      </c>
      <c r="O282" s="318" t="s">
        <v>8</v>
      </c>
      <c r="P282" s="318" t="s">
        <v>417</v>
      </c>
      <c r="Q282" s="318" t="s">
        <v>1353</v>
      </c>
      <c r="R282" s="318" t="s">
        <v>1614</v>
      </c>
      <c r="S282" s="303">
        <f t="shared" si="5"/>
        <v>2110363.3921010001</v>
      </c>
      <c r="T282" s="307">
        <f>+IFERROR(VLOOKUP(C282,'Tasas Diarias'!$B:$F,5,FALSE)*G282,0)</f>
        <v>0</v>
      </c>
      <c r="U282" s="311" t="e">
        <f>+VLOOKUP(C282,Spreads!$A$2:$G$345,7,0)</f>
        <v>#N/A</v>
      </c>
    </row>
    <row r="283" spans="1:21" ht="15" customHeight="1" thickTop="1" thickBot="1">
      <c r="A283" s="317" t="s">
        <v>2137</v>
      </c>
      <c r="B283" s="318" t="s">
        <v>4</v>
      </c>
      <c r="C283" s="318" t="s">
        <v>22</v>
      </c>
      <c r="D283" s="318" t="s">
        <v>72</v>
      </c>
      <c r="E283" s="319">
        <v>5170577</v>
      </c>
      <c r="F283" s="319">
        <v>5201600</v>
      </c>
      <c r="G283" s="314">
        <v>1.17E-4</v>
      </c>
      <c r="H283" s="318">
        <v>2.88</v>
      </c>
      <c r="I283" s="318" t="s">
        <v>1225</v>
      </c>
      <c r="J283" s="318">
        <v>74</v>
      </c>
      <c r="K283" s="318">
        <v>0.21</v>
      </c>
      <c r="L283" s="318">
        <v>99.403587000000002</v>
      </c>
      <c r="M283" s="318" t="s">
        <v>9</v>
      </c>
      <c r="N283" s="318" t="s">
        <v>374</v>
      </c>
      <c r="O283" s="318" t="s">
        <v>8</v>
      </c>
      <c r="P283" s="318" t="s">
        <v>296</v>
      </c>
      <c r="Q283" s="318" t="s">
        <v>325</v>
      </c>
      <c r="R283" s="318" t="s">
        <v>393</v>
      </c>
      <c r="S283" s="303">
        <f t="shared" si="5"/>
        <v>1085821.17</v>
      </c>
      <c r="T283" s="307">
        <f>+IFERROR(VLOOKUP(C283,'Tasas Diarias'!$B:$F,5,FALSE)*G283,0)</f>
        <v>0</v>
      </c>
      <c r="U283" s="311" t="str">
        <f>+VLOOKUP(C283,Spreads!$A$2:$G$345,7,0)</f>
        <v/>
      </c>
    </row>
    <row r="284" spans="1:21" ht="15" customHeight="1" thickTop="1" thickBot="1">
      <c r="A284" s="317" t="s">
        <v>2137</v>
      </c>
      <c r="B284" s="318" t="s">
        <v>4</v>
      </c>
      <c r="C284" s="318" t="s">
        <v>22</v>
      </c>
      <c r="D284" s="318" t="s">
        <v>305</v>
      </c>
      <c r="E284" s="319">
        <v>4954419</v>
      </c>
      <c r="F284" s="319">
        <v>5000000</v>
      </c>
      <c r="G284" s="314">
        <v>1.12E-4</v>
      </c>
      <c r="H284" s="320">
        <v>2.88</v>
      </c>
      <c r="I284" s="318" t="s">
        <v>1438</v>
      </c>
      <c r="J284" s="318">
        <v>114</v>
      </c>
      <c r="K284" s="318">
        <v>0.32</v>
      </c>
      <c r="L284" s="318">
        <v>99.088380000000001</v>
      </c>
      <c r="M284" s="318" t="s">
        <v>9</v>
      </c>
      <c r="N284" s="318" t="s">
        <v>374</v>
      </c>
      <c r="O284" s="318" t="s">
        <v>8</v>
      </c>
      <c r="P284" s="318" t="s">
        <v>375</v>
      </c>
      <c r="Q284" s="318" t="s">
        <v>326</v>
      </c>
      <c r="R284" s="318" t="s">
        <v>387</v>
      </c>
      <c r="S284" s="303">
        <f t="shared" si="5"/>
        <v>1585414.08</v>
      </c>
      <c r="T284" s="307">
        <f>+IFERROR(VLOOKUP(C284,'Tasas Diarias'!$B:$F,5,FALSE)*G284,0)</f>
        <v>0</v>
      </c>
      <c r="U284" s="311" t="str">
        <f>+VLOOKUP(C284,Spreads!$A$2:$G$345,7,0)</f>
        <v/>
      </c>
    </row>
    <row r="285" spans="1:21" ht="15" customHeight="1" thickTop="1" thickBot="1">
      <c r="A285" s="321" t="s">
        <v>2137</v>
      </c>
      <c r="B285" s="322" t="s">
        <v>4</v>
      </c>
      <c r="C285" s="322" t="s">
        <v>22</v>
      </c>
      <c r="D285" s="322" t="s">
        <v>23</v>
      </c>
      <c r="E285" s="323">
        <v>1810971.0669</v>
      </c>
      <c r="F285" s="323">
        <v>1829804.9252012516</v>
      </c>
      <c r="G285" s="314">
        <v>4.1E-5</v>
      </c>
      <c r="H285" s="322">
        <v>2.88</v>
      </c>
      <c r="I285" s="322" t="s">
        <v>1852</v>
      </c>
      <c r="J285" s="322">
        <v>129</v>
      </c>
      <c r="K285" s="322">
        <v>0.36</v>
      </c>
      <c r="L285" s="322">
        <v>98.970711999999992</v>
      </c>
      <c r="M285" s="322" t="s">
        <v>9</v>
      </c>
      <c r="N285" s="322" t="s">
        <v>374</v>
      </c>
      <c r="O285" s="322" t="s">
        <v>8</v>
      </c>
      <c r="P285" s="322" t="s">
        <v>375</v>
      </c>
      <c r="Q285" s="322" t="s">
        <v>67</v>
      </c>
      <c r="R285" s="322" t="s">
        <v>376</v>
      </c>
      <c r="S285" s="303">
        <f t="shared" si="5"/>
        <v>651949.58408399997</v>
      </c>
      <c r="T285" s="307">
        <f>+IFERROR(VLOOKUP(C285,'Tasas Diarias'!$B:$F,5,FALSE)*G285,0)</f>
        <v>0</v>
      </c>
      <c r="U285" s="311" t="str">
        <f>+VLOOKUP(C285,Spreads!$A$2:$G$345,7,0)</f>
        <v/>
      </c>
    </row>
    <row r="286" spans="1:21" ht="15" customHeight="1" thickTop="1" thickBot="1">
      <c r="A286" s="317" t="s">
        <v>2137</v>
      </c>
      <c r="B286" s="318" t="s">
        <v>4</v>
      </c>
      <c r="C286" s="318" t="s">
        <v>813</v>
      </c>
      <c r="D286" s="318" t="s">
        <v>39</v>
      </c>
      <c r="E286" s="319">
        <v>1421519.3141999999</v>
      </c>
      <c r="F286" s="319">
        <v>11265583.892153651</v>
      </c>
      <c r="G286" s="314">
        <v>3.1999999999999999E-5</v>
      </c>
      <c r="H286" s="333">
        <v>5.55</v>
      </c>
      <c r="I286" s="318" t="s">
        <v>434</v>
      </c>
      <c r="J286" s="318">
        <v>132</v>
      </c>
      <c r="K286" s="318">
        <v>0.36</v>
      </c>
      <c r="L286" s="318">
        <v>100.16</v>
      </c>
      <c r="M286" s="318" t="s">
        <v>9</v>
      </c>
      <c r="N286" s="318" t="s">
        <v>368</v>
      </c>
      <c r="O286" s="318" t="s">
        <v>8</v>
      </c>
      <c r="P286" s="318" t="s">
        <v>801</v>
      </c>
      <c r="Q286" s="318" t="s">
        <v>69</v>
      </c>
      <c r="R286" s="318" t="s">
        <v>815</v>
      </c>
      <c r="S286" s="303">
        <f t="shared" si="5"/>
        <v>511746.95311199996</v>
      </c>
      <c r="T286" s="307">
        <f>+IFERROR(VLOOKUP(C286,'Tasas Diarias'!$B:$F,5,FALSE)*G286,0)</f>
        <v>-1.3413698630136672E-9</v>
      </c>
      <c r="U286" s="311" t="str">
        <f ca="1">+VLOOKUP(C286,Spreads!$A$2:$G$345,7,0)</f>
        <v/>
      </c>
    </row>
    <row r="287" spans="1:21" ht="15" customHeight="1" thickTop="1" thickBot="1">
      <c r="A287" s="321" t="s">
        <v>2137</v>
      </c>
      <c r="B287" s="322" t="s">
        <v>4</v>
      </c>
      <c r="C287" s="322" t="s">
        <v>437</v>
      </c>
      <c r="D287" s="322" t="s">
        <v>32</v>
      </c>
      <c r="E287" s="323">
        <v>14065.284600000001</v>
      </c>
      <c r="F287" s="323"/>
      <c r="G287" s="314">
        <v>0</v>
      </c>
      <c r="H287" s="324">
        <v>1</v>
      </c>
      <c r="I287" s="322" t="s">
        <v>434</v>
      </c>
      <c r="J287" s="322">
        <v>132</v>
      </c>
      <c r="K287" s="322">
        <v>0.36</v>
      </c>
      <c r="L287" s="322">
        <v>100.9</v>
      </c>
      <c r="M287" s="322" t="s">
        <v>6</v>
      </c>
      <c r="N287" s="322" t="s">
        <v>368</v>
      </c>
      <c r="O287" s="322" t="s">
        <v>8</v>
      </c>
      <c r="P287" s="322" t="s">
        <v>379</v>
      </c>
      <c r="Q287" s="322" t="s">
        <v>67</v>
      </c>
      <c r="R287" s="322" t="s">
        <v>389</v>
      </c>
      <c r="S287" s="303">
        <f t="shared" si="5"/>
        <v>5063.5024560000002</v>
      </c>
      <c r="T287" s="307">
        <f>+IFERROR(VLOOKUP(C287,'Tasas Diarias'!$B:$F,5,FALSE)*G287,0)</f>
        <v>0</v>
      </c>
      <c r="U287" s="311" t="str">
        <f ca="1">+VLOOKUP(C287,Spreads!$A$2:$G$345,7,0)</f>
        <v/>
      </c>
    </row>
    <row r="288" spans="1:21" ht="15" customHeight="1" thickTop="1" thickBot="1">
      <c r="A288" s="327" t="s">
        <v>2137</v>
      </c>
      <c r="B288" s="328" t="s">
        <v>4</v>
      </c>
      <c r="C288" s="328" t="s">
        <v>541</v>
      </c>
      <c r="D288" s="328" t="s">
        <v>182</v>
      </c>
      <c r="E288" s="328">
        <v>8759.7955999999995</v>
      </c>
      <c r="F288" s="328"/>
      <c r="G288" s="332">
        <v>0</v>
      </c>
      <c r="H288" s="329">
        <v>1.24</v>
      </c>
      <c r="I288" s="328" t="s">
        <v>434</v>
      </c>
      <c r="J288" s="328">
        <v>132</v>
      </c>
      <c r="K288" s="328">
        <v>0.36</v>
      </c>
      <c r="L288" s="328">
        <v>100.63</v>
      </c>
      <c r="M288" s="328" t="s">
        <v>6</v>
      </c>
      <c r="N288" s="328" t="s">
        <v>368</v>
      </c>
      <c r="O288" s="328" t="s">
        <v>8</v>
      </c>
      <c r="P288" s="328" t="s">
        <v>7</v>
      </c>
      <c r="Q288" s="328" t="s">
        <v>390</v>
      </c>
      <c r="R288" s="328" t="s">
        <v>402</v>
      </c>
      <c r="S288" s="303">
        <f t="shared" si="5"/>
        <v>3153.5264159999997</v>
      </c>
      <c r="T288" s="307">
        <f>+IFERROR(VLOOKUP(C288,'Tasas Diarias'!$B:$F,5,FALSE)*G288,0)</f>
        <v>0</v>
      </c>
      <c r="U288" s="311" t="str">
        <f ca="1">+VLOOKUP(C288,Spreads!$A$2:$G$345,7,0)</f>
        <v/>
      </c>
    </row>
    <row r="289" spans="1:21" ht="15" customHeight="1" thickTop="1" thickBot="1">
      <c r="A289" s="317" t="s">
        <v>2137</v>
      </c>
      <c r="B289" s="318" t="s">
        <v>4</v>
      </c>
      <c r="C289" s="318" t="s">
        <v>440</v>
      </c>
      <c r="D289" s="318" t="s">
        <v>182</v>
      </c>
      <c r="E289" s="319">
        <v>6127.4141</v>
      </c>
      <c r="F289" s="319"/>
      <c r="G289" s="314">
        <v>0</v>
      </c>
      <c r="H289" s="320">
        <v>1.4</v>
      </c>
      <c r="I289" s="318" t="s">
        <v>441</v>
      </c>
      <c r="J289" s="318">
        <v>140</v>
      </c>
      <c r="K289" s="318">
        <v>0.38</v>
      </c>
      <c r="L289" s="318">
        <v>100.61</v>
      </c>
      <c r="M289" s="318" t="s">
        <v>6</v>
      </c>
      <c r="N289" s="318" t="s">
        <v>368</v>
      </c>
      <c r="O289" s="318" t="s">
        <v>8</v>
      </c>
      <c r="P289" s="318" t="s">
        <v>7</v>
      </c>
      <c r="Q289" s="318" t="s">
        <v>390</v>
      </c>
      <c r="R289" s="318" t="s">
        <v>402</v>
      </c>
      <c r="S289" s="303">
        <f t="shared" si="5"/>
        <v>2328.4173580000001</v>
      </c>
      <c r="T289" s="307">
        <f>+IFERROR(VLOOKUP(C289,'Tasas Diarias'!$B:$F,5,FALSE)*G289,0)</f>
        <v>0</v>
      </c>
      <c r="U289" s="311" t="str">
        <f ca="1">+VLOOKUP(C289,Spreads!$A$2:$G$345,7,0)</f>
        <v/>
      </c>
    </row>
    <row r="290" spans="1:21" ht="15" customHeight="1" thickTop="1" thickBot="1">
      <c r="A290" s="321" t="s">
        <v>2137</v>
      </c>
      <c r="B290" s="322" t="s">
        <v>4</v>
      </c>
      <c r="C290" s="322" t="s">
        <v>22</v>
      </c>
      <c r="D290" s="322" t="s">
        <v>305</v>
      </c>
      <c r="E290" s="323">
        <v>6423.6032999999998</v>
      </c>
      <c r="F290" s="323">
        <v>6500.6865306817308</v>
      </c>
      <c r="G290" s="314">
        <v>0</v>
      </c>
      <c r="H290" s="322">
        <v>2.88</v>
      </c>
      <c r="I290" s="322" t="s">
        <v>1892</v>
      </c>
      <c r="J290" s="322">
        <v>149</v>
      </c>
      <c r="K290" s="322">
        <v>0.41</v>
      </c>
      <c r="L290" s="322">
        <v>98.814228999999997</v>
      </c>
      <c r="M290" s="322" t="s">
        <v>9</v>
      </c>
      <c r="N290" s="322" t="s">
        <v>374</v>
      </c>
      <c r="O290" s="322" t="s">
        <v>8</v>
      </c>
      <c r="P290" s="322" t="s">
        <v>375</v>
      </c>
      <c r="Q290" s="322" t="s">
        <v>326</v>
      </c>
      <c r="R290" s="322" t="s">
        <v>387</v>
      </c>
      <c r="S290" s="303">
        <f t="shared" si="5"/>
        <v>2633.6773529999996</v>
      </c>
      <c r="T290" s="307">
        <f>+IFERROR(VLOOKUP(C290,'Tasas Diarias'!$B:$F,5,FALSE)*G290,0)</f>
        <v>0</v>
      </c>
      <c r="U290" s="311" t="str">
        <f>+VLOOKUP(C290,Spreads!$A$2:$G$345,7,0)</f>
        <v/>
      </c>
    </row>
    <row r="291" spans="1:21" ht="15" customHeight="1" thickTop="1" thickBot="1">
      <c r="A291" s="317" t="s">
        <v>2137</v>
      </c>
      <c r="B291" s="318" t="s">
        <v>4</v>
      </c>
      <c r="C291" s="318" t="s">
        <v>1030</v>
      </c>
      <c r="D291" s="318" t="s">
        <v>170</v>
      </c>
      <c r="E291" s="319">
        <v>17438.139200000001</v>
      </c>
      <c r="F291" s="319"/>
      <c r="G291" s="314">
        <v>0</v>
      </c>
      <c r="H291" s="320">
        <v>1.19</v>
      </c>
      <c r="I291" s="318" t="s">
        <v>443</v>
      </c>
      <c r="J291" s="318">
        <v>162</v>
      </c>
      <c r="K291" s="318">
        <v>0.44</v>
      </c>
      <c r="L291" s="318">
        <v>100.45</v>
      </c>
      <c r="M291" s="318" t="s">
        <v>6</v>
      </c>
      <c r="N291" s="318" t="s">
        <v>368</v>
      </c>
      <c r="O291" s="318" t="s">
        <v>8</v>
      </c>
      <c r="P291" s="318" t="s">
        <v>392</v>
      </c>
      <c r="Q291" s="318" t="s">
        <v>88</v>
      </c>
      <c r="R291" s="318" t="s">
        <v>512</v>
      </c>
      <c r="S291" s="303">
        <f t="shared" si="5"/>
        <v>7672.7812480000002</v>
      </c>
      <c r="T291" s="307">
        <f>+IFERROR(VLOOKUP(C291,'Tasas Diarias'!$B:$F,5,FALSE)*G291,0)</f>
        <v>0</v>
      </c>
      <c r="U291" s="311" t="str">
        <f ca="1">+VLOOKUP(C291,Spreads!$A$2:$G$345,7,0)</f>
        <v/>
      </c>
    </row>
    <row r="292" spans="1:21" ht="15" customHeight="1" thickTop="1" thickBot="1">
      <c r="A292" s="317" t="s">
        <v>2137</v>
      </c>
      <c r="B292" s="318" t="s">
        <v>4</v>
      </c>
      <c r="C292" s="318" t="s">
        <v>816</v>
      </c>
      <c r="D292" s="318" t="s">
        <v>39</v>
      </c>
      <c r="E292" s="319">
        <v>22989844.180799998</v>
      </c>
      <c r="F292" s="319"/>
      <c r="G292" s="314">
        <v>5.2400000000000005E-4</v>
      </c>
      <c r="H292" s="320">
        <v>2.2999999999999998</v>
      </c>
      <c r="I292" s="318" t="s">
        <v>457</v>
      </c>
      <c r="J292" s="318">
        <v>254</v>
      </c>
      <c r="K292" s="318">
        <v>0.44</v>
      </c>
      <c r="L292" s="318">
        <v>100.6</v>
      </c>
      <c r="M292" s="318" t="s">
        <v>6</v>
      </c>
      <c r="N292" s="318" t="s">
        <v>368</v>
      </c>
      <c r="O292" s="318" t="s">
        <v>8</v>
      </c>
      <c r="P292" s="318" t="s">
        <v>801</v>
      </c>
      <c r="Q292" s="318" t="s">
        <v>69</v>
      </c>
      <c r="R292" s="318" t="s">
        <v>815</v>
      </c>
      <c r="S292" s="303">
        <f t="shared" si="5"/>
        <v>10115531.439552</v>
      </c>
      <c r="T292" s="307">
        <f>+IFERROR(VLOOKUP(C292,'Tasas Diarias'!$B:$F,5,FALSE)*G292,0)</f>
        <v>2.1013075799542418E-7</v>
      </c>
      <c r="U292" s="311" t="str">
        <f ca="1">+VLOOKUP(C292,Spreads!$A$2:$G$345,7,0)</f>
        <v/>
      </c>
    </row>
    <row r="293" spans="1:21" ht="15" customHeight="1" thickTop="1" thickBot="1">
      <c r="A293" s="317" t="s">
        <v>2137</v>
      </c>
      <c r="B293" s="318" t="s">
        <v>4</v>
      </c>
      <c r="C293" s="318" t="s">
        <v>527</v>
      </c>
      <c r="D293" s="318" t="s">
        <v>528</v>
      </c>
      <c r="E293" s="319">
        <v>16656.9401</v>
      </c>
      <c r="F293" s="319"/>
      <c r="G293" s="314">
        <v>0</v>
      </c>
      <c r="H293" s="318">
        <v>1.55</v>
      </c>
      <c r="I293" s="318" t="s">
        <v>529</v>
      </c>
      <c r="J293" s="318">
        <v>376</v>
      </c>
      <c r="K293" s="318">
        <v>0.52</v>
      </c>
      <c r="L293" s="318">
        <v>100.99</v>
      </c>
      <c r="M293" s="318" t="s">
        <v>6</v>
      </c>
      <c r="N293" s="318" t="s">
        <v>368</v>
      </c>
      <c r="O293" s="318" t="s">
        <v>530</v>
      </c>
      <c r="P293" s="318" t="s">
        <v>7</v>
      </c>
      <c r="Q293" s="318" t="s">
        <v>531</v>
      </c>
      <c r="R293" s="318" t="s">
        <v>532</v>
      </c>
      <c r="S293" s="303">
        <f t="shared" si="5"/>
        <v>8661.6088519999994</v>
      </c>
      <c r="T293" s="307">
        <f>+IFERROR(VLOOKUP(C293,'Tasas Diarias'!$B:$F,5,FALSE)*G293,0)</f>
        <v>0</v>
      </c>
      <c r="U293" s="311" t="str">
        <f ca="1">+VLOOKUP(C293,Spreads!$A$2:$G$345,7,0)</f>
        <v/>
      </c>
    </row>
    <row r="294" spans="1:21" ht="15" customHeight="1" thickTop="1" thickBot="1">
      <c r="A294" s="317" t="s">
        <v>2137</v>
      </c>
      <c r="B294" s="318" t="s">
        <v>4</v>
      </c>
      <c r="C294" s="318" t="s">
        <v>993</v>
      </c>
      <c r="D294" s="318" t="s">
        <v>170</v>
      </c>
      <c r="E294" s="319">
        <v>7127.0526</v>
      </c>
      <c r="F294" s="319"/>
      <c r="G294" s="314">
        <v>0</v>
      </c>
      <c r="H294" s="320">
        <v>1.55</v>
      </c>
      <c r="I294" s="318" t="s">
        <v>994</v>
      </c>
      <c r="J294" s="318">
        <v>207</v>
      </c>
      <c r="K294" s="318">
        <v>0.56000000000000005</v>
      </c>
      <c r="L294" s="318">
        <v>101.18</v>
      </c>
      <c r="M294" s="318" t="s">
        <v>6</v>
      </c>
      <c r="N294" s="318" t="s">
        <v>368</v>
      </c>
      <c r="O294" s="318" t="s">
        <v>8</v>
      </c>
      <c r="P294" s="318" t="s">
        <v>392</v>
      </c>
      <c r="Q294" s="318" t="s">
        <v>88</v>
      </c>
      <c r="R294" s="318" t="s">
        <v>512</v>
      </c>
      <c r="S294" s="303">
        <f t="shared" si="5"/>
        <v>3991.1494560000006</v>
      </c>
      <c r="T294" s="307">
        <f>+IFERROR(VLOOKUP(C294,'Tasas Diarias'!$B:$F,5,FALSE)*G294,0)</f>
        <v>0</v>
      </c>
      <c r="U294" s="311" t="str">
        <f ca="1">+VLOOKUP(C294,Spreads!$A$2:$G$345,7,0)</f>
        <v/>
      </c>
    </row>
    <row r="295" spans="1:21" ht="15" customHeight="1" thickTop="1" thickBot="1">
      <c r="A295" s="321" t="s">
        <v>2137</v>
      </c>
      <c r="B295" s="322" t="s">
        <v>4</v>
      </c>
      <c r="C295" s="322" t="s">
        <v>419</v>
      </c>
      <c r="D295" s="322" t="s">
        <v>420</v>
      </c>
      <c r="E295" s="323">
        <v>124541.0099</v>
      </c>
      <c r="F295" s="323"/>
      <c r="G295" s="314">
        <v>3.0000000000000001E-6</v>
      </c>
      <c r="H295" s="324">
        <v>1.7</v>
      </c>
      <c r="I295" s="322" t="s">
        <v>416</v>
      </c>
      <c r="J295" s="322">
        <v>299</v>
      </c>
      <c r="K295" s="322">
        <v>0.56000000000000005</v>
      </c>
      <c r="L295" s="322">
        <v>101.58</v>
      </c>
      <c r="M295" s="322" t="s">
        <v>6</v>
      </c>
      <c r="N295" s="322" t="s">
        <v>368</v>
      </c>
      <c r="O295" s="322" t="s">
        <v>421</v>
      </c>
      <c r="P295" s="322" t="s">
        <v>417</v>
      </c>
      <c r="Q295" s="322" t="s">
        <v>422</v>
      </c>
      <c r="R295" s="322" t="s">
        <v>423</v>
      </c>
      <c r="S295" s="303">
        <f t="shared" si="5"/>
        <v>69742.965544000006</v>
      </c>
      <c r="T295" s="307">
        <f>+IFERROR(VLOOKUP(C295,'Tasas Diarias'!$B:$F,5,FALSE)*G295,0)</f>
        <v>3.7218932915581834E-10</v>
      </c>
      <c r="U295" s="311" t="str">
        <f ca="1">+VLOOKUP(C295,Spreads!$A$2:$G$345,7,0)</f>
        <v/>
      </c>
    </row>
    <row r="296" spans="1:21" ht="15" customHeight="1" thickTop="1" thickBot="1">
      <c r="A296" s="321" t="s">
        <v>2137</v>
      </c>
      <c r="B296" s="322" t="s">
        <v>4</v>
      </c>
      <c r="C296" s="322" t="s">
        <v>415</v>
      </c>
      <c r="D296" s="322" t="s">
        <v>175</v>
      </c>
      <c r="E296" s="323">
        <v>2639.7862</v>
      </c>
      <c r="F296" s="323">
        <v>6501.2765083308541</v>
      </c>
      <c r="G296" s="314">
        <v>0</v>
      </c>
      <c r="H296" s="324">
        <v>4.1100000000000003</v>
      </c>
      <c r="I296" s="322" t="s">
        <v>416</v>
      </c>
      <c r="J296" s="322">
        <v>299</v>
      </c>
      <c r="K296" s="322">
        <v>0.56000000000000005</v>
      </c>
      <c r="L296" s="322">
        <v>100.6</v>
      </c>
      <c r="M296" s="322" t="s">
        <v>9</v>
      </c>
      <c r="N296" s="322" t="s">
        <v>368</v>
      </c>
      <c r="O296" s="322" t="s">
        <v>8</v>
      </c>
      <c r="P296" s="322" t="s">
        <v>392</v>
      </c>
      <c r="Q296" s="322" t="s">
        <v>66</v>
      </c>
      <c r="R296" s="322" t="s">
        <v>418</v>
      </c>
      <c r="S296" s="303">
        <f t="shared" si="5"/>
        <v>1478.2802720000002</v>
      </c>
      <c r="T296" s="307">
        <f>+IFERROR(VLOOKUP(C296,'Tasas Diarias'!$B:$F,5,FALSE)*G296,0)</f>
        <v>0</v>
      </c>
      <c r="U296" s="311" t="str">
        <f ca="1">+VLOOKUP(C296,Spreads!$A$2:$G$345,7,0)</f>
        <v/>
      </c>
    </row>
    <row r="297" spans="1:21" ht="15" customHeight="1" thickTop="1" thickBot="1">
      <c r="A297" s="327" t="s">
        <v>2137</v>
      </c>
      <c r="B297" s="328" t="s">
        <v>4</v>
      </c>
      <c r="C297" s="328" t="s">
        <v>455</v>
      </c>
      <c r="D297" s="328" t="s">
        <v>16</v>
      </c>
      <c r="E297" s="328">
        <v>7127.0526</v>
      </c>
      <c r="F297" s="328"/>
      <c r="G297" s="332">
        <v>0</v>
      </c>
      <c r="H297" s="329">
        <v>1.1599999999999999</v>
      </c>
      <c r="I297" s="328" t="s">
        <v>456</v>
      </c>
      <c r="J297" s="328">
        <v>223</v>
      </c>
      <c r="K297" s="328">
        <v>0.6</v>
      </c>
      <c r="L297" s="328">
        <v>101.41</v>
      </c>
      <c r="M297" s="328" t="s">
        <v>6</v>
      </c>
      <c r="N297" s="328" t="s">
        <v>368</v>
      </c>
      <c r="O297" s="328" t="s">
        <v>8</v>
      </c>
      <c r="P297" s="328" t="s">
        <v>379</v>
      </c>
      <c r="Q297" s="328" t="s">
        <v>61</v>
      </c>
      <c r="R297" s="328" t="s">
        <v>394</v>
      </c>
      <c r="S297" s="303">
        <f t="shared" si="5"/>
        <v>4276.2315600000002</v>
      </c>
      <c r="T297" s="307">
        <f>+IFERROR(VLOOKUP(C297,'Tasas Diarias'!$B:$F,5,FALSE)*G297,0)</f>
        <v>0</v>
      </c>
      <c r="U297" s="311" t="str">
        <f ca="1">+VLOOKUP(C297,Spreads!$A$2:$G$345,7,0)</f>
        <v/>
      </c>
    </row>
    <row r="298" spans="1:21" ht="15" customHeight="1" thickTop="1" thickBot="1">
      <c r="A298" s="317" t="s">
        <v>2137</v>
      </c>
      <c r="B298" s="318" t="s">
        <v>4</v>
      </c>
      <c r="C298" s="318" t="s">
        <v>546</v>
      </c>
      <c r="D298" s="318" t="s">
        <v>173</v>
      </c>
      <c r="E298" s="319">
        <v>8607.9986000000008</v>
      </c>
      <c r="F298" s="319"/>
      <c r="G298" s="314">
        <v>0</v>
      </c>
      <c r="H298" s="320">
        <v>1.21</v>
      </c>
      <c r="I298" s="318" t="s">
        <v>456</v>
      </c>
      <c r="J298" s="318">
        <v>223</v>
      </c>
      <c r="K298" s="318">
        <v>0.61</v>
      </c>
      <c r="L298" s="318">
        <v>99.27</v>
      </c>
      <c r="M298" s="318" t="s">
        <v>6</v>
      </c>
      <c r="N298" s="318" t="s">
        <v>368</v>
      </c>
      <c r="O298" s="318" t="s">
        <v>8</v>
      </c>
      <c r="P298" s="318" t="s">
        <v>444</v>
      </c>
      <c r="Q298" s="318" t="s">
        <v>55</v>
      </c>
      <c r="R298" s="318" t="s">
        <v>445</v>
      </c>
      <c r="S298" s="303">
        <f t="shared" si="5"/>
        <v>5250.8791460000002</v>
      </c>
      <c r="T298" s="307">
        <f>+IFERROR(VLOOKUP(C298,'Tasas Diarias'!$B:$F,5,FALSE)*G298,0)</f>
        <v>0</v>
      </c>
      <c r="U298" s="311" t="str">
        <f ca="1">+VLOOKUP(C298,Spreads!$A$2:$G$345,7,0)</f>
        <v/>
      </c>
    </row>
    <row r="299" spans="1:21" ht="15" customHeight="1" thickTop="1" thickBot="1">
      <c r="A299" s="321" t="s">
        <v>2137</v>
      </c>
      <c r="B299" s="322" t="s">
        <v>4</v>
      </c>
      <c r="C299" s="322" t="s">
        <v>426</v>
      </c>
      <c r="D299" s="322" t="s">
        <v>427</v>
      </c>
      <c r="E299" s="323">
        <v>4102.2204000000002</v>
      </c>
      <c r="F299" s="323"/>
      <c r="G299" s="314">
        <v>0</v>
      </c>
      <c r="H299" s="324">
        <v>1.72</v>
      </c>
      <c r="I299" s="322" t="s">
        <v>428</v>
      </c>
      <c r="J299" s="322">
        <v>350</v>
      </c>
      <c r="K299" s="322">
        <v>0.7</v>
      </c>
      <c r="L299" s="322">
        <v>101.23</v>
      </c>
      <c r="M299" s="322" t="s">
        <v>6</v>
      </c>
      <c r="N299" s="322" t="s">
        <v>368</v>
      </c>
      <c r="O299" s="322" t="s">
        <v>429</v>
      </c>
      <c r="P299" s="322" t="s">
        <v>392</v>
      </c>
      <c r="Q299" s="322" t="s">
        <v>430</v>
      </c>
      <c r="R299" s="322" t="s">
        <v>431</v>
      </c>
      <c r="S299" s="303">
        <f t="shared" si="5"/>
        <v>2871.5542799999998</v>
      </c>
      <c r="T299" s="307">
        <f>+IFERROR(VLOOKUP(C299,'Tasas Diarias'!$B:$F,5,FALSE)*G299,0)</f>
        <v>0</v>
      </c>
      <c r="U299" s="311" t="str">
        <f ca="1">+VLOOKUP(C299,Spreads!$A$2:$G$345,7,0)</f>
        <v/>
      </c>
    </row>
    <row r="300" spans="1:21" ht="15" customHeight="1" thickTop="1" thickBot="1">
      <c r="A300" s="317" t="s">
        <v>2137</v>
      </c>
      <c r="B300" s="318" t="s">
        <v>4</v>
      </c>
      <c r="C300" s="318" t="s">
        <v>451</v>
      </c>
      <c r="D300" s="318" t="s">
        <v>175</v>
      </c>
      <c r="E300" s="319">
        <v>11387157.320800001</v>
      </c>
      <c r="F300" s="319"/>
      <c r="G300" s="314">
        <v>2.5900000000000001E-4</v>
      </c>
      <c r="H300" s="320">
        <v>2.57</v>
      </c>
      <c r="I300" s="318" t="s">
        <v>452</v>
      </c>
      <c r="J300" s="318">
        <v>558</v>
      </c>
      <c r="K300" s="318">
        <v>0.76</v>
      </c>
      <c r="L300" s="318">
        <v>100.87</v>
      </c>
      <c r="M300" s="318" t="s">
        <v>6</v>
      </c>
      <c r="N300" s="318" t="s">
        <v>368</v>
      </c>
      <c r="O300" s="318" t="s">
        <v>8</v>
      </c>
      <c r="P300" s="318" t="s">
        <v>392</v>
      </c>
      <c r="Q300" s="318" t="s">
        <v>66</v>
      </c>
      <c r="R300" s="318" t="s">
        <v>418</v>
      </c>
      <c r="S300" s="303">
        <f t="shared" si="5"/>
        <v>8654239.5638080016</v>
      </c>
      <c r="T300" s="307">
        <f>+IFERROR(VLOOKUP(C300,'Tasas Diarias'!$B:$F,5,FALSE)*G300,0)</f>
        <v>6.3495773167180016E-8</v>
      </c>
      <c r="U300" s="311" t="str">
        <f ca="1">+VLOOKUP(C300,Spreads!$A$2:$G$345,7,0)</f>
        <v/>
      </c>
    </row>
    <row r="301" spans="1:21" ht="15" customHeight="1" thickTop="1" thickBot="1">
      <c r="A301" s="317" t="s">
        <v>2137</v>
      </c>
      <c r="B301" s="318" t="s">
        <v>4</v>
      </c>
      <c r="C301" s="318" t="s">
        <v>542</v>
      </c>
      <c r="D301" s="318" t="s">
        <v>543</v>
      </c>
      <c r="E301" s="319">
        <v>4698.3011999999999</v>
      </c>
      <c r="F301" s="319"/>
      <c r="G301" s="314">
        <v>0</v>
      </c>
      <c r="H301" s="320">
        <v>1.9</v>
      </c>
      <c r="I301" s="318" t="s">
        <v>480</v>
      </c>
      <c r="J301" s="318">
        <v>497</v>
      </c>
      <c r="K301" s="318">
        <v>0.85</v>
      </c>
      <c r="L301" s="318">
        <v>101.17</v>
      </c>
      <c r="M301" s="318" t="s">
        <v>6</v>
      </c>
      <c r="N301" s="318" t="s">
        <v>368</v>
      </c>
      <c r="O301" s="318" t="s">
        <v>1347</v>
      </c>
      <c r="P301" s="318" t="s">
        <v>444</v>
      </c>
      <c r="Q301" s="318" t="s">
        <v>544</v>
      </c>
      <c r="R301" s="318" t="s">
        <v>545</v>
      </c>
      <c r="S301" s="303">
        <f t="shared" si="5"/>
        <v>3993.55602</v>
      </c>
      <c r="T301" s="307">
        <f>+IFERROR(VLOOKUP(C301,'Tasas Diarias'!$B:$F,5,FALSE)*G301,0)</f>
        <v>0</v>
      </c>
      <c r="U301" s="311" t="str">
        <f ca="1">+VLOOKUP(C301,Spreads!$A$2:$G$345,7,0)</f>
        <v/>
      </c>
    </row>
    <row r="302" spans="1:21" ht="15" customHeight="1" thickTop="1" thickBot="1">
      <c r="A302" s="317" t="s">
        <v>2137</v>
      </c>
      <c r="B302" s="318" t="s">
        <v>4</v>
      </c>
      <c r="C302" s="318" t="s">
        <v>553</v>
      </c>
      <c r="D302" s="318" t="s">
        <v>168</v>
      </c>
      <c r="E302" s="319">
        <v>7082.6242000000002</v>
      </c>
      <c r="F302" s="319"/>
      <c r="G302" s="314">
        <v>0</v>
      </c>
      <c r="H302" s="320">
        <v>1.21</v>
      </c>
      <c r="I302" s="318" t="s">
        <v>554</v>
      </c>
      <c r="J302" s="318">
        <v>315</v>
      </c>
      <c r="K302" s="318">
        <v>0.86</v>
      </c>
      <c r="L302" s="318">
        <v>101.68</v>
      </c>
      <c r="M302" s="318" t="s">
        <v>6</v>
      </c>
      <c r="N302" s="318" t="s">
        <v>368</v>
      </c>
      <c r="O302" s="318" t="s">
        <v>8</v>
      </c>
      <c r="P302" s="318" t="s">
        <v>379</v>
      </c>
      <c r="Q302" s="318" t="s">
        <v>77</v>
      </c>
      <c r="R302" s="318" t="s">
        <v>453</v>
      </c>
      <c r="S302" s="303">
        <f t="shared" si="5"/>
        <v>6091.0568119999998</v>
      </c>
      <c r="T302" s="307">
        <f>+IFERROR(VLOOKUP(C302,'Tasas Diarias'!$B:$F,5,FALSE)*G302,0)</f>
        <v>0</v>
      </c>
      <c r="U302" s="311" t="str">
        <f ca="1">+VLOOKUP(C302,Spreads!$A$2:$G$345,7,0)</f>
        <v/>
      </c>
    </row>
    <row r="303" spans="1:21" ht="15" customHeight="1" thickTop="1" thickBot="1">
      <c r="A303" s="321" t="s">
        <v>2137</v>
      </c>
      <c r="B303" s="322" t="s">
        <v>4</v>
      </c>
      <c r="C303" s="322" t="s">
        <v>463</v>
      </c>
      <c r="D303" s="322" t="s">
        <v>464</v>
      </c>
      <c r="E303" s="323">
        <v>9188596.1219999995</v>
      </c>
      <c r="F303" s="323">
        <v>9054188.8613456506</v>
      </c>
      <c r="G303" s="314">
        <v>2.0900000000000001E-4</v>
      </c>
      <c r="H303" s="324">
        <v>3.71</v>
      </c>
      <c r="I303" s="322" t="s">
        <v>465</v>
      </c>
      <c r="J303" s="322">
        <v>329</v>
      </c>
      <c r="K303" s="322">
        <v>0.89</v>
      </c>
      <c r="L303" s="322">
        <v>101.02</v>
      </c>
      <c r="M303" s="322" t="s">
        <v>9</v>
      </c>
      <c r="N303" s="322" t="s">
        <v>368</v>
      </c>
      <c r="O303" s="322" t="s">
        <v>8</v>
      </c>
      <c r="P303" s="322" t="s">
        <v>379</v>
      </c>
      <c r="Q303" s="322" t="s">
        <v>466</v>
      </c>
      <c r="R303" s="322" t="s">
        <v>467</v>
      </c>
      <c r="S303" s="303">
        <f t="shared" si="5"/>
        <v>8177850.5485799992</v>
      </c>
      <c r="T303" s="307">
        <f>+IFERROR(VLOOKUP(C303,'Tasas Diarias'!$B:$F,5,FALSE)*G303,0)</f>
        <v>-1.979484497729678E-8</v>
      </c>
      <c r="U303" s="311" t="str">
        <f ca="1">+VLOOKUP(C303,Spreads!$A$2:$G$345,7,0)</f>
        <v/>
      </c>
    </row>
    <row r="304" spans="1:21" ht="15" customHeight="1" thickTop="1" thickBot="1">
      <c r="A304" s="317" t="s">
        <v>2137</v>
      </c>
      <c r="B304" s="318" t="s">
        <v>4</v>
      </c>
      <c r="C304" s="318" t="s">
        <v>2116</v>
      </c>
      <c r="D304" s="318" t="s">
        <v>50</v>
      </c>
      <c r="E304" s="319">
        <v>1382750.6055999999</v>
      </c>
      <c r="F304" s="319">
        <v>2699906.9713158803</v>
      </c>
      <c r="G304" s="314">
        <v>3.1999999999999999E-5</v>
      </c>
      <c r="H304" s="320">
        <v>3.89</v>
      </c>
      <c r="I304" s="318" t="s">
        <v>2117</v>
      </c>
      <c r="J304" s="318">
        <v>541</v>
      </c>
      <c r="K304" s="318">
        <v>0.97</v>
      </c>
      <c r="L304" s="318">
        <v>102.35</v>
      </c>
      <c r="M304" s="318" t="s">
        <v>9</v>
      </c>
      <c r="N304" s="318" t="s">
        <v>368</v>
      </c>
      <c r="O304" s="318" t="s">
        <v>429</v>
      </c>
      <c r="P304" s="318" t="s">
        <v>25</v>
      </c>
      <c r="Q304" s="318" t="s">
        <v>899</v>
      </c>
      <c r="R304" s="318" t="s">
        <v>900</v>
      </c>
      <c r="S304" s="303">
        <f t="shared" si="5"/>
        <v>1341268.0874319999</v>
      </c>
      <c r="T304" s="307">
        <f>+IFERROR(VLOOKUP(C304,'Tasas Diarias'!$B:$F,5,FALSE)*G304,0)</f>
        <v>0</v>
      </c>
      <c r="U304" s="311" t="e">
        <f>+VLOOKUP(C304,Spreads!$A$2:$G$345,7,0)</f>
        <v>#N/A</v>
      </c>
    </row>
    <row r="305" spans="1:21" ht="15" customHeight="1" thickTop="1" thickBot="1">
      <c r="A305" s="321" t="s">
        <v>2137</v>
      </c>
      <c r="B305" s="322" t="s">
        <v>4</v>
      </c>
      <c r="C305" s="322" t="s">
        <v>548</v>
      </c>
      <c r="D305" s="322" t="s">
        <v>10</v>
      </c>
      <c r="E305" s="323">
        <v>126699290.57009999</v>
      </c>
      <c r="F305" s="323">
        <v>189891240.67426005</v>
      </c>
      <c r="G305" s="314">
        <v>2.8869999999999998E-3</v>
      </c>
      <c r="H305" s="324">
        <v>6.81</v>
      </c>
      <c r="I305" s="322" t="s">
        <v>501</v>
      </c>
      <c r="J305" s="322">
        <v>954</v>
      </c>
      <c r="K305" s="322">
        <v>0.98</v>
      </c>
      <c r="L305" s="322">
        <v>100.17</v>
      </c>
      <c r="M305" s="322" t="s">
        <v>9</v>
      </c>
      <c r="N305" s="322" t="s">
        <v>368</v>
      </c>
      <c r="O305" s="322" t="s">
        <v>8</v>
      </c>
      <c r="P305" s="322" t="s">
        <v>7</v>
      </c>
      <c r="Q305" s="322" t="s">
        <v>56</v>
      </c>
      <c r="R305" s="322" t="s">
        <v>445</v>
      </c>
      <c r="S305" s="303">
        <f t="shared" si="5"/>
        <v>124165304.75869799</v>
      </c>
      <c r="T305" s="307">
        <f>+IFERROR(VLOOKUP(C305,'Tasas Diarias'!$B:$F,5,FALSE)*G305,0)</f>
        <v>-3.0042817224679076E-7</v>
      </c>
      <c r="U305" s="311" t="str">
        <f ca="1">+VLOOKUP(C305,Spreads!$A$2:$G$345,7,0)</f>
        <v/>
      </c>
    </row>
    <row r="306" spans="1:21" ht="15" customHeight="1" thickTop="1" thickBot="1">
      <c r="A306" s="317" t="s">
        <v>2137</v>
      </c>
      <c r="B306" s="318" t="s">
        <v>4</v>
      </c>
      <c r="C306" s="318" t="s">
        <v>1086</v>
      </c>
      <c r="D306" s="318" t="s">
        <v>39</v>
      </c>
      <c r="E306" s="319">
        <v>1809206.3998</v>
      </c>
      <c r="F306" s="319"/>
      <c r="G306" s="314">
        <v>4.1E-5</v>
      </c>
      <c r="H306" s="320">
        <v>2.79</v>
      </c>
      <c r="I306" s="318" t="s">
        <v>578</v>
      </c>
      <c r="J306" s="318">
        <v>650</v>
      </c>
      <c r="K306" s="318">
        <v>1.01</v>
      </c>
      <c r="L306" s="318">
        <v>99.72</v>
      </c>
      <c r="M306" s="318" t="s">
        <v>6</v>
      </c>
      <c r="N306" s="318" t="s">
        <v>368</v>
      </c>
      <c r="O306" s="318" t="s">
        <v>8</v>
      </c>
      <c r="P306" s="318" t="s">
        <v>801</v>
      </c>
      <c r="Q306" s="318" t="s">
        <v>69</v>
      </c>
      <c r="R306" s="318" t="s">
        <v>815</v>
      </c>
      <c r="S306" s="303">
        <f t="shared" si="5"/>
        <v>1827298.463798</v>
      </c>
      <c r="T306" s="307">
        <f>+IFERROR(VLOOKUP(C306,'Tasas Diarias'!$B:$F,5,FALSE)*G306,0)</f>
        <v>1.3145810838972993E-8</v>
      </c>
      <c r="U306" s="311" t="str">
        <f ca="1">+VLOOKUP(C306,Spreads!$A$2:$G$345,7,0)</f>
        <v/>
      </c>
    </row>
    <row r="307" spans="1:21" ht="15" customHeight="1" thickTop="1" thickBot="1">
      <c r="A307" s="317" t="s">
        <v>2137</v>
      </c>
      <c r="B307" s="318" t="s">
        <v>4</v>
      </c>
      <c r="C307" s="318" t="s">
        <v>819</v>
      </c>
      <c r="D307" s="318" t="s">
        <v>178</v>
      </c>
      <c r="E307" s="319">
        <v>12309064.9703</v>
      </c>
      <c r="F307" s="319"/>
      <c r="G307" s="314">
        <v>2.81E-4</v>
      </c>
      <c r="H307" s="320">
        <v>2.2000000000000002</v>
      </c>
      <c r="I307" s="318" t="s">
        <v>480</v>
      </c>
      <c r="J307" s="318">
        <v>497</v>
      </c>
      <c r="K307" s="318">
        <v>1.1000000000000001</v>
      </c>
      <c r="L307" s="318">
        <v>101.61</v>
      </c>
      <c r="M307" s="318" t="s">
        <v>6</v>
      </c>
      <c r="N307" s="318" t="s">
        <v>368</v>
      </c>
      <c r="O307" s="318" t="s">
        <v>8</v>
      </c>
      <c r="P307" s="318" t="s">
        <v>417</v>
      </c>
      <c r="Q307" s="318" t="s">
        <v>68</v>
      </c>
      <c r="R307" s="318" t="s">
        <v>812</v>
      </c>
      <c r="S307" s="303">
        <f t="shared" si="5"/>
        <v>13539971.467330001</v>
      </c>
      <c r="T307" s="307">
        <f>+IFERROR(VLOOKUP(C307,'Tasas Diarias'!$B:$F,5,FALSE)*G307,0)</f>
        <v>1.9433991593170587E-7</v>
      </c>
      <c r="U307" s="311" t="str">
        <f ca="1">+VLOOKUP(C307,Spreads!$A$2:$G$345,7,0)</f>
        <v/>
      </c>
    </row>
    <row r="308" spans="1:21" ht="15" customHeight="1" thickTop="1" thickBot="1">
      <c r="A308" s="317" t="s">
        <v>2137</v>
      </c>
      <c r="B308" s="318" t="s">
        <v>4</v>
      </c>
      <c r="C308" s="318" t="s">
        <v>475</v>
      </c>
      <c r="D308" s="318" t="s">
        <v>175</v>
      </c>
      <c r="E308" s="319">
        <v>476439436.78170002</v>
      </c>
      <c r="F308" s="319">
        <v>462850631.85220408</v>
      </c>
      <c r="G308" s="314">
        <v>1.0857E-2</v>
      </c>
      <c r="H308" s="320">
        <v>4.32</v>
      </c>
      <c r="I308" s="318" t="s">
        <v>476</v>
      </c>
      <c r="J308" s="318">
        <v>803</v>
      </c>
      <c r="K308" s="318">
        <v>1.1499999999999999</v>
      </c>
      <c r="L308" s="318">
        <v>101.29</v>
      </c>
      <c r="M308" s="318" t="s">
        <v>9</v>
      </c>
      <c r="N308" s="318" t="s">
        <v>368</v>
      </c>
      <c r="O308" s="318" t="s">
        <v>8</v>
      </c>
      <c r="P308" s="318" t="s">
        <v>392</v>
      </c>
      <c r="Q308" s="318" t="s">
        <v>66</v>
      </c>
      <c r="R308" s="318" t="s">
        <v>418</v>
      </c>
      <c r="S308" s="303">
        <f t="shared" si="5"/>
        <v>547905352.29895496</v>
      </c>
      <c r="T308" s="307">
        <f>+IFERROR(VLOOKUP(C308,'Tasas Diarias'!$B:$F,5,FALSE)*G308,0)</f>
        <v>0</v>
      </c>
      <c r="U308" s="311" t="str">
        <f ca="1">+VLOOKUP(C308,Spreads!$A$2:$G$345,7,0)</f>
        <v/>
      </c>
    </row>
    <row r="309" spans="1:21" ht="15" customHeight="1" thickTop="1" thickBot="1">
      <c r="A309" s="317" t="s">
        <v>2137</v>
      </c>
      <c r="B309" s="318" t="s">
        <v>4</v>
      </c>
      <c r="C309" s="318" t="s">
        <v>558</v>
      </c>
      <c r="D309" s="318" t="s">
        <v>289</v>
      </c>
      <c r="E309" s="319">
        <v>13454.394399999999</v>
      </c>
      <c r="F309" s="319">
        <v>13005.720338559118</v>
      </c>
      <c r="G309" s="314">
        <v>0</v>
      </c>
      <c r="H309" s="320">
        <v>3.81</v>
      </c>
      <c r="I309" s="318" t="s">
        <v>559</v>
      </c>
      <c r="J309" s="318">
        <v>479</v>
      </c>
      <c r="K309" s="318">
        <v>1.27</v>
      </c>
      <c r="L309" s="318">
        <v>102.41</v>
      </c>
      <c r="M309" s="318" t="s">
        <v>9</v>
      </c>
      <c r="N309" s="318" t="s">
        <v>368</v>
      </c>
      <c r="O309" s="318" t="s">
        <v>560</v>
      </c>
      <c r="P309" s="318" t="s">
        <v>7</v>
      </c>
      <c r="Q309" s="318" t="s">
        <v>79</v>
      </c>
      <c r="R309" s="318" t="s">
        <v>561</v>
      </c>
      <c r="S309" s="303">
        <f t="shared" si="5"/>
        <v>17087.080888</v>
      </c>
      <c r="T309" s="307">
        <f>+IFERROR(VLOOKUP(C309,'Tasas Diarias'!$B:$F,5,FALSE)*G309,0)</f>
        <v>0</v>
      </c>
      <c r="U309" s="311" t="str">
        <f ca="1">+VLOOKUP(C309,Spreads!$A$2:$G$345,7,0)</f>
        <v/>
      </c>
    </row>
    <row r="310" spans="1:21" ht="15" customHeight="1" thickTop="1" thickBot="1">
      <c r="A310" s="321" t="s">
        <v>2137</v>
      </c>
      <c r="B310" s="322" t="s">
        <v>4</v>
      </c>
      <c r="C310" s="322" t="s">
        <v>549</v>
      </c>
      <c r="D310" s="322" t="s">
        <v>292</v>
      </c>
      <c r="E310" s="323">
        <v>10904455.181600001</v>
      </c>
      <c r="F310" s="345">
        <v>13570153.973051773</v>
      </c>
      <c r="G310" s="314">
        <v>2.4800000000000001E-4</v>
      </c>
      <c r="H310" s="324">
        <v>4.0599999999999996</v>
      </c>
      <c r="I310" s="322" t="s">
        <v>550</v>
      </c>
      <c r="J310" s="322">
        <v>872</v>
      </c>
      <c r="K310" s="322">
        <v>1.32</v>
      </c>
      <c r="L310" s="322">
        <v>103.09</v>
      </c>
      <c r="M310" s="322" t="s">
        <v>9</v>
      </c>
      <c r="N310" s="322" t="s">
        <v>368</v>
      </c>
      <c r="O310" s="322" t="s">
        <v>551</v>
      </c>
      <c r="P310" s="322" t="s">
        <v>392</v>
      </c>
      <c r="Q310" s="322" t="s">
        <v>327</v>
      </c>
      <c r="R310" s="322" t="s">
        <v>552</v>
      </c>
      <c r="S310" s="303">
        <f t="shared" si="5"/>
        <v>14393880.839712001</v>
      </c>
      <c r="T310" s="307">
        <f>+IFERROR(VLOOKUP(C310,'Tasas Diarias'!$B:$F,5,FALSE)*G310,0)</f>
        <v>0</v>
      </c>
      <c r="U310" s="311" t="str">
        <f ca="1">+VLOOKUP(C310,Spreads!$A$2:$G$345,7,0)</f>
        <v/>
      </c>
    </row>
    <row r="311" spans="1:21" ht="15" customHeight="1" thickTop="1" thickBot="1">
      <c r="A311" s="317" t="s">
        <v>2137</v>
      </c>
      <c r="B311" s="318" t="s">
        <v>4</v>
      </c>
      <c r="C311" s="318" t="s">
        <v>479</v>
      </c>
      <c r="D311" s="318" t="s">
        <v>233</v>
      </c>
      <c r="E311" s="319">
        <v>689289655.37650001</v>
      </c>
      <c r="F311" s="319">
        <v>25000</v>
      </c>
      <c r="G311" s="314">
        <v>1.5709000000000001E-2</v>
      </c>
      <c r="H311" s="320">
        <v>1.56</v>
      </c>
      <c r="I311" s="318" t="s">
        <v>480</v>
      </c>
      <c r="J311" s="318">
        <v>497</v>
      </c>
      <c r="K311" s="318">
        <v>1.34</v>
      </c>
      <c r="L311" s="318">
        <v>102.43</v>
      </c>
      <c r="M311" s="318" t="s">
        <v>6</v>
      </c>
      <c r="N311" s="318" t="s">
        <v>368</v>
      </c>
      <c r="O311" s="318" t="s">
        <v>8</v>
      </c>
      <c r="P311" s="318" t="s">
        <v>417</v>
      </c>
      <c r="Q311" s="318" t="s">
        <v>60</v>
      </c>
      <c r="R311" s="318" t="s">
        <v>481</v>
      </c>
      <c r="S311" s="303">
        <f t="shared" si="5"/>
        <v>923648138.20451009</v>
      </c>
      <c r="T311" s="307">
        <f>+IFERROR(VLOOKUP(C311,'Tasas Diarias'!$B:$F,5,FALSE)*G311,0)</f>
        <v>4.3820240806753409E-6</v>
      </c>
      <c r="U311" s="311" t="str">
        <f ca="1">+VLOOKUP(C311,Spreads!$A$2:$G$345,7,0)</f>
        <v/>
      </c>
    </row>
    <row r="312" spans="1:21" ht="15" customHeight="1" thickTop="1" thickBot="1">
      <c r="A312" s="317" t="s">
        <v>2137</v>
      </c>
      <c r="B312" s="318" t="s">
        <v>4</v>
      </c>
      <c r="C312" s="318" t="s">
        <v>563</v>
      </c>
      <c r="D312" s="318" t="s">
        <v>170</v>
      </c>
      <c r="E312" s="319">
        <v>18622.896000000001</v>
      </c>
      <c r="F312" s="319"/>
      <c r="G312" s="314">
        <v>0</v>
      </c>
      <c r="H312" s="320">
        <v>1.6</v>
      </c>
      <c r="I312" s="318" t="s">
        <v>480</v>
      </c>
      <c r="J312" s="318">
        <v>497</v>
      </c>
      <c r="K312" s="318">
        <v>1.34</v>
      </c>
      <c r="L312" s="318">
        <v>101.85</v>
      </c>
      <c r="M312" s="318" t="s">
        <v>6</v>
      </c>
      <c r="N312" s="318" t="s">
        <v>368</v>
      </c>
      <c r="O312" s="318" t="s">
        <v>8</v>
      </c>
      <c r="P312" s="318" t="s">
        <v>392</v>
      </c>
      <c r="Q312" s="318" t="s">
        <v>88</v>
      </c>
      <c r="R312" s="318" t="s">
        <v>512</v>
      </c>
      <c r="S312" s="303">
        <f t="shared" si="5"/>
        <v>24954.680640000002</v>
      </c>
      <c r="T312" s="307">
        <f>+IFERROR(VLOOKUP(C312,'Tasas Diarias'!$B:$F,5,FALSE)*G312,0)</f>
        <v>0</v>
      </c>
      <c r="U312" s="311" t="str">
        <f ca="1">+VLOOKUP(C312,Spreads!$A$2:$G$345,7,0)</f>
        <v/>
      </c>
    </row>
    <row r="313" spans="1:21" ht="15" customHeight="1" thickTop="1" thickBot="1">
      <c r="A313" s="317" t="s">
        <v>2137</v>
      </c>
      <c r="B313" s="318" t="s">
        <v>4</v>
      </c>
      <c r="C313" s="318" t="s">
        <v>562</v>
      </c>
      <c r="D313" s="318" t="s">
        <v>10</v>
      </c>
      <c r="E313" s="319">
        <v>580918394.57430005</v>
      </c>
      <c r="F313" s="319">
        <v>575502487.29702342</v>
      </c>
      <c r="G313" s="314">
        <v>1.3239000000000001E-2</v>
      </c>
      <c r="H313" s="320">
        <v>5.66</v>
      </c>
      <c r="I313" s="318" t="s">
        <v>497</v>
      </c>
      <c r="J313" s="318">
        <v>863</v>
      </c>
      <c r="K313" s="318">
        <v>1.36</v>
      </c>
      <c r="L313" s="318">
        <v>100.18</v>
      </c>
      <c r="M313" s="318" t="s">
        <v>9</v>
      </c>
      <c r="N313" s="318" t="s">
        <v>368</v>
      </c>
      <c r="O313" s="318" t="s">
        <v>8</v>
      </c>
      <c r="P313" s="318" t="s">
        <v>7</v>
      </c>
      <c r="Q313" s="318" t="s">
        <v>56</v>
      </c>
      <c r="R313" s="318" t="s">
        <v>445</v>
      </c>
      <c r="S313" s="303">
        <f t="shared" si="5"/>
        <v>790049016.62104809</v>
      </c>
      <c r="T313" s="307">
        <f>+IFERROR(VLOOKUP(C313,'Tasas Diarias'!$B:$F,5,FALSE)*G313,0)</f>
        <v>0</v>
      </c>
      <c r="U313" s="311" t="str">
        <f ca="1">+VLOOKUP(C313,Spreads!$A$2:$G$345,7,0)</f>
        <v/>
      </c>
    </row>
    <row r="314" spans="1:21" ht="15" customHeight="1" thickTop="1" thickBot="1">
      <c r="A314" s="321" t="s">
        <v>2137</v>
      </c>
      <c r="B314" s="322" t="s">
        <v>4</v>
      </c>
      <c r="C314" s="322" t="s">
        <v>1594</v>
      </c>
      <c r="D314" s="322" t="s">
        <v>1595</v>
      </c>
      <c r="E314" s="323">
        <v>71353808.119399995</v>
      </c>
      <c r="F314" s="323"/>
      <c r="G314" s="314">
        <v>1.6260000000000001E-3</v>
      </c>
      <c r="H314" s="322">
        <v>0</v>
      </c>
      <c r="I314" s="322" t="s">
        <v>1596</v>
      </c>
      <c r="J314" s="322">
        <v>531</v>
      </c>
      <c r="K314" s="322">
        <v>1.39</v>
      </c>
      <c r="L314" s="322">
        <v>104.1628</v>
      </c>
      <c r="M314" s="322" t="s">
        <v>9</v>
      </c>
      <c r="N314" s="322" t="s">
        <v>368</v>
      </c>
      <c r="O314" s="322" t="s">
        <v>1348</v>
      </c>
      <c r="P314" s="322" t="s">
        <v>802</v>
      </c>
      <c r="Q314" s="322" t="s">
        <v>1597</v>
      </c>
      <c r="R314" s="322" t="s">
        <v>1607</v>
      </c>
      <c r="S314" s="303">
        <f t="shared" si="5"/>
        <v>99181793.285965979</v>
      </c>
      <c r="T314" s="307">
        <f>+IFERROR(VLOOKUP(C314,'Tasas Diarias'!$B:$F,5,FALSE)*G314,0)</f>
        <v>0</v>
      </c>
      <c r="U314" s="311" t="e">
        <f>+VLOOKUP(C314,Spreads!$A$2:$G$345,7,0)</f>
        <v>#N/A</v>
      </c>
    </row>
    <row r="315" spans="1:21" ht="15" customHeight="1" thickTop="1" thickBot="1">
      <c r="A315" s="317" t="s">
        <v>2137</v>
      </c>
      <c r="B315" s="318" t="s">
        <v>4</v>
      </c>
      <c r="C315" s="318" t="s">
        <v>824</v>
      </c>
      <c r="D315" s="318" t="s">
        <v>825</v>
      </c>
      <c r="E315" s="319">
        <v>88457270.0493</v>
      </c>
      <c r="F315" s="319"/>
      <c r="G315" s="314">
        <v>2.016E-3</v>
      </c>
      <c r="H315" s="320">
        <v>3.22</v>
      </c>
      <c r="I315" s="318" t="s">
        <v>826</v>
      </c>
      <c r="J315" s="318">
        <v>536</v>
      </c>
      <c r="K315" s="318">
        <v>1.43</v>
      </c>
      <c r="L315" s="318">
        <v>103.2</v>
      </c>
      <c r="M315" s="318" t="s">
        <v>6</v>
      </c>
      <c r="N315" s="318" t="s">
        <v>368</v>
      </c>
      <c r="O315" s="318" t="s">
        <v>421</v>
      </c>
      <c r="P315" s="318" t="s">
        <v>794</v>
      </c>
      <c r="Q315" s="318" t="s">
        <v>827</v>
      </c>
      <c r="R315" s="318" t="s">
        <v>828</v>
      </c>
      <c r="S315" s="303">
        <f t="shared" si="5"/>
        <v>126493896.170499</v>
      </c>
      <c r="T315" s="307">
        <f>+IFERROR(VLOOKUP(C315,'Tasas Diarias'!$B:$F,5,FALSE)*G315,0)</f>
        <v>8.7698789611296906E-7</v>
      </c>
      <c r="U315" s="311" t="str">
        <f ca="1">+VLOOKUP(C315,Spreads!$A$2:$G$345,7,0)</f>
        <v/>
      </c>
    </row>
    <row r="316" spans="1:21" ht="15" customHeight="1" thickTop="1" thickBot="1">
      <c r="A316" s="321" t="s">
        <v>2137</v>
      </c>
      <c r="B316" s="322" t="s">
        <v>4</v>
      </c>
      <c r="C316" s="322" t="s">
        <v>1256</v>
      </c>
      <c r="D316" s="322" t="s">
        <v>1257</v>
      </c>
      <c r="E316" s="323">
        <v>2550.9295000000002</v>
      </c>
      <c r="F316" s="323"/>
      <c r="G316" s="314">
        <v>0</v>
      </c>
      <c r="H316" s="324">
        <v>1.82</v>
      </c>
      <c r="I316" s="322" t="s">
        <v>503</v>
      </c>
      <c r="J316" s="322">
        <v>985</v>
      </c>
      <c r="K316" s="322">
        <v>1.44</v>
      </c>
      <c r="L316" s="322">
        <v>107.27</v>
      </c>
      <c r="M316" s="322" t="s">
        <v>6</v>
      </c>
      <c r="N316" s="322" t="s">
        <v>368</v>
      </c>
      <c r="O316" s="322" t="s">
        <v>8</v>
      </c>
      <c r="P316" s="322" t="s">
        <v>379</v>
      </c>
      <c r="Q316" s="322" t="s">
        <v>1258</v>
      </c>
      <c r="R316" s="322" t="s">
        <v>1259</v>
      </c>
      <c r="S316" s="303">
        <f t="shared" si="5"/>
        <v>3673.3384800000003</v>
      </c>
      <c r="T316" s="307">
        <f>+IFERROR(VLOOKUP(C316,'Tasas Diarias'!$B:$F,5,FALSE)*G316,0)</f>
        <v>0</v>
      </c>
      <c r="U316" s="311" t="str">
        <f ca="1">+VLOOKUP(C316,Spreads!$A$2:$G$345,7,0)</f>
        <v/>
      </c>
    </row>
    <row r="317" spans="1:21" ht="15" customHeight="1" thickTop="1" thickBot="1">
      <c r="A317" s="317" t="s">
        <v>2137</v>
      </c>
      <c r="B317" s="318" t="s">
        <v>4</v>
      </c>
      <c r="C317" s="318" t="s">
        <v>482</v>
      </c>
      <c r="D317" s="318" t="s">
        <v>16</v>
      </c>
      <c r="E317" s="319">
        <v>4113.3275000000003</v>
      </c>
      <c r="F317" s="319">
        <v>3901.6819482232163</v>
      </c>
      <c r="G317" s="314">
        <v>0</v>
      </c>
      <c r="H317" s="320">
        <v>3.6</v>
      </c>
      <c r="I317" s="318" t="s">
        <v>452</v>
      </c>
      <c r="J317" s="318">
        <v>558</v>
      </c>
      <c r="K317" s="318">
        <v>1.45</v>
      </c>
      <c r="L317" s="318">
        <v>102.78</v>
      </c>
      <c r="M317" s="318" t="s">
        <v>9</v>
      </c>
      <c r="N317" s="318" t="s">
        <v>368</v>
      </c>
      <c r="O317" s="318" t="s">
        <v>8</v>
      </c>
      <c r="P317" s="318" t="s">
        <v>379</v>
      </c>
      <c r="Q317" s="318" t="s">
        <v>61</v>
      </c>
      <c r="R317" s="318" t="s">
        <v>394</v>
      </c>
      <c r="S317" s="303">
        <f t="shared" si="5"/>
        <v>5964.3248750000002</v>
      </c>
      <c r="T317" s="307">
        <f>+IFERROR(VLOOKUP(C317,'Tasas Diarias'!$B:$F,5,FALSE)*G317,0)</f>
        <v>0</v>
      </c>
      <c r="U317" s="311" t="str">
        <f ca="1">+VLOOKUP(C317,Spreads!$A$2:$G$345,7,0)</f>
        <v/>
      </c>
    </row>
    <row r="318" spans="1:21" ht="15" customHeight="1" thickTop="1" thickBot="1">
      <c r="A318" s="321" t="s">
        <v>2137</v>
      </c>
      <c r="B318" s="322" t="s">
        <v>4</v>
      </c>
      <c r="C318" s="322" t="s">
        <v>468</v>
      </c>
      <c r="D318" s="322" t="s">
        <v>469</v>
      </c>
      <c r="E318" s="323">
        <v>6068.1761999999999</v>
      </c>
      <c r="F318" s="323"/>
      <c r="G318" s="314">
        <v>0</v>
      </c>
      <c r="H318" s="324">
        <v>1.57</v>
      </c>
      <c r="I318" s="322" t="s">
        <v>470</v>
      </c>
      <c r="J318" s="322">
        <v>999</v>
      </c>
      <c r="K318" s="322">
        <v>1.45</v>
      </c>
      <c r="L318" s="322">
        <v>102.75</v>
      </c>
      <c r="M318" s="322" t="s">
        <v>6</v>
      </c>
      <c r="N318" s="322" t="s">
        <v>368</v>
      </c>
      <c r="O318" s="322" t="s">
        <v>429</v>
      </c>
      <c r="P318" s="322" t="s">
        <v>7</v>
      </c>
      <c r="Q318" s="322" t="s">
        <v>471</v>
      </c>
      <c r="R318" s="322" t="s">
        <v>472</v>
      </c>
      <c r="S318" s="303">
        <f t="shared" si="5"/>
        <v>8798.8554899999999</v>
      </c>
      <c r="T318" s="307">
        <f>+IFERROR(VLOOKUP(C318,'Tasas Diarias'!$B:$F,5,FALSE)*G318,0)</f>
        <v>0</v>
      </c>
      <c r="U318" s="311" t="str">
        <f ca="1">+VLOOKUP(C318,Spreads!$A$2:$G$345,7,0)</f>
        <v/>
      </c>
    </row>
    <row r="319" spans="1:21" ht="15" customHeight="1" thickTop="1" thickBot="1">
      <c r="A319" s="317" t="s">
        <v>2137</v>
      </c>
      <c r="B319" s="318" t="s">
        <v>4</v>
      </c>
      <c r="C319" s="318" t="s">
        <v>829</v>
      </c>
      <c r="D319" s="318" t="s">
        <v>38</v>
      </c>
      <c r="E319" s="319">
        <v>28236542.740400001</v>
      </c>
      <c r="F319" s="319">
        <v>27120626.069443718</v>
      </c>
      <c r="G319" s="314">
        <v>6.4400000000000004E-4</v>
      </c>
      <c r="H319" s="320">
        <v>3.59</v>
      </c>
      <c r="I319" s="318" t="s">
        <v>830</v>
      </c>
      <c r="J319" s="318">
        <v>582</v>
      </c>
      <c r="K319" s="318">
        <v>1.52</v>
      </c>
      <c r="L319" s="318">
        <v>102.08</v>
      </c>
      <c r="M319" s="318" t="s">
        <v>9</v>
      </c>
      <c r="N319" s="318" t="s">
        <v>368</v>
      </c>
      <c r="O319" s="318" t="s">
        <v>8</v>
      </c>
      <c r="P319" s="318" t="s">
        <v>7</v>
      </c>
      <c r="Q319" s="318" t="s">
        <v>76</v>
      </c>
      <c r="R319" s="318" t="s">
        <v>498</v>
      </c>
      <c r="S319" s="303">
        <f t="shared" si="5"/>
        <v>42919544.965408005</v>
      </c>
      <c r="T319" s="307">
        <f>+IFERROR(VLOOKUP(C319,'Tasas Diarias'!$B:$F,5,FALSE)*G319,0)</f>
        <v>0</v>
      </c>
      <c r="U319" s="311" t="str">
        <f ca="1">+VLOOKUP(C319,Spreads!$A$2:$G$345,7,0)</f>
        <v/>
      </c>
    </row>
    <row r="320" spans="1:21" ht="15" customHeight="1" thickTop="1" thickBot="1">
      <c r="A320" s="317" t="s">
        <v>2137</v>
      </c>
      <c r="B320" s="318" t="s">
        <v>4</v>
      </c>
      <c r="C320" s="318" t="s">
        <v>1197</v>
      </c>
      <c r="D320" s="318" t="s">
        <v>175</v>
      </c>
      <c r="E320" s="319">
        <v>34866655.857699998</v>
      </c>
      <c r="F320" s="319">
        <v>33922251.554613166</v>
      </c>
      <c r="G320" s="314">
        <v>7.94E-4</v>
      </c>
      <c r="H320" s="320">
        <v>4.5199999999999996</v>
      </c>
      <c r="I320" s="318" t="s">
        <v>1215</v>
      </c>
      <c r="J320" s="318">
        <v>955</v>
      </c>
      <c r="K320" s="318">
        <v>1.53</v>
      </c>
      <c r="L320" s="318">
        <v>100.84</v>
      </c>
      <c r="M320" s="318" t="s">
        <v>9</v>
      </c>
      <c r="N320" s="318" t="s">
        <v>368</v>
      </c>
      <c r="O320" s="318" t="s">
        <v>8</v>
      </c>
      <c r="P320" s="318" t="s">
        <v>392</v>
      </c>
      <c r="Q320" s="318" t="s">
        <v>66</v>
      </c>
      <c r="R320" s="318" t="s">
        <v>418</v>
      </c>
      <c r="S320" s="303">
        <f t="shared" si="5"/>
        <v>53345983.462280996</v>
      </c>
      <c r="T320" s="307">
        <f>+IFERROR(VLOOKUP(C320,'Tasas Diarias'!$B:$F,5,FALSE)*G320,0)</f>
        <v>-2.5278728078543069E-7</v>
      </c>
      <c r="U320" s="311" t="str">
        <f ca="1">+VLOOKUP(C320,Spreads!$A$2:$G$345,7,0)</f>
        <v/>
      </c>
    </row>
    <row r="321" spans="1:21" ht="15" customHeight="1" thickTop="1" thickBot="1">
      <c r="A321" s="317" t="s">
        <v>2137</v>
      </c>
      <c r="B321" s="318" t="s">
        <v>4</v>
      </c>
      <c r="C321" s="318" t="s">
        <v>1875</v>
      </c>
      <c r="D321" s="318" t="s">
        <v>1681</v>
      </c>
      <c r="E321" s="319">
        <v>7159699.5964000002</v>
      </c>
      <c r="F321" s="319"/>
      <c r="G321" s="314">
        <v>1.63E-4</v>
      </c>
      <c r="H321" s="320">
        <v>0</v>
      </c>
      <c r="I321" s="318" t="s">
        <v>1876</v>
      </c>
      <c r="J321" s="318">
        <v>610</v>
      </c>
      <c r="K321" s="318">
        <v>1.57</v>
      </c>
      <c r="L321" s="318">
        <v>108.0919</v>
      </c>
      <c r="M321" s="318" t="s">
        <v>369</v>
      </c>
      <c r="N321" s="318" t="s">
        <v>368</v>
      </c>
      <c r="O321" s="318" t="s">
        <v>1346</v>
      </c>
      <c r="P321" s="318" t="s">
        <v>417</v>
      </c>
      <c r="Q321" s="318" t="s">
        <v>1366</v>
      </c>
      <c r="R321" s="318" t="s">
        <v>1878</v>
      </c>
      <c r="S321" s="303">
        <f t="shared" si="5"/>
        <v>11240728.366348</v>
      </c>
      <c r="T321" s="307">
        <f>+IFERROR(VLOOKUP(C321,'Tasas Diarias'!$B:$F,5,FALSE)*G321,0)</f>
        <v>0</v>
      </c>
      <c r="U321" s="311" t="e">
        <f>+VLOOKUP(C321,Spreads!$A$2:$G$345,7,0)</f>
        <v>#N/A</v>
      </c>
    </row>
    <row r="322" spans="1:21" ht="15" customHeight="1" thickTop="1" thickBot="1">
      <c r="A322" s="317" t="s">
        <v>2137</v>
      </c>
      <c r="B322" s="318" t="s">
        <v>4</v>
      </c>
      <c r="C322" s="318" t="s">
        <v>831</v>
      </c>
      <c r="D322" s="318" t="s">
        <v>178</v>
      </c>
      <c r="E322" s="319">
        <v>33961388.705600001</v>
      </c>
      <c r="F322" s="319"/>
      <c r="G322" s="314">
        <v>7.7399999999999995E-4</v>
      </c>
      <c r="H322" s="320">
        <v>2.2200000000000002</v>
      </c>
      <c r="I322" s="318" t="s">
        <v>832</v>
      </c>
      <c r="J322" s="318">
        <v>755</v>
      </c>
      <c r="K322" s="318">
        <v>1.76</v>
      </c>
      <c r="L322" s="318">
        <v>101.17</v>
      </c>
      <c r="M322" s="318" t="s">
        <v>6</v>
      </c>
      <c r="N322" s="318" t="s">
        <v>368</v>
      </c>
      <c r="O322" s="318" t="s">
        <v>8</v>
      </c>
      <c r="P322" s="318" t="s">
        <v>417</v>
      </c>
      <c r="Q322" s="318" t="s">
        <v>68</v>
      </c>
      <c r="R322" s="318" t="s">
        <v>812</v>
      </c>
      <c r="S322" s="303">
        <f t="shared" si="5"/>
        <v>59772044.121856004</v>
      </c>
      <c r="T322" s="307">
        <f>+IFERROR(VLOOKUP(C322,'Tasas Diarias'!$B:$F,5,FALSE)*G322,0)</f>
        <v>4.2242031074092831E-7</v>
      </c>
      <c r="U322" s="311" t="str">
        <f ca="1">+VLOOKUP(C322,Spreads!$A$2:$G$345,7,0)</f>
        <v/>
      </c>
    </row>
    <row r="323" spans="1:21" ht="15" customHeight="1" thickTop="1" thickBot="1">
      <c r="A323" s="317" t="s">
        <v>2137</v>
      </c>
      <c r="B323" s="318" t="s">
        <v>4</v>
      </c>
      <c r="C323" s="318" t="s">
        <v>1880</v>
      </c>
      <c r="D323" s="318" t="s">
        <v>808</v>
      </c>
      <c r="E323" s="319">
        <v>48855034.247100003</v>
      </c>
      <c r="F323" s="319"/>
      <c r="G323" s="314">
        <v>1.1130000000000001E-3</v>
      </c>
      <c r="H323" s="320">
        <v>2.52</v>
      </c>
      <c r="I323" s="318" t="s">
        <v>1881</v>
      </c>
      <c r="J323" s="318">
        <v>674</v>
      </c>
      <c r="K323" s="318">
        <v>1.8</v>
      </c>
      <c r="L323" s="318">
        <v>100.85</v>
      </c>
      <c r="M323" s="318" t="s">
        <v>6</v>
      </c>
      <c r="N323" s="318" t="s">
        <v>368</v>
      </c>
      <c r="O323" s="318" t="s">
        <v>429</v>
      </c>
      <c r="P323" s="318" t="s">
        <v>1307</v>
      </c>
      <c r="Q323" s="318" t="s">
        <v>809</v>
      </c>
      <c r="R323" s="318" t="s">
        <v>810</v>
      </c>
      <c r="S323" s="303">
        <f t="shared" ref="S323:S386" si="6">+IFERROR(E323*K323,0)</f>
        <v>87939061.64478001</v>
      </c>
      <c r="T323" s="307">
        <f>+IFERROR(VLOOKUP(C323,'Tasas Diarias'!$B:$F,5,FALSE)*G323,0)</f>
        <v>0</v>
      </c>
      <c r="U323" s="311" t="e">
        <f>+VLOOKUP(C323,Spreads!$A$2:$G$345,7,0)</f>
        <v>#N/A</v>
      </c>
    </row>
    <row r="324" spans="1:21" ht="15" customHeight="1" thickTop="1" thickBot="1">
      <c r="A324" s="317" t="s">
        <v>2137</v>
      </c>
      <c r="B324" s="318" t="s">
        <v>4</v>
      </c>
      <c r="C324" s="318" t="s">
        <v>820</v>
      </c>
      <c r="D324" s="318" t="s">
        <v>821</v>
      </c>
      <c r="E324" s="319">
        <v>199119820.07359999</v>
      </c>
      <c r="F324" s="319">
        <v>12000</v>
      </c>
      <c r="G324" s="314">
        <v>4.5380000000000004E-3</v>
      </c>
      <c r="H324" s="320">
        <v>2.62</v>
      </c>
      <c r="I324" s="318" t="s">
        <v>486</v>
      </c>
      <c r="J324" s="318">
        <v>1228</v>
      </c>
      <c r="K324" s="318">
        <v>1.8</v>
      </c>
      <c r="L324" s="318">
        <v>102.07</v>
      </c>
      <c r="M324" s="318" t="s">
        <v>6</v>
      </c>
      <c r="N324" s="318" t="s">
        <v>368</v>
      </c>
      <c r="O324" s="318" t="s">
        <v>8</v>
      </c>
      <c r="P324" s="318" t="s">
        <v>417</v>
      </c>
      <c r="Q324" s="318" t="s">
        <v>822</v>
      </c>
      <c r="R324" s="318" t="s">
        <v>823</v>
      </c>
      <c r="S324" s="303">
        <f t="shared" si="6"/>
        <v>358415676.13248003</v>
      </c>
      <c r="T324" s="307">
        <f>+IFERROR(VLOOKUP(C324,'Tasas Diarias'!$B:$F,5,FALSE)*G324,0)</f>
        <v>2.5278538801237007E-6</v>
      </c>
      <c r="U324" s="311" t="str">
        <f ca="1">+VLOOKUP(C324,Spreads!$A$2:$G$345,7,0)</f>
        <v/>
      </c>
    </row>
    <row r="325" spans="1:21" ht="15" customHeight="1" thickTop="1" thickBot="1">
      <c r="A325" s="317" t="s">
        <v>2137</v>
      </c>
      <c r="B325" s="318" t="s">
        <v>4</v>
      </c>
      <c r="C325" s="318" t="s">
        <v>1615</v>
      </c>
      <c r="D325" s="318" t="s">
        <v>1616</v>
      </c>
      <c r="E325" s="319">
        <v>21555916.236299999</v>
      </c>
      <c r="F325" s="319"/>
      <c r="G325" s="314">
        <v>4.9100000000000001E-4</v>
      </c>
      <c r="H325" s="320">
        <v>0</v>
      </c>
      <c r="I325" s="318" t="s">
        <v>1617</v>
      </c>
      <c r="J325" s="318">
        <v>716</v>
      </c>
      <c r="K325" s="318">
        <v>1.85</v>
      </c>
      <c r="L325" s="318">
        <v>110.6134</v>
      </c>
      <c r="M325" s="318" t="s">
        <v>369</v>
      </c>
      <c r="N325" s="318" t="s">
        <v>368</v>
      </c>
      <c r="O325" s="318" t="s">
        <v>421</v>
      </c>
      <c r="P325" s="318" t="s">
        <v>417</v>
      </c>
      <c r="Q325" s="318" t="s">
        <v>1362</v>
      </c>
      <c r="R325" s="318" t="s">
        <v>1618</v>
      </c>
      <c r="S325" s="303">
        <f t="shared" si="6"/>
        <v>39878445.037155002</v>
      </c>
      <c r="T325" s="307">
        <f>+IFERROR(VLOOKUP(C325,'Tasas Diarias'!$B:$F,5,FALSE)*G325,0)</f>
        <v>0</v>
      </c>
      <c r="U325" s="311" t="e">
        <f>+VLOOKUP(C325,Spreads!$A$2:$G$345,7,0)</f>
        <v>#N/A</v>
      </c>
    </row>
    <row r="326" spans="1:21" ht="15" customHeight="1" thickTop="1" thickBot="1">
      <c r="A326" s="317" t="s">
        <v>2137</v>
      </c>
      <c r="B326" s="318" t="s">
        <v>4</v>
      </c>
      <c r="C326" s="318" t="s">
        <v>1619</v>
      </c>
      <c r="D326" s="318" t="s">
        <v>1620</v>
      </c>
      <c r="E326" s="319">
        <v>4054079.9553999999</v>
      </c>
      <c r="F326" s="319"/>
      <c r="G326" s="314">
        <v>9.2E-5</v>
      </c>
      <c r="H326" s="320">
        <v>0</v>
      </c>
      <c r="I326" s="318" t="s">
        <v>1621</v>
      </c>
      <c r="J326" s="318">
        <v>709</v>
      </c>
      <c r="K326" s="318">
        <v>1.87</v>
      </c>
      <c r="L326" s="318">
        <v>104.0425</v>
      </c>
      <c r="M326" s="318" t="s">
        <v>369</v>
      </c>
      <c r="N326" s="318" t="s">
        <v>368</v>
      </c>
      <c r="O326" s="318" t="s">
        <v>8</v>
      </c>
      <c r="P326" s="318" t="s">
        <v>417</v>
      </c>
      <c r="Q326" s="318" t="s">
        <v>1354</v>
      </c>
      <c r="R326" s="318" t="s">
        <v>1622</v>
      </c>
      <c r="S326" s="303">
        <f t="shared" si="6"/>
        <v>7581129.5165980002</v>
      </c>
      <c r="T326" s="307">
        <f>+IFERROR(VLOOKUP(C326,'Tasas Diarias'!$B:$F,5,FALSE)*G326,0)</f>
        <v>0</v>
      </c>
      <c r="U326" s="311" t="e">
        <f>+VLOOKUP(C326,Spreads!$A$2:$G$345,7,0)</f>
        <v>#N/A</v>
      </c>
    </row>
    <row r="327" spans="1:21" ht="15" customHeight="1" thickTop="1" thickBot="1">
      <c r="A327" s="321" t="s">
        <v>2137</v>
      </c>
      <c r="B327" s="322" t="s">
        <v>4</v>
      </c>
      <c r="C327" s="322" t="s">
        <v>581</v>
      </c>
      <c r="D327" s="322" t="s">
        <v>290</v>
      </c>
      <c r="E327" s="323">
        <v>5990.4265999999998</v>
      </c>
      <c r="F327" s="323">
        <v>5849.1602829678868</v>
      </c>
      <c r="G327" s="314">
        <v>0</v>
      </c>
      <c r="H327" s="324">
        <v>4.21</v>
      </c>
      <c r="I327" s="322" t="s">
        <v>495</v>
      </c>
      <c r="J327" s="322">
        <v>711</v>
      </c>
      <c r="K327" s="322">
        <v>1.87</v>
      </c>
      <c r="L327" s="322">
        <v>102.15</v>
      </c>
      <c r="M327" s="322" t="s">
        <v>9</v>
      </c>
      <c r="N327" s="322" t="s">
        <v>368</v>
      </c>
      <c r="O327" s="322" t="s">
        <v>1350</v>
      </c>
      <c r="P327" s="322" t="s">
        <v>392</v>
      </c>
      <c r="Q327" s="322" t="s">
        <v>84</v>
      </c>
      <c r="R327" s="322" t="s">
        <v>582</v>
      </c>
      <c r="S327" s="303">
        <f t="shared" si="6"/>
        <v>11202.097742</v>
      </c>
      <c r="T327" s="307">
        <f>+IFERROR(VLOOKUP(C327,'Tasas Diarias'!$B:$F,5,FALSE)*G327,0)</f>
        <v>0</v>
      </c>
      <c r="U327" s="311" t="str">
        <f ca="1">+VLOOKUP(C327,Spreads!$A$2:$G$345,7,0)</f>
        <v/>
      </c>
    </row>
    <row r="328" spans="1:21" ht="15" customHeight="1" thickTop="1" thickBot="1">
      <c r="A328" s="321" t="s">
        <v>2137</v>
      </c>
      <c r="B328" s="322" t="s">
        <v>4</v>
      </c>
      <c r="C328" s="322" t="s">
        <v>494</v>
      </c>
      <c r="D328" s="322" t="s">
        <v>182</v>
      </c>
      <c r="E328" s="323">
        <v>17819.4827</v>
      </c>
      <c r="F328" s="323"/>
      <c r="G328" s="314">
        <v>0</v>
      </c>
      <c r="H328" s="324">
        <v>1.63</v>
      </c>
      <c r="I328" s="322" t="s">
        <v>495</v>
      </c>
      <c r="J328" s="322">
        <v>711</v>
      </c>
      <c r="K328" s="322">
        <v>1.9</v>
      </c>
      <c r="L328" s="322">
        <v>102.58</v>
      </c>
      <c r="M328" s="322" t="s">
        <v>6</v>
      </c>
      <c r="N328" s="322" t="s">
        <v>368</v>
      </c>
      <c r="O328" s="322" t="s">
        <v>8</v>
      </c>
      <c r="P328" s="322" t="s">
        <v>7</v>
      </c>
      <c r="Q328" s="322" t="s">
        <v>390</v>
      </c>
      <c r="R328" s="322" t="s">
        <v>402</v>
      </c>
      <c r="S328" s="303">
        <f t="shared" si="6"/>
        <v>33857.01713</v>
      </c>
      <c r="T328" s="307">
        <f>+IFERROR(VLOOKUP(C328,'Tasas Diarias'!$B:$F,5,FALSE)*G328,0)</f>
        <v>0</v>
      </c>
      <c r="U328" s="311" t="str">
        <f ca="1">+VLOOKUP(C328,Spreads!$A$2:$G$345,7,0)</f>
        <v/>
      </c>
    </row>
    <row r="329" spans="1:21" ht="15" customHeight="1" thickTop="1" thickBot="1">
      <c r="A329" s="321" t="s">
        <v>2137</v>
      </c>
      <c r="B329" s="322" t="s">
        <v>4</v>
      </c>
      <c r="C329" s="322" t="s">
        <v>489</v>
      </c>
      <c r="D329" s="322" t="s">
        <v>12</v>
      </c>
      <c r="E329" s="323">
        <v>22378429.2751</v>
      </c>
      <c r="F329" s="323"/>
      <c r="G329" s="314">
        <v>5.1000000000000004E-4</v>
      </c>
      <c r="H329" s="324">
        <v>1.79</v>
      </c>
      <c r="I329" s="322" t="s">
        <v>490</v>
      </c>
      <c r="J329" s="322">
        <v>1318</v>
      </c>
      <c r="K329" s="322">
        <v>2.09</v>
      </c>
      <c r="L329" s="322">
        <v>102.38</v>
      </c>
      <c r="M329" s="322" t="s">
        <v>6</v>
      </c>
      <c r="N329" s="322" t="s">
        <v>368</v>
      </c>
      <c r="O329" s="322" t="s">
        <v>1349</v>
      </c>
      <c r="P329" s="322" t="s">
        <v>379</v>
      </c>
      <c r="Q329" s="322" t="s">
        <v>328</v>
      </c>
      <c r="R329" s="322" t="s">
        <v>491</v>
      </c>
      <c r="S329" s="303">
        <f t="shared" si="6"/>
        <v>46770917.184958994</v>
      </c>
      <c r="T329" s="307">
        <f>+IFERROR(VLOOKUP(C329,'Tasas Diarias'!$B:$F,5,FALSE)*G329,0)</f>
        <v>2.184287422558712E-7</v>
      </c>
      <c r="U329" s="311" t="str">
        <f ca="1">+VLOOKUP(C329,Spreads!$A$2:$G$345,7,0)</f>
        <v/>
      </c>
    </row>
    <row r="330" spans="1:21" ht="15" customHeight="1" thickTop="1" thickBot="1">
      <c r="A330" s="327" t="s">
        <v>2137</v>
      </c>
      <c r="B330" s="328" t="s">
        <v>4</v>
      </c>
      <c r="C330" s="328" t="s">
        <v>567</v>
      </c>
      <c r="D330" s="328" t="s">
        <v>168</v>
      </c>
      <c r="E330" s="328">
        <v>22736.2235</v>
      </c>
      <c r="F330" s="328"/>
      <c r="G330" s="332">
        <v>9.9999999999999995E-7</v>
      </c>
      <c r="H330" s="329">
        <v>1.78</v>
      </c>
      <c r="I330" s="328" t="s">
        <v>568</v>
      </c>
      <c r="J330" s="328">
        <v>1503</v>
      </c>
      <c r="K330" s="328">
        <v>2.09</v>
      </c>
      <c r="L330" s="328">
        <v>109.7</v>
      </c>
      <c r="M330" s="328" t="s">
        <v>6</v>
      </c>
      <c r="N330" s="328" t="s">
        <v>368</v>
      </c>
      <c r="O330" s="328" t="s">
        <v>8</v>
      </c>
      <c r="P330" s="328" t="s">
        <v>7</v>
      </c>
      <c r="Q330" s="328" t="s">
        <v>77</v>
      </c>
      <c r="R330" s="328" t="s">
        <v>569</v>
      </c>
      <c r="S330" s="303">
        <f t="shared" si="6"/>
        <v>47518.707114999997</v>
      </c>
      <c r="T330" s="307">
        <f>+IFERROR(VLOOKUP(C330,'Tasas Diarias'!$B:$F,5,FALSE)*G330,0)</f>
        <v>-2.1382800701706494E-10</v>
      </c>
      <c r="U330" s="311" t="str">
        <f ca="1">+VLOOKUP(C330,Spreads!$A$2:$G$345,7,0)</f>
        <v/>
      </c>
    </row>
    <row r="331" spans="1:21" ht="15" customHeight="1" thickTop="1" thickBot="1">
      <c r="A331" s="327" t="s">
        <v>2137</v>
      </c>
      <c r="B331" s="328" t="s">
        <v>4</v>
      </c>
      <c r="C331" s="328" t="s">
        <v>585</v>
      </c>
      <c r="D331" s="328" t="s">
        <v>586</v>
      </c>
      <c r="E331" s="328">
        <v>670.12810000000002</v>
      </c>
      <c r="F331" s="328">
        <v>649.31398069192994</v>
      </c>
      <c r="G331" s="332">
        <v>0</v>
      </c>
      <c r="H331" s="329">
        <v>4.2</v>
      </c>
      <c r="I331" s="328" t="s">
        <v>587</v>
      </c>
      <c r="J331" s="328">
        <v>1472</v>
      </c>
      <c r="K331" s="328">
        <v>2.12</v>
      </c>
      <c r="L331" s="328">
        <v>101.01</v>
      </c>
      <c r="M331" s="328" t="s">
        <v>9</v>
      </c>
      <c r="N331" s="328" t="s">
        <v>368</v>
      </c>
      <c r="O331" s="328" t="s">
        <v>1346</v>
      </c>
      <c r="P331" s="328" t="s">
        <v>7</v>
      </c>
      <c r="Q331" s="328" t="s">
        <v>588</v>
      </c>
      <c r="R331" s="328" t="s">
        <v>589</v>
      </c>
      <c r="S331" s="303">
        <f t="shared" si="6"/>
        <v>1420.6715720000002</v>
      </c>
      <c r="T331" s="307">
        <f>+IFERROR(VLOOKUP(C331,'Tasas Diarias'!$B:$F,5,FALSE)*G331,0)</f>
        <v>0</v>
      </c>
      <c r="U331" s="311" t="str">
        <f ca="1">+VLOOKUP(C331,Spreads!$A$2:$G$345,7,0)</f>
        <v/>
      </c>
    </row>
    <row r="332" spans="1:21" ht="15" customHeight="1" thickTop="1" thickBot="1">
      <c r="A332" s="321" t="s">
        <v>2137</v>
      </c>
      <c r="B332" s="322" t="s">
        <v>4</v>
      </c>
      <c r="C332" s="322" t="s">
        <v>590</v>
      </c>
      <c r="D332" s="322" t="s">
        <v>16</v>
      </c>
      <c r="E332" s="323">
        <v>6693.8759</v>
      </c>
      <c r="F332" s="323">
        <v>6501.4096830667195</v>
      </c>
      <c r="G332" s="314">
        <v>0</v>
      </c>
      <c r="H332" s="324">
        <v>3.95</v>
      </c>
      <c r="I332" s="322" t="s">
        <v>591</v>
      </c>
      <c r="J332" s="322">
        <v>832</v>
      </c>
      <c r="K332" s="322">
        <v>2.17</v>
      </c>
      <c r="L332" s="322">
        <v>101.91</v>
      </c>
      <c r="M332" s="322" t="s">
        <v>9</v>
      </c>
      <c r="N332" s="322" t="s">
        <v>368</v>
      </c>
      <c r="O332" s="322" t="s">
        <v>8</v>
      </c>
      <c r="P332" s="322" t="s">
        <v>379</v>
      </c>
      <c r="Q332" s="322" t="s">
        <v>61</v>
      </c>
      <c r="R332" s="322" t="s">
        <v>394</v>
      </c>
      <c r="S332" s="303">
        <f t="shared" si="6"/>
        <v>14525.710702999999</v>
      </c>
      <c r="T332" s="307">
        <f>+IFERROR(VLOOKUP(C332,'Tasas Diarias'!$B:$F,5,FALSE)*G332,0)</f>
        <v>0</v>
      </c>
      <c r="U332" s="311" t="str">
        <f ca="1">+VLOOKUP(C332,Spreads!$A$2:$G$345,7,0)</f>
        <v/>
      </c>
    </row>
    <row r="333" spans="1:21" ht="15" customHeight="1" thickTop="1" thickBot="1">
      <c r="A333" s="321" t="s">
        <v>2137</v>
      </c>
      <c r="B333" s="322" t="s">
        <v>4</v>
      </c>
      <c r="C333" s="322" t="s">
        <v>593</v>
      </c>
      <c r="D333" s="322" t="s">
        <v>233</v>
      </c>
      <c r="E333" s="323">
        <v>17730.626</v>
      </c>
      <c r="F333" s="323"/>
      <c r="G333" s="314">
        <v>0</v>
      </c>
      <c r="H333" s="324">
        <v>1.84</v>
      </c>
      <c r="I333" s="322" t="s">
        <v>591</v>
      </c>
      <c r="J333" s="322">
        <v>832</v>
      </c>
      <c r="K333" s="322">
        <v>2.2200000000000002</v>
      </c>
      <c r="L333" s="322">
        <v>101.67</v>
      </c>
      <c r="M333" s="322" t="s">
        <v>6</v>
      </c>
      <c r="N333" s="322" t="s">
        <v>368</v>
      </c>
      <c r="O333" s="322" t="s">
        <v>8</v>
      </c>
      <c r="P333" s="322" t="s">
        <v>417</v>
      </c>
      <c r="Q333" s="322" t="s">
        <v>60</v>
      </c>
      <c r="R333" s="322" t="s">
        <v>481</v>
      </c>
      <c r="S333" s="303">
        <f t="shared" si="6"/>
        <v>39361.989720000005</v>
      </c>
      <c r="T333" s="307">
        <f>+IFERROR(VLOOKUP(C333,'Tasas Diarias'!$B:$F,5,FALSE)*G333,0)</f>
        <v>0</v>
      </c>
      <c r="U333" s="311" t="str">
        <f ca="1">+VLOOKUP(C333,Spreads!$A$2:$G$345,7,0)</f>
        <v/>
      </c>
    </row>
    <row r="334" spans="1:21" ht="15" customHeight="1" thickTop="1" thickBot="1">
      <c r="A334" s="321" t="s">
        <v>2137</v>
      </c>
      <c r="B334" s="322" t="s">
        <v>4</v>
      </c>
      <c r="C334" s="322" t="s">
        <v>594</v>
      </c>
      <c r="D334" s="322" t="s">
        <v>595</v>
      </c>
      <c r="E334" s="323">
        <v>881.16290000000004</v>
      </c>
      <c r="F334" s="323"/>
      <c r="G334" s="314">
        <v>0</v>
      </c>
      <c r="H334" s="324">
        <v>1.71</v>
      </c>
      <c r="I334" s="322" t="s">
        <v>591</v>
      </c>
      <c r="J334" s="322">
        <v>832</v>
      </c>
      <c r="K334" s="322">
        <v>2.2200000000000002</v>
      </c>
      <c r="L334" s="322">
        <v>101.3</v>
      </c>
      <c r="M334" s="322" t="s">
        <v>6</v>
      </c>
      <c r="N334" s="322" t="s">
        <v>368</v>
      </c>
      <c r="O334" s="322" t="s">
        <v>429</v>
      </c>
      <c r="P334" s="322" t="s">
        <v>392</v>
      </c>
      <c r="Q334" s="322" t="s">
        <v>596</v>
      </c>
      <c r="R334" s="322" t="s">
        <v>597</v>
      </c>
      <c r="S334" s="303">
        <f t="shared" si="6"/>
        <v>1956.1816380000002</v>
      </c>
      <c r="T334" s="307">
        <f>+IFERROR(VLOOKUP(C334,'Tasas Diarias'!$B:$F,5,FALSE)*G334,0)</f>
        <v>0</v>
      </c>
      <c r="U334" s="311" t="str">
        <f ca="1">+VLOOKUP(C334,Spreads!$A$2:$G$345,7,0)</f>
        <v/>
      </c>
    </row>
    <row r="335" spans="1:21" ht="15" customHeight="1" thickTop="1" thickBot="1">
      <c r="A335" s="317" t="s">
        <v>2137</v>
      </c>
      <c r="B335" s="318" t="s">
        <v>4</v>
      </c>
      <c r="C335" s="318" t="s">
        <v>496</v>
      </c>
      <c r="D335" s="318" t="s">
        <v>38</v>
      </c>
      <c r="E335" s="319">
        <v>18663652.532299999</v>
      </c>
      <c r="F335" s="319">
        <v>18103975.901943069</v>
      </c>
      <c r="G335" s="314">
        <v>4.26E-4</v>
      </c>
      <c r="H335" s="320">
        <v>4.2</v>
      </c>
      <c r="I335" s="318" t="s">
        <v>497</v>
      </c>
      <c r="J335" s="318">
        <v>863</v>
      </c>
      <c r="K335" s="318">
        <v>2.2400000000000002</v>
      </c>
      <c r="L335" s="318">
        <v>102.38</v>
      </c>
      <c r="M335" s="318" t="s">
        <v>9</v>
      </c>
      <c r="N335" s="318" t="s">
        <v>368</v>
      </c>
      <c r="O335" s="318" t="s">
        <v>8</v>
      </c>
      <c r="P335" s="318" t="s">
        <v>7</v>
      </c>
      <c r="Q335" s="318" t="s">
        <v>76</v>
      </c>
      <c r="R335" s="318" t="s">
        <v>498</v>
      </c>
      <c r="S335" s="303">
        <f t="shared" si="6"/>
        <v>41806581.672352001</v>
      </c>
      <c r="T335" s="307">
        <f>+IFERROR(VLOOKUP(C335,'Tasas Diarias'!$B:$F,5,FALSE)*G335,0)</f>
        <v>-9.794977346291552E-8</v>
      </c>
      <c r="U335" s="311" t="str">
        <f ca="1">+VLOOKUP(C335,Spreads!$A$2:$G$345,7,0)</f>
        <v/>
      </c>
    </row>
    <row r="336" spans="1:21" ht="15" customHeight="1" thickTop="1" thickBot="1">
      <c r="A336" s="321" t="s">
        <v>2137</v>
      </c>
      <c r="B336" s="322" t="s">
        <v>4</v>
      </c>
      <c r="C336" s="322" t="s">
        <v>1623</v>
      </c>
      <c r="D336" s="322" t="s">
        <v>1462</v>
      </c>
      <c r="E336" s="323">
        <v>13844385.1842</v>
      </c>
      <c r="F336" s="323"/>
      <c r="G336" s="314">
        <v>3.1599999999999998E-4</v>
      </c>
      <c r="H336" s="324">
        <v>0</v>
      </c>
      <c r="I336" s="322" t="s">
        <v>1624</v>
      </c>
      <c r="J336" s="322">
        <v>883</v>
      </c>
      <c r="K336" s="322">
        <v>2.29</v>
      </c>
      <c r="L336" s="322">
        <v>106.4357</v>
      </c>
      <c r="M336" s="322" t="s">
        <v>369</v>
      </c>
      <c r="N336" s="322" t="s">
        <v>368</v>
      </c>
      <c r="O336" s="322" t="s">
        <v>1348</v>
      </c>
      <c r="P336" s="322" t="s">
        <v>417</v>
      </c>
      <c r="Q336" s="322" t="s">
        <v>1464</v>
      </c>
      <c r="R336" s="322" t="s">
        <v>1465</v>
      </c>
      <c r="S336" s="303">
        <f t="shared" si="6"/>
        <v>31703642.071818002</v>
      </c>
      <c r="T336" s="307">
        <f>+IFERROR(VLOOKUP(C336,'Tasas Diarias'!$B:$F,5,FALSE)*G336,0)</f>
        <v>0</v>
      </c>
      <c r="U336" s="311" t="e">
        <f>+VLOOKUP(C336,Spreads!$A$2:$G$345,7,0)</f>
        <v>#N/A</v>
      </c>
    </row>
    <row r="337" spans="1:21" ht="15" customHeight="1" thickTop="1" thickBot="1">
      <c r="A337" s="317" t="s">
        <v>2137</v>
      </c>
      <c r="B337" s="318" t="s">
        <v>4</v>
      </c>
      <c r="C337" s="318" t="s">
        <v>598</v>
      </c>
      <c r="D337" s="318" t="s">
        <v>170</v>
      </c>
      <c r="E337" s="319">
        <v>8789.4145000000008</v>
      </c>
      <c r="F337" s="319">
        <v>8451.0730130677384</v>
      </c>
      <c r="G337" s="314">
        <v>0</v>
      </c>
      <c r="H337" s="320">
        <v>4.25</v>
      </c>
      <c r="I337" s="318" t="s">
        <v>599</v>
      </c>
      <c r="J337" s="318">
        <v>893</v>
      </c>
      <c r="K337" s="318">
        <v>2.31</v>
      </c>
      <c r="L337" s="318">
        <v>103.7</v>
      </c>
      <c r="M337" s="318" t="s">
        <v>9</v>
      </c>
      <c r="N337" s="318" t="s">
        <v>368</v>
      </c>
      <c r="O337" s="318" t="s">
        <v>8</v>
      </c>
      <c r="P337" s="318" t="s">
        <v>392</v>
      </c>
      <c r="Q337" s="318" t="s">
        <v>88</v>
      </c>
      <c r="R337" s="318" t="s">
        <v>512</v>
      </c>
      <c r="S337" s="303">
        <f t="shared" si="6"/>
        <v>20303.547495000003</v>
      </c>
      <c r="T337" s="307">
        <f>+IFERROR(VLOOKUP(C337,'Tasas Diarias'!$B:$F,5,FALSE)*G337,0)</f>
        <v>0</v>
      </c>
      <c r="U337" s="311" t="str">
        <f ca="1">+VLOOKUP(C337,Spreads!$A$2:$G$345,7,0)</f>
        <v/>
      </c>
    </row>
    <row r="338" spans="1:21" ht="15" customHeight="1" thickTop="1" thickBot="1">
      <c r="A338" s="317" t="s">
        <v>2137</v>
      </c>
      <c r="B338" s="318" t="s">
        <v>4</v>
      </c>
      <c r="C338" s="318" t="s">
        <v>833</v>
      </c>
      <c r="D338" s="318" t="s">
        <v>834</v>
      </c>
      <c r="E338" s="319">
        <v>15526867.781500001</v>
      </c>
      <c r="F338" s="319"/>
      <c r="G338" s="314">
        <v>3.5399999999999999E-4</v>
      </c>
      <c r="H338" s="320">
        <v>0</v>
      </c>
      <c r="I338" s="318" t="s">
        <v>835</v>
      </c>
      <c r="J338" s="318">
        <v>932</v>
      </c>
      <c r="K338" s="318">
        <v>2.31</v>
      </c>
      <c r="L338" s="318">
        <v>105.96339999999999</v>
      </c>
      <c r="M338" s="318" t="s">
        <v>9</v>
      </c>
      <c r="N338" s="318" t="s">
        <v>368</v>
      </c>
      <c r="O338" s="318" t="s">
        <v>461</v>
      </c>
      <c r="P338" s="318" t="s">
        <v>109</v>
      </c>
      <c r="Q338" s="318" t="s">
        <v>836</v>
      </c>
      <c r="R338" s="318" t="s">
        <v>837</v>
      </c>
      <c r="S338" s="303">
        <f t="shared" si="6"/>
        <v>35867064.575265005</v>
      </c>
      <c r="T338" s="307">
        <f>+IFERROR(VLOOKUP(C338,'Tasas Diarias'!$B:$F,5,FALSE)*G338,0)</f>
        <v>0</v>
      </c>
      <c r="U338" s="311" t="e">
        <f>+VLOOKUP(C338,Spreads!$A$2:$G$345,7,0)</f>
        <v>#N/A</v>
      </c>
    </row>
    <row r="339" spans="1:21" ht="15" customHeight="1" thickTop="1" thickBot="1">
      <c r="A339" s="321" t="s">
        <v>2137</v>
      </c>
      <c r="B339" s="322" t="s">
        <v>4</v>
      </c>
      <c r="C339" s="322" t="s">
        <v>604</v>
      </c>
      <c r="D339" s="322" t="s">
        <v>295</v>
      </c>
      <c r="E339" s="323">
        <v>7267.7425000000003</v>
      </c>
      <c r="F339" s="323"/>
      <c r="G339" s="314">
        <v>0</v>
      </c>
      <c r="H339" s="324">
        <v>1.59</v>
      </c>
      <c r="I339" s="322" t="s">
        <v>599</v>
      </c>
      <c r="J339" s="322">
        <v>893</v>
      </c>
      <c r="K339" s="322">
        <v>2.36</v>
      </c>
      <c r="L339" s="322">
        <v>104.58</v>
      </c>
      <c r="M339" s="322" t="s">
        <v>6</v>
      </c>
      <c r="N339" s="322" t="s">
        <v>368</v>
      </c>
      <c r="O339" s="322" t="s">
        <v>8</v>
      </c>
      <c r="P339" s="322" t="s">
        <v>7</v>
      </c>
      <c r="Q339" s="322" t="s">
        <v>70</v>
      </c>
      <c r="R339" s="322" t="s">
        <v>605</v>
      </c>
      <c r="S339" s="303">
        <f t="shared" si="6"/>
        <v>17151.872299999999</v>
      </c>
      <c r="T339" s="307">
        <f>+IFERROR(VLOOKUP(C339,'Tasas Diarias'!$B:$F,5,FALSE)*G339,0)</f>
        <v>0</v>
      </c>
      <c r="U339" s="311" t="str">
        <f ca="1">+VLOOKUP(C339,Spreads!$A$2:$G$345,7,0)</f>
        <v/>
      </c>
    </row>
    <row r="340" spans="1:21" ht="15" customHeight="1" thickTop="1" thickBot="1">
      <c r="A340" s="321" t="s">
        <v>2137</v>
      </c>
      <c r="B340" s="322" t="s">
        <v>4</v>
      </c>
      <c r="C340" s="322" t="s">
        <v>609</v>
      </c>
      <c r="D340" s="322" t="s">
        <v>15</v>
      </c>
      <c r="E340" s="323">
        <v>10818.3105</v>
      </c>
      <c r="F340" s="323"/>
      <c r="G340" s="314">
        <v>0</v>
      </c>
      <c r="H340" s="324">
        <v>1.66</v>
      </c>
      <c r="I340" s="322" t="s">
        <v>610</v>
      </c>
      <c r="J340" s="322">
        <v>907</v>
      </c>
      <c r="K340" s="322">
        <v>2.41</v>
      </c>
      <c r="L340" s="322">
        <v>103.93</v>
      </c>
      <c r="M340" s="322" t="s">
        <v>6</v>
      </c>
      <c r="N340" s="322" t="s">
        <v>368</v>
      </c>
      <c r="O340" s="322" t="s">
        <v>8</v>
      </c>
      <c r="P340" s="322" t="s">
        <v>7</v>
      </c>
      <c r="Q340" s="322" t="s">
        <v>28</v>
      </c>
      <c r="R340" s="322" t="s">
        <v>603</v>
      </c>
      <c r="S340" s="303">
        <f t="shared" si="6"/>
        <v>26072.128305000002</v>
      </c>
      <c r="T340" s="307">
        <f>+IFERROR(VLOOKUP(C340,'Tasas Diarias'!$B:$F,5,FALSE)*G340,0)</f>
        <v>0</v>
      </c>
      <c r="U340" s="311" t="str">
        <f ca="1">+VLOOKUP(C340,Spreads!$A$2:$G$345,7,0)</f>
        <v/>
      </c>
    </row>
    <row r="341" spans="1:21" ht="15" customHeight="1" thickTop="1" thickBot="1">
      <c r="A341" s="317" t="s">
        <v>2137</v>
      </c>
      <c r="B341" s="318" t="s">
        <v>4</v>
      </c>
      <c r="C341" s="318" t="s">
        <v>601</v>
      </c>
      <c r="D341" s="318" t="s">
        <v>15</v>
      </c>
      <c r="E341" s="319">
        <v>681.23519999999996</v>
      </c>
      <c r="F341" s="319">
        <v>648.59296769950947</v>
      </c>
      <c r="G341" s="314">
        <v>0</v>
      </c>
      <c r="H341" s="320">
        <v>4.2699999999999996</v>
      </c>
      <c r="I341" s="318" t="s">
        <v>602</v>
      </c>
      <c r="J341" s="318">
        <v>953</v>
      </c>
      <c r="K341" s="318">
        <v>2.42</v>
      </c>
      <c r="L341" s="318">
        <v>102.87</v>
      </c>
      <c r="M341" s="318" t="s">
        <v>9</v>
      </c>
      <c r="N341" s="318" t="s">
        <v>368</v>
      </c>
      <c r="O341" s="318" t="s">
        <v>8</v>
      </c>
      <c r="P341" s="318" t="s">
        <v>7</v>
      </c>
      <c r="Q341" s="318" t="s">
        <v>28</v>
      </c>
      <c r="R341" s="318" t="s">
        <v>603</v>
      </c>
      <c r="S341" s="303">
        <f t="shared" si="6"/>
        <v>1648.5891839999999</v>
      </c>
      <c r="T341" s="307">
        <f>+IFERROR(VLOOKUP(C341,'Tasas Diarias'!$B:$F,5,FALSE)*G341,0)</f>
        <v>0</v>
      </c>
      <c r="U341" s="311" t="str">
        <f ca="1">+VLOOKUP(C341,Spreads!$A$2:$G$345,7,0)</f>
        <v/>
      </c>
    </row>
    <row r="342" spans="1:21" ht="15" customHeight="1" thickTop="1" thickBot="1">
      <c r="A342" s="317" t="s">
        <v>2137</v>
      </c>
      <c r="B342" s="318" t="s">
        <v>4</v>
      </c>
      <c r="C342" s="318" t="s">
        <v>606</v>
      </c>
      <c r="D342" s="318" t="s">
        <v>24</v>
      </c>
      <c r="E342" s="319">
        <v>6816.0540000000001</v>
      </c>
      <c r="F342" s="319">
        <v>6501.6720496924509</v>
      </c>
      <c r="G342" s="314">
        <v>0</v>
      </c>
      <c r="H342" s="320">
        <v>4.1399999999999997</v>
      </c>
      <c r="I342" s="318" t="s">
        <v>501</v>
      </c>
      <c r="J342" s="318">
        <v>954</v>
      </c>
      <c r="K342" s="318">
        <v>2.4300000000000002</v>
      </c>
      <c r="L342" s="318">
        <v>102.76</v>
      </c>
      <c r="M342" s="318" t="s">
        <v>9</v>
      </c>
      <c r="N342" s="318" t="s">
        <v>368</v>
      </c>
      <c r="O342" s="318" t="s">
        <v>8</v>
      </c>
      <c r="P342" s="318" t="s">
        <v>392</v>
      </c>
      <c r="Q342" s="318" t="s">
        <v>51</v>
      </c>
      <c r="R342" s="318" t="s">
        <v>414</v>
      </c>
      <c r="S342" s="303">
        <f t="shared" si="6"/>
        <v>16563.01122</v>
      </c>
      <c r="T342" s="307">
        <f>+IFERROR(VLOOKUP(C342,'Tasas Diarias'!$B:$F,5,FALSE)*G342,0)</f>
        <v>0</v>
      </c>
      <c r="U342" s="311" t="str">
        <f ca="1">+VLOOKUP(C342,Spreads!$A$2:$G$345,7,0)</f>
        <v/>
      </c>
    </row>
    <row r="343" spans="1:21" ht="15" customHeight="1" thickTop="1" thickBot="1">
      <c r="A343" s="321" t="s">
        <v>2137</v>
      </c>
      <c r="B343" s="322" t="s">
        <v>4</v>
      </c>
      <c r="C343" s="322" t="s">
        <v>611</v>
      </c>
      <c r="D343" s="322" t="s">
        <v>24</v>
      </c>
      <c r="E343" s="323">
        <v>42614.2212</v>
      </c>
      <c r="F343" s="323"/>
      <c r="G343" s="314">
        <v>9.9999999999999995E-7</v>
      </c>
      <c r="H343" s="324">
        <v>1.72</v>
      </c>
      <c r="I343" s="322" t="s">
        <v>612</v>
      </c>
      <c r="J343" s="322">
        <v>924</v>
      </c>
      <c r="K343" s="322">
        <v>2.4500000000000002</v>
      </c>
      <c r="L343" s="322">
        <v>101.31</v>
      </c>
      <c r="M343" s="322" t="s">
        <v>6</v>
      </c>
      <c r="N343" s="322" t="s">
        <v>368</v>
      </c>
      <c r="O343" s="322" t="s">
        <v>8</v>
      </c>
      <c r="P343" s="322" t="s">
        <v>392</v>
      </c>
      <c r="Q343" s="322" t="s">
        <v>51</v>
      </c>
      <c r="R343" s="322" t="s">
        <v>414</v>
      </c>
      <c r="S343" s="303">
        <f t="shared" si="6"/>
        <v>104404.84194000001</v>
      </c>
      <c r="T343" s="307">
        <f>+IFERROR(VLOOKUP(C343,'Tasas Diarias'!$B:$F,5,FALSE)*G343,0)</f>
        <v>-2.5071812019441023E-10</v>
      </c>
      <c r="U343" s="311" t="str">
        <f ca="1">+VLOOKUP(C343,Spreads!$A$2:$G$345,7,0)</f>
        <v/>
      </c>
    </row>
    <row r="344" spans="1:21" ht="15" customHeight="1" thickTop="1" thickBot="1">
      <c r="A344" s="321" t="s">
        <v>2137</v>
      </c>
      <c r="B344" s="322" t="s">
        <v>4</v>
      </c>
      <c r="C344" s="322" t="s">
        <v>500</v>
      </c>
      <c r="D344" s="322" t="s">
        <v>11</v>
      </c>
      <c r="E344" s="323">
        <v>37798222.171400003</v>
      </c>
      <c r="F344" s="323"/>
      <c r="G344" s="314">
        <v>8.61E-4</v>
      </c>
      <c r="H344" s="324">
        <v>1.71</v>
      </c>
      <c r="I344" s="322" t="s">
        <v>501</v>
      </c>
      <c r="J344" s="322">
        <v>954</v>
      </c>
      <c r="K344" s="322">
        <v>2.5099999999999998</v>
      </c>
      <c r="L344" s="322">
        <v>103.26</v>
      </c>
      <c r="M344" s="322" t="s">
        <v>6</v>
      </c>
      <c r="N344" s="322" t="s">
        <v>368</v>
      </c>
      <c r="O344" s="322" t="s">
        <v>8</v>
      </c>
      <c r="P344" s="322" t="s">
        <v>7</v>
      </c>
      <c r="Q344" s="322" t="s">
        <v>326</v>
      </c>
      <c r="R344" s="322" t="s">
        <v>404</v>
      </c>
      <c r="S344" s="303">
        <f t="shared" si="6"/>
        <v>94873537.650214002</v>
      </c>
      <c r="T344" s="307">
        <f>+IFERROR(VLOOKUP(C344,'Tasas Diarias'!$B:$F,5,FALSE)*G344,0)</f>
        <v>1.7663964166219442E-6</v>
      </c>
      <c r="U344" s="311" t="str">
        <f ca="1">+VLOOKUP(C344,Spreads!$A$2:$G$345,7,0)</f>
        <v/>
      </c>
    </row>
    <row r="345" spans="1:21" ht="15" customHeight="1" thickTop="1" thickBot="1">
      <c r="A345" s="321" t="s">
        <v>2137</v>
      </c>
      <c r="B345" s="322" t="s">
        <v>4</v>
      </c>
      <c r="C345" s="322" t="s">
        <v>1033</v>
      </c>
      <c r="D345" s="322" t="s">
        <v>178</v>
      </c>
      <c r="E345" s="323">
        <v>60763489.2289</v>
      </c>
      <c r="F345" s="323"/>
      <c r="G345" s="314">
        <v>1.3849999999999999E-3</v>
      </c>
      <c r="H345" s="324">
        <v>2.48</v>
      </c>
      <c r="I345" s="322" t="s">
        <v>503</v>
      </c>
      <c r="J345" s="322">
        <v>985</v>
      </c>
      <c r="K345" s="322">
        <v>2.61</v>
      </c>
      <c r="L345" s="322">
        <v>100.05</v>
      </c>
      <c r="M345" s="322" t="s">
        <v>6</v>
      </c>
      <c r="N345" s="322" t="s">
        <v>368</v>
      </c>
      <c r="O345" s="322" t="s">
        <v>8</v>
      </c>
      <c r="P345" s="322" t="s">
        <v>417</v>
      </c>
      <c r="Q345" s="322" t="s">
        <v>68</v>
      </c>
      <c r="R345" s="322" t="s">
        <v>812</v>
      </c>
      <c r="S345" s="303">
        <f t="shared" si="6"/>
        <v>158592706.887429</v>
      </c>
      <c r="T345" s="307">
        <f>+IFERROR(VLOOKUP(C345,'Tasas Diarias'!$B:$F,5,FALSE)*G345,0)</f>
        <v>-3.6911183706177194E-7</v>
      </c>
      <c r="U345" s="311" t="str">
        <f ca="1">+VLOOKUP(C345,Spreads!$A$2:$G$345,7,0)</f>
        <v/>
      </c>
    </row>
    <row r="346" spans="1:21" ht="15" customHeight="1" thickTop="1" thickBot="1">
      <c r="A346" s="317" t="s">
        <v>2137</v>
      </c>
      <c r="B346" s="318" t="s">
        <v>4</v>
      </c>
      <c r="C346" s="318" t="s">
        <v>616</v>
      </c>
      <c r="D346" s="318" t="s">
        <v>11</v>
      </c>
      <c r="E346" s="319">
        <v>10114.861199999999</v>
      </c>
      <c r="F346" s="319">
        <v>9753.8082634954135</v>
      </c>
      <c r="G346" s="314">
        <v>0</v>
      </c>
      <c r="H346" s="319">
        <v>4.03</v>
      </c>
      <c r="I346" s="318" t="s">
        <v>617</v>
      </c>
      <c r="J346" s="318">
        <v>1016</v>
      </c>
      <c r="K346" s="318">
        <v>2.61</v>
      </c>
      <c r="L346" s="318">
        <v>102.6</v>
      </c>
      <c r="M346" s="318" t="s">
        <v>9</v>
      </c>
      <c r="N346" s="318" t="s">
        <v>368</v>
      </c>
      <c r="O346" s="318" t="s">
        <v>8</v>
      </c>
      <c r="P346" s="318" t="s">
        <v>7</v>
      </c>
      <c r="Q346" s="318" t="s">
        <v>326</v>
      </c>
      <c r="R346" s="318" t="s">
        <v>404</v>
      </c>
      <c r="S346" s="303">
        <f t="shared" si="6"/>
        <v>26399.787731999997</v>
      </c>
      <c r="T346" s="307">
        <f>+IFERROR(VLOOKUP(C346,'Tasas Diarias'!$B:$F,5,FALSE)*G346,0)</f>
        <v>0</v>
      </c>
      <c r="U346" s="311" t="str">
        <f ca="1">+VLOOKUP(C346,Spreads!$A$2:$G$345,7,0)</f>
        <v/>
      </c>
    </row>
    <row r="347" spans="1:21" ht="15" customHeight="1" thickTop="1" thickBot="1">
      <c r="A347" s="317" t="s">
        <v>2137</v>
      </c>
      <c r="B347" s="318" t="s">
        <v>4</v>
      </c>
      <c r="C347" s="318" t="s">
        <v>614</v>
      </c>
      <c r="D347" s="318" t="s">
        <v>30</v>
      </c>
      <c r="E347" s="319">
        <v>92234095.971799999</v>
      </c>
      <c r="F347" s="319">
        <v>90446718.669388875</v>
      </c>
      <c r="G347" s="314">
        <v>2.1020000000000001E-3</v>
      </c>
      <c r="H347" s="320">
        <v>0</v>
      </c>
      <c r="I347" s="318" t="s">
        <v>615</v>
      </c>
      <c r="J347" s="318">
        <v>1037</v>
      </c>
      <c r="K347" s="318">
        <v>2.61</v>
      </c>
      <c r="L347" s="318">
        <v>100.947</v>
      </c>
      <c r="M347" s="318" t="s">
        <v>9</v>
      </c>
      <c r="N347" s="318" t="s">
        <v>368</v>
      </c>
      <c r="O347" s="318" t="s">
        <v>8</v>
      </c>
      <c r="P347" s="318" t="s">
        <v>379</v>
      </c>
      <c r="Q347" s="318" t="s">
        <v>61</v>
      </c>
      <c r="R347" s="318" t="s">
        <v>394</v>
      </c>
      <c r="S347" s="303">
        <f t="shared" si="6"/>
        <v>240730990.48639798</v>
      </c>
      <c r="T347" s="307">
        <f>+IFERROR(VLOOKUP(C347,'Tasas Diarias'!$B:$F,5,FALSE)*G347,0)</f>
        <v>0</v>
      </c>
      <c r="U347" s="311" t="e">
        <f>+VLOOKUP(C347,Spreads!$A$2:$G$345,7,0)</f>
        <v>#N/A</v>
      </c>
    </row>
    <row r="348" spans="1:21" ht="15" customHeight="1" thickTop="1" thickBot="1">
      <c r="A348" s="317" t="s">
        <v>2137</v>
      </c>
      <c r="B348" s="318" t="s">
        <v>4</v>
      </c>
      <c r="C348" s="318" t="s">
        <v>502</v>
      </c>
      <c r="D348" s="318" t="s">
        <v>38</v>
      </c>
      <c r="E348" s="319">
        <v>17545.507699999998</v>
      </c>
      <c r="F348" s="319"/>
      <c r="G348" s="314">
        <v>0</v>
      </c>
      <c r="H348" s="318">
        <v>2</v>
      </c>
      <c r="I348" s="318" t="s">
        <v>503</v>
      </c>
      <c r="J348" s="318">
        <v>985</v>
      </c>
      <c r="K348" s="318">
        <v>2.62</v>
      </c>
      <c r="L348" s="318">
        <v>100.51</v>
      </c>
      <c r="M348" s="318" t="s">
        <v>6</v>
      </c>
      <c r="N348" s="318" t="s">
        <v>368</v>
      </c>
      <c r="O348" s="318" t="s">
        <v>8</v>
      </c>
      <c r="P348" s="318" t="s">
        <v>7</v>
      </c>
      <c r="Q348" s="318" t="s">
        <v>76</v>
      </c>
      <c r="R348" s="318" t="s">
        <v>498</v>
      </c>
      <c r="S348" s="303">
        <f t="shared" si="6"/>
        <v>45969.230173999997</v>
      </c>
      <c r="T348" s="307">
        <f>+IFERROR(VLOOKUP(C348,'Tasas Diarias'!$B:$F,5,FALSE)*G348,0)</f>
        <v>0</v>
      </c>
      <c r="U348" s="311" t="str">
        <f ca="1">+VLOOKUP(C348,Spreads!$A$2:$G$345,7,0)</f>
        <v/>
      </c>
    </row>
    <row r="349" spans="1:21" ht="15" customHeight="1" thickTop="1" thickBot="1">
      <c r="A349" s="317" t="s">
        <v>2137</v>
      </c>
      <c r="B349" s="318" t="s">
        <v>4</v>
      </c>
      <c r="C349" s="318" t="s">
        <v>1625</v>
      </c>
      <c r="D349" s="318" t="s">
        <v>1626</v>
      </c>
      <c r="E349" s="319">
        <v>14753652.923599999</v>
      </c>
      <c r="F349" s="319"/>
      <c r="G349" s="314">
        <v>3.3599999999999998E-4</v>
      </c>
      <c r="H349" s="320">
        <v>0</v>
      </c>
      <c r="I349" s="318" t="s">
        <v>1627</v>
      </c>
      <c r="J349" s="318">
        <v>1031</v>
      </c>
      <c r="K349" s="318">
        <v>2.64</v>
      </c>
      <c r="L349" s="318">
        <v>108.03789999999999</v>
      </c>
      <c r="M349" s="318" t="s">
        <v>369</v>
      </c>
      <c r="N349" s="318" t="s">
        <v>368</v>
      </c>
      <c r="O349" s="318" t="s">
        <v>8</v>
      </c>
      <c r="P349" s="318" t="s">
        <v>814</v>
      </c>
      <c r="Q349" s="318" t="s">
        <v>2146</v>
      </c>
      <c r="R349" s="318" t="s">
        <v>1628</v>
      </c>
      <c r="S349" s="303">
        <f t="shared" si="6"/>
        <v>38949643.718304001</v>
      </c>
      <c r="T349" s="307">
        <f>+IFERROR(VLOOKUP(C349,'Tasas Diarias'!$B:$F,5,FALSE)*G349,0)</f>
        <v>0</v>
      </c>
      <c r="U349" s="311" t="e">
        <f>+VLOOKUP(C349,Spreads!$A$2:$G$345,7,0)</f>
        <v>#N/A</v>
      </c>
    </row>
    <row r="350" spans="1:21" ht="15" customHeight="1" thickTop="1" thickBot="1">
      <c r="A350" s="321" t="s">
        <v>2137</v>
      </c>
      <c r="B350" s="322" t="s">
        <v>4</v>
      </c>
      <c r="C350" s="322" t="s">
        <v>2102</v>
      </c>
      <c r="D350" s="322" t="s">
        <v>178</v>
      </c>
      <c r="E350" s="323">
        <v>27079.097600000001</v>
      </c>
      <c r="F350" s="323"/>
      <c r="G350" s="314">
        <v>9.9999999999999995E-7</v>
      </c>
      <c r="H350" s="324">
        <v>2.48</v>
      </c>
      <c r="I350" s="322" t="s">
        <v>2103</v>
      </c>
      <c r="J350" s="322">
        <v>1025</v>
      </c>
      <c r="K350" s="322">
        <v>2.68</v>
      </c>
      <c r="L350" s="322">
        <v>103.34</v>
      </c>
      <c r="M350" s="322" t="s">
        <v>6</v>
      </c>
      <c r="N350" s="322" t="s">
        <v>368</v>
      </c>
      <c r="O350" s="322" t="s">
        <v>8</v>
      </c>
      <c r="P350" s="322" t="s">
        <v>417</v>
      </c>
      <c r="Q350" s="322" t="s">
        <v>68</v>
      </c>
      <c r="R350" s="322" t="s">
        <v>2104</v>
      </c>
      <c r="S350" s="303">
        <f t="shared" si="6"/>
        <v>72571.981568000003</v>
      </c>
      <c r="T350" s="307">
        <f>+IFERROR(VLOOKUP(C350,'Tasas Diarias'!$B:$F,5,FALSE)*G350,0)</f>
        <v>0</v>
      </c>
      <c r="U350" s="311" t="e">
        <f>+VLOOKUP(C350,Spreads!$A$2:$G$345,7,0)</f>
        <v>#N/A</v>
      </c>
    </row>
    <row r="351" spans="1:21" ht="15" customHeight="1" thickTop="1" thickBot="1">
      <c r="A351" s="317" t="s">
        <v>2137</v>
      </c>
      <c r="B351" s="318" t="s">
        <v>4</v>
      </c>
      <c r="C351" s="318" t="s">
        <v>1629</v>
      </c>
      <c r="D351" s="318" t="s">
        <v>1630</v>
      </c>
      <c r="E351" s="319">
        <v>18259036.829399999</v>
      </c>
      <c r="F351" s="319"/>
      <c r="G351" s="314">
        <v>4.1599999999999997E-4</v>
      </c>
      <c r="H351" s="320">
        <v>0</v>
      </c>
      <c r="I351" s="318" t="s">
        <v>1631</v>
      </c>
      <c r="J351" s="318">
        <v>1052</v>
      </c>
      <c r="K351" s="318">
        <v>2.69</v>
      </c>
      <c r="L351" s="318">
        <v>109.0069</v>
      </c>
      <c r="M351" s="318" t="s">
        <v>369</v>
      </c>
      <c r="N351" s="318" t="s">
        <v>368</v>
      </c>
      <c r="O351" s="318" t="s">
        <v>8</v>
      </c>
      <c r="P351" s="318" t="s">
        <v>392</v>
      </c>
      <c r="Q351" s="318" t="s">
        <v>2146</v>
      </c>
      <c r="R351" s="318" t="s">
        <v>1632</v>
      </c>
      <c r="S351" s="303">
        <f t="shared" si="6"/>
        <v>49116809.071085997</v>
      </c>
      <c r="T351" s="307">
        <f>+IFERROR(VLOOKUP(C351,'Tasas Diarias'!$B:$F,5,FALSE)*G351,0)</f>
        <v>0</v>
      </c>
      <c r="U351" s="311" t="e">
        <f>+VLOOKUP(C351,Spreads!$A$2:$G$345,7,0)</f>
        <v>#N/A</v>
      </c>
    </row>
    <row r="352" spans="1:21" ht="15" customHeight="1" thickTop="1" thickBot="1">
      <c r="A352" s="327" t="s">
        <v>2137</v>
      </c>
      <c r="B352" s="328" t="s">
        <v>4</v>
      </c>
      <c r="C352" s="328" t="s">
        <v>625</v>
      </c>
      <c r="D352" s="328" t="s">
        <v>16</v>
      </c>
      <c r="E352" s="328">
        <v>7078.9219000000003</v>
      </c>
      <c r="F352" s="332"/>
      <c r="G352" s="332">
        <v>0</v>
      </c>
      <c r="H352" s="329">
        <v>1.67</v>
      </c>
      <c r="I352" s="328" t="s">
        <v>617</v>
      </c>
      <c r="J352" s="328">
        <v>1016</v>
      </c>
      <c r="K352" s="328">
        <v>2.7</v>
      </c>
      <c r="L352" s="328">
        <v>101.58</v>
      </c>
      <c r="M352" s="328" t="s">
        <v>6</v>
      </c>
      <c r="N352" s="328" t="s">
        <v>368</v>
      </c>
      <c r="O352" s="328" t="s">
        <v>8</v>
      </c>
      <c r="P352" s="328" t="s">
        <v>379</v>
      </c>
      <c r="Q352" s="328" t="s">
        <v>61</v>
      </c>
      <c r="R352" s="328" t="s">
        <v>394</v>
      </c>
      <c r="S352" s="303">
        <f t="shared" si="6"/>
        <v>19113.08913</v>
      </c>
      <c r="T352" s="307">
        <f>+IFERROR(VLOOKUP(C352,'Tasas Diarias'!$B:$F,5,FALSE)*G352,0)</f>
        <v>0</v>
      </c>
      <c r="U352" s="311" t="str">
        <f ca="1">+VLOOKUP(C352,Spreads!$A$2:$G$345,7,0)</f>
        <v/>
      </c>
    </row>
    <row r="353" spans="1:21" ht="15" customHeight="1" thickTop="1" thickBot="1">
      <c r="A353" s="321" t="s">
        <v>2137</v>
      </c>
      <c r="B353" s="322" t="s">
        <v>4</v>
      </c>
      <c r="C353" s="322" t="s">
        <v>624</v>
      </c>
      <c r="D353" s="322" t="s">
        <v>170</v>
      </c>
      <c r="E353" s="323">
        <v>30814.783899999999</v>
      </c>
      <c r="F353" s="323"/>
      <c r="G353" s="314">
        <v>9.9999999999999995E-7</v>
      </c>
      <c r="H353" s="324">
        <v>1.91</v>
      </c>
      <c r="I353" s="322" t="s">
        <v>617</v>
      </c>
      <c r="J353" s="322">
        <v>1016</v>
      </c>
      <c r="K353" s="322">
        <v>2.7</v>
      </c>
      <c r="L353" s="322">
        <v>101.03</v>
      </c>
      <c r="M353" s="322" t="s">
        <v>6</v>
      </c>
      <c r="N353" s="322" t="s">
        <v>368</v>
      </c>
      <c r="O353" s="322" t="s">
        <v>8</v>
      </c>
      <c r="P353" s="322" t="s">
        <v>392</v>
      </c>
      <c r="Q353" s="322" t="s">
        <v>88</v>
      </c>
      <c r="R353" s="322" t="s">
        <v>512</v>
      </c>
      <c r="S353" s="303">
        <f t="shared" si="6"/>
        <v>83199.916530000002</v>
      </c>
      <c r="T353" s="307">
        <f>+IFERROR(VLOOKUP(C353,'Tasas Diarias'!$B:$F,5,FALSE)*G353,0)</f>
        <v>2.7577214980924634E-10</v>
      </c>
      <c r="U353" s="311" t="str">
        <f ca="1">+VLOOKUP(C353,Spreads!$A$2:$G$345,7,0)</f>
        <v/>
      </c>
    </row>
    <row r="354" spans="1:21" ht="15" customHeight="1" thickTop="1" thickBot="1">
      <c r="A354" s="317" t="s">
        <v>2137</v>
      </c>
      <c r="B354" s="318" t="s">
        <v>4</v>
      </c>
      <c r="C354" s="318" t="s">
        <v>1489</v>
      </c>
      <c r="D354" s="318" t="s">
        <v>39</v>
      </c>
      <c r="E354" s="319">
        <v>76516507.810399994</v>
      </c>
      <c r="F354" s="319"/>
      <c r="G354" s="314">
        <v>1.7440000000000001E-3</v>
      </c>
      <c r="H354" s="320">
        <v>3.04</v>
      </c>
      <c r="I354" s="318" t="s">
        <v>1490</v>
      </c>
      <c r="J354" s="318">
        <v>1507</v>
      </c>
      <c r="K354" s="318">
        <v>2.7</v>
      </c>
      <c r="L354" s="318">
        <v>102.52</v>
      </c>
      <c r="M354" s="318" t="s">
        <v>6</v>
      </c>
      <c r="N354" s="318" t="s">
        <v>368</v>
      </c>
      <c r="O354" s="318" t="s">
        <v>8</v>
      </c>
      <c r="P354" s="318" t="s">
        <v>801</v>
      </c>
      <c r="Q354" s="318" t="s">
        <v>69</v>
      </c>
      <c r="R354" s="318" t="s">
        <v>1491</v>
      </c>
      <c r="S354" s="303">
        <f t="shared" si="6"/>
        <v>206594571.08807999</v>
      </c>
      <c r="T354" s="307">
        <f>+IFERROR(VLOOKUP(C354,'Tasas Diarias'!$B:$F,5,FALSE)*G354,0)</f>
        <v>0</v>
      </c>
      <c r="U354" s="311" t="e">
        <f>+VLOOKUP(C354,Spreads!$A$2:$G$345,7,0)</f>
        <v>#N/A</v>
      </c>
    </row>
    <row r="355" spans="1:21" ht="15" customHeight="1" thickTop="1" thickBot="1">
      <c r="A355" s="321" t="s">
        <v>2137</v>
      </c>
      <c r="B355" s="322" t="s">
        <v>4</v>
      </c>
      <c r="C355" s="322" t="s">
        <v>1216</v>
      </c>
      <c r="D355" s="322" t="s">
        <v>175</v>
      </c>
      <c r="E355" s="323">
        <v>468727019.89410001</v>
      </c>
      <c r="F355" s="323">
        <v>15000</v>
      </c>
      <c r="G355" s="314">
        <v>1.0683E-2</v>
      </c>
      <c r="H355" s="324">
        <v>2.06</v>
      </c>
      <c r="I355" s="322" t="s">
        <v>1217</v>
      </c>
      <c r="J355" s="322">
        <v>1107</v>
      </c>
      <c r="K355" s="322">
        <v>2.84</v>
      </c>
      <c r="L355" s="322">
        <v>105.48</v>
      </c>
      <c r="M355" s="322" t="s">
        <v>6</v>
      </c>
      <c r="N355" s="322" t="s">
        <v>368</v>
      </c>
      <c r="O355" s="322" t="s">
        <v>8</v>
      </c>
      <c r="P355" s="322" t="s">
        <v>392</v>
      </c>
      <c r="Q355" s="322" t="s">
        <v>66</v>
      </c>
      <c r="R355" s="322" t="s">
        <v>418</v>
      </c>
      <c r="S355" s="303">
        <f t="shared" si="6"/>
        <v>1331184736.499244</v>
      </c>
      <c r="T355" s="307">
        <f>+IFERROR(VLOOKUP(C355,'Tasas Diarias'!$B:$F,5,FALSE)*G355,0)</f>
        <v>-3.0970964586653499E-6</v>
      </c>
      <c r="U355" s="311" t="str">
        <f ca="1">+VLOOKUP(C355,Spreads!$A$2:$G$345,7,0)</f>
        <v/>
      </c>
    </row>
    <row r="356" spans="1:21" ht="15" customHeight="1" thickTop="1" thickBot="1">
      <c r="A356" s="317" t="s">
        <v>2137</v>
      </c>
      <c r="B356" s="318" t="s">
        <v>4</v>
      </c>
      <c r="C356" s="318" t="s">
        <v>504</v>
      </c>
      <c r="D356" s="318" t="s">
        <v>295</v>
      </c>
      <c r="E356" s="319">
        <v>15138.970499999999</v>
      </c>
      <c r="F356" s="319">
        <v>14304.588284771638</v>
      </c>
      <c r="G356" s="314">
        <v>0</v>
      </c>
      <c r="H356" s="320">
        <v>4.25</v>
      </c>
      <c r="I356" s="318" t="s">
        <v>505</v>
      </c>
      <c r="J356" s="318">
        <v>1138</v>
      </c>
      <c r="K356" s="318">
        <v>2.85</v>
      </c>
      <c r="L356" s="318">
        <v>103.64</v>
      </c>
      <c r="M356" s="318" t="s">
        <v>9</v>
      </c>
      <c r="N356" s="318" t="s">
        <v>368</v>
      </c>
      <c r="O356" s="318" t="s">
        <v>8</v>
      </c>
      <c r="P356" s="318" t="s">
        <v>7</v>
      </c>
      <c r="Q356" s="318" t="s">
        <v>70</v>
      </c>
      <c r="R356" s="318" t="s">
        <v>506</v>
      </c>
      <c r="S356" s="303">
        <f t="shared" si="6"/>
        <v>43146.065925000003</v>
      </c>
      <c r="T356" s="307">
        <f>+IFERROR(VLOOKUP(C356,'Tasas Diarias'!$B:$F,5,FALSE)*G356,0)</f>
        <v>0</v>
      </c>
      <c r="U356" s="311" t="str">
        <f ca="1">+VLOOKUP(C356,Spreads!$A$2:$G$345,7,0)</f>
        <v/>
      </c>
    </row>
    <row r="357" spans="1:21" ht="15" customHeight="1" thickTop="1" thickBot="1">
      <c r="A357" s="321" t="s">
        <v>2137</v>
      </c>
      <c r="B357" s="322" t="s">
        <v>4</v>
      </c>
      <c r="C357" s="322" t="s">
        <v>838</v>
      </c>
      <c r="D357" s="322" t="s">
        <v>839</v>
      </c>
      <c r="E357" s="323">
        <v>151301346.63800001</v>
      </c>
      <c r="F357" s="323"/>
      <c r="G357" s="314">
        <v>3.4480000000000001E-3</v>
      </c>
      <c r="H357" s="324">
        <v>3.4</v>
      </c>
      <c r="I357" s="322" t="s">
        <v>840</v>
      </c>
      <c r="J357" s="322">
        <v>1451</v>
      </c>
      <c r="K357" s="322">
        <v>2.87</v>
      </c>
      <c r="L357" s="322">
        <v>107.03</v>
      </c>
      <c r="M357" s="322" t="s">
        <v>6</v>
      </c>
      <c r="N357" s="322" t="s">
        <v>368</v>
      </c>
      <c r="O357" s="322" t="s">
        <v>1440</v>
      </c>
      <c r="P357" s="322" t="s">
        <v>801</v>
      </c>
      <c r="Q357" s="322" t="s">
        <v>841</v>
      </c>
      <c r="R357" s="322" t="s">
        <v>842</v>
      </c>
      <c r="S357" s="303">
        <f t="shared" si="6"/>
        <v>434234864.85106003</v>
      </c>
      <c r="T357" s="307">
        <f>+IFERROR(VLOOKUP(C357,'Tasas Diarias'!$B:$F,5,FALSE)*G357,0)</f>
        <v>0</v>
      </c>
      <c r="U357" s="311" t="str">
        <f ca="1">+VLOOKUP(C357,Spreads!$A$2:$G$345,7,0)</f>
        <v/>
      </c>
    </row>
    <row r="358" spans="1:21" ht="15" customHeight="1" thickTop="1" thickBot="1">
      <c r="A358" s="317" t="s">
        <v>2137</v>
      </c>
      <c r="B358" s="318" t="s">
        <v>4</v>
      </c>
      <c r="C358" s="318" t="s">
        <v>847</v>
      </c>
      <c r="D358" s="318" t="s">
        <v>1548</v>
      </c>
      <c r="E358" s="319">
        <v>6209454.8223000001</v>
      </c>
      <c r="F358" s="319"/>
      <c r="G358" s="314">
        <v>1.4200000000000001E-4</v>
      </c>
      <c r="H358" s="318">
        <v>4.3899999999999997</v>
      </c>
      <c r="I358" s="318" t="s">
        <v>1549</v>
      </c>
      <c r="J358" s="318">
        <v>2404</v>
      </c>
      <c r="K358" s="318">
        <v>3</v>
      </c>
      <c r="L358" s="318">
        <v>101.03</v>
      </c>
      <c r="M358" s="318" t="s">
        <v>6</v>
      </c>
      <c r="N358" s="318" t="s">
        <v>368</v>
      </c>
      <c r="O358" s="318" t="s">
        <v>1513</v>
      </c>
      <c r="P358" s="318" t="s">
        <v>802</v>
      </c>
      <c r="Q358" s="318" t="s">
        <v>1550</v>
      </c>
      <c r="R358" s="318" t="s">
        <v>1551</v>
      </c>
      <c r="S358" s="303">
        <f t="shared" si="6"/>
        <v>18628364.466899998</v>
      </c>
      <c r="T358" s="307">
        <f>+IFERROR(VLOOKUP(C358,'Tasas Diarias'!$B:$F,5,FALSE)*G358,0)</f>
        <v>4.3244423002535897E-8</v>
      </c>
      <c r="U358" s="311" t="str">
        <f ca="1">+VLOOKUP(C358,Spreads!$A$2:$G$345,7,0)</f>
        <v/>
      </c>
    </row>
    <row r="359" spans="1:21" ht="15" customHeight="1" thickTop="1" thickBot="1">
      <c r="A359" s="317" t="s">
        <v>2137</v>
      </c>
      <c r="B359" s="318" t="s">
        <v>4</v>
      </c>
      <c r="C359" s="318" t="s">
        <v>1218</v>
      </c>
      <c r="D359" s="318" t="s">
        <v>16</v>
      </c>
      <c r="E359" s="319">
        <v>13687.643400000001</v>
      </c>
      <c r="F359" s="319">
        <v>13002.582454436839</v>
      </c>
      <c r="G359" s="314">
        <v>0</v>
      </c>
      <c r="H359" s="320">
        <v>4.2</v>
      </c>
      <c r="I359" s="318" t="s">
        <v>507</v>
      </c>
      <c r="J359" s="318">
        <v>1197</v>
      </c>
      <c r="K359" s="318">
        <v>3.02</v>
      </c>
      <c r="L359" s="318">
        <v>104.04</v>
      </c>
      <c r="M359" s="318" t="s">
        <v>9</v>
      </c>
      <c r="N359" s="318" t="s">
        <v>368</v>
      </c>
      <c r="O359" s="318" t="s">
        <v>8</v>
      </c>
      <c r="P359" s="318" t="s">
        <v>379</v>
      </c>
      <c r="Q359" s="318" t="s">
        <v>61</v>
      </c>
      <c r="R359" s="318" t="s">
        <v>394</v>
      </c>
      <c r="S359" s="303">
        <f t="shared" si="6"/>
        <v>41336.683068000006</v>
      </c>
      <c r="T359" s="307">
        <f>+IFERROR(VLOOKUP(C359,'Tasas Diarias'!$B:$F,5,FALSE)*G359,0)</f>
        <v>0</v>
      </c>
      <c r="U359" s="311" t="str">
        <f ca="1">+VLOOKUP(C359,Spreads!$A$2:$G$345,7,0)</f>
        <v/>
      </c>
    </row>
    <row r="360" spans="1:21" ht="15" customHeight="1" thickTop="1" thickBot="1">
      <c r="A360" s="321" t="s">
        <v>2137</v>
      </c>
      <c r="B360" s="322" t="s">
        <v>4</v>
      </c>
      <c r="C360" s="322" t="s">
        <v>356</v>
      </c>
      <c r="D360" s="322" t="s">
        <v>115</v>
      </c>
      <c r="E360" s="323">
        <v>755439206.59619999</v>
      </c>
      <c r="F360" s="323">
        <v>730095916.12960196</v>
      </c>
      <c r="G360" s="314">
        <v>1.7215999999999999E-2</v>
      </c>
      <c r="H360" s="324">
        <v>3.72</v>
      </c>
      <c r="I360" s="322" t="s">
        <v>507</v>
      </c>
      <c r="J360" s="322">
        <v>1197</v>
      </c>
      <c r="K360" s="322">
        <v>3.06</v>
      </c>
      <c r="L360" s="322">
        <v>102.48</v>
      </c>
      <c r="M360" s="322" t="s">
        <v>9</v>
      </c>
      <c r="N360" s="322" t="s">
        <v>458</v>
      </c>
      <c r="O360" s="322" t="s">
        <v>378</v>
      </c>
      <c r="P360" s="322" t="s">
        <v>379</v>
      </c>
      <c r="Q360" s="322" t="s">
        <v>2139</v>
      </c>
      <c r="R360" s="322" t="s">
        <v>885</v>
      </c>
      <c r="S360" s="303">
        <f t="shared" si="6"/>
        <v>2311643972.1843719</v>
      </c>
      <c r="T360" s="307">
        <f>+IFERROR(VLOOKUP(C360,'Tasas Diarias'!$B:$F,5,FALSE)*G360,0)</f>
        <v>-5.3677374313999201E-6</v>
      </c>
      <c r="U360" s="311" t="str">
        <f>+VLOOKUP(C360,Spreads!$A$2:$G$345,7,0)</f>
        <v/>
      </c>
    </row>
    <row r="361" spans="1:21" ht="15" customHeight="1" thickTop="1" thickBot="1">
      <c r="A361" s="321" t="s">
        <v>2137</v>
      </c>
      <c r="B361" s="322" t="s">
        <v>4</v>
      </c>
      <c r="C361" s="322" t="s">
        <v>630</v>
      </c>
      <c r="D361" s="322" t="s">
        <v>631</v>
      </c>
      <c r="E361" s="323">
        <v>52763547.1642</v>
      </c>
      <c r="F361" s="323">
        <v>51322865.071691163</v>
      </c>
      <c r="G361" s="314">
        <v>1.2019999999999999E-3</v>
      </c>
      <c r="H361" s="324">
        <v>5.48</v>
      </c>
      <c r="I361" s="322" t="s">
        <v>632</v>
      </c>
      <c r="J361" s="322">
        <v>1562</v>
      </c>
      <c r="K361" s="322">
        <v>3.07</v>
      </c>
      <c r="L361" s="322">
        <v>101.52</v>
      </c>
      <c r="M361" s="322" t="s">
        <v>9</v>
      </c>
      <c r="N361" s="322" t="s">
        <v>368</v>
      </c>
      <c r="O361" s="322" t="s">
        <v>8</v>
      </c>
      <c r="P361" s="322" t="s">
        <v>7</v>
      </c>
      <c r="Q361" s="322" t="s">
        <v>633</v>
      </c>
      <c r="R361" s="322" t="s">
        <v>634</v>
      </c>
      <c r="S361" s="303">
        <f t="shared" si="6"/>
        <v>161984089.794094</v>
      </c>
      <c r="T361" s="307">
        <f>+IFERROR(VLOOKUP(C361,'Tasas Diarias'!$B:$F,5,FALSE)*G361,0)</f>
        <v>-3.7596180748003377E-7</v>
      </c>
      <c r="U361" s="311" t="str">
        <f ca="1">+VLOOKUP(C361,Spreads!$A$2:$G$345,7,0)</f>
        <v/>
      </c>
    </row>
    <row r="362" spans="1:21" ht="15" customHeight="1" thickTop="1" thickBot="1">
      <c r="A362" s="321" t="s">
        <v>2137</v>
      </c>
      <c r="B362" s="322" t="s">
        <v>4</v>
      </c>
      <c r="C362" s="322" t="s">
        <v>1003</v>
      </c>
      <c r="D362" s="322" t="s">
        <v>1004</v>
      </c>
      <c r="E362" s="323">
        <v>12003.067300000001</v>
      </c>
      <c r="F362" s="323"/>
      <c r="G362" s="314">
        <v>0</v>
      </c>
      <c r="H362" s="324">
        <v>1.92</v>
      </c>
      <c r="I362" s="322" t="s">
        <v>1005</v>
      </c>
      <c r="J362" s="322">
        <v>2186</v>
      </c>
      <c r="K362" s="322">
        <v>3.09</v>
      </c>
      <c r="L362" s="322">
        <v>104.83</v>
      </c>
      <c r="M362" s="322" t="s">
        <v>6</v>
      </c>
      <c r="N362" s="322" t="s">
        <v>368</v>
      </c>
      <c r="O362" s="322" t="s">
        <v>1347</v>
      </c>
      <c r="P362" s="322" t="s">
        <v>7</v>
      </c>
      <c r="Q362" s="322" t="s">
        <v>1006</v>
      </c>
      <c r="R362" s="322" t="s">
        <v>1007</v>
      </c>
      <c r="S362" s="303">
        <f t="shared" si="6"/>
        <v>37089.477957000003</v>
      </c>
      <c r="T362" s="307">
        <f>+IFERROR(VLOOKUP(C362,'Tasas Diarias'!$B:$F,5,FALSE)*G362,0)</f>
        <v>0</v>
      </c>
      <c r="U362" s="311" t="str">
        <f ca="1">+VLOOKUP(C362,Spreads!$A$2:$G$345,7,0)</f>
        <v/>
      </c>
    </row>
    <row r="363" spans="1:21" ht="15" customHeight="1" thickTop="1" thickBot="1">
      <c r="A363" s="317" t="s">
        <v>2137</v>
      </c>
      <c r="B363" s="318" t="s">
        <v>4</v>
      </c>
      <c r="C363" s="318" t="s">
        <v>1469</v>
      </c>
      <c r="D363" s="318" t="s">
        <v>808</v>
      </c>
      <c r="E363" s="319">
        <v>86331452.529499993</v>
      </c>
      <c r="F363" s="319"/>
      <c r="G363" s="314">
        <v>1.9680000000000001E-3</v>
      </c>
      <c r="H363" s="320">
        <v>3.49</v>
      </c>
      <c r="I363" s="318" t="s">
        <v>1470</v>
      </c>
      <c r="J363" s="318">
        <v>1221</v>
      </c>
      <c r="K363" s="318">
        <v>3.13</v>
      </c>
      <c r="L363" s="318">
        <v>103.09</v>
      </c>
      <c r="M363" s="318" t="s">
        <v>6</v>
      </c>
      <c r="N363" s="318" t="s">
        <v>368</v>
      </c>
      <c r="O363" s="318" t="s">
        <v>429</v>
      </c>
      <c r="P363" s="318" t="s">
        <v>1307</v>
      </c>
      <c r="Q363" s="318" t="s">
        <v>809</v>
      </c>
      <c r="R363" s="318" t="s">
        <v>810</v>
      </c>
      <c r="S363" s="303">
        <f t="shared" si="6"/>
        <v>270217446.41733497</v>
      </c>
      <c r="T363" s="307">
        <f>+IFERROR(VLOOKUP(C363,'Tasas Diarias'!$B:$F,5,FALSE)*G363,0)</f>
        <v>0</v>
      </c>
      <c r="U363" s="311" t="e">
        <f>+VLOOKUP(C363,Spreads!$A$2:$G$345,7,0)</f>
        <v>#N/A</v>
      </c>
    </row>
    <row r="364" spans="1:21" ht="15" customHeight="1" thickTop="1" thickBot="1">
      <c r="A364" s="321" t="s">
        <v>2137</v>
      </c>
      <c r="B364" s="322" t="s">
        <v>4</v>
      </c>
      <c r="C364" s="322" t="s">
        <v>1471</v>
      </c>
      <c r="D364" s="322" t="s">
        <v>808</v>
      </c>
      <c r="E364" s="323">
        <v>90712316.5977</v>
      </c>
      <c r="F364" s="323"/>
      <c r="G364" s="314">
        <v>2.0669999999999998E-3</v>
      </c>
      <c r="H364" s="324">
        <v>3.49</v>
      </c>
      <c r="I364" s="322" t="s">
        <v>1470</v>
      </c>
      <c r="J364" s="322">
        <v>1221</v>
      </c>
      <c r="K364" s="322">
        <v>3.13</v>
      </c>
      <c r="L364" s="322">
        <v>103.09</v>
      </c>
      <c r="M364" s="322" t="s">
        <v>6</v>
      </c>
      <c r="N364" s="322" t="s">
        <v>368</v>
      </c>
      <c r="O364" s="322" t="s">
        <v>429</v>
      </c>
      <c r="P364" s="322" t="s">
        <v>1307</v>
      </c>
      <c r="Q364" s="322" t="s">
        <v>809</v>
      </c>
      <c r="R364" s="322" t="s">
        <v>810</v>
      </c>
      <c r="S364" s="303">
        <f t="shared" si="6"/>
        <v>283929550.95080101</v>
      </c>
      <c r="T364" s="307">
        <f>+IFERROR(VLOOKUP(C364,'Tasas Diarias'!$B:$F,5,FALSE)*G364,0)</f>
        <v>0</v>
      </c>
      <c r="U364" s="311" t="e">
        <f>+VLOOKUP(C364,Spreads!$A$2:$G$345,7,0)</f>
        <v>#N/A</v>
      </c>
    </row>
    <row r="365" spans="1:21" ht="15" customHeight="1" thickTop="1" thickBot="1">
      <c r="A365" s="317" t="s">
        <v>2137</v>
      </c>
      <c r="B365" s="318" t="s">
        <v>4</v>
      </c>
      <c r="C365" s="318" t="s">
        <v>1635</v>
      </c>
      <c r="D365" s="318" t="s">
        <v>1636</v>
      </c>
      <c r="E365" s="319">
        <v>18025449.0825</v>
      </c>
      <c r="F365" s="319"/>
      <c r="G365" s="314">
        <v>4.1100000000000002E-4</v>
      </c>
      <c r="H365" s="320">
        <v>0</v>
      </c>
      <c r="I365" s="318" t="s">
        <v>1637</v>
      </c>
      <c r="J365" s="318">
        <v>1291</v>
      </c>
      <c r="K365" s="318">
        <v>3.17</v>
      </c>
      <c r="L365" s="318">
        <v>108.56399999999999</v>
      </c>
      <c r="M365" s="318" t="s">
        <v>369</v>
      </c>
      <c r="N365" s="318" t="s">
        <v>368</v>
      </c>
      <c r="O365" s="318" t="s">
        <v>8</v>
      </c>
      <c r="P365" s="318" t="s">
        <v>392</v>
      </c>
      <c r="Q365" s="318" t="s">
        <v>849</v>
      </c>
      <c r="R365" s="318" t="s">
        <v>1638</v>
      </c>
      <c r="S365" s="303">
        <f t="shared" si="6"/>
        <v>57140673.591524996</v>
      </c>
      <c r="T365" s="307">
        <f>+IFERROR(VLOOKUP(C365,'Tasas Diarias'!$B:$F,5,FALSE)*G365,0)</f>
        <v>0</v>
      </c>
      <c r="U365" s="311" t="e">
        <f>+VLOOKUP(C365,Spreads!$A$2:$G$345,7,0)</f>
        <v>#N/A</v>
      </c>
    </row>
    <row r="366" spans="1:21" ht="15" customHeight="1" thickTop="1" thickBot="1">
      <c r="A366" s="317" t="s">
        <v>2137</v>
      </c>
      <c r="B366" s="318" t="s">
        <v>4</v>
      </c>
      <c r="C366" s="318" t="s">
        <v>159</v>
      </c>
      <c r="D366" s="318" t="s">
        <v>116</v>
      </c>
      <c r="E366" s="319">
        <v>36825118.575599998</v>
      </c>
      <c r="F366" s="319"/>
      <c r="G366" s="314">
        <v>8.3900000000000001E-4</v>
      </c>
      <c r="H366" s="320">
        <v>1.19</v>
      </c>
      <c r="I366" s="318" t="s">
        <v>507</v>
      </c>
      <c r="J366" s="318">
        <v>1197</v>
      </c>
      <c r="K366" s="318">
        <v>3.2</v>
      </c>
      <c r="L366" s="318">
        <v>101</v>
      </c>
      <c r="M366" s="318" t="s">
        <v>6</v>
      </c>
      <c r="N366" s="318" t="s">
        <v>458</v>
      </c>
      <c r="O366" s="318" t="s">
        <v>378</v>
      </c>
      <c r="P366" s="318" t="s">
        <v>379</v>
      </c>
      <c r="Q366" s="318" t="s">
        <v>2139</v>
      </c>
      <c r="R366" s="318" t="s">
        <v>508</v>
      </c>
      <c r="S366" s="303">
        <f t="shared" si="6"/>
        <v>117840379.44192</v>
      </c>
      <c r="T366" s="307">
        <f>+IFERROR(VLOOKUP(C366,'Tasas Diarias'!$B:$F,5,FALSE)*G366,0)</f>
        <v>0</v>
      </c>
      <c r="U366" s="311" t="str">
        <f>+VLOOKUP(C366,Spreads!$A$2:$G$345,7,0)</f>
        <v/>
      </c>
    </row>
    <row r="367" spans="1:21" ht="15" customHeight="1" thickTop="1" thickBot="1">
      <c r="A367" s="317" t="s">
        <v>2137</v>
      </c>
      <c r="B367" s="318" t="s">
        <v>4</v>
      </c>
      <c r="C367" s="318" t="s">
        <v>850</v>
      </c>
      <c r="D367" s="318" t="s">
        <v>851</v>
      </c>
      <c r="E367" s="319">
        <v>500746032.49059999</v>
      </c>
      <c r="F367" s="319">
        <v>15000</v>
      </c>
      <c r="G367" s="314">
        <v>1.1412E-2</v>
      </c>
      <c r="H367" s="320">
        <v>3.42</v>
      </c>
      <c r="I367" s="318" t="s">
        <v>644</v>
      </c>
      <c r="J367" s="318">
        <v>1319</v>
      </c>
      <c r="K367" s="318">
        <v>3.24</v>
      </c>
      <c r="L367" s="318">
        <v>109.09999999999998</v>
      </c>
      <c r="M367" s="318" t="s">
        <v>6</v>
      </c>
      <c r="N367" s="318" t="s">
        <v>368</v>
      </c>
      <c r="O367" s="318" t="s">
        <v>421</v>
      </c>
      <c r="P367" s="318" t="s">
        <v>417</v>
      </c>
      <c r="Q367" s="318" t="s">
        <v>851</v>
      </c>
      <c r="R367" s="318" t="s">
        <v>852</v>
      </c>
      <c r="S367" s="303">
        <f t="shared" si="6"/>
        <v>1622417145.2695441</v>
      </c>
      <c r="T367" s="307">
        <f>+IFERROR(VLOOKUP(C367,'Tasas Diarias'!$B:$F,5,FALSE)*G367,0)</f>
        <v>0</v>
      </c>
      <c r="U367" s="311" t="str">
        <f ca="1">+VLOOKUP(C367,Spreads!$A$2:$G$345,7,0)</f>
        <v/>
      </c>
    </row>
    <row r="368" spans="1:21" ht="15" customHeight="1" thickTop="1" thickBot="1">
      <c r="A368" s="317" t="s">
        <v>2137</v>
      </c>
      <c r="B368" s="318" t="s">
        <v>4</v>
      </c>
      <c r="C368" s="318" t="s">
        <v>1639</v>
      </c>
      <c r="D368" s="318" t="s">
        <v>1640</v>
      </c>
      <c r="E368" s="319">
        <v>15107953.8014</v>
      </c>
      <c r="F368" s="319"/>
      <c r="G368" s="314">
        <v>3.4400000000000001E-4</v>
      </c>
      <c r="H368" s="320">
        <v>0</v>
      </c>
      <c r="I368" s="318" t="s">
        <v>1641</v>
      </c>
      <c r="J368" s="318">
        <v>1264</v>
      </c>
      <c r="K368" s="318">
        <v>3.27</v>
      </c>
      <c r="L368" s="318">
        <v>103.1628</v>
      </c>
      <c r="M368" s="318" t="s">
        <v>369</v>
      </c>
      <c r="N368" s="318" t="s">
        <v>368</v>
      </c>
      <c r="O368" s="318" t="s">
        <v>1346</v>
      </c>
      <c r="P368" s="318" t="s">
        <v>25</v>
      </c>
      <c r="Q368" s="318" t="s">
        <v>1358</v>
      </c>
      <c r="R368" s="318" t="s">
        <v>1642</v>
      </c>
      <c r="S368" s="303">
        <f t="shared" si="6"/>
        <v>49403008.930578001</v>
      </c>
      <c r="T368" s="307">
        <f>+IFERROR(VLOOKUP(C368,'Tasas Diarias'!$B:$F,5,FALSE)*G368,0)</f>
        <v>0</v>
      </c>
      <c r="U368" s="311" t="e">
        <f>+VLOOKUP(C368,Spreads!$A$2:$G$345,7,0)</f>
        <v>#N/A</v>
      </c>
    </row>
    <row r="369" spans="1:21" ht="15" customHeight="1" thickTop="1" thickBot="1">
      <c r="A369" s="317" t="s">
        <v>2137</v>
      </c>
      <c r="B369" s="318" t="s">
        <v>4</v>
      </c>
      <c r="C369" s="318" t="s">
        <v>627</v>
      </c>
      <c r="D369" s="318" t="s">
        <v>294</v>
      </c>
      <c r="E369" s="319">
        <v>25276.045900000001</v>
      </c>
      <c r="F369" s="319"/>
      <c r="G369" s="314">
        <v>9.9999999999999995E-7</v>
      </c>
      <c r="H369" s="320">
        <v>2.13</v>
      </c>
      <c r="I369" s="318" t="s">
        <v>628</v>
      </c>
      <c r="J369" s="318">
        <v>2415</v>
      </c>
      <c r="K369" s="318">
        <v>3.28</v>
      </c>
      <c r="L369" s="318">
        <v>114.3</v>
      </c>
      <c r="M369" s="318" t="s">
        <v>6</v>
      </c>
      <c r="N369" s="318" t="s">
        <v>368</v>
      </c>
      <c r="O369" s="318" t="s">
        <v>8</v>
      </c>
      <c r="P369" s="318" t="s">
        <v>7</v>
      </c>
      <c r="Q369" s="318" t="s">
        <v>74</v>
      </c>
      <c r="R369" s="318" t="s">
        <v>407</v>
      </c>
      <c r="S369" s="303">
        <f t="shared" si="6"/>
        <v>82905.430552000005</v>
      </c>
      <c r="T369" s="307">
        <f>+IFERROR(VLOOKUP(C369,'Tasas Diarias'!$B:$F,5,FALSE)*G369,0)</f>
        <v>6.6625021920192053E-10</v>
      </c>
      <c r="U369" s="311" t="str">
        <f ca="1">+VLOOKUP(C369,Spreads!$A$2:$G$345,7,0)</f>
        <v/>
      </c>
    </row>
    <row r="370" spans="1:21" ht="15" customHeight="1" thickTop="1" thickBot="1">
      <c r="A370" s="321" t="s">
        <v>2137</v>
      </c>
      <c r="B370" s="322" t="s">
        <v>4</v>
      </c>
      <c r="C370" s="322" t="s">
        <v>641</v>
      </c>
      <c r="D370" s="322" t="s">
        <v>182</v>
      </c>
      <c r="E370" s="323">
        <v>36679.330099999999</v>
      </c>
      <c r="F370" s="323"/>
      <c r="G370" s="314">
        <v>9.9999999999999995E-7</v>
      </c>
      <c r="H370" s="324">
        <v>1.7</v>
      </c>
      <c r="I370" s="322" t="s">
        <v>642</v>
      </c>
      <c r="J370" s="322">
        <v>1297</v>
      </c>
      <c r="K370" s="322">
        <v>3.36</v>
      </c>
      <c r="L370" s="322">
        <v>104.35</v>
      </c>
      <c r="M370" s="322" t="s">
        <v>6</v>
      </c>
      <c r="N370" s="322" t="s">
        <v>368</v>
      </c>
      <c r="O370" s="322" t="s">
        <v>8</v>
      </c>
      <c r="P370" s="322" t="s">
        <v>7</v>
      </c>
      <c r="Q370" s="322" t="s">
        <v>390</v>
      </c>
      <c r="R370" s="322" t="s">
        <v>402</v>
      </c>
      <c r="S370" s="303">
        <f t="shared" si="6"/>
        <v>123242.54913599999</v>
      </c>
      <c r="T370" s="307">
        <f>+IFERROR(VLOOKUP(C370,'Tasas Diarias'!$B:$F,5,FALSE)*G370,0)</f>
        <v>2.7325598228709627E-9</v>
      </c>
      <c r="U370" s="311" t="str">
        <f ca="1">+VLOOKUP(C370,Spreads!$A$2:$G$345,7,0)</f>
        <v/>
      </c>
    </row>
    <row r="371" spans="1:21" ht="15" customHeight="1" thickTop="1" thickBot="1">
      <c r="A371" s="317" t="s">
        <v>2137</v>
      </c>
      <c r="B371" s="318" t="s">
        <v>4</v>
      </c>
      <c r="C371" s="318" t="s">
        <v>1028</v>
      </c>
      <c r="D371" s="318" t="s">
        <v>37</v>
      </c>
      <c r="E371" s="319">
        <v>13321.1093</v>
      </c>
      <c r="F371" s="319">
        <v>13005.456945778673</v>
      </c>
      <c r="G371" s="314">
        <v>0</v>
      </c>
      <c r="H371" s="320">
        <v>4.5</v>
      </c>
      <c r="I371" s="318" t="s">
        <v>1029</v>
      </c>
      <c r="J371" s="318">
        <v>1607</v>
      </c>
      <c r="K371" s="318">
        <v>3.37</v>
      </c>
      <c r="L371" s="318">
        <v>101.94</v>
      </c>
      <c r="M371" s="318" t="s">
        <v>9</v>
      </c>
      <c r="N371" s="318" t="s">
        <v>368</v>
      </c>
      <c r="O371" s="318" t="s">
        <v>429</v>
      </c>
      <c r="P371" s="318" t="s">
        <v>7</v>
      </c>
      <c r="Q371" s="318" t="s">
        <v>329</v>
      </c>
      <c r="R371" s="318" t="s">
        <v>1032</v>
      </c>
      <c r="S371" s="303">
        <f t="shared" si="6"/>
        <v>44892.138340999998</v>
      </c>
      <c r="T371" s="307">
        <f>+IFERROR(VLOOKUP(C371,'Tasas Diarias'!$B:$F,5,FALSE)*G371,0)</f>
        <v>0</v>
      </c>
      <c r="U371" s="311" t="str">
        <f ca="1">+VLOOKUP(C371,Spreads!$A$2:$G$345,7,0)</f>
        <v/>
      </c>
    </row>
    <row r="372" spans="1:21" ht="15" customHeight="1" thickTop="1" thickBot="1">
      <c r="A372" s="317" t="s">
        <v>2137</v>
      </c>
      <c r="B372" s="318" t="s">
        <v>4</v>
      </c>
      <c r="C372" s="318" t="s">
        <v>1417</v>
      </c>
      <c r="D372" s="318" t="s">
        <v>173</v>
      </c>
      <c r="E372" s="319">
        <v>18456.289499999999</v>
      </c>
      <c r="F372" s="319"/>
      <c r="G372" s="314">
        <v>0</v>
      </c>
      <c r="H372" s="320">
        <v>1.87</v>
      </c>
      <c r="I372" s="318" t="s">
        <v>1418</v>
      </c>
      <c r="J372" s="318">
        <v>2354</v>
      </c>
      <c r="K372" s="318">
        <v>3.38</v>
      </c>
      <c r="L372" s="318">
        <v>115.83</v>
      </c>
      <c r="M372" s="318" t="s">
        <v>6</v>
      </c>
      <c r="N372" s="318" t="s">
        <v>368</v>
      </c>
      <c r="O372" s="318" t="s">
        <v>8</v>
      </c>
      <c r="P372" s="318" t="s">
        <v>392</v>
      </c>
      <c r="Q372" s="318" t="s">
        <v>55</v>
      </c>
      <c r="R372" s="318" t="s">
        <v>724</v>
      </c>
      <c r="S372" s="303">
        <f t="shared" si="6"/>
        <v>62382.258509999992</v>
      </c>
      <c r="T372" s="307">
        <f>+IFERROR(VLOOKUP(C372,'Tasas Diarias'!$B:$F,5,FALSE)*G372,0)</f>
        <v>0</v>
      </c>
      <c r="U372" s="311" t="e">
        <f>+VLOOKUP(C372,Spreads!$A$2:$G$345,7,0)</f>
        <v>#N/A</v>
      </c>
    </row>
    <row r="373" spans="1:21" ht="15" customHeight="1" thickTop="1" thickBot="1">
      <c r="A373" s="317" t="s">
        <v>2137</v>
      </c>
      <c r="B373" s="318" t="s">
        <v>4</v>
      </c>
      <c r="C373" s="318" t="s">
        <v>1836</v>
      </c>
      <c r="D373" s="318" t="s">
        <v>178</v>
      </c>
      <c r="E373" s="319">
        <v>75212178.242599994</v>
      </c>
      <c r="F373" s="319"/>
      <c r="G373" s="314">
        <v>1.714E-3</v>
      </c>
      <c r="H373" s="318">
        <v>2.4500000000000002</v>
      </c>
      <c r="I373" s="318" t="s">
        <v>1837</v>
      </c>
      <c r="J373" s="318">
        <v>1323</v>
      </c>
      <c r="K373" s="318">
        <v>3.41</v>
      </c>
      <c r="L373" s="318">
        <v>102.68</v>
      </c>
      <c r="M373" s="318" t="s">
        <v>6</v>
      </c>
      <c r="N373" s="318" t="s">
        <v>368</v>
      </c>
      <c r="O373" s="318" t="s">
        <v>8</v>
      </c>
      <c r="P373" s="318" t="s">
        <v>417</v>
      </c>
      <c r="Q373" s="318" t="s">
        <v>68</v>
      </c>
      <c r="R373" s="318" t="s">
        <v>812</v>
      </c>
      <c r="S373" s="303">
        <f t="shared" si="6"/>
        <v>256473527.807266</v>
      </c>
      <c r="T373" s="307">
        <f>+IFERROR(VLOOKUP(C373,'Tasas Diarias'!$B:$F,5,FALSE)*G373,0)</f>
        <v>0</v>
      </c>
      <c r="U373" s="311" t="e">
        <f>+VLOOKUP(C373,Spreads!$A$2:$G$345,7,0)</f>
        <v>#N/A</v>
      </c>
    </row>
    <row r="374" spans="1:21" ht="15" customHeight="1" thickTop="1" thickBot="1">
      <c r="A374" s="321" t="s">
        <v>2137</v>
      </c>
      <c r="B374" s="322" t="s">
        <v>4</v>
      </c>
      <c r="C374" s="322" t="s">
        <v>1019</v>
      </c>
      <c r="D374" s="322" t="s">
        <v>851</v>
      </c>
      <c r="E374" s="323">
        <v>92980269.994900003</v>
      </c>
      <c r="F374" s="323"/>
      <c r="G374" s="314">
        <v>2.1189999999999998E-3</v>
      </c>
      <c r="H374" s="324">
        <v>3.24</v>
      </c>
      <c r="I374" s="322" t="s">
        <v>656</v>
      </c>
      <c r="J374" s="322">
        <v>1381</v>
      </c>
      <c r="K374" s="322">
        <v>3.41</v>
      </c>
      <c r="L374" s="322">
        <v>110.25</v>
      </c>
      <c r="M374" s="322" t="s">
        <v>6</v>
      </c>
      <c r="N374" s="322" t="s">
        <v>368</v>
      </c>
      <c r="O374" s="322" t="s">
        <v>421</v>
      </c>
      <c r="P374" s="322" t="s">
        <v>417</v>
      </c>
      <c r="Q374" s="322" t="s">
        <v>851</v>
      </c>
      <c r="R374" s="322" t="s">
        <v>852</v>
      </c>
      <c r="S374" s="303">
        <f t="shared" si="6"/>
        <v>317062720.68260902</v>
      </c>
      <c r="T374" s="307">
        <f>+IFERROR(VLOOKUP(C374,'Tasas Diarias'!$B:$F,5,FALSE)*G374,0)</f>
        <v>-7.349002522020432E-7</v>
      </c>
      <c r="U374" s="311" t="str">
        <f ca="1">+VLOOKUP(C374,Spreads!$A$2:$G$345,7,0)</f>
        <v/>
      </c>
    </row>
    <row r="375" spans="1:21" ht="15" customHeight="1" thickTop="1" thickBot="1">
      <c r="A375" s="317" t="s">
        <v>2137</v>
      </c>
      <c r="B375" s="318" t="s">
        <v>4</v>
      </c>
      <c r="C375" s="318" t="s">
        <v>1533</v>
      </c>
      <c r="D375" s="318" t="s">
        <v>11</v>
      </c>
      <c r="E375" s="319">
        <v>20192.698700000001</v>
      </c>
      <c r="F375" s="319">
        <v>19508.0163028895</v>
      </c>
      <c r="G375" s="314">
        <v>0</v>
      </c>
      <c r="H375" s="320">
        <v>4.34</v>
      </c>
      <c r="I375" s="318" t="s">
        <v>656</v>
      </c>
      <c r="J375" s="318">
        <v>1381</v>
      </c>
      <c r="K375" s="318">
        <v>3.46</v>
      </c>
      <c r="L375" s="318">
        <v>102.41</v>
      </c>
      <c r="M375" s="318" t="s">
        <v>9</v>
      </c>
      <c r="N375" s="318" t="s">
        <v>368</v>
      </c>
      <c r="O375" s="318" t="s">
        <v>8</v>
      </c>
      <c r="P375" s="318" t="s">
        <v>7</v>
      </c>
      <c r="Q375" s="318" t="s">
        <v>326</v>
      </c>
      <c r="R375" s="318" t="s">
        <v>404</v>
      </c>
      <c r="S375" s="303">
        <f t="shared" si="6"/>
        <v>69866.737502000004</v>
      </c>
      <c r="T375" s="307">
        <f>+IFERROR(VLOOKUP(C375,'Tasas Diarias'!$B:$F,5,FALSE)*G375,0)</f>
        <v>0</v>
      </c>
      <c r="U375" s="311" t="e">
        <f>+VLOOKUP(C375,Spreads!$A$2:$G$345,7,0)</f>
        <v>#N/A</v>
      </c>
    </row>
    <row r="376" spans="1:21" ht="15" customHeight="1" thickTop="1" thickBot="1">
      <c r="A376" s="317" t="s">
        <v>2137</v>
      </c>
      <c r="B376" s="318" t="s">
        <v>4</v>
      </c>
      <c r="C376" s="318" t="s">
        <v>650</v>
      </c>
      <c r="D376" s="318" t="s">
        <v>651</v>
      </c>
      <c r="E376" s="319">
        <v>66409766.450400002</v>
      </c>
      <c r="F376" s="319"/>
      <c r="G376" s="314">
        <v>1.5139999999999999E-3</v>
      </c>
      <c r="H376" s="320">
        <v>1.97</v>
      </c>
      <c r="I376" s="318" t="s">
        <v>652</v>
      </c>
      <c r="J376" s="318">
        <v>1333</v>
      </c>
      <c r="K376" s="318">
        <v>3.5</v>
      </c>
      <c r="L376" s="318">
        <v>101.13</v>
      </c>
      <c r="M376" s="318" t="s">
        <v>6</v>
      </c>
      <c r="N376" s="318" t="s">
        <v>368</v>
      </c>
      <c r="O376" s="318" t="s">
        <v>1349</v>
      </c>
      <c r="P376" s="318" t="s">
        <v>392</v>
      </c>
      <c r="Q376" s="318" t="s">
        <v>653</v>
      </c>
      <c r="R376" s="318" t="s">
        <v>654</v>
      </c>
      <c r="S376" s="303">
        <f t="shared" si="6"/>
        <v>232434182.57640001</v>
      </c>
      <c r="T376" s="307">
        <f>+IFERROR(VLOOKUP(C376,'Tasas Diarias'!$B:$F,5,FALSE)*G376,0)</f>
        <v>0</v>
      </c>
      <c r="U376" s="311" t="e">
        <f>+VLOOKUP(C376,Spreads!$A$2:$G$345,7,0)</f>
        <v>#N/A</v>
      </c>
    </row>
    <row r="377" spans="1:21" ht="15" customHeight="1" thickTop="1" thickBot="1">
      <c r="A377" s="321" t="s">
        <v>2137</v>
      </c>
      <c r="B377" s="322" t="s">
        <v>4</v>
      </c>
      <c r="C377" s="322" t="s">
        <v>647</v>
      </c>
      <c r="D377" s="322" t="s">
        <v>620</v>
      </c>
      <c r="E377" s="323">
        <v>39952.220699999998</v>
      </c>
      <c r="F377" s="323">
        <v>39013.973662393109</v>
      </c>
      <c r="G377" s="314">
        <v>9.9999999999999995E-7</v>
      </c>
      <c r="H377" s="324">
        <v>4.45</v>
      </c>
      <c r="I377" s="322" t="s">
        <v>648</v>
      </c>
      <c r="J377" s="322">
        <v>1393</v>
      </c>
      <c r="K377" s="322">
        <v>3.5</v>
      </c>
      <c r="L377" s="322">
        <v>101.51</v>
      </c>
      <c r="M377" s="322" t="s">
        <v>9</v>
      </c>
      <c r="N377" s="322" t="s">
        <v>368</v>
      </c>
      <c r="O377" s="322" t="s">
        <v>560</v>
      </c>
      <c r="P377" s="322" t="s">
        <v>7</v>
      </c>
      <c r="Q377" s="322" t="s">
        <v>622</v>
      </c>
      <c r="R377" s="322" t="s">
        <v>623</v>
      </c>
      <c r="S377" s="303">
        <f t="shared" si="6"/>
        <v>139832.77244999999</v>
      </c>
      <c r="T377" s="307">
        <f>+IFERROR(VLOOKUP(C377,'Tasas Diarias'!$B:$F,5,FALSE)*G377,0)</f>
        <v>-3.5600757641999402E-10</v>
      </c>
      <c r="U377" s="311" t="str">
        <f ca="1">+VLOOKUP(C377,Spreads!$A$2:$G$345,7,0)</f>
        <v/>
      </c>
    </row>
    <row r="378" spans="1:21" ht="15" customHeight="1" thickTop="1" thickBot="1">
      <c r="A378" s="321" t="s">
        <v>2137</v>
      </c>
      <c r="B378" s="322" t="s">
        <v>4</v>
      </c>
      <c r="C378" s="322" t="s">
        <v>1643</v>
      </c>
      <c r="D378" s="322" t="s">
        <v>1644</v>
      </c>
      <c r="E378" s="323">
        <v>32504753.9813</v>
      </c>
      <c r="F378" s="323"/>
      <c r="G378" s="314">
        <v>7.4100000000000001E-4</v>
      </c>
      <c r="H378" s="324">
        <v>0</v>
      </c>
      <c r="I378" s="322" t="s">
        <v>1645</v>
      </c>
      <c r="J378" s="322">
        <v>1464</v>
      </c>
      <c r="K378" s="322">
        <v>3.5</v>
      </c>
      <c r="L378" s="322">
        <v>111.789</v>
      </c>
      <c r="M378" s="322" t="s">
        <v>369</v>
      </c>
      <c r="N378" s="322" t="s">
        <v>368</v>
      </c>
      <c r="O378" s="322" t="s">
        <v>429</v>
      </c>
      <c r="P378" s="322" t="s">
        <v>392</v>
      </c>
      <c r="Q378" s="322" t="s">
        <v>1359</v>
      </c>
      <c r="R378" s="322" t="s">
        <v>1646</v>
      </c>
      <c r="S378" s="303">
        <f t="shared" si="6"/>
        <v>113766638.93455</v>
      </c>
      <c r="T378" s="307">
        <f>+IFERROR(VLOOKUP(C378,'Tasas Diarias'!$B:$F,5,FALSE)*G378,0)</f>
        <v>0</v>
      </c>
      <c r="U378" s="311" t="e">
        <f>+VLOOKUP(C378,Spreads!$A$2:$G$345,7,0)</f>
        <v>#N/A</v>
      </c>
    </row>
    <row r="379" spans="1:21" ht="15" customHeight="1" thickTop="1" thickBot="1">
      <c r="A379" s="317" t="s">
        <v>2137</v>
      </c>
      <c r="B379" s="318" t="s">
        <v>4</v>
      </c>
      <c r="C379" s="318" t="s">
        <v>1897</v>
      </c>
      <c r="D379" s="318" t="s">
        <v>24</v>
      </c>
      <c r="E379" s="319">
        <v>26756.991900000001</v>
      </c>
      <c r="F379" s="319"/>
      <c r="G379" s="314">
        <v>9.9999999999999995E-7</v>
      </c>
      <c r="H379" s="320">
        <v>1.81</v>
      </c>
      <c r="I379" s="318" t="s">
        <v>510</v>
      </c>
      <c r="J379" s="318">
        <v>1350</v>
      </c>
      <c r="K379" s="318">
        <v>3.54</v>
      </c>
      <c r="L379" s="318">
        <v>102.11</v>
      </c>
      <c r="M379" s="318" t="s">
        <v>6</v>
      </c>
      <c r="N379" s="318" t="s">
        <v>368</v>
      </c>
      <c r="O379" s="318" t="s">
        <v>8</v>
      </c>
      <c r="P379" s="318" t="s">
        <v>392</v>
      </c>
      <c r="Q379" s="318" t="s">
        <v>51</v>
      </c>
      <c r="R379" s="318" t="s">
        <v>414</v>
      </c>
      <c r="S379" s="303">
        <f t="shared" si="6"/>
        <v>94719.751325999998</v>
      </c>
      <c r="T379" s="307">
        <f>+IFERROR(VLOOKUP(C379,'Tasas Diarias'!$B:$F,5,FALSE)*G379,0)</f>
        <v>-3.5956054412808029E-10</v>
      </c>
      <c r="U379" s="311" t="e">
        <f>+VLOOKUP(C379,Spreads!$A$2:$G$345,7,0)</f>
        <v>#N/A</v>
      </c>
    </row>
    <row r="380" spans="1:21" ht="15" customHeight="1" thickTop="1" thickBot="1">
      <c r="A380" s="327" t="s">
        <v>2137</v>
      </c>
      <c r="B380" s="328" t="s">
        <v>4</v>
      </c>
      <c r="C380" s="328" t="s">
        <v>1066</v>
      </c>
      <c r="D380" s="328" t="s">
        <v>1067</v>
      </c>
      <c r="E380" s="328">
        <v>33450934.042800002</v>
      </c>
      <c r="F380" s="328"/>
      <c r="G380" s="332">
        <v>7.6199999999999998E-4</v>
      </c>
      <c r="H380" s="329">
        <v>0</v>
      </c>
      <c r="I380" s="328" t="s">
        <v>1068</v>
      </c>
      <c r="J380" s="328">
        <v>1668</v>
      </c>
      <c r="K380" s="328">
        <v>3.55</v>
      </c>
      <c r="L380" s="328">
        <v>107.9584</v>
      </c>
      <c r="M380" s="328" t="s">
        <v>9</v>
      </c>
      <c r="N380" s="328" t="s">
        <v>368</v>
      </c>
      <c r="O380" s="328" t="s">
        <v>672</v>
      </c>
      <c r="P380" s="328" t="s">
        <v>25</v>
      </c>
      <c r="Q380" s="328" t="s">
        <v>1069</v>
      </c>
      <c r="R380" s="328" t="s">
        <v>1070</v>
      </c>
      <c r="S380" s="303">
        <f t="shared" si="6"/>
        <v>118750815.85194001</v>
      </c>
      <c r="T380" s="307">
        <f>+IFERROR(VLOOKUP(C380,'Tasas Diarias'!$B:$F,5,FALSE)*G380,0)</f>
        <v>0</v>
      </c>
      <c r="U380" s="311" t="e">
        <f>+VLOOKUP(C380,Spreads!$A$2:$G$345,7,0)</f>
        <v>#N/A</v>
      </c>
    </row>
    <row r="381" spans="1:21" ht="15" customHeight="1" thickTop="1" thickBot="1">
      <c r="A381" s="321" t="s">
        <v>2137</v>
      </c>
      <c r="B381" s="322" t="s">
        <v>4</v>
      </c>
      <c r="C381" s="322" t="s">
        <v>1066</v>
      </c>
      <c r="D381" s="322" t="s">
        <v>1067</v>
      </c>
      <c r="E381" s="323">
        <v>3207520.3360000001</v>
      </c>
      <c r="F381" s="323"/>
      <c r="G381" s="314">
        <v>7.2999999999999999E-5</v>
      </c>
      <c r="H381" s="324">
        <v>0</v>
      </c>
      <c r="I381" s="322" t="s">
        <v>1068</v>
      </c>
      <c r="J381" s="322">
        <v>1668</v>
      </c>
      <c r="K381" s="322">
        <v>3.55</v>
      </c>
      <c r="L381" s="322">
        <v>107.9584</v>
      </c>
      <c r="M381" s="322" t="s">
        <v>369</v>
      </c>
      <c r="N381" s="322" t="s">
        <v>368</v>
      </c>
      <c r="O381" s="322" t="s">
        <v>672</v>
      </c>
      <c r="P381" s="322" t="s">
        <v>25</v>
      </c>
      <c r="Q381" s="322" t="s">
        <v>1069</v>
      </c>
      <c r="R381" s="322" t="s">
        <v>1070</v>
      </c>
      <c r="S381" s="303">
        <f t="shared" si="6"/>
        <v>11386697.1928</v>
      </c>
      <c r="T381" s="307">
        <f>+IFERROR(VLOOKUP(C381,'Tasas Diarias'!$B:$F,5,FALSE)*G381,0)</f>
        <v>0</v>
      </c>
      <c r="U381" s="311" t="e">
        <f>+VLOOKUP(C381,Spreads!$A$2:$G$345,7,0)</f>
        <v>#N/A</v>
      </c>
    </row>
    <row r="382" spans="1:21" ht="15" customHeight="1" thickTop="1" thickBot="1">
      <c r="A382" s="321" t="s">
        <v>2137</v>
      </c>
      <c r="B382" s="322" t="s">
        <v>4</v>
      </c>
      <c r="C382" s="322" t="s">
        <v>655</v>
      </c>
      <c r="D382" s="322" t="s">
        <v>176</v>
      </c>
      <c r="E382" s="323">
        <v>9259.6149000000005</v>
      </c>
      <c r="F382" s="323"/>
      <c r="G382" s="314">
        <v>0</v>
      </c>
      <c r="H382" s="324">
        <v>1.82</v>
      </c>
      <c r="I382" s="322" t="s">
        <v>656</v>
      </c>
      <c r="J382" s="322">
        <v>1381</v>
      </c>
      <c r="K382" s="322">
        <v>3.56</v>
      </c>
      <c r="L382" s="322">
        <v>105.99</v>
      </c>
      <c r="M382" s="322" t="s">
        <v>6</v>
      </c>
      <c r="N382" s="322" t="s">
        <v>368</v>
      </c>
      <c r="O382" s="322" t="s">
        <v>8</v>
      </c>
      <c r="P382" s="322" t="s">
        <v>7</v>
      </c>
      <c r="Q382" s="322" t="s">
        <v>326</v>
      </c>
      <c r="R382" s="322" t="s">
        <v>450</v>
      </c>
      <c r="S382" s="303">
        <f t="shared" si="6"/>
        <v>32964.229044</v>
      </c>
      <c r="T382" s="307">
        <f>+IFERROR(VLOOKUP(C382,'Tasas Diarias'!$B:$F,5,FALSE)*G382,0)</f>
        <v>0</v>
      </c>
      <c r="U382" s="311" t="str">
        <f ca="1">+VLOOKUP(C382,Spreads!$A$2:$G$345,7,0)</f>
        <v/>
      </c>
    </row>
    <row r="383" spans="1:21" ht="15" customHeight="1" thickTop="1" thickBot="1">
      <c r="A383" s="317" t="s">
        <v>2137</v>
      </c>
      <c r="B383" s="318" t="s">
        <v>4</v>
      </c>
      <c r="C383" s="318" t="s">
        <v>1500</v>
      </c>
      <c r="D383" s="318" t="s">
        <v>38</v>
      </c>
      <c r="E383" s="319">
        <v>552208921.49129999</v>
      </c>
      <c r="F383" s="319">
        <v>540714852.94087088</v>
      </c>
      <c r="G383" s="314">
        <v>1.2585000000000001E-2</v>
      </c>
      <c r="H383" s="320">
        <v>4.62</v>
      </c>
      <c r="I383" s="318" t="s">
        <v>1228</v>
      </c>
      <c r="J383" s="318">
        <v>1425</v>
      </c>
      <c r="K383" s="318">
        <v>3.58</v>
      </c>
      <c r="L383" s="318">
        <v>101.64</v>
      </c>
      <c r="M383" s="318" t="s">
        <v>9</v>
      </c>
      <c r="N383" s="318" t="s">
        <v>368</v>
      </c>
      <c r="O383" s="318" t="s">
        <v>8</v>
      </c>
      <c r="P383" s="318" t="s">
        <v>7</v>
      </c>
      <c r="Q383" s="318" t="s">
        <v>76</v>
      </c>
      <c r="R383" s="318" t="s">
        <v>498</v>
      </c>
      <c r="S383" s="303">
        <f t="shared" si="6"/>
        <v>1976907938.938854</v>
      </c>
      <c r="T383" s="307">
        <f>+IFERROR(VLOOKUP(C383,'Tasas Diarias'!$B:$F,5,FALSE)*G383,0)</f>
        <v>-4.5776037778316708E-6</v>
      </c>
      <c r="U383" s="311" t="e">
        <f>+VLOOKUP(C383,Spreads!$A$2:$G$345,7,0)</f>
        <v>#N/A</v>
      </c>
    </row>
    <row r="384" spans="1:21" ht="15" customHeight="1" thickTop="1" thickBot="1">
      <c r="A384" s="317" t="s">
        <v>2137</v>
      </c>
      <c r="B384" s="318" t="s">
        <v>4</v>
      </c>
      <c r="C384" s="318" t="s">
        <v>1534</v>
      </c>
      <c r="D384" s="318" t="s">
        <v>37</v>
      </c>
      <c r="E384" s="319">
        <v>629145053.37689996</v>
      </c>
      <c r="F384" s="319">
        <v>600032513.86065018</v>
      </c>
      <c r="G384" s="314">
        <v>1.4338E-2</v>
      </c>
      <c r="H384" s="320">
        <v>4.42</v>
      </c>
      <c r="I384" s="318" t="s">
        <v>1535</v>
      </c>
      <c r="J384" s="318">
        <v>1466</v>
      </c>
      <c r="K384" s="318">
        <v>3.6</v>
      </c>
      <c r="L384" s="318">
        <v>102.33</v>
      </c>
      <c r="M384" s="318" t="s">
        <v>9</v>
      </c>
      <c r="N384" s="318" t="s">
        <v>368</v>
      </c>
      <c r="O384" s="318" t="s">
        <v>429</v>
      </c>
      <c r="P384" s="318" t="s">
        <v>7</v>
      </c>
      <c r="Q384" s="318" t="s">
        <v>329</v>
      </c>
      <c r="R384" s="318" t="s">
        <v>1032</v>
      </c>
      <c r="S384" s="303">
        <f t="shared" si="6"/>
        <v>2264922192.1568398</v>
      </c>
      <c r="T384" s="307">
        <f>+IFERROR(VLOOKUP(C384,'Tasas Diarias'!$B:$F,5,FALSE)*G384,0)</f>
        <v>-1.0501534486613149E-5</v>
      </c>
      <c r="U384" s="311" t="e">
        <f>+VLOOKUP(C384,Spreads!$A$2:$G$345,7,0)</f>
        <v>#N/A</v>
      </c>
    </row>
    <row r="385" spans="1:21" ht="15" customHeight="1" thickTop="1" thickBot="1">
      <c r="A385" s="321" t="s">
        <v>2137</v>
      </c>
      <c r="B385" s="322" t="s">
        <v>4</v>
      </c>
      <c r="C385" s="322" t="s">
        <v>1647</v>
      </c>
      <c r="D385" s="322" t="s">
        <v>1620</v>
      </c>
      <c r="E385" s="323">
        <v>31126743.0451</v>
      </c>
      <c r="F385" s="323"/>
      <c r="G385" s="314">
        <v>7.0899999999999999E-4</v>
      </c>
      <c r="H385" s="324">
        <v>0</v>
      </c>
      <c r="I385" s="322" t="s">
        <v>1648</v>
      </c>
      <c r="J385" s="322">
        <v>1430</v>
      </c>
      <c r="K385" s="322">
        <v>3.63</v>
      </c>
      <c r="L385" s="322">
        <v>101.8749</v>
      </c>
      <c r="M385" s="322" t="s">
        <v>369</v>
      </c>
      <c r="N385" s="322" t="s">
        <v>368</v>
      </c>
      <c r="O385" s="322" t="s">
        <v>8</v>
      </c>
      <c r="P385" s="322" t="s">
        <v>417</v>
      </c>
      <c r="Q385" s="322" t="s">
        <v>1354</v>
      </c>
      <c r="R385" s="322" t="s">
        <v>1622</v>
      </c>
      <c r="S385" s="303">
        <f t="shared" si="6"/>
        <v>112990077.253713</v>
      </c>
      <c r="T385" s="307">
        <f>+IFERROR(VLOOKUP(C385,'Tasas Diarias'!$B:$F,5,FALSE)*G385,0)</f>
        <v>0</v>
      </c>
      <c r="U385" s="311" t="e">
        <f>+VLOOKUP(C385,Spreads!$A$2:$G$345,7,0)</f>
        <v>#N/A</v>
      </c>
    </row>
    <row r="386" spans="1:21" ht="15" customHeight="1" thickTop="1" thickBot="1">
      <c r="A386" s="321" t="s">
        <v>2137</v>
      </c>
      <c r="B386" s="322" t="s">
        <v>4</v>
      </c>
      <c r="C386" s="322" t="s">
        <v>863</v>
      </c>
      <c r="D386" s="322" t="s">
        <v>864</v>
      </c>
      <c r="E386" s="323">
        <v>108209927.06470001</v>
      </c>
      <c r="F386" s="323"/>
      <c r="G386" s="314">
        <v>2.4659999999999999E-3</v>
      </c>
      <c r="H386" s="322">
        <v>3.61</v>
      </c>
      <c r="I386" s="322" t="s">
        <v>865</v>
      </c>
      <c r="J386" s="322">
        <v>2645</v>
      </c>
      <c r="K386" s="322">
        <v>3.63</v>
      </c>
      <c r="L386" s="322">
        <v>102.06</v>
      </c>
      <c r="M386" s="322" t="s">
        <v>6</v>
      </c>
      <c r="N386" s="322" t="s">
        <v>368</v>
      </c>
      <c r="O386" s="322" t="s">
        <v>461</v>
      </c>
      <c r="P386" s="322" t="s">
        <v>814</v>
      </c>
      <c r="Q386" s="322" t="s">
        <v>866</v>
      </c>
      <c r="R386" s="322" t="s">
        <v>867</v>
      </c>
      <c r="S386" s="303">
        <f t="shared" si="6"/>
        <v>392802035.24486101</v>
      </c>
      <c r="T386" s="307">
        <f>+IFERROR(VLOOKUP(C386,'Tasas Diarias'!$B:$F,5,FALSE)*G386,0)</f>
        <v>9.0930599869123529E-7</v>
      </c>
      <c r="U386" s="311" t="str">
        <f ca="1">+VLOOKUP(C386,Spreads!$A$2:$G$345,7,0)</f>
        <v/>
      </c>
    </row>
    <row r="387" spans="1:21" ht="15" customHeight="1" thickTop="1" thickBot="1">
      <c r="A387" s="321" t="s">
        <v>2137</v>
      </c>
      <c r="B387" s="322" t="s">
        <v>4</v>
      </c>
      <c r="C387" s="322" t="s">
        <v>853</v>
      </c>
      <c r="D387" s="322" t="s">
        <v>854</v>
      </c>
      <c r="E387" s="323">
        <v>42652040.876199998</v>
      </c>
      <c r="F387" s="323"/>
      <c r="G387" s="314">
        <v>9.7199999999999999E-4</v>
      </c>
      <c r="H387" s="324">
        <v>6.1</v>
      </c>
      <c r="I387" s="322" t="s">
        <v>855</v>
      </c>
      <c r="J387" s="322">
        <v>2568</v>
      </c>
      <c r="K387" s="322">
        <v>3.66</v>
      </c>
      <c r="L387" s="322">
        <v>101.37</v>
      </c>
      <c r="M387" s="322" t="s">
        <v>6</v>
      </c>
      <c r="N387" s="322" t="s">
        <v>368</v>
      </c>
      <c r="O387" s="322" t="s">
        <v>672</v>
      </c>
      <c r="P387" s="322" t="s">
        <v>814</v>
      </c>
      <c r="Q387" s="322" t="s">
        <v>856</v>
      </c>
      <c r="R387" s="322" t="s">
        <v>857</v>
      </c>
      <c r="S387" s="303">
        <f t="shared" ref="S387:S450" si="7">+IFERROR(E387*K387,0)</f>
        <v>156106469.60689199</v>
      </c>
      <c r="T387" s="307">
        <f>+IFERROR(VLOOKUP(C387,'Tasas Diarias'!$B:$F,5,FALSE)*G387,0)</f>
        <v>3.611952611855387E-7</v>
      </c>
      <c r="U387" s="311" t="str">
        <f ca="1">+VLOOKUP(C387,Spreads!$A$2:$G$345,7,0)</f>
        <v/>
      </c>
    </row>
    <row r="388" spans="1:21" ht="15" customHeight="1" thickTop="1" thickBot="1">
      <c r="A388" s="317" t="s">
        <v>2137</v>
      </c>
      <c r="B388" s="318" t="s">
        <v>4</v>
      </c>
      <c r="C388" s="318" t="s">
        <v>1608</v>
      </c>
      <c r="D388" s="318" t="s">
        <v>1548</v>
      </c>
      <c r="E388" s="319">
        <v>61202867.925999999</v>
      </c>
      <c r="F388" s="319"/>
      <c r="G388" s="314">
        <v>1.395E-3</v>
      </c>
      <c r="H388" s="320">
        <v>0</v>
      </c>
      <c r="I388" s="318" t="s">
        <v>1609</v>
      </c>
      <c r="J388" s="318">
        <v>1638</v>
      </c>
      <c r="K388" s="318">
        <v>3.72</v>
      </c>
      <c r="L388" s="318">
        <v>107.5051</v>
      </c>
      <c r="M388" s="318" t="s">
        <v>9</v>
      </c>
      <c r="N388" s="318" t="s">
        <v>368</v>
      </c>
      <c r="O388" s="318" t="s">
        <v>1513</v>
      </c>
      <c r="P388" s="318" t="s">
        <v>802</v>
      </c>
      <c r="Q388" s="318" t="s">
        <v>1550</v>
      </c>
      <c r="R388" s="318" t="s">
        <v>1551</v>
      </c>
      <c r="S388" s="303">
        <f t="shared" si="7"/>
        <v>227674668.68472001</v>
      </c>
      <c r="T388" s="307">
        <f>+IFERROR(VLOOKUP(C388,'Tasas Diarias'!$B:$F,5,FALSE)*G388,0)</f>
        <v>0</v>
      </c>
      <c r="U388" s="311" t="e">
        <f>+VLOOKUP(C388,Spreads!$A$2:$G$345,7,0)</f>
        <v>#N/A</v>
      </c>
    </row>
    <row r="389" spans="1:21" ht="15" customHeight="1" thickTop="1" thickBot="1">
      <c r="A389" s="321" t="s">
        <v>2137</v>
      </c>
      <c r="B389" s="322" t="s">
        <v>4</v>
      </c>
      <c r="C389" s="322" t="s">
        <v>1942</v>
      </c>
      <c r="D389" s="322" t="s">
        <v>175</v>
      </c>
      <c r="E389" s="323">
        <v>45107463.992700003</v>
      </c>
      <c r="F389" s="323">
        <v>45224102.379588239</v>
      </c>
      <c r="G389" s="314">
        <v>1.0280000000000001E-3</v>
      </c>
      <c r="H389" s="324">
        <v>5.07</v>
      </c>
      <c r="I389" s="322" t="s">
        <v>1946</v>
      </c>
      <c r="J389" s="322">
        <v>1770</v>
      </c>
      <c r="K389" s="322">
        <v>3.74</v>
      </c>
      <c r="L389" s="322">
        <v>99.04</v>
      </c>
      <c r="M389" s="322" t="s">
        <v>9</v>
      </c>
      <c r="N389" s="322" t="s">
        <v>368</v>
      </c>
      <c r="O389" s="322" t="s">
        <v>8</v>
      </c>
      <c r="P389" s="322" t="s">
        <v>392</v>
      </c>
      <c r="Q389" s="322" t="s">
        <v>66</v>
      </c>
      <c r="R389" s="322" t="s">
        <v>418</v>
      </c>
      <c r="S389" s="303">
        <f t="shared" si="7"/>
        <v>168701915.33269802</v>
      </c>
      <c r="T389" s="307">
        <f>+IFERROR(VLOOKUP(C389,'Tasas Diarias'!$B:$F,5,FALSE)*G389,0)</f>
        <v>-3.8997715489826198E-7</v>
      </c>
      <c r="U389" s="311" t="e">
        <f>+VLOOKUP(C389,Spreads!$A$2:$G$345,7,0)</f>
        <v>#N/A</v>
      </c>
    </row>
    <row r="390" spans="1:21" ht="15" customHeight="1" thickTop="1" thickBot="1">
      <c r="A390" s="317" t="s">
        <v>2137</v>
      </c>
      <c r="B390" s="318" t="s">
        <v>4</v>
      </c>
      <c r="C390" s="318" t="s">
        <v>638</v>
      </c>
      <c r="D390" s="318" t="s">
        <v>285</v>
      </c>
      <c r="E390" s="319">
        <v>39660012.452699997</v>
      </c>
      <c r="F390" s="319"/>
      <c r="G390" s="314">
        <v>9.0300000000000005E-4</v>
      </c>
      <c r="H390" s="318">
        <v>1.89</v>
      </c>
      <c r="I390" s="318" t="s">
        <v>639</v>
      </c>
      <c r="J390" s="318">
        <v>2597</v>
      </c>
      <c r="K390" s="318">
        <v>3.75</v>
      </c>
      <c r="L390" s="318">
        <v>114.48</v>
      </c>
      <c r="M390" s="318" t="s">
        <v>6</v>
      </c>
      <c r="N390" s="318" t="s">
        <v>368</v>
      </c>
      <c r="O390" s="318" t="s">
        <v>1898</v>
      </c>
      <c r="P390" s="318" t="s">
        <v>379</v>
      </c>
      <c r="Q390" s="318" t="s">
        <v>1918</v>
      </c>
      <c r="R390" s="318" t="s">
        <v>640</v>
      </c>
      <c r="S390" s="303">
        <f t="shared" si="7"/>
        <v>148725046.69762498</v>
      </c>
      <c r="T390" s="307">
        <f>+IFERROR(VLOOKUP(C390,'Tasas Diarias'!$B:$F,5,FALSE)*G390,0)</f>
        <v>0</v>
      </c>
      <c r="U390" s="311" t="str">
        <f ca="1">+VLOOKUP(C390,Spreads!$A$2:$G$345,7,0)</f>
        <v/>
      </c>
    </row>
    <row r="391" spans="1:21" ht="15" customHeight="1" thickTop="1" thickBot="1">
      <c r="A391" s="317" t="s">
        <v>2137</v>
      </c>
      <c r="B391" s="318" t="s">
        <v>4</v>
      </c>
      <c r="C391" s="318" t="s">
        <v>1198</v>
      </c>
      <c r="D391" s="318" t="s">
        <v>1227</v>
      </c>
      <c r="E391" s="319">
        <v>531471320</v>
      </c>
      <c r="F391" s="319">
        <v>20000</v>
      </c>
      <c r="G391" s="314">
        <v>1.2112E-2</v>
      </c>
      <c r="H391" s="320">
        <v>2.15</v>
      </c>
      <c r="I391" s="318" t="s">
        <v>1228</v>
      </c>
      <c r="J391" s="318">
        <v>1425</v>
      </c>
      <c r="K391" s="318">
        <v>3.77</v>
      </c>
      <c r="L391" s="318">
        <v>99.44</v>
      </c>
      <c r="M391" s="318" t="s">
        <v>6</v>
      </c>
      <c r="N391" s="318" t="s">
        <v>368</v>
      </c>
      <c r="O391" s="318" t="s">
        <v>429</v>
      </c>
      <c r="P391" s="318" t="s">
        <v>417</v>
      </c>
      <c r="Q391" s="318" t="s">
        <v>904</v>
      </c>
      <c r="R391" s="318" t="s">
        <v>905</v>
      </c>
      <c r="S391" s="303">
        <f t="shared" si="7"/>
        <v>2003646876.4000001</v>
      </c>
      <c r="T391" s="307">
        <f>+IFERROR(VLOOKUP(C391,'Tasas Diarias'!$B:$F,5,FALSE)*G391,0)</f>
        <v>0</v>
      </c>
      <c r="U391" s="311" t="str">
        <f ca="1">+VLOOKUP(C391,Spreads!$A$2:$G$345,7,0)</f>
        <v/>
      </c>
    </row>
    <row r="392" spans="1:21" ht="15" customHeight="1" thickTop="1" thickBot="1">
      <c r="A392" s="317" t="s">
        <v>2137</v>
      </c>
      <c r="B392" s="318" t="s">
        <v>4</v>
      </c>
      <c r="C392" s="318" t="s">
        <v>1950</v>
      </c>
      <c r="D392" s="318" t="s">
        <v>24</v>
      </c>
      <c r="E392" s="319">
        <v>68142.027799999996</v>
      </c>
      <c r="F392" s="319">
        <v>65029.091087270557</v>
      </c>
      <c r="G392" s="314">
        <v>1.9999999999999999E-6</v>
      </c>
      <c r="H392" s="320">
        <v>4.5</v>
      </c>
      <c r="I392" s="318" t="s">
        <v>871</v>
      </c>
      <c r="J392" s="318">
        <v>1534</v>
      </c>
      <c r="K392" s="318">
        <v>3.77</v>
      </c>
      <c r="L392" s="318">
        <v>103.14</v>
      </c>
      <c r="M392" s="318" t="s">
        <v>9</v>
      </c>
      <c r="N392" s="318" t="s">
        <v>368</v>
      </c>
      <c r="O392" s="318" t="s">
        <v>8</v>
      </c>
      <c r="P392" s="318" t="s">
        <v>392</v>
      </c>
      <c r="Q392" s="318" t="s">
        <v>51</v>
      </c>
      <c r="R392" s="318" t="s">
        <v>414</v>
      </c>
      <c r="S392" s="303">
        <f t="shared" si="7"/>
        <v>256895.44480599998</v>
      </c>
      <c r="T392" s="307">
        <f>+IFERROR(VLOOKUP(C392,'Tasas Diarias'!$B:$F,5,FALSE)*G392,0)</f>
        <v>-1.5320961813399954E-9</v>
      </c>
      <c r="U392" s="311" t="e">
        <f>+VLOOKUP(C392,Spreads!$A$2:$G$345,7,0)</f>
        <v>#N/A</v>
      </c>
    </row>
    <row r="393" spans="1:21" ht="15" customHeight="1" thickTop="1" thickBot="1">
      <c r="A393" s="327" t="s">
        <v>2137</v>
      </c>
      <c r="B393" s="328" t="s">
        <v>4</v>
      </c>
      <c r="C393" s="328" t="s">
        <v>1649</v>
      </c>
      <c r="D393" s="328" t="s">
        <v>1650</v>
      </c>
      <c r="E393" s="328">
        <v>31474773.1109</v>
      </c>
      <c r="F393" s="328"/>
      <c r="G393" s="328">
        <v>7.1699999999999997E-4</v>
      </c>
      <c r="H393" s="329">
        <v>0</v>
      </c>
      <c r="I393" s="328" t="s">
        <v>1651</v>
      </c>
      <c r="J393" s="328">
        <v>1581</v>
      </c>
      <c r="K393" s="328">
        <v>3.87</v>
      </c>
      <c r="L393" s="328">
        <v>102.8028</v>
      </c>
      <c r="M393" s="328" t="s">
        <v>369</v>
      </c>
      <c r="N393" s="328" t="s">
        <v>368</v>
      </c>
      <c r="O393" s="328" t="s">
        <v>1346</v>
      </c>
      <c r="P393" s="328" t="s">
        <v>417</v>
      </c>
      <c r="Q393" s="328" t="s">
        <v>1360</v>
      </c>
      <c r="R393" s="328" t="s">
        <v>1652</v>
      </c>
      <c r="S393" s="303">
        <f t="shared" si="7"/>
        <v>121807371.939183</v>
      </c>
      <c r="T393" s="307">
        <f>+IFERROR(VLOOKUP(C393,'Tasas Diarias'!$B:$F,5,FALSE)*G393,0)</f>
        <v>0</v>
      </c>
      <c r="U393" s="311" t="e">
        <f>+VLOOKUP(C393,Spreads!$A$2:$G$345,7,0)</f>
        <v>#N/A</v>
      </c>
    </row>
    <row r="394" spans="1:21" ht="15" customHeight="1" thickTop="1" thickBot="1">
      <c r="A394" s="327" t="s">
        <v>2137</v>
      </c>
      <c r="B394" s="328" t="s">
        <v>4</v>
      </c>
      <c r="C394" s="328" t="s">
        <v>858</v>
      </c>
      <c r="D394" s="328" t="s">
        <v>859</v>
      </c>
      <c r="E394" s="330">
        <v>11352770.159</v>
      </c>
      <c r="F394" s="343"/>
      <c r="G394" s="332">
        <v>2.5900000000000001E-4</v>
      </c>
      <c r="H394" s="329">
        <v>2.08</v>
      </c>
      <c r="I394" s="328" t="s">
        <v>860</v>
      </c>
      <c r="J394" s="328">
        <v>2933</v>
      </c>
      <c r="K394" s="328">
        <v>3.87</v>
      </c>
      <c r="L394" s="328">
        <v>120.49</v>
      </c>
      <c r="M394" s="328" t="s">
        <v>6</v>
      </c>
      <c r="N394" s="328" t="s">
        <v>368</v>
      </c>
      <c r="O394" s="328" t="s">
        <v>1347</v>
      </c>
      <c r="P394" s="328" t="s">
        <v>25</v>
      </c>
      <c r="Q394" s="328" t="s">
        <v>861</v>
      </c>
      <c r="R394" s="328" t="s">
        <v>862</v>
      </c>
      <c r="S394" s="303">
        <f t="shared" si="7"/>
        <v>43935220.515330002</v>
      </c>
      <c r="T394" s="307">
        <f>+IFERROR(VLOOKUP(C394,'Tasas Diarias'!$B:$F,5,FALSE)*G394,0)</f>
        <v>1.0158224135398487E-7</v>
      </c>
      <c r="U394" s="311" t="str">
        <f ca="1">+VLOOKUP(C394,Spreads!$A$2:$G$345,7,0)</f>
        <v/>
      </c>
    </row>
    <row r="395" spans="1:21" ht="15" customHeight="1" thickTop="1" thickBot="1">
      <c r="A395" s="321" t="s">
        <v>2137</v>
      </c>
      <c r="B395" s="322" t="s">
        <v>4</v>
      </c>
      <c r="C395" s="322" t="s">
        <v>1599</v>
      </c>
      <c r="D395" s="322" t="s">
        <v>1600</v>
      </c>
      <c r="E395" s="323">
        <v>632330138.04589999</v>
      </c>
      <c r="F395" s="323">
        <v>15000</v>
      </c>
      <c r="G395" s="314">
        <v>1.4409999999999999E-2</v>
      </c>
      <c r="H395" s="324">
        <v>3.47</v>
      </c>
      <c r="I395" s="322" t="s">
        <v>668</v>
      </c>
      <c r="J395" s="322">
        <v>1654</v>
      </c>
      <c r="K395" s="322">
        <v>4.0199999999999996</v>
      </c>
      <c r="L395" s="322">
        <v>107.34</v>
      </c>
      <c r="M395" s="322" t="s">
        <v>6</v>
      </c>
      <c r="N395" s="322" t="s">
        <v>368</v>
      </c>
      <c r="O395" s="322" t="s">
        <v>461</v>
      </c>
      <c r="P395" s="322" t="s">
        <v>802</v>
      </c>
      <c r="Q395" s="322" t="s">
        <v>836</v>
      </c>
      <c r="R395" s="322" t="s">
        <v>837</v>
      </c>
      <c r="S395" s="303">
        <f t="shared" si="7"/>
        <v>2541967154.9445176</v>
      </c>
      <c r="T395" s="307">
        <f>+IFERROR(VLOOKUP(C395,'Tasas Diarias'!$B:$F,5,FALSE)*G395,0)</f>
        <v>0</v>
      </c>
      <c r="U395" s="311" t="e">
        <f>+VLOOKUP(C395,Spreads!$A$2:$G$345,7,0)</f>
        <v>#N/A</v>
      </c>
    </row>
    <row r="396" spans="1:21" ht="15" customHeight="1" thickTop="1" thickBot="1">
      <c r="A396" s="317" t="s">
        <v>2137</v>
      </c>
      <c r="B396" s="318" t="s">
        <v>4</v>
      </c>
      <c r="C396" s="318" t="s">
        <v>1203</v>
      </c>
      <c r="D396" s="318" t="s">
        <v>292</v>
      </c>
      <c r="E396" s="319">
        <v>547354446.83469999</v>
      </c>
      <c r="F396" s="319">
        <v>20000</v>
      </c>
      <c r="G396" s="314">
        <v>1.2474000000000001E-2</v>
      </c>
      <c r="H396" s="320">
        <v>2.14</v>
      </c>
      <c r="I396" s="318" t="s">
        <v>1219</v>
      </c>
      <c r="J396" s="318">
        <v>2202</v>
      </c>
      <c r="K396" s="318">
        <v>4.03</v>
      </c>
      <c r="L396" s="318">
        <v>101.42</v>
      </c>
      <c r="M396" s="318" t="s">
        <v>6</v>
      </c>
      <c r="N396" s="318" t="s">
        <v>368</v>
      </c>
      <c r="O396" s="318" t="s">
        <v>551</v>
      </c>
      <c r="P396" s="318" t="s">
        <v>392</v>
      </c>
      <c r="Q396" s="318" t="s">
        <v>327</v>
      </c>
      <c r="R396" s="318" t="s">
        <v>552</v>
      </c>
      <c r="S396" s="303">
        <f t="shared" si="7"/>
        <v>2205838420.7438412</v>
      </c>
      <c r="T396" s="307">
        <f>+IFERROR(VLOOKUP(C396,'Tasas Diarias'!$B:$F,5,FALSE)*G396,0)</f>
        <v>0</v>
      </c>
      <c r="U396" s="311" t="str">
        <f ca="1">+VLOOKUP(C396,Spreads!$A$2:$G$345,7,0)</f>
        <v/>
      </c>
    </row>
    <row r="397" spans="1:21" ht="15" customHeight="1" thickTop="1" thickBot="1">
      <c r="A397" s="327" t="s">
        <v>2137</v>
      </c>
      <c r="B397" s="328" t="s">
        <v>4</v>
      </c>
      <c r="C397" s="328" t="s">
        <v>1563</v>
      </c>
      <c r="D397" s="328" t="s">
        <v>1523</v>
      </c>
      <c r="E397" s="328">
        <v>577123502.53030002</v>
      </c>
      <c r="F397" s="328">
        <v>567849540.82737374</v>
      </c>
      <c r="G397" s="332">
        <v>1.3153E-2</v>
      </c>
      <c r="H397" s="329">
        <v>4.6100000000000003</v>
      </c>
      <c r="I397" s="328" t="s">
        <v>668</v>
      </c>
      <c r="J397" s="328">
        <v>1654</v>
      </c>
      <c r="K397" s="328">
        <v>4.07</v>
      </c>
      <c r="L397" s="328">
        <v>99.56</v>
      </c>
      <c r="M397" s="328" t="s">
        <v>9</v>
      </c>
      <c r="N397" s="328" t="s">
        <v>368</v>
      </c>
      <c r="O397" s="328" t="s">
        <v>8</v>
      </c>
      <c r="P397" s="328" t="s">
        <v>417</v>
      </c>
      <c r="Q397" s="328" t="s">
        <v>325</v>
      </c>
      <c r="R397" s="328" t="s">
        <v>1525</v>
      </c>
      <c r="S397" s="303">
        <f t="shared" si="7"/>
        <v>2348892655.2983212</v>
      </c>
      <c r="T397" s="307">
        <f>+IFERROR(VLOOKUP(C397,'Tasas Diarias'!$B:$F,5,FALSE)*G397,0)</f>
        <v>0</v>
      </c>
      <c r="U397" s="311" t="e">
        <f>+VLOOKUP(C397,Spreads!$A$2:$G$345,7,0)</f>
        <v>#N/A</v>
      </c>
    </row>
    <row r="398" spans="1:21" ht="15" customHeight="1" thickTop="1" thickBot="1">
      <c r="A398" s="317" t="s">
        <v>2137</v>
      </c>
      <c r="B398" s="318" t="s">
        <v>4</v>
      </c>
      <c r="C398" s="318" t="s">
        <v>661</v>
      </c>
      <c r="D398" s="318" t="s">
        <v>16</v>
      </c>
      <c r="E398" s="319">
        <v>29981.751799999998</v>
      </c>
      <c r="F398" s="319"/>
      <c r="G398" s="314">
        <v>9.9999999999999995E-7</v>
      </c>
      <c r="H398" s="320">
        <v>1.7</v>
      </c>
      <c r="I398" s="318" t="s">
        <v>660</v>
      </c>
      <c r="J398" s="318">
        <v>1593</v>
      </c>
      <c r="K398" s="318">
        <v>4.08</v>
      </c>
      <c r="L398" s="318">
        <v>107.53</v>
      </c>
      <c r="M398" s="318" t="s">
        <v>6</v>
      </c>
      <c r="N398" s="318" t="s">
        <v>368</v>
      </c>
      <c r="O398" s="318" t="s">
        <v>8</v>
      </c>
      <c r="P398" s="318" t="s">
        <v>379</v>
      </c>
      <c r="Q398" s="318" t="s">
        <v>61</v>
      </c>
      <c r="R398" s="318" t="s">
        <v>394</v>
      </c>
      <c r="S398" s="303">
        <f t="shared" si="7"/>
        <v>122325.54734399999</v>
      </c>
      <c r="T398" s="307">
        <f>+IFERROR(VLOOKUP(C398,'Tasas Diarias'!$B:$F,5,FALSE)*G398,0)</f>
        <v>8.271306812959008E-10</v>
      </c>
      <c r="U398" s="311" t="str">
        <f ca="1">+VLOOKUP(C398,Spreads!$A$2:$G$345,7,0)</f>
        <v/>
      </c>
    </row>
    <row r="399" spans="1:21" ht="15" customHeight="1" thickTop="1" thickBot="1">
      <c r="A399" s="317" t="s">
        <v>2137</v>
      </c>
      <c r="B399" s="318" t="s">
        <v>4</v>
      </c>
      <c r="C399" s="318" t="s">
        <v>1882</v>
      </c>
      <c r="D399" s="318" t="s">
        <v>1595</v>
      </c>
      <c r="E399" s="319">
        <v>542761.92000000004</v>
      </c>
      <c r="F399" s="319"/>
      <c r="G399" s="314">
        <v>1.2E-5</v>
      </c>
      <c r="H399" s="320">
        <v>4.74</v>
      </c>
      <c r="I399" s="318" t="s">
        <v>1883</v>
      </c>
      <c r="J399" s="318">
        <v>3251</v>
      </c>
      <c r="K399" s="318">
        <v>4.09</v>
      </c>
      <c r="L399" s="318">
        <v>100.03</v>
      </c>
      <c r="M399" s="318" t="s">
        <v>6</v>
      </c>
      <c r="N399" s="318" t="s">
        <v>368</v>
      </c>
      <c r="O399" s="318" t="s">
        <v>1348</v>
      </c>
      <c r="P399" s="318" t="s">
        <v>794</v>
      </c>
      <c r="Q399" s="318" t="s">
        <v>1597</v>
      </c>
      <c r="R399" s="318" t="s">
        <v>1607</v>
      </c>
      <c r="S399" s="303">
        <f t="shared" si="7"/>
        <v>2219896.2527999999</v>
      </c>
      <c r="T399" s="307">
        <f>+IFERROR(VLOOKUP(C399,'Tasas Diarias'!$B:$F,5,FALSE)*G399,0)</f>
        <v>-9.9673114760529881E-9</v>
      </c>
      <c r="U399" s="311" t="e">
        <f>+VLOOKUP(C399,Spreads!$A$2:$G$345,7,0)</f>
        <v>#N/A</v>
      </c>
    </row>
    <row r="400" spans="1:21" ht="15" customHeight="1" thickTop="1" thickBot="1">
      <c r="A400" s="327" t="s">
        <v>2137</v>
      </c>
      <c r="B400" s="328" t="s">
        <v>4</v>
      </c>
      <c r="C400" s="328" t="s">
        <v>1392</v>
      </c>
      <c r="D400" s="328" t="s">
        <v>38</v>
      </c>
      <c r="E400" s="328">
        <v>295082017.02759999</v>
      </c>
      <c r="F400" s="343">
        <v>11000</v>
      </c>
      <c r="G400" s="332">
        <v>6.7239999999999999E-3</v>
      </c>
      <c r="H400" s="329">
        <v>1.86</v>
      </c>
      <c r="I400" s="328" t="s">
        <v>632</v>
      </c>
      <c r="J400" s="328">
        <v>1562</v>
      </c>
      <c r="K400" s="328">
        <v>4.1100000000000003</v>
      </c>
      <c r="L400" s="328">
        <v>100.16</v>
      </c>
      <c r="M400" s="328" t="s">
        <v>6</v>
      </c>
      <c r="N400" s="328" t="s">
        <v>368</v>
      </c>
      <c r="O400" s="328" t="s">
        <v>8</v>
      </c>
      <c r="P400" s="328" t="s">
        <v>7</v>
      </c>
      <c r="Q400" s="328" t="s">
        <v>76</v>
      </c>
      <c r="R400" s="328" t="s">
        <v>498</v>
      </c>
      <c r="S400" s="303">
        <f t="shared" si="7"/>
        <v>1212787089.9834361</v>
      </c>
      <c r="T400" s="307">
        <f>+IFERROR(VLOOKUP(C400,'Tasas Diarias'!$B:$F,5,FALSE)*G400,0)</f>
        <v>1.6826872142423863E-5</v>
      </c>
      <c r="U400" s="311" t="e">
        <f>+VLOOKUP(C400,Spreads!$A$2:$G$345,7,0)</f>
        <v>#N/A</v>
      </c>
    </row>
    <row r="401" spans="1:21" ht="15" customHeight="1" thickTop="1" thickBot="1">
      <c r="A401" s="321" t="s">
        <v>2137</v>
      </c>
      <c r="B401" s="322" t="s">
        <v>4</v>
      </c>
      <c r="C401" s="322" t="s">
        <v>1046</v>
      </c>
      <c r="D401" s="322" t="s">
        <v>288</v>
      </c>
      <c r="E401" s="323">
        <v>32951.048499999997</v>
      </c>
      <c r="F401" s="323">
        <v>32514.058898127983</v>
      </c>
      <c r="G401" s="314">
        <v>9.9999999999999995E-7</v>
      </c>
      <c r="H401" s="324">
        <v>4.62</v>
      </c>
      <c r="I401" s="322" t="s">
        <v>1047</v>
      </c>
      <c r="J401" s="322">
        <v>2125</v>
      </c>
      <c r="K401" s="322">
        <v>4.12</v>
      </c>
      <c r="L401" s="322">
        <v>100.51</v>
      </c>
      <c r="M401" s="322" t="s">
        <v>9</v>
      </c>
      <c r="N401" s="322" t="s">
        <v>368</v>
      </c>
      <c r="O401" s="322" t="s">
        <v>1348</v>
      </c>
      <c r="P401" s="322" t="s">
        <v>392</v>
      </c>
      <c r="Q401" s="322" t="s">
        <v>83</v>
      </c>
      <c r="R401" s="322" t="s">
        <v>1048</v>
      </c>
      <c r="S401" s="303">
        <f t="shared" si="7"/>
        <v>135758.31982</v>
      </c>
      <c r="T401" s="307">
        <f>+IFERROR(VLOOKUP(C401,'Tasas Diarias'!$B:$F,5,FALSE)*G401,0)</f>
        <v>-8.3600119410816205E-10</v>
      </c>
      <c r="U401" s="311" t="str">
        <f ca="1">+VLOOKUP(C401,Spreads!$A$2:$G$345,7,0)</f>
        <v/>
      </c>
    </row>
    <row r="402" spans="1:21" ht="15" customHeight="1" thickTop="1" thickBot="1">
      <c r="A402" s="317" t="s">
        <v>2137</v>
      </c>
      <c r="B402" s="318" t="s">
        <v>4</v>
      </c>
      <c r="C402" s="318" t="s">
        <v>667</v>
      </c>
      <c r="D402" s="318" t="s">
        <v>176</v>
      </c>
      <c r="E402" s="319">
        <v>13213.7407</v>
      </c>
      <c r="F402" s="319"/>
      <c r="G402" s="314">
        <v>0</v>
      </c>
      <c r="H402" s="320">
        <v>1.81</v>
      </c>
      <c r="I402" s="318" t="s">
        <v>668</v>
      </c>
      <c r="J402" s="318">
        <v>1654</v>
      </c>
      <c r="K402" s="318">
        <v>4.18</v>
      </c>
      <c r="L402" s="318">
        <v>107.1</v>
      </c>
      <c r="M402" s="318" t="s">
        <v>6</v>
      </c>
      <c r="N402" s="318" t="s">
        <v>368</v>
      </c>
      <c r="O402" s="318" t="s">
        <v>8</v>
      </c>
      <c r="P402" s="318" t="s">
        <v>7</v>
      </c>
      <c r="Q402" s="318" t="s">
        <v>326</v>
      </c>
      <c r="R402" s="318" t="s">
        <v>450</v>
      </c>
      <c r="S402" s="303">
        <f t="shared" si="7"/>
        <v>55233.436126000001</v>
      </c>
      <c r="T402" s="307">
        <f>+IFERROR(VLOOKUP(C402,'Tasas Diarias'!$B:$F,5,FALSE)*G402,0)</f>
        <v>0</v>
      </c>
      <c r="U402" s="311" t="str">
        <f ca="1">+VLOOKUP(C402,Spreads!$A$2:$G$345,7,0)</f>
        <v/>
      </c>
    </row>
    <row r="403" spans="1:21" ht="15" customHeight="1" thickTop="1" thickBot="1">
      <c r="A403" s="321" t="s">
        <v>2137</v>
      </c>
      <c r="B403" s="322" t="s">
        <v>4</v>
      </c>
      <c r="C403" s="322" t="s">
        <v>1653</v>
      </c>
      <c r="D403" s="322" t="s">
        <v>1654</v>
      </c>
      <c r="E403" s="323">
        <v>37562163.855999999</v>
      </c>
      <c r="F403" s="323"/>
      <c r="G403" s="314">
        <v>8.5599999999999999E-4</v>
      </c>
      <c r="H403" s="324">
        <v>0</v>
      </c>
      <c r="I403" s="322" t="s">
        <v>1655</v>
      </c>
      <c r="J403" s="322">
        <v>1775</v>
      </c>
      <c r="K403" s="322">
        <v>4.2300000000000004</v>
      </c>
      <c r="L403" s="322">
        <v>112.77979999999999</v>
      </c>
      <c r="M403" s="322" t="s">
        <v>369</v>
      </c>
      <c r="N403" s="322" t="s">
        <v>368</v>
      </c>
      <c r="O403" s="322" t="s">
        <v>8</v>
      </c>
      <c r="P403" s="322" t="s">
        <v>7</v>
      </c>
      <c r="Q403" s="322" t="s">
        <v>1361</v>
      </c>
      <c r="R403" s="322" t="s">
        <v>1656</v>
      </c>
      <c r="S403" s="303">
        <f t="shared" si="7"/>
        <v>158887953.11088002</v>
      </c>
      <c r="T403" s="307">
        <f>+IFERROR(VLOOKUP(C403,'Tasas Diarias'!$B:$F,5,FALSE)*G403,0)</f>
        <v>0</v>
      </c>
      <c r="U403" s="311" t="e">
        <f>+VLOOKUP(C403,Spreads!$A$2:$G$345,7,0)</f>
        <v>#N/A</v>
      </c>
    </row>
    <row r="404" spans="1:21" ht="15" customHeight="1" thickTop="1" thickBot="1">
      <c r="A404" s="321" t="s">
        <v>2137</v>
      </c>
      <c r="B404" s="322" t="s">
        <v>4</v>
      </c>
      <c r="C404" s="322" t="s">
        <v>1140</v>
      </c>
      <c r="D404" s="322" t="s">
        <v>168</v>
      </c>
      <c r="E404" s="323">
        <v>18659.919600000001</v>
      </c>
      <c r="F404" s="323"/>
      <c r="G404" s="314">
        <v>0</v>
      </c>
      <c r="H404" s="324">
        <v>2.0499999999999998</v>
      </c>
      <c r="I404" s="322" t="s">
        <v>1139</v>
      </c>
      <c r="J404" s="322">
        <v>3054</v>
      </c>
      <c r="K404" s="322">
        <v>4.24</v>
      </c>
      <c r="L404" s="322">
        <v>110.4</v>
      </c>
      <c r="M404" s="322" t="s">
        <v>6</v>
      </c>
      <c r="N404" s="322" t="s">
        <v>368</v>
      </c>
      <c r="O404" s="322" t="s">
        <v>8</v>
      </c>
      <c r="P404" s="322" t="s">
        <v>7</v>
      </c>
      <c r="Q404" s="322" t="s">
        <v>77</v>
      </c>
      <c r="R404" s="322" t="s">
        <v>569</v>
      </c>
      <c r="S404" s="303">
        <f t="shared" si="7"/>
        <v>79118.059104000014</v>
      </c>
      <c r="T404" s="307">
        <f>+IFERROR(VLOOKUP(C404,'Tasas Diarias'!$B:$F,5,FALSE)*G404,0)</f>
        <v>0</v>
      </c>
      <c r="U404" s="311" t="str">
        <f ca="1">+VLOOKUP(C404,Spreads!$A$2:$G$345,7,0)</f>
        <v/>
      </c>
    </row>
    <row r="405" spans="1:21" ht="15" customHeight="1" thickTop="1" thickBot="1">
      <c r="A405" s="317" t="s">
        <v>2137</v>
      </c>
      <c r="B405" s="318" t="s">
        <v>4</v>
      </c>
      <c r="C405" s="318" t="s">
        <v>1504</v>
      </c>
      <c r="D405" s="318" t="s">
        <v>433</v>
      </c>
      <c r="E405" s="319">
        <v>34202.447899999999</v>
      </c>
      <c r="F405" s="319"/>
      <c r="G405" s="314">
        <v>9.9999999999999995E-7</v>
      </c>
      <c r="H405" s="320">
        <v>2.0699999999999998</v>
      </c>
      <c r="I405" s="318" t="s">
        <v>1505</v>
      </c>
      <c r="J405" s="318">
        <v>1637</v>
      </c>
      <c r="K405" s="318">
        <v>4.33</v>
      </c>
      <c r="L405" s="318">
        <v>97.6</v>
      </c>
      <c r="M405" s="318" t="s">
        <v>6</v>
      </c>
      <c r="N405" s="318" t="s">
        <v>368</v>
      </c>
      <c r="O405" s="318" t="s">
        <v>8</v>
      </c>
      <c r="P405" s="318" t="s">
        <v>392</v>
      </c>
      <c r="Q405" s="318" t="s">
        <v>435</v>
      </c>
      <c r="R405" s="318" t="s">
        <v>436</v>
      </c>
      <c r="S405" s="303">
        <f t="shared" si="7"/>
        <v>148096.599407</v>
      </c>
      <c r="T405" s="307">
        <f>+IFERROR(VLOOKUP(C405,'Tasas Diarias'!$B:$F,5,FALSE)*G405,0)</f>
        <v>8.7678298583610073E-10</v>
      </c>
      <c r="U405" s="311" t="e">
        <f>+VLOOKUP(C405,Spreads!$A$2:$G$345,7,0)</f>
        <v>#N/A</v>
      </c>
    </row>
    <row r="406" spans="1:21" ht="15" customHeight="1" thickTop="1" thickBot="1">
      <c r="A406" s="321" t="s">
        <v>2137</v>
      </c>
      <c r="B406" s="322" t="s">
        <v>4</v>
      </c>
      <c r="C406" s="322" t="s">
        <v>1579</v>
      </c>
      <c r="D406" s="322" t="s">
        <v>1580</v>
      </c>
      <c r="E406" s="323">
        <v>49216875.527099997</v>
      </c>
      <c r="F406" s="323"/>
      <c r="G406" s="314">
        <v>1.122E-3</v>
      </c>
      <c r="H406" s="324">
        <v>2.14</v>
      </c>
      <c r="I406" s="322" t="s">
        <v>1581</v>
      </c>
      <c r="J406" s="322">
        <v>1683</v>
      </c>
      <c r="K406" s="322">
        <v>4.38</v>
      </c>
      <c r="L406" s="322">
        <v>101.11</v>
      </c>
      <c r="M406" s="322" t="s">
        <v>6</v>
      </c>
      <c r="N406" s="322" t="s">
        <v>368</v>
      </c>
      <c r="O406" s="322" t="s">
        <v>551</v>
      </c>
      <c r="P406" s="322" t="s">
        <v>801</v>
      </c>
      <c r="Q406" s="322" t="s">
        <v>1582</v>
      </c>
      <c r="R406" s="322" t="s">
        <v>1583</v>
      </c>
      <c r="S406" s="303">
        <f t="shared" si="7"/>
        <v>215569914.80869797</v>
      </c>
      <c r="T406" s="307">
        <f>+IFERROR(VLOOKUP(C406,'Tasas Diarias'!$B:$F,5,FALSE)*G406,0)</f>
        <v>4.9815796976655629E-7</v>
      </c>
      <c r="U406" s="311" t="e">
        <f>+VLOOKUP(C406,Spreads!$A$2:$G$345,7,0)</f>
        <v>#N/A</v>
      </c>
    </row>
    <row r="407" spans="1:21" ht="15" customHeight="1" thickTop="1" thickBot="1">
      <c r="A407" s="321" t="s">
        <v>2137</v>
      </c>
      <c r="B407" s="322" t="s">
        <v>4</v>
      </c>
      <c r="C407" s="322" t="s">
        <v>680</v>
      </c>
      <c r="D407" s="322" t="s">
        <v>173</v>
      </c>
      <c r="E407" s="323">
        <v>860071752.50419998</v>
      </c>
      <c r="F407" s="323">
        <v>30000</v>
      </c>
      <c r="G407" s="314">
        <v>1.9601E-2</v>
      </c>
      <c r="H407" s="324">
        <v>2.48</v>
      </c>
      <c r="I407" s="322" t="s">
        <v>681</v>
      </c>
      <c r="J407" s="322">
        <v>1715</v>
      </c>
      <c r="K407" s="322">
        <v>4.42</v>
      </c>
      <c r="L407" s="322">
        <v>100.58</v>
      </c>
      <c r="M407" s="322" t="s">
        <v>6</v>
      </c>
      <c r="N407" s="322" t="s">
        <v>368</v>
      </c>
      <c r="O407" s="322" t="s">
        <v>8</v>
      </c>
      <c r="P407" s="322" t="s">
        <v>444</v>
      </c>
      <c r="Q407" s="322" t="s">
        <v>55</v>
      </c>
      <c r="R407" s="322" t="s">
        <v>445</v>
      </c>
      <c r="S407" s="303">
        <f t="shared" si="7"/>
        <v>3801517146.0685639</v>
      </c>
      <c r="T407" s="307">
        <f>+IFERROR(VLOOKUP(C407,'Tasas Diarias'!$B:$F,5,FALSE)*G407,0)</f>
        <v>-8.777809654375492E-6</v>
      </c>
      <c r="U407" s="311" t="str">
        <f ca="1">+VLOOKUP(C407,Spreads!$A$2:$G$345,7,0)</f>
        <v/>
      </c>
    </row>
    <row r="408" spans="1:21" ht="15" customHeight="1" thickTop="1" thickBot="1">
      <c r="A408" s="317" t="s">
        <v>2137</v>
      </c>
      <c r="B408" s="318" t="s">
        <v>4</v>
      </c>
      <c r="C408" s="318" t="s">
        <v>1853</v>
      </c>
      <c r="D408" s="318" t="s">
        <v>1854</v>
      </c>
      <c r="E408" s="319">
        <v>16239835.366599999</v>
      </c>
      <c r="F408" s="319"/>
      <c r="G408" s="314">
        <v>3.6999999999999999E-4</v>
      </c>
      <c r="H408" s="333">
        <v>0</v>
      </c>
      <c r="I408" s="318" t="s">
        <v>1657</v>
      </c>
      <c r="J408" s="318">
        <v>1764</v>
      </c>
      <c r="K408" s="318">
        <v>4.45</v>
      </c>
      <c r="L408" s="318">
        <v>99.674700000000001</v>
      </c>
      <c r="M408" s="318" t="s">
        <v>369</v>
      </c>
      <c r="N408" s="318" t="s">
        <v>368</v>
      </c>
      <c r="O408" s="318" t="s">
        <v>8</v>
      </c>
      <c r="P408" s="318" t="s">
        <v>417</v>
      </c>
      <c r="Q408" s="318" t="s">
        <v>1855</v>
      </c>
      <c r="R408" s="318" t="s">
        <v>1856</v>
      </c>
      <c r="S408" s="303">
        <f t="shared" si="7"/>
        <v>72267267.381369993</v>
      </c>
      <c r="T408" s="307">
        <f>+IFERROR(VLOOKUP(C408,'Tasas Diarias'!$B:$F,5,FALSE)*G408,0)</f>
        <v>0</v>
      </c>
      <c r="U408" s="311" t="e">
        <f>+VLOOKUP(C408,Spreads!$A$2:$G$345,7,0)</f>
        <v>#N/A</v>
      </c>
    </row>
    <row r="409" spans="1:21" ht="15" customHeight="1" thickTop="1" thickBot="1">
      <c r="A409" s="321" t="s">
        <v>2137</v>
      </c>
      <c r="B409" s="322" t="s">
        <v>4</v>
      </c>
      <c r="C409" s="322" t="s">
        <v>1660</v>
      </c>
      <c r="D409" s="322" t="s">
        <v>1661</v>
      </c>
      <c r="E409" s="323">
        <v>27256084.340599999</v>
      </c>
      <c r="F409" s="323"/>
      <c r="G409" s="314">
        <v>6.2100000000000002E-4</v>
      </c>
      <c r="H409" s="324">
        <v>0</v>
      </c>
      <c r="I409" s="322" t="s">
        <v>1662</v>
      </c>
      <c r="J409" s="322">
        <v>1816</v>
      </c>
      <c r="K409" s="322">
        <v>4.45</v>
      </c>
      <c r="L409" s="322">
        <v>105.05889999999999</v>
      </c>
      <c r="M409" s="322" t="s">
        <v>369</v>
      </c>
      <c r="N409" s="322" t="s">
        <v>368</v>
      </c>
      <c r="O409" s="322" t="s">
        <v>8</v>
      </c>
      <c r="P409" s="322" t="s">
        <v>802</v>
      </c>
      <c r="Q409" s="322" t="s">
        <v>1663</v>
      </c>
      <c r="R409" s="322" t="s">
        <v>1664</v>
      </c>
      <c r="S409" s="303">
        <f t="shared" si="7"/>
        <v>121289575.31567</v>
      </c>
      <c r="T409" s="307">
        <f>+IFERROR(VLOOKUP(C409,'Tasas Diarias'!$B:$F,5,FALSE)*G409,0)</f>
        <v>0</v>
      </c>
      <c r="U409" s="311" t="e">
        <f>+VLOOKUP(C409,Spreads!$A$2:$G$345,7,0)</f>
        <v>#N/A</v>
      </c>
    </row>
    <row r="410" spans="1:21" ht="15" customHeight="1" thickTop="1" thickBot="1">
      <c r="A410" s="321" t="s">
        <v>2137</v>
      </c>
      <c r="B410" s="322" t="s">
        <v>4</v>
      </c>
      <c r="C410" s="322" t="s">
        <v>1665</v>
      </c>
      <c r="D410" s="322" t="s">
        <v>1666</v>
      </c>
      <c r="E410" s="323">
        <v>12927278.9298</v>
      </c>
      <c r="F410" s="323"/>
      <c r="G410" s="314">
        <v>2.9500000000000001E-4</v>
      </c>
      <c r="H410" s="324">
        <v>0</v>
      </c>
      <c r="I410" s="322" t="s">
        <v>1667</v>
      </c>
      <c r="J410" s="322">
        <v>1714</v>
      </c>
      <c r="K410" s="322">
        <v>4.49</v>
      </c>
      <c r="L410" s="322">
        <v>99.224400000000003</v>
      </c>
      <c r="M410" s="322" t="s">
        <v>369</v>
      </c>
      <c r="N410" s="322" t="s">
        <v>458</v>
      </c>
      <c r="O410" s="322" t="s">
        <v>378</v>
      </c>
      <c r="P410" s="322" t="s">
        <v>379</v>
      </c>
      <c r="Q410" s="322" t="s">
        <v>1668</v>
      </c>
      <c r="R410" s="322" t="s">
        <v>1669</v>
      </c>
      <c r="S410" s="303">
        <f t="shared" si="7"/>
        <v>58043482.394802004</v>
      </c>
      <c r="T410" s="307">
        <f>+IFERROR(VLOOKUP(C410,'Tasas Diarias'!$B:$F,5,FALSE)*G410,0)</f>
        <v>0</v>
      </c>
      <c r="U410" s="311" t="e">
        <f>+VLOOKUP(C410,Spreads!$A$2:$G$345,7,0)</f>
        <v>#N/A</v>
      </c>
    </row>
    <row r="411" spans="1:21" ht="15" customHeight="1" thickTop="1" thickBot="1">
      <c r="A411" s="321" t="s">
        <v>2137</v>
      </c>
      <c r="B411" s="322" t="s">
        <v>4</v>
      </c>
      <c r="C411" s="322" t="s">
        <v>2118</v>
      </c>
      <c r="D411" s="322" t="s">
        <v>2119</v>
      </c>
      <c r="E411" s="323">
        <v>5164013.6787</v>
      </c>
      <c r="F411" s="323"/>
      <c r="G411" s="314">
        <v>1.18E-4</v>
      </c>
      <c r="H411" s="324">
        <v>0</v>
      </c>
      <c r="I411" s="322" t="s">
        <v>2120</v>
      </c>
      <c r="J411" s="322">
        <v>1815</v>
      </c>
      <c r="K411" s="322">
        <v>4.51</v>
      </c>
      <c r="L411" s="322">
        <v>99.550299999999993</v>
      </c>
      <c r="M411" s="322" t="s">
        <v>369</v>
      </c>
      <c r="N411" s="322" t="s">
        <v>368</v>
      </c>
      <c r="O411" s="322" t="s">
        <v>8</v>
      </c>
      <c r="P411" s="322" t="s">
        <v>25</v>
      </c>
      <c r="Q411" s="322" t="s">
        <v>2121</v>
      </c>
      <c r="R411" s="322" t="s">
        <v>2122</v>
      </c>
      <c r="S411" s="303">
        <f t="shared" si="7"/>
        <v>23289701.690936998</v>
      </c>
      <c r="T411" s="307">
        <f>+IFERROR(VLOOKUP(C411,'Tasas Diarias'!$B:$F,5,FALSE)*G411,0)</f>
        <v>0</v>
      </c>
      <c r="U411" s="311" t="e">
        <f>+VLOOKUP(C411,Spreads!$A$2:$G$345,7,0)</f>
        <v>#N/A</v>
      </c>
    </row>
    <row r="412" spans="1:21" ht="15" customHeight="1" thickTop="1" thickBot="1">
      <c r="A412" s="321" t="s">
        <v>2137</v>
      </c>
      <c r="B412" s="322" t="s">
        <v>4</v>
      </c>
      <c r="C412" s="322" t="s">
        <v>662</v>
      </c>
      <c r="D412" s="322" t="s">
        <v>663</v>
      </c>
      <c r="E412" s="323">
        <v>30600.046699999999</v>
      </c>
      <c r="F412" s="323"/>
      <c r="G412" s="314">
        <v>9.9999999999999995E-7</v>
      </c>
      <c r="H412" s="324">
        <v>1.98</v>
      </c>
      <c r="I412" s="322" t="s">
        <v>664</v>
      </c>
      <c r="J412" s="322">
        <v>3207</v>
      </c>
      <c r="K412" s="322">
        <v>4.5599999999999996</v>
      </c>
      <c r="L412" s="322">
        <v>121.11</v>
      </c>
      <c r="M412" s="322" t="s">
        <v>6</v>
      </c>
      <c r="N412" s="322" t="s">
        <v>368</v>
      </c>
      <c r="O412" s="322" t="s">
        <v>665</v>
      </c>
      <c r="P412" s="322" t="s">
        <v>392</v>
      </c>
      <c r="Q412" s="322" t="s">
        <v>57</v>
      </c>
      <c r="R412" s="322" t="s">
        <v>666</v>
      </c>
      <c r="S412" s="303">
        <f t="shared" si="7"/>
        <v>139536.21295199997</v>
      </c>
      <c r="T412" s="307">
        <f>+IFERROR(VLOOKUP(C412,'Tasas Diarias'!$B:$F,5,FALSE)*G412,0)</f>
        <v>9.2150014181462062E-10</v>
      </c>
      <c r="U412" s="311" t="str">
        <f ca="1">+VLOOKUP(C412,Spreads!$A$2:$G$345,7,0)</f>
        <v/>
      </c>
    </row>
    <row r="413" spans="1:21" ht="15" customHeight="1" thickTop="1" thickBot="1">
      <c r="A413" s="321" t="s">
        <v>2137</v>
      </c>
      <c r="B413" s="322" t="s">
        <v>4</v>
      </c>
      <c r="C413" s="322" t="s">
        <v>1670</v>
      </c>
      <c r="D413" s="322" t="s">
        <v>166</v>
      </c>
      <c r="E413" s="323">
        <v>15771092.1699</v>
      </c>
      <c r="F413" s="323"/>
      <c r="G413" s="314">
        <v>3.59E-4</v>
      </c>
      <c r="H413" s="324">
        <v>0</v>
      </c>
      <c r="I413" s="322" t="s">
        <v>1671</v>
      </c>
      <c r="J413" s="322">
        <v>1887</v>
      </c>
      <c r="K413" s="322">
        <v>4.58</v>
      </c>
      <c r="L413" s="322">
        <v>105.4569</v>
      </c>
      <c r="M413" s="322" t="s">
        <v>369</v>
      </c>
      <c r="N413" s="322" t="s">
        <v>368</v>
      </c>
      <c r="O413" s="322" t="s">
        <v>429</v>
      </c>
      <c r="P413" s="322" t="s">
        <v>1307</v>
      </c>
      <c r="Q413" s="322" t="s">
        <v>57</v>
      </c>
      <c r="R413" s="322" t="s">
        <v>447</v>
      </c>
      <c r="S413" s="303">
        <f t="shared" si="7"/>
        <v>72231602.138142005</v>
      </c>
      <c r="T413" s="307">
        <f>+IFERROR(VLOOKUP(C413,'Tasas Diarias'!$B:$F,5,FALSE)*G413,0)</f>
        <v>0</v>
      </c>
      <c r="U413" s="311" t="e">
        <f>+VLOOKUP(C413,Spreads!$A$2:$G$345,7,0)</f>
        <v>#N/A</v>
      </c>
    </row>
    <row r="414" spans="1:21" ht="15" customHeight="1" thickTop="1" thickBot="1">
      <c r="A414" s="321" t="s">
        <v>2137</v>
      </c>
      <c r="B414" s="322" t="s">
        <v>4</v>
      </c>
      <c r="C414" s="322" t="s">
        <v>669</v>
      </c>
      <c r="D414" s="322" t="s">
        <v>670</v>
      </c>
      <c r="E414" s="323">
        <v>35479.763800000001</v>
      </c>
      <c r="F414" s="323"/>
      <c r="G414" s="314">
        <v>9.9999999999999995E-7</v>
      </c>
      <c r="H414" s="324">
        <v>1.92</v>
      </c>
      <c r="I414" s="322" t="s">
        <v>671</v>
      </c>
      <c r="J414" s="322">
        <v>3312</v>
      </c>
      <c r="K414" s="322">
        <v>4.59</v>
      </c>
      <c r="L414" s="322">
        <v>115.64</v>
      </c>
      <c r="M414" s="322" t="s">
        <v>6</v>
      </c>
      <c r="N414" s="322" t="s">
        <v>368</v>
      </c>
      <c r="O414" s="322" t="s">
        <v>1898</v>
      </c>
      <c r="P414" s="322" t="s">
        <v>7</v>
      </c>
      <c r="Q414" s="322" t="s">
        <v>673</v>
      </c>
      <c r="R414" s="322" t="s">
        <v>674</v>
      </c>
      <c r="S414" s="303">
        <f t="shared" si="7"/>
        <v>162852.115842</v>
      </c>
      <c r="T414" s="307">
        <f>+IFERROR(VLOOKUP(C414,'Tasas Diarias'!$B:$F,5,FALSE)*G414,0)</f>
        <v>0</v>
      </c>
      <c r="U414" s="311" t="str">
        <f ca="1">+VLOOKUP(C414,Spreads!$A$2:$G$345,7,0)</f>
        <v/>
      </c>
    </row>
    <row r="415" spans="1:21" ht="15" customHeight="1" thickTop="1" thickBot="1">
      <c r="A415" s="317" t="s">
        <v>2137</v>
      </c>
      <c r="B415" s="318" t="s">
        <v>4</v>
      </c>
      <c r="C415" s="318" t="s">
        <v>1220</v>
      </c>
      <c r="D415" s="318" t="s">
        <v>82</v>
      </c>
      <c r="E415" s="319">
        <v>13561.763000000001</v>
      </c>
      <c r="F415" s="319"/>
      <c r="G415" s="314">
        <v>0</v>
      </c>
      <c r="H415" s="320">
        <v>2.09</v>
      </c>
      <c r="I415" s="318" t="s">
        <v>1221</v>
      </c>
      <c r="J415" s="318">
        <v>3480</v>
      </c>
      <c r="K415" s="318">
        <v>4.62</v>
      </c>
      <c r="L415" s="318">
        <v>118.23</v>
      </c>
      <c r="M415" s="318" t="s">
        <v>6</v>
      </c>
      <c r="N415" s="318" t="s">
        <v>368</v>
      </c>
      <c r="O415" s="318" t="s">
        <v>1347</v>
      </c>
      <c r="P415" s="318" t="s">
        <v>7</v>
      </c>
      <c r="Q415" s="318" t="s">
        <v>82</v>
      </c>
      <c r="R415" s="318" t="s">
        <v>679</v>
      </c>
      <c r="S415" s="303">
        <f t="shared" si="7"/>
        <v>62655.345060000007</v>
      </c>
      <c r="T415" s="307">
        <f>+IFERROR(VLOOKUP(C415,'Tasas Diarias'!$B:$F,5,FALSE)*G415,0)</f>
        <v>0</v>
      </c>
      <c r="U415" s="311" t="str">
        <f ca="1">+VLOOKUP(C415,Spreads!$A$2:$G$345,7,0)</f>
        <v/>
      </c>
    </row>
    <row r="416" spans="1:21" ht="15" customHeight="1" thickTop="1" thickBot="1">
      <c r="A416" s="317" t="s">
        <v>2137</v>
      </c>
      <c r="B416" s="318" t="s">
        <v>4</v>
      </c>
      <c r="C416" s="318" t="s">
        <v>1260</v>
      </c>
      <c r="D416" s="318" t="s">
        <v>1261</v>
      </c>
      <c r="E416" s="319">
        <v>12251.1258</v>
      </c>
      <c r="F416" s="319"/>
      <c r="G416" s="314">
        <v>0</v>
      </c>
      <c r="H416" s="320">
        <v>1.99</v>
      </c>
      <c r="I416" s="318" t="s">
        <v>930</v>
      </c>
      <c r="J416" s="318">
        <v>3846</v>
      </c>
      <c r="K416" s="318">
        <v>4.6500000000000004</v>
      </c>
      <c r="L416" s="318">
        <v>118.74</v>
      </c>
      <c r="M416" s="318" t="s">
        <v>6</v>
      </c>
      <c r="N416" s="318" t="s">
        <v>368</v>
      </c>
      <c r="O416" s="318" t="s">
        <v>1347</v>
      </c>
      <c r="P416" s="318" t="s">
        <v>444</v>
      </c>
      <c r="Q416" s="318" t="s">
        <v>1262</v>
      </c>
      <c r="R416" s="318" t="s">
        <v>1263</v>
      </c>
      <c r="S416" s="303">
        <f t="shared" si="7"/>
        <v>56967.734970000005</v>
      </c>
      <c r="T416" s="307">
        <f>+IFERROR(VLOOKUP(C416,'Tasas Diarias'!$B:$F,5,FALSE)*G416,0)</f>
        <v>0</v>
      </c>
      <c r="U416" s="311" t="str">
        <f ca="1">+VLOOKUP(C416,Spreads!$A$2:$G$345,7,0)</f>
        <v/>
      </c>
    </row>
    <row r="417" spans="1:21" ht="15" customHeight="1" thickTop="1" thickBot="1">
      <c r="A417" s="317" t="s">
        <v>2137</v>
      </c>
      <c r="B417" s="318" t="s">
        <v>4</v>
      </c>
      <c r="C417" s="318" t="s">
        <v>1902</v>
      </c>
      <c r="D417" s="318" t="s">
        <v>1903</v>
      </c>
      <c r="E417" s="319">
        <v>12925711.2268</v>
      </c>
      <c r="F417" s="319"/>
      <c r="G417" s="314">
        <v>2.9500000000000001E-4</v>
      </c>
      <c r="H417" s="320">
        <v>0</v>
      </c>
      <c r="I417" s="318" t="s">
        <v>1904</v>
      </c>
      <c r="J417" s="318">
        <v>1877</v>
      </c>
      <c r="K417" s="318">
        <v>4.6900000000000004</v>
      </c>
      <c r="L417" s="318">
        <v>99.022000000000006</v>
      </c>
      <c r="M417" s="318" t="s">
        <v>369</v>
      </c>
      <c r="N417" s="318" t="s">
        <v>368</v>
      </c>
      <c r="O417" s="318" t="s">
        <v>421</v>
      </c>
      <c r="P417" s="318" t="s">
        <v>1307</v>
      </c>
      <c r="Q417" s="318" t="s">
        <v>1905</v>
      </c>
      <c r="R417" s="318" t="s">
        <v>1906</v>
      </c>
      <c r="S417" s="303">
        <f t="shared" si="7"/>
        <v>60621585.653692007</v>
      </c>
      <c r="T417" s="307">
        <f>+IFERROR(VLOOKUP(C417,'Tasas Diarias'!$B:$F,5,FALSE)*G417,0)</f>
        <v>0</v>
      </c>
      <c r="U417" s="311" t="e">
        <f>+VLOOKUP(C417,Spreads!$A$2:$G$345,7,0)</f>
        <v>#N/A</v>
      </c>
    </row>
    <row r="418" spans="1:21" ht="15" customHeight="1" thickTop="1" thickBot="1">
      <c r="A418" s="321" t="s">
        <v>2137</v>
      </c>
      <c r="B418" s="322" t="s">
        <v>4</v>
      </c>
      <c r="C418" s="322" t="s">
        <v>675</v>
      </c>
      <c r="D418" s="322" t="s">
        <v>294</v>
      </c>
      <c r="E418" s="323">
        <v>18874.656800000001</v>
      </c>
      <c r="F418" s="323"/>
      <c r="G418" s="314">
        <v>0</v>
      </c>
      <c r="H418" s="324">
        <v>2.13</v>
      </c>
      <c r="I418" s="322" t="s">
        <v>676</v>
      </c>
      <c r="J418" s="322">
        <v>3419</v>
      </c>
      <c r="K418" s="322">
        <v>4.71</v>
      </c>
      <c r="L418" s="322">
        <v>111.17</v>
      </c>
      <c r="M418" s="322" t="s">
        <v>6</v>
      </c>
      <c r="N418" s="322" t="s">
        <v>368</v>
      </c>
      <c r="O418" s="322" t="s">
        <v>8</v>
      </c>
      <c r="P418" s="322" t="s">
        <v>7</v>
      </c>
      <c r="Q418" s="322" t="s">
        <v>74</v>
      </c>
      <c r="R418" s="322" t="s">
        <v>677</v>
      </c>
      <c r="S418" s="303">
        <f t="shared" si="7"/>
        <v>88899.633528000006</v>
      </c>
      <c r="T418" s="307">
        <f>+IFERROR(VLOOKUP(C418,'Tasas Diarias'!$B:$F,5,FALSE)*G418,0)</f>
        <v>0</v>
      </c>
      <c r="U418" s="311" t="str">
        <f ca="1">+VLOOKUP(C418,Spreads!$A$2:$G$345,7,0)</f>
        <v/>
      </c>
    </row>
    <row r="419" spans="1:21" ht="15" customHeight="1" thickTop="1" thickBot="1">
      <c r="A419" s="317" t="s">
        <v>2137</v>
      </c>
      <c r="B419" s="318" t="s">
        <v>4</v>
      </c>
      <c r="C419" s="318" t="s">
        <v>700</v>
      </c>
      <c r="D419" s="318" t="s">
        <v>168</v>
      </c>
      <c r="E419" s="319">
        <v>16945.724600000001</v>
      </c>
      <c r="F419" s="319"/>
      <c r="G419" s="314">
        <v>0</v>
      </c>
      <c r="H419" s="320">
        <v>1.85</v>
      </c>
      <c r="I419" s="318" t="s">
        <v>701</v>
      </c>
      <c r="J419" s="318">
        <v>1899</v>
      </c>
      <c r="K419" s="318">
        <v>4.79</v>
      </c>
      <c r="L419" s="318">
        <v>107.46</v>
      </c>
      <c r="M419" s="318" t="s">
        <v>6</v>
      </c>
      <c r="N419" s="318" t="s">
        <v>368</v>
      </c>
      <c r="O419" s="318" t="s">
        <v>8</v>
      </c>
      <c r="P419" s="318" t="s">
        <v>379</v>
      </c>
      <c r="Q419" s="318" t="s">
        <v>77</v>
      </c>
      <c r="R419" s="318" t="s">
        <v>453</v>
      </c>
      <c r="S419" s="303">
        <f t="shared" si="7"/>
        <v>81170.02083400001</v>
      </c>
      <c r="T419" s="307">
        <f>+IFERROR(VLOOKUP(C419,'Tasas Diarias'!$B:$F,5,FALSE)*G419,0)</f>
        <v>0</v>
      </c>
      <c r="U419" s="311" t="str">
        <f ca="1">+VLOOKUP(C419,Spreads!$A$2:$G$345,7,0)</f>
        <v/>
      </c>
    </row>
    <row r="420" spans="1:21" ht="15" customHeight="1" thickTop="1" thickBot="1">
      <c r="A420" s="317" t="s">
        <v>2137</v>
      </c>
      <c r="B420" s="318" t="s">
        <v>4</v>
      </c>
      <c r="C420" s="318" t="s">
        <v>1672</v>
      </c>
      <c r="D420" s="344" t="s">
        <v>1673</v>
      </c>
      <c r="E420" s="319">
        <v>24449895.972399998</v>
      </c>
      <c r="F420" s="319"/>
      <c r="G420" s="314">
        <v>5.5699999999999999E-4</v>
      </c>
      <c r="H420" s="320">
        <v>0</v>
      </c>
      <c r="I420" s="320" t="s">
        <v>1674</v>
      </c>
      <c r="J420" s="318">
        <v>1958</v>
      </c>
      <c r="K420" s="318">
        <v>4.83</v>
      </c>
      <c r="L420" s="318">
        <v>104.2616</v>
      </c>
      <c r="M420" s="318" t="s">
        <v>369</v>
      </c>
      <c r="N420" s="318" t="s">
        <v>368</v>
      </c>
      <c r="O420" s="318" t="s">
        <v>1346</v>
      </c>
      <c r="P420" s="318" t="s">
        <v>417</v>
      </c>
      <c r="Q420" s="318" t="s">
        <v>1363</v>
      </c>
      <c r="R420" s="318" t="s">
        <v>1675</v>
      </c>
      <c r="S420" s="303">
        <f t="shared" si="7"/>
        <v>118092997.546692</v>
      </c>
      <c r="T420" s="307">
        <f>+IFERROR(VLOOKUP(C420,'Tasas Diarias'!$B:$F,5,FALSE)*G420,0)</f>
        <v>0</v>
      </c>
      <c r="U420" s="311" t="e">
        <f>+VLOOKUP(C420,Spreads!$A$2:$G$345,7,0)</f>
        <v>#N/A</v>
      </c>
    </row>
    <row r="421" spans="1:21" ht="15" customHeight="1" thickTop="1" thickBot="1">
      <c r="A421" s="327" t="s">
        <v>2137</v>
      </c>
      <c r="B421" s="328" t="s">
        <v>4</v>
      </c>
      <c r="C421" s="328" t="s">
        <v>688</v>
      </c>
      <c r="D421" s="328" t="s">
        <v>689</v>
      </c>
      <c r="E421" s="328">
        <v>281804313.64780003</v>
      </c>
      <c r="F421" s="328">
        <v>10000</v>
      </c>
      <c r="G421" s="332">
        <v>6.4219999999999998E-3</v>
      </c>
      <c r="H421" s="329">
        <v>1.95</v>
      </c>
      <c r="I421" s="328" t="s">
        <v>690</v>
      </c>
      <c r="J421" s="328">
        <v>3774</v>
      </c>
      <c r="K421" s="328">
        <v>4.8600000000000003</v>
      </c>
      <c r="L421" s="328">
        <v>109.97</v>
      </c>
      <c r="M421" s="328" t="s">
        <v>6</v>
      </c>
      <c r="N421" s="328" t="s">
        <v>368</v>
      </c>
      <c r="O421" s="328" t="s">
        <v>1494</v>
      </c>
      <c r="P421" s="328" t="s">
        <v>444</v>
      </c>
      <c r="Q421" s="328" t="s">
        <v>691</v>
      </c>
      <c r="R421" s="328" t="s">
        <v>692</v>
      </c>
      <c r="S421" s="303">
        <f t="shared" si="7"/>
        <v>1369568964.3283083</v>
      </c>
      <c r="T421" s="307">
        <f>+IFERROR(VLOOKUP(C421,'Tasas Diarias'!$B:$F,5,FALSE)*G421,0)</f>
        <v>0</v>
      </c>
      <c r="U421" s="311" t="str">
        <f ca="1">+VLOOKUP(C421,Spreads!$A$2:$G$345,7,0)</f>
        <v/>
      </c>
    </row>
    <row r="422" spans="1:21" ht="15" customHeight="1" thickTop="1" thickBot="1">
      <c r="A422" s="317" t="s">
        <v>2137</v>
      </c>
      <c r="B422" s="318" t="s">
        <v>4</v>
      </c>
      <c r="C422" s="318" t="s">
        <v>1676</v>
      </c>
      <c r="D422" s="318" t="s">
        <v>1677</v>
      </c>
      <c r="E422" s="319">
        <v>33244709.796799999</v>
      </c>
      <c r="F422" s="319"/>
      <c r="G422" s="314">
        <v>7.5799999999999999E-4</v>
      </c>
      <c r="H422" s="320">
        <v>0</v>
      </c>
      <c r="I422" s="318" t="s">
        <v>1678</v>
      </c>
      <c r="J422" s="318">
        <v>1994</v>
      </c>
      <c r="K422" s="318">
        <v>4.92</v>
      </c>
      <c r="L422" s="318">
        <v>103.7444</v>
      </c>
      <c r="M422" s="318" t="s">
        <v>369</v>
      </c>
      <c r="N422" s="318" t="s">
        <v>368</v>
      </c>
      <c r="O422" s="318" t="s">
        <v>1346</v>
      </c>
      <c r="P422" s="318" t="s">
        <v>417</v>
      </c>
      <c r="Q422" s="318" t="s">
        <v>1365</v>
      </c>
      <c r="R422" s="318" t="s">
        <v>1679</v>
      </c>
      <c r="S422" s="303">
        <f t="shared" si="7"/>
        <v>163563972.20025599</v>
      </c>
      <c r="T422" s="307">
        <f>+IFERROR(VLOOKUP(C422,'Tasas Diarias'!$B:$F,5,FALSE)*G422,0)</f>
        <v>0</v>
      </c>
      <c r="U422" s="311" t="e">
        <f>+VLOOKUP(C422,Spreads!$A$2:$G$345,7,0)</f>
        <v>#N/A</v>
      </c>
    </row>
    <row r="423" spans="1:21" ht="15" customHeight="1" thickTop="1" thickBot="1">
      <c r="A423" s="321" t="s">
        <v>2137</v>
      </c>
      <c r="B423" s="322" t="s">
        <v>4</v>
      </c>
      <c r="C423" s="322" t="s">
        <v>1536</v>
      </c>
      <c r="D423" s="322" t="s">
        <v>175</v>
      </c>
      <c r="E423" s="323">
        <v>342148040.55790001</v>
      </c>
      <c r="F423" s="323">
        <v>12000</v>
      </c>
      <c r="G423" s="314">
        <v>7.7970000000000001E-3</v>
      </c>
      <c r="H423" s="324">
        <v>2.39</v>
      </c>
      <c r="I423" s="322" t="s">
        <v>1537</v>
      </c>
      <c r="J423" s="322">
        <v>2358</v>
      </c>
      <c r="K423" s="322">
        <v>4.93</v>
      </c>
      <c r="L423" s="322">
        <v>99.32</v>
      </c>
      <c r="M423" s="322" t="s">
        <v>6</v>
      </c>
      <c r="N423" s="322" t="s">
        <v>368</v>
      </c>
      <c r="O423" s="322" t="s">
        <v>8</v>
      </c>
      <c r="P423" s="322" t="s">
        <v>392</v>
      </c>
      <c r="Q423" s="322" t="s">
        <v>66</v>
      </c>
      <c r="R423" s="322" t="s">
        <v>418</v>
      </c>
      <c r="S423" s="303">
        <f t="shared" si="7"/>
        <v>1686789839.9504468</v>
      </c>
      <c r="T423" s="307">
        <f>+IFERROR(VLOOKUP(C423,'Tasas Diarias'!$B:$F,5,FALSE)*G423,0)</f>
        <v>3.8479073233754114E-6</v>
      </c>
      <c r="U423" s="311" t="e">
        <f>+VLOOKUP(C423,Spreads!$A$2:$G$345,7,0)</f>
        <v>#N/A</v>
      </c>
    </row>
    <row r="424" spans="1:21" ht="15" customHeight="1" thickTop="1" thickBot="1">
      <c r="A424" s="317" t="s">
        <v>2137</v>
      </c>
      <c r="B424" s="318" t="s">
        <v>4</v>
      </c>
      <c r="C424" s="318" t="s">
        <v>1212</v>
      </c>
      <c r="D424" s="318" t="s">
        <v>24</v>
      </c>
      <c r="E424" s="319">
        <v>14770877.964400001</v>
      </c>
      <c r="F424" s="319"/>
      <c r="G424" s="314">
        <v>3.3700000000000001E-4</v>
      </c>
      <c r="H424" s="320">
        <v>2.23</v>
      </c>
      <c r="I424" s="318" t="s">
        <v>684</v>
      </c>
      <c r="J424" s="318">
        <v>3815</v>
      </c>
      <c r="K424" s="318">
        <v>4.95</v>
      </c>
      <c r="L424" s="318">
        <v>108.72</v>
      </c>
      <c r="M424" s="318" t="s">
        <v>6</v>
      </c>
      <c r="N424" s="318" t="s">
        <v>368</v>
      </c>
      <c r="O424" s="318" t="s">
        <v>8</v>
      </c>
      <c r="P424" s="318" t="s">
        <v>25</v>
      </c>
      <c r="Q424" s="318" t="s">
        <v>51</v>
      </c>
      <c r="R424" s="318" t="s">
        <v>414</v>
      </c>
      <c r="S424" s="303">
        <f t="shared" si="7"/>
        <v>73115845.923780009</v>
      </c>
      <c r="T424" s="307">
        <f>+IFERROR(VLOOKUP(C424,'Tasas Diarias'!$B:$F,5,FALSE)*G424,0)</f>
        <v>3.1708744827863143E-7</v>
      </c>
      <c r="U424" s="311" t="str">
        <f ca="1">+VLOOKUP(C424,Spreads!$A$2:$G$345,7,0)</f>
        <v/>
      </c>
    </row>
    <row r="425" spans="1:21" ht="15" customHeight="1" thickTop="1" thickBot="1">
      <c r="A425" s="321" t="s">
        <v>2137</v>
      </c>
      <c r="B425" s="322" t="s">
        <v>4</v>
      </c>
      <c r="C425" s="322" t="s">
        <v>696</v>
      </c>
      <c r="D425" s="322" t="s">
        <v>697</v>
      </c>
      <c r="E425" s="323">
        <v>36131.379999999997</v>
      </c>
      <c r="F425" s="323"/>
      <c r="G425" s="314">
        <v>9.9999999999999995E-7</v>
      </c>
      <c r="H425" s="324">
        <v>2.1800000000000002</v>
      </c>
      <c r="I425" s="322" t="s">
        <v>698</v>
      </c>
      <c r="J425" s="322">
        <v>3829</v>
      </c>
      <c r="K425" s="322">
        <v>4.99</v>
      </c>
      <c r="L425" s="322">
        <v>109.06</v>
      </c>
      <c r="M425" s="322" t="s">
        <v>6</v>
      </c>
      <c r="N425" s="322" t="s">
        <v>368</v>
      </c>
      <c r="O425" s="322" t="s">
        <v>1347</v>
      </c>
      <c r="P425" s="322" t="s">
        <v>392</v>
      </c>
      <c r="Q425" s="322" t="s">
        <v>691</v>
      </c>
      <c r="R425" s="322" t="s">
        <v>699</v>
      </c>
      <c r="S425" s="303">
        <f t="shared" si="7"/>
        <v>180295.58619999999</v>
      </c>
      <c r="T425" s="307">
        <f>+IFERROR(VLOOKUP(C425,'Tasas Diarias'!$B:$F,5,FALSE)*G425,0)</f>
        <v>0</v>
      </c>
      <c r="U425" s="311" t="str">
        <f ca="1">+VLOOKUP(C425,Spreads!$A$2:$G$345,7,0)</f>
        <v/>
      </c>
    </row>
    <row r="426" spans="1:21" ht="15" customHeight="1" thickTop="1" thickBot="1">
      <c r="A426" s="321" t="s">
        <v>2137</v>
      </c>
      <c r="B426" s="322" t="s">
        <v>4</v>
      </c>
      <c r="C426" s="322" t="s">
        <v>1680</v>
      </c>
      <c r="D426" s="322" t="s">
        <v>1681</v>
      </c>
      <c r="E426" s="323">
        <v>11676251.9366</v>
      </c>
      <c r="F426" s="323"/>
      <c r="G426" s="314">
        <v>2.6600000000000001E-4</v>
      </c>
      <c r="H426" s="324">
        <v>0</v>
      </c>
      <c r="I426" s="322" t="s">
        <v>1682</v>
      </c>
      <c r="J426" s="322">
        <v>2128</v>
      </c>
      <c r="K426" s="322">
        <v>5.03</v>
      </c>
      <c r="L426" s="322">
        <v>111.66079999999999</v>
      </c>
      <c r="M426" s="322" t="s">
        <v>369</v>
      </c>
      <c r="N426" s="322" t="s">
        <v>368</v>
      </c>
      <c r="O426" s="322" t="s">
        <v>1346</v>
      </c>
      <c r="P426" s="322" t="s">
        <v>417</v>
      </c>
      <c r="Q426" s="322" t="s">
        <v>1366</v>
      </c>
      <c r="R426" s="322" t="s">
        <v>1683</v>
      </c>
      <c r="S426" s="303">
        <f t="shared" si="7"/>
        <v>58731547.241098002</v>
      </c>
      <c r="T426" s="307">
        <f>+IFERROR(VLOOKUP(C426,'Tasas Diarias'!$B:$F,5,FALSE)*G426,0)</f>
        <v>0</v>
      </c>
      <c r="U426" s="311" t="e">
        <f>+VLOOKUP(C426,Spreads!$A$2:$G$345,7,0)</f>
        <v>#N/A</v>
      </c>
    </row>
    <row r="427" spans="1:21" ht="15" customHeight="1" thickTop="1" thickBot="1">
      <c r="A427" s="317" t="s">
        <v>2137</v>
      </c>
      <c r="B427" s="318" t="s">
        <v>4</v>
      </c>
      <c r="C427" s="318" t="s">
        <v>875</v>
      </c>
      <c r="D427" s="318" t="s">
        <v>876</v>
      </c>
      <c r="E427" s="319">
        <v>30575588.157299999</v>
      </c>
      <c r="F427" s="319"/>
      <c r="G427" s="314">
        <v>6.9700000000000003E-4</v>
      </c>
      <c r="H427" s="320">
        <v>0</v>
      </c>
      <c r="I427" s="318" t="s">
        <v>877</v>
      </c>
      <c r="J427" s="318">
        <v>2247</v>
      </c>
      <c r="K427" s="318">
        <v>5.04</v>
      </c>
      <c r="L427" s="318">
        <v>105.1323</v>
      </c>
      <c r="M427" s="318" t="s">
        <v>9</v>
      </c>
      <c r="N427" s="318" t="s">
        <v>368</v>
      </c>
      <c r="O427" s="318" t="s">
        <v>560</v>
      </c>
      <c r="P427" s="318" t="s">
        <v>878</v>
      </c>
      <c r="Q427" s="318" t="s">
        <v>879</v>
      </c>
      <c r="R427" s="318" t="s">
        <v>880</v>
      </c>
      <c r="S427" s="303">
        <f t="shared" si="7"/>
        <v>154100964.312792</v>
      </c>
      <c r="T427" s="307">
        <f>+IFERROR(VLOOKUP(C427,'Tasas Diarias'!$B:$F,5,FALSE)*G427,0)</f>
        <v>0</v>
      </c>
      <c r="U427" s="311" t="e">
        <f>+VLOOKUP(C427,Spreads!$A$2:$G$345,7,0)</f>
        <v>#N/A</v>
      </c>
    </row>
    <row r="428" spans="1:21" ht="15" customHeight="1" thickTop="1" thickBot="1">
      <c r="A428" s="321" t="s">
        <v>2137</v>
      </c>
      <c r="B428" s="322" t="s">
        <v>4</v>
      </c>
      <c r="C428" s="322" t="s">
        <v>872</v>
      </c>
      <c r="D428" s="322" t="s">
        <v>15</v>
      </c>
      <c r="E428" s="323">
        <v>78588335.240700006</v>
      </c>
      <c r="F428" s="323">
        <v>500</v>
      </c>
      <c r="G428" s="314">
        <v>1.7910000000000001E-3</v>
      </c>
      <c r="H428" s="324">
        <v>2.2799999999999998</v>
      </c>
      <c r="I428" s="322" t="s">
        <v>873</v>
      </c>
      <c r="J428" s="322">
        <v>3860</v>
      </c>
      <c r="K428" s="322">
        <v>5.09</v>
      </c>
      <c r="L428" s="322">
        <v>108.7</v>
      </c>
      <c r="M428" s="322" t="s">
        <v>6</v>
      </c>
      <c r="N428" s="322" t="s">
        <v>368</v>
      </c>
      <c r="O428" s="322" t="s">
        <v>8</v>
      </c>
      <c r="P428" s="322" t="s">
        <v>417</v>
      </c>
      <c r="Q428" s="322" t="s">
        <v>28</v>
      </c>
      <c r="R428" s="322" t="s">
        <v>874</v>
      </c>
      <c r="S428" s="303">
        <f t="shared" si="7"/>
        <v>400014626.37516302</v>
      </c>
      <c r="T428" s="307">
        <f>+IFERROR(VLOOKUP(C428,'Tasas Diarias'!$B:$F,5,FALSE)*G428,0)</f>
        <v>9.2198236685791585E-7</v>
      </c>
      <c r="U428" s="311" t="str">
        <f ca="1">+VLOOKUP(C428,Spreads!$A$2:$G$345,7,0)</f>
        <v/>
      </c>
    </row>
    <row r="429" spans="1:21" ht="15" customHeight="1" thickTop="1" thickBot="1">
      <c r="A429" s="321" t="s">
        <v>2137</v>
      </c>
      <c r="B429" s="322" t="s">
        <v>4</v>
      </c>
      <c r="C429" s="322" t="s">
        <v>1241</v>
      </c>
      <c r="D429" s="322" t="s">
        <v>1460</v>
      </c>
      <c r="E429" s="323">
        <v>247551995</v>
      </c>
      <c r="F429" s="323">
        <v>6200000</v>
      </c>
      <c r="G429" s="314">
        <v>5.6410000000000002E-3</v>
      </c>
      <c r="H429" s="324">
        <v>0</v>
      </c>
      <c r="I429" s="322" t="s">
        <v>1242</v>
      </c>
      <c r="J429" s="322">
        <v>2572</v>
      </c>
      <c r="K429" s="322">
        <v>5.17</v>
      </c>
      <c r="L429" s="322">
        <v>115.89019999999999</v>
      </c>
      <c r="M429" s="322" t="s">
        <v>1243</v>
      </c>
      <c r="N429" s="322" t="s">
        <v>458</v>
      </c>
      <c r="O429" s="322" t="s">
        <v>378</v>
      </c>
      <c r="P429" s="322" t="s">
        <v>7</v>
      </c>
      <c r="Q429" s="322" t="s">
        <v>1254</v>
      </c>
      <c r="R429" s="322" t="s">
        <v>1244</v>
      </c>
      <c r="S429" s="303">
        <f t="shared" si="7"/>
        <v>1279843814.1500001</v>
      </c>
      <c r="T429" s="307">
        <f>+IFERROR(VLOOKUP(C429,'Tasas Diarias'!$B:$F,5,FALSE)*G429,0)</f>
        <v>0</v>
      </c>
      <c r="U429" s="311" t="e">
        <f>+VLOOKUP(C429,Spreads!$A$2:$G$345,7,0)</f>
        <v>#N/A</v>
      </c>
    </row>
    <row r="430" spans="1:21" ht="15" customHeight="1" thickTop="1" thickBot="1">
      <c r="A430" s="321" t="s">
        <v>2137</v>
      </c>
      <c r="B430" s="322" t="s">
        <v>4</v>
      </c>
      <c r="C430" s="322" t="s">
        <v>1684</v>
      </c>
      <c r="D430" s="322" t="s">
        <v>1685</v>
      </c>
      <c r="E430" s="323">
        <v>12803430.3928</v>
      </c>
      <c r="F430" s="323"/>
      <c r="G430" s="314">
        <v>2.92E-4</v>
      </c>
      <c r="H430" s="324">
        <v>0</v>
      </c>
      <c r="I430" s="322" t="s">
        <v>1686</v>
      </c>
      <c r="J430" s="322">
        <v>2184</v>
      </c>
      <c r="K430" s="322">
        <v>5.22</v>
      </c>
      <c r="L430" s="322">
        <v>109.7188</v>
      </c>
      <c r="M430" s="322" t="s">
        <v>369</v>
      </c>
      <c r="N430" s="322" t="s">
        <v>368</v>
      </c>
      <c r="O430" s="322" t="s">
        <v>1455</v>
      </c>
      <c r="P430" s="322" t="s">
        <v>392</v>
      </c>
      <c r="Q430" s="322" t="s">
        <v>1687</v>
      </c>
      <c r="R430" s="322" t="s">
        <v>1688</v>
      </c>
      <c r="S430" s="303">
        <f t="shared" si="7"/>
        <v>66833906.650415994</v>
      </c>
      <c r="T430" s="307">
        <f>+IFERROR(VLOOKUP(C430,'Tasas Diarias'!$B:$F,5,FALSE)*G430,0)</f>
        <v>0</v>
      </c>
      <c r="U430" s="311" t="e">
        <f>+VLOOKUP(C430,Spreads!$A$2:$G$345,7,0)</f>
        <v>#N/A</v>
      </c>
    </row>
    <row r="431" spans="1:21" ht="15" customHeight="1" thickTop="1" thickBot="1">
      <c r="A431" s="321" t="s">
        <v>2137</v>
      </c>
      <c r="B431" s="322" t="s">
        <v>4</v>
      </c>
      <c r="C431" s="322" t="s">
        <v>1689</v>
      </c>
      <c r="D431" s="322" t="s">
        <v>1690</v>
      </c>
      <c r="E431" s="323">
        <v>32172400.945500001</v>
      </c>
      <c r="F431" s="323"/>
      <c r="G431" s="314">
        <v>7.3300000000000004E-4</v>
      </c>
      <c r="H431" s="337">
        <v>0</v>
      </c>
      <c r="I431" s="322" t="s">
        <v>1691</v>
      </c>
      <c r="J431" s="322">
        <v>2270</v>
      </c>
      <c r="K431" s="322">
        <v>5.22</v>
      </c>
      <c r="L431" s="322">
        <v>111.1096</v>
      </c>
      <c r="M431" s="322" t="s">
        <v>369</v>
      </c>
      <c r="N431" s="322" t="s">
        <v>368</v>
      </c>
      <c r="O431" s="322" t="s">
        <v>1348</v>
      </c>
      <c r="P431" s="322" t="s">
        <v>25</v>
      </c>
      <c r="Q431" s="322" t="s">
        <v>1692</v>
      </c>
      <c r="R431" s="322" t="s">
        <v>1693</v>
      </c>
      <c r="S431" s="303">
        <f t="shared" si="7"/>
        <v>167939932.93551001</v>
      </c>
      <c r="T431" s="307">
        <f>+IFERROR(VLOOKUP(C431,'Tasas Diarias'!$B:$F,5,FALSE)*G431,0)</f>
        <v>0</v>
      </c>
      <c r="U431" s="311" t="e">
        <f>+VLOOKUP(C431,Spreads!$A$2:$G$345,7,0)</f>
        <v>#N/A</v>
      </c>
    </row>
    <row r="432" spans="1:21" ht="15" customHeight="1" thickTop="1" thickBot="1">
      <c r="A432" s="321" t="s">
        <v>2137</v>
      </c>
      <c r="B432" s="322" t="s">
        <v>4</v>
      </c>
      <c r="C432" s="322" t="s">
        <v>705</v>
      </c>
      <c r="D432" s="322" t="s">
        <v>620</v>
      </c>
      <c r="E432" s="323">
        <v>37682.671000000002</v>
      </c>
      <c r="F432" s="323"/>
      <c r="G432" s="314">
        <v>9.9999999999999995E-7</v>
      </c>
      <c r="H432" s="324">
        <v>2.09</v>
      </c>
      <c r="I432" s="322" t="s">
        <v>706</v>
      </c>
      <c r="J432" s="322">
        <v>2144</v>
      </c>
      <c r="K432" s="322">
        <v>5.35</v>
      </c>
      <c r="L432" s="322">
        <v>108.15</v>
      </c>
      <c r="M432" s="322" t="s">
        <v>6</v>
      </c>
      <c r="N432" s="322" t="s">
        <v>368</v>
      </c>
      <c r="O432" s="322" t="s">
        <v>560</v>
      </c>
      <c r="P432" s="322" t="s">
        <v>7</v>
      </c>
      <c r="Q432" s="322" t="s">
        <v>622</v>
      </c>
      <c r="R432" s="322" t="s">
        <v>623</v>
      </c>
      <c r="S432" s="303">
        <f t="shared" si="7"/>
        <v>201602.28985</v>
      </c>
      <c r="T432" s="307">
        <f>+IFERROR(VLOOKUP(C432,'Tasas Diarias'!$B:$F,5,FALSE)*G432,0)</f>
        <v>5.4112861747206794E-10</v>
      </c>
      <c r="U432" s="311" t="str">
        <f ca="1">+VLOOKUP(C432,Spreads!$A$2:$G$345,7,0)</f>
        <v/>
      </c>
    </row>
    <row r="433" spans="1:21" ht="15" customHeight="1" thickTop="1" thickBot="1">
      <c r="A433" s="321" t="s">
        <v>2137</v>
      </c>
      <c r="B433" s="322" t="s">
        <v>4</v>
      </c>
      <c r="C433" s="322" t="s">
        <v>881</v>
      </c>
      <c r="D433" s="322" t="s">
        <v>292</v>
      </c>
      <c r="E433" s="323">
        <v>210644195.6771</v>
      </c>
      <c r="F433" s="323">
        <v>10000</v>
      </c>
      <c r="G433" s="314">
        <v>4.7999999999999996E-3</v>
      </c>
      <c r="H433" s="324">
        <v>2.37</v>
      </c>
      <c r="I433" s="322" t="s">
        <v>882</v>
      </c>
      <c r="J433" s="322">
        <v>4181</v>
      </c>
      <c r="K433" s="322">
        <v>5.36</v>
      </c>
      <c r="L433" s="322">
        <v>104.63</v>
      </c>
      <c r="M433" s="322" t="s">
        <v>6</v>
      </c>
      <c r="N433" s="322" t="s">
        <v>368</v>
      </c>
      <c r="O433" s="322" t="s">
        <v>551</v>
      </c>
      <c r="P433" s="322" t="s">
        <v>392</v>
      </c>
      <c r="Q433" s="322" t="s">
        <v>327</v>
      </c>
      <c r="R433" s="322" t="s">
        <v>883</v>
      </c>
      <c r="S433" s="303">
        <f t="shared" si="7"/>
        <v>1129052888.8292561</v>
      </c>
      <c r="T433" s="307">
        <f>+IFERROR(VLOOKUP(C433,'Tasas Diarias'!$B:$F,5,FALSE)*G433,0)</f>
        <v>5.1830714796398249E-6</v>
      </c>
      <c r="U433" s="311" t="str">
        <f ca="1">+VLOOKUP(C433,Spreads!$A$2:$G$345,7,0)</f>
        <v/>
      </c>
    </row>
    <row r="434" spans="1:21" ht="15" customHeight="1" thickTop="1" thickBot="1">
      <c r="A434" s="317" t="s">
        <v>2137</v>
      </c>
      <c r="B434" s="318" t="s">
        <v>4</v>
      </c>
      <c r="C434" s="318" t="s">
        <v>1694</v>
      </c>
      <c r="D434" s="318" t="s">
        <v>1695</v>
      </c>
      <c r="E434" s="319">
        <v>7898087.7089999998</v>
      </c>
      <c r="F434" s="319"/>
      <c r="G434" s="314">
        <v>1.8000000000000001E-4</v>
      </c>
      <c r="H434" s="339">
        <v>0</v>
      </c>
      <c r="I434" s="318" t="s">
        <v>1696</v>
      </c>
      <c r="J434" s="318">
        <v>2340</v>
      </c>
      <c r="K434" s="318">
        <v>5.59</v>
      </c>
      <c r="L434" s="318">
        <v>107.1002</v>
      </c>
      <c r="M434" s="318" t="s">
        <v>369</v>
      </c>
      <c r="N434" s="318" t="s">
        <v>368</v>
      </c>
      <c r="O434" s="318" t="s">
        <v>8</v>
      </c>
      <c r="P434" s="318" t="s">
        <v>794</v>
      </c>
      <c r="Q434" s="318" t="s">
        <v>1368</v>
      </c>
      <c r="R434" s="318" t="s">
        <v>1697</v>
      </c>
      <c r="S434" s="303">
        <f t="shared" si="7"/>
        <v>44150310.293309994</v>
      </c>
      <c r="T434" s="307">
        <f>+IFERROR(VLOOKUP(C434,'Tasas Diarias'!$B:$F,5,FALSE)*G434,0)</f>
        <v>0</v>
      </c>
      <c r="U434" s="311" t="e">
        <f>+VLOOKUP(C434,Spreads!$A$2:$G$345,7,0)</f>
        <v>#N/A</v>
      </c>
    </row>
    <row r="435" spans="1:21" ht="15" customHeight="1" thickTop="1" thickBot="1">
      <c r="A435" s="317" t="s">
        <v>2137</v>
      </c>
      <c r="B435" s="318" t="s">
        <v>4</v>
      </c>
      <c r="C435" s="318" t="s">
        <v>1857</v>
      </c>
      <c r="D435" s="318" t="s">
        <v>1538</v>
      </c>
      <c r="E435" s="319">
        <v>79753694.975799993</v>
      </c>
      <c r="F435" s="319"/>
      <c r="G435" s="314">
        <v>1.818E-3</v>
      </c>
      <c r="H435" s="320">
        <v>0</v>
      </c>
      <c r="I435" s="318" t="s">
        <v>1858</v>
      </c>
      <c r="J435" s="318">
        <v>2497</v>
      </c>
      <c r="K435" s="318">
        <v>5.59</v>
      </c>
      <c r="L435" s="318">
        <v>102.80589999999999</v>
      </c>
      <c r="M435" s="318" t="s">
        <v>9</v>
      </c>
      <c r="N435" s="318" t="s">
        <v>368</v>
      </c>
      <c r="O435" s="318" t="s">
        <v>1346</v>
      </c>
      <c r="P435" s="318" t="s">
        <v>109</v>
      </c>
      <c r="Q435" s="318" t="s">
        <v>1539</v>
      </c>
      <c r="R435" s="318" t="s">
        <v>1540</v>
      </c>
      <c r="S435" s="303">
        <f t="shared" si="7"/>
        <v>445823154.91472197</v>
      </c>
      <c r="T435" s="307">
        <f>+IFERROR(VLOOKUP(C435,'Tasas Diarias'!$B:$F,5,FALSE)*G435,0)</f>
        <v>0</v>
      </c>
      <c r="U435" s="311" t="e">
        <f>+VLOOKUP(C435,Spreads!$A$2:$G$345,7,0)</f>
        <v>#N/A</v>
      </c>
    </row>
    <row r="436" spans="1:21" ht="15" customHeight="1" thickTop="1" thickBot="1">
      <c r="A436" s="321" t="s">
        <v>2137</v>
      </c>
      <c r="B436" s="322" t="s">
        <v>4</v>
      </c>
      <c r="C436" s="322" t="s">
        <v>1527</v>
      </c>
      <c r="D436" s="322" t="s">
        <v>168</v>
      </c>
      <c r="E436" s="323">
        <v>41647.903899999998</v>
      </c>
      <c r="F436" s="323"/>
      <c r="G436" s="314">
        <v>9.9999999999999995E-7</v>
      </c>
      <c r="H436" s="324">
        <v>1.98</v>
      </c>
      <c r="I436" s="322" t="s">
        <v>1528</v>
      </c>
      <c r="J436" s="322">
        <v>2264</v>
      </c>
      <c r="K436" s="322">
        <v>5.62</v>
      </c>
      <c r="L436" s="322">
        <v>108.04</v>
      </c>
      <c r="M436" s="322" t="s">
        <v>6</v>
      </c>
      <c r="N436" s="322" t="s">
        <v>368</v>
      </c>
      <c r="O436" s="322" t="s">
        <v>8</v>
      </c>
      <c r="P436" s="322" t="s">
        <v>379</v>
      </c>
      <c r="Q436" s="322" t="s">
        <v>77</v>
      </c>
      <c r="R436" s="322" t="s">
        <v>453</v>
      </c>
      <c r="S436" s="303">
        <f t="shared" si="7"/>
        <v>234061.21991799999</v>
      </c>
      <c r="T436" s="307">
        <f>+IFERROR(VLOOKUP(C436,'Tasas Diarias'!$B:$F,5,FALSE)*G436,0)</f>
        <v>5.6787725767790302E-10</v>
      </c>
      <c r="U436" s="311" t="e">
        <f>+VLOOKUP(C436,Spreads!$A$2:$G$345,7,0)</f>
        <v>#N/A</v>
      </c>
    </row>
    <row r="437" spans="1:21" ht="15" customHeight="1" thickTop="1" thickBot="1">
      <c r="A437" s="321" t="s">
        <v>2137</v>
      </c>
      <c r="B437" s="322" t="s">
        <v>4</v>
      </c>
      <c r="C437" s="322" t="s">
        <v>886</v>
      </c>
      <c r="D437" s="322" t="s">
        <v>5</v>
      </c>
      <c r="E437" s="323">
        <v>697682702.54680002</v>
      </c>
      <c r="F437" s="323">
        <v>20000</v>
      </c>
      <c r="G437" s="314">
        <v>1.5900000000000001E-2</v>
      </c>
      <c r="H437" s="324">
        <v>2.54</v>
      </c>
      <c r="I437" s="322" t="s">
        <v>887</v>
      </c>
      <c r="J437" s="322">
        <v>4043</v>
      </c>
      <c r="K437" s="322">
        <v>5.62</v>
      </c>
      <c r="L437" s="322">
        <v>115.65</v>
      </c>
      <c r="M437" s="322" t="s">
        <v>6</v>
      </c>
      <c r="N437" s="322" t="s">
        <v>368</v>
      </c>
      <c r="O437" s="322" t="s">
        <v>1898</v>
      </c>
      <c r="P437" s="322" t="s">
        <v>25</v>
      </c>
      <c r="Q437" s="322" t="s">
        <v>53</v>
      </c>
      <c r="R437" s="322" t="s">
        <v>888</v>
      </c>
      <c r="S437" s="303">
        <f t="shared" si="7"/>
        <v>3920976788.3130159</v>
      </c>
      <c r="T437" s="307">
        <f>+IFERROR(VLOOKUP(C437,'Tasas Diarias'!$B:$F,5,FALSE)*G437,0)</f>
        <v>0</v>
      </c>
      <c r="U437" s="311" t="str">
        <f ca="1">+VLOOKUP(C437,Spreads!$A$2:$G$345,7,0)</f>
        <v/>
      </c>
    </row>
    <row r="438" spans="1:21" ht="15" customHeight="1" thickTop="1" thickBot="1">
      <c r="A438" s="317" t="s">
        <v>2137</v>
      </c>
      <c r="B438" s="318" t="s">
        <v>4</v>
      </c>
      <c r="C438" s="318" t="s">
        <v>1884</v>
      </c>
      <c r="D438" s="318" t="s">
        <v>1885</v>
      </c>
      <c r="E438" s="319">
        <v>95610096.780100003</v>
      </c>
      <c r="F438" s="319"/>
      <c r="G438" s="314">
        <v>2.1789999999999999E-3</v>
      </c>
      <c r="H438" s="320">
        <v>2.92</v>
      </c>
      <c r="I438" s="318" t="s">
        <v>1886</v>
      </c>
      <c r="J438" s="318">
        <v>2764</v>
      </c>
      <c r="K438" s="318">
        <v>5.66</v>
      </c>
      <c r="L438" s="318">
        <v>111</v>
      </c>
      <c r="M438" s="318" t="s">
        <v>6</v>
      </c>
      <c r="N438" s="318" t="s">
        <v>368</v>
      </c>
      <c r="O438" s="318" t="s">
        <v>1898</v>
      </c>
      <c r="P438" s="318" t="s">
        <v>25</v>
      </c>
      <c r="Q438" s="318" t="s">
        <v>1901</v>
      </c>
      <c r="R438" s="318" t="s">
        <v>1887</v>
      </c>
      <c r="S438" s="303">
        <f t="shared" si="7"/>
        <v>541153147.77536607</v>
      </c>
      <c r="T438" s="307">
        <f>+IFERROR(VLOOKUP(C438,'Tasas Diarias'!$B:$F,5,FALSE)*G438,0)</f>
        <v>1.2458942163857339E-6</v>
      </c>
      <c r="U438" s="311" t="e">
        <f>+VLOOKUP(C438,Spreads!$A$2:$G$345,7,0)</f>
        <v>#N/A</v>
      </c>
    </row>
    <row r="439" spans="1:21" ht="15" customHeight="1" thickTop="1" thickBot="1">
      <c r="A439" s="317" t="s">
        <v>2137</v>
      </c>
      <c r="B439" s="318" t="s">
        <v>4</v>
      </c>
      <c r="C439" s="318" t="s">
        <v>1954</v>
      </c>
      <c r="D439" s="318" t="s">
        <v>1595</v>
      </c>
      <c r="E439" s="319">
        <v>97354688.665700004</v>
      </c>
      <c r="F439" s="319"/>
      <c r="G439" s="314">
        <v>2.2190000000000001E-3</v>
      </c>
      <c r="H439" s="320">
        <v>3.26</v>
      </c>
      <c r="I439" s="318" t="s">
        <v>720</v>
      </c>
      <c r="J439" s="318">
        <v>4408</v>
      </c>
      <c r="K439" s="318">
        <v>5.71</v>
      </c>
      <c r="L439" s="318">
        <v>112.72</v>
      </c>
      <c r="M439" s="318" t="s">
        <v>6</v>
      </c>
      <c r="N439" s="318" t="s">
        <v>368</v>
      </c>
      <c r="O439" s="318" t="s">
        <v>1348</v>
      </c>
      <c r="P439" s="318" t="s">
        <v>794</v>
      </c>
      <c r="Q439" s="318" t="s">
        <v>1597</v>
      </c>
      <c r="R439" s="318" t="s">
        <v>1607</v>
      </c>
      <c r="S439" s="303">
        <f t="shared" si="7"/>
        <v>555895272.281147</v>
      </c>
      <c r="T439" s="307">
        <f>+IFERROR(VLOOKUP(C439,'Tasas Diarias'!$B:$F,5,FALSE)*G439,0)</f>
        <v>3.3117496598468471E-5</v>
      </c>
      <c r="U439" s="311" t="e">
        <f>+VLOOKUP(C439,Spreads!$A$2:$G$345,7,0)</f>
        <v>#N/A</v>
      </c>
    </row>
    <row r="440" spans="1:21" ht="15" customHeight="1" thickTop="1" thickBot="1">
      <c r="A440" s="317" t="s">
        <v>2137</v>
      </c>
      <c r="B440" s="318" t="s">
        <v>4</v>
      </c>
      <c r="C440" s="318" t="s">
        <v>710</v>
      </c>
      <c r="D440" s="318" t="s">
        <v>166</v>
      </c>
      <c r="E440" s="319">
        <v>51734446.137999997</v>
      </c>
      <c r="F440" s="319"/>
      <c r="G440" s="314">
        <v>1.1789999999999999E-3</v>
      </c>
      <c r="H440" s="320">
        <v>2.54</v>
      </c>
      <c r="I440" s="318" t="s">
        <v>711</v>
      </c>
      <c r="J440" s="318">
        <v>4347</v>
      </c>
      <c r="K440" s="318">
        <v>5.73</v>
      </c>
      <c r="L440" s="318">
        <v>118.42</v>
      </c>
      <c r="M440" s="318" t="s">
        <v>6</v>
      </c>
      <c r="N440" s="318" t="s">
        <v>368</v>
      </c>
      <c r="O440" s="318" t="s">
        <v>429</v>
      </c>
      <c r="P440" s="318" t="s">
        <v>392</v>
      </c>
      <c r="Q440" s="318" t="s">
        <v>57</v>
      </c>
      <c r="R440" s="318" t="s">
        <v>447</v>
      </c>
      <c r="S440" s="303">
        <f t="shared" si="7"/>
        <v>296438376.37074</v>
      </c>
      <c r="T440" s="307">
        <f>+IFERROR(VLOOKUP(C440,'Tasas Diarias'!$B:$F,5,FALSE)*G440,0)</f>
        <v>0</v>
      </c>
      <c r="U440" s="311" t="str">
        <f ca="1">+VLOOKUP(C440,Spreads!$A$2:$G$345,7,0)</f>
        <v/>
      </c>
    </row>
    <row r="441" spans="1:21" ht="15" customHeight="1" thickTop="1" thickBot="1">
      <c r="A441" s="317" t="s">
        <v>2137</v>
      </c>
      <c r="B441" s="318" t="s">
        <v>4</v>
      </c>
      <c r="C441" s="318" t="s">
        <v>716</v>
      </c>
      <c r="D441" s="318" t="s">
        <v>295</v>
      </c>
      <c r="E441" s="319">
        <v>20277.8531</v>
      </c>
      <c r="F441" s="319"/>
      <c r="G441" s="314">
        <v>0</v>
      </c>
      <c r="H441" s="320">
        <v>2.0499999999999998</v>
      </c>
      <c r="I441" s="318" t="s">
        <v>717</v>
      </c>
      <c r="J441" s="318">
        <v>2293</v>
      </c>
      <c r="K441" s="318">
        <v>5.75</v>
      </c>
      <c r="L441" s="318">
        <v>105.6</v>
      </c>
      <c r="M441" s="318" t="s">
        <v>6</v>
      </c>
      <c r="N441" s="318" t="s">
        <v>368</v>
      </c>
      <c r="O441" s="318" t="s">
        <v>8</v>
      </c>
      <c r="P441" s="318" t="s">
        <v>7</v>
      </c>
      <c r="Q441" s="318" t="s">
        <v>70</v>
      </c>
      <c r="R441" s="318" t="s">
        <v>506</v>
      </c>
      <c r="S441" s="303">
        <f t="shared" si="7"/>
        <v>116597.655325</v>
      </c>
      <c r="T441" s="307">
        <f>+IFERROR(VLOOKUP(C441,'Tasas Diarias'!$B:$F,5,FALSE)*G441,0)</f>
        <v>0</v>
      </c>
      <c r="U441" s="311" t="str">
        <f ca="1">+VLOOKUP(C441,Spreads!$A$2:$G$345,7,0)</f>
        <v/>
      </c>
    </row>
    <row r="442" spans="1:21" ht="15" customHeight="1" thickTop="1" thickBot="1">
      <c r="A442" s="321" t="s">
        <v>2137</v>
      </c>
      <c r="B442" s="322" t="s">
        <v>4</v>
      </c>
      <c r="C442" s="322" t="s">
        <v>712</v>
      </c>
      <c r="D442" s="322" t="s">
        <v>40</v>
      </c>
      <c r="E442" s="323">
        <v>20496.292600000001</v>
      </c>
      <c r="F442" s="323"/>
      <c r="G442" s="314">
        <v>0</v>
      </c>
      <c r="H442" s="324">
        <v>2.2799999999999998</v>
      </c>
      <c r="I442" s="322" t="s">
        <v>713</v>
      </c>
      <c r="J442" s="322">
        <v>4240</v>
      </c>
      <c r="K442" s="322">
        <v>5.78</v>
      </c>
      <c r="L442" s="322">
        <v>115.95</v>
      </c>
      <c r="M442" s="322" t="s">
        <v>6</v>
      </c>
      <c r="N442" s="322" t="s">
        <v>368</v>
      </c>
      <c r="O442" s="322" t="s">
        <v>1346</v>
      </c>
      <c r="P442" s="322" t="s">
        <v>392</v>
      </c>
      <c r="Q442" s="322" t="s">
        <v>714</v>
      </c>
      <c r="R442" s="322" t="s">
        <v>715</v>
      </c>
      <c r="S442" s="303">
        <f t="shared" si="7"/>
        <v>118468.57122800002</v>
      </c>
      <c r="T442" s="307">
        <f>+IFERROR(VLOOKUP(C442,'Tasas Diarias'!$B:$F,5,FALSE)*G442,0)</f>
        <v>0</v>
      </c>
      <c r="U442" s="311" t="str">
        <f ca="1">+VLOOKUP(C442,Spreads!$A$2:$G$345,7,0)</f>
        <v/>
      </c>
    </row>
    <row r="443" spans="1:21" ht="15" customHeight="1" thickTop="1" thickBot="1">
      <c r="A443" s="327" t="s">
        <v>2137</v>
      </c>
      <c r="B443" s="328" t="s">
        <v>4</v>
      </c>
      <c r="C443" s="328" t="s">
        <v>889</v>
      </c>
      <c r="D443" s="328" t="s">
        <v>31</v>
      </c>
      <c r="E443" s="328">
        <v>42225175</v>
      </c>
      <c r="F443" s="328">
        <v>1500</v>
      </c>
      <c r="G443" s="328">
        <v>9.6199999999999996E-4</v>
      </c>
      <c r="H443" s="329">
        <v>2.42</v>
      </c>
      <c r="I443" s="328" t="s">
        <v>890</v>
      </c>
      <c r="J443" s="328">
        <v>4333</v>
      </c>
      <c r="K443" s="328">
        <v>5.83</v>
      </c>
      <c r="L443" s="328">
        <v>121.3</v>
      </c>
      <c r="M443" s="328" t="s">
        <v>6</v>
      </c>
      <c r="N443" s="328" t="s">
        <v>368</v>
      </c>
      <c r="O443" s="328" t="s">
        <v>8</v>
      </c>
      <c r="P443" s="328" t="s">
        <v>7</v>
      </c>
      <c r="Q443" s="328" t="s">
        <v>67</v>
      </c>
      <c r="R443" s="328" t="s">
        <v>891</v>
      </c>
      <c r="S443" s="303">
        <f t="shared" si="7"/>
        <v>246172770.25</v>
      </c>
      <c r="T443" s="307">
        <f>+IFERROR(VLOOKUP(C443,'Tasas Diarias'!$B:$F,5,FALSE)*G443,0)</f>
        <v>1.1323101063793828E-6</v>
      </c>
      <c r="U443" s="311" t="str">
        <f ca="1">+VLOOKUP(C443,Spreads!$A$2:$G$345,7,0)</f>
        <v/>
      </c>
    </row>
    <row r="444" spans="1:21" ht="15" customHeight="1" thickTop="1" thickBot="1">
      <c r="A444" s="317" t="s">
        <v>2137</v>
      </c>
      <c r="B444" s="318" t="s">
        <v>4</v>
      </c>
      <c r="C444" s="318" t="s">
        <v>1919</v>
      </c>
      <c r="D444" s="318" t="s">
        <v>176</v>
      </c>
      <c r="E444" s="319">
        <v>28619.281500000001</v>
      </c>
      <c r="F444" s="319"/>
      <c r="G444" s="314">
        <v>9.9999999999999995E-7</v>
      </c>
      <c r="H444" s="320">
        <v>2.1</v>
      </c>
      <c r="I444" s="318" t="s">
        <v>1920</v>
      </c>
      <c r="J444" s="318">
        <v>2385</v>
      </c>
      <c r="K444" s="318">
        <v>5.85</v>
      </c>
      <c r="L444" s="318">
        <v>108.24</v>
      </c>
      <c r="M444" s="318" t="s">
        <v>6</v>
      </c>
      <c r="N444" s="318" t="s">
        <v>368</v>
      </c>
      <c r="O444" s="318" t="s">
        <v>8</v>
      </c>
      <c r="P444" s="318" t="s">
        <v>7</v>
      </c>
      <c r="Q444" s="318" t="s">
        <v>326</v>
      </c>
      <c r="R444" s="318" t="s">
        <v>450</v>
      </c>
      <c r="S444" s="303">
        <f t="shared" si="7"/>
        <v>167422.796775</v>
      </c>
      <c r="T444" s="307">
        <f>+IFERROR(VLOOKUP(C444,'Tasas Diarias'!$B:$F,5,FALSE)*G444,0)</f>
        <v>0</v>
      </c>
      <c r="U444" s="311" t="e">
        <f>+VLOOKUP(C444,Spreads!$A$2:$G$345,7,0)</f>
        <v>#N/A</v>
      </c>
    </row>
    <row r="445" spans="1:21" ht="15" customHeight="1" thickTop="1" thickBot="1">
      <c r="A445" s="321" t="s">
        <v>2137</v>
      </c>
      <c r="B445" s="322" t="s">
        <v>4</v>
      </c>
      <c r="C445" s="322" t="s">
        <v>719</v>
      </c>
      <c r="D445" s="322" t="s">
        <v>172</v>
      </c>
      <c r="E445" s="323">
        <v>36745.972600000001</v>
      </c>
      <c r="F445" s="323"/>
      <c r="G445" s="314">
        <v>9.9999999999999995E-7</v>
      </c>
      <c r="H445" s="324">
        <v>2.1800000000000002</v>
      </c>
      <c r="I445" s="322" t="s">
        <v>720</v>
      </c>
      <c r="J445" s="322">
        <v>4408</v>
      </c>
      <c r="K445" s="322">
        <v>5.9</v>
      </c>
      <c r="L445" s="322">
        <v>115.38</v>
      </c>
      <c r="M445" s="322" t="s">
        <v>6</v>
      </c>
      <c r="N445" s="322" t="s">
        <v>368</v>
      </c>
      <c r="O445" s="322" t="s">
        <v>1346</v>
      </c>
      <c r="P445" s="322" t="s">
        <v>7</v>
      </c>
      <c r="Q445" s="322" t="s">
        <v>81</v>
      </c>
      <c r="R445" s="322" t="s">
        <v>721</v>
      </c>
      <c r="S445" s="303">
        <f t="shared" si="7"/>
        <v>216801.23834000001</v>
      </c>
      <c r="T445" s="307">
        <f>+IFERROR(VLOOKUP(C445,'Tasas Diarias'!$B:$F,5,FALSE)*G445,0)</f>
        <v>1.7796794952185582E-9</v>
      </c>
      <c r="U445" s="311" t="str">
        <f ca="1">+VLOOKUP(C445,Spreads!$A$2:$G$345,7,0)</f>
        <v/>
      </c>
    </row>
    <row r="446" spans="1:21" ht="15" customHeight="1" thickTop="1" thickBot="1">
      <c r="A446" s="321" t="s">
        <v>2137</v>
      </c>
      <c r="B446" s="322" t="s">
        <v>4</v>
      </c>
      <c r="C446" s="322" t="s">
        <v>1461</v>
      </c>
      <c r="D446" s="322" t="s">
        <v>1462</v>
      </c>
      <c r="E446" s="323">
        <v>610413947.86660004</v>
      </c>
      <c r="F446" s="323">
        <v>15000</v>
      </c>
      <c r="G446" s="314">
        <v>1.3912000000000001E-2</v>
      </c>
      <c r="H446" s="324">
        <v>2.57</v>
      </c>
      <c r="I446" s="322" t="s">
        <v>1463</v>
      </c>
      <c r="J446" s="322">
        <v>4429</v>
      </c>
      <c r="K446" s="322">
        <v>5.9</v>
      </c>
      <c r="L446" s="322">
        <v>113.83</v>
      </c>
      <c r="M446" s="322" t="s">
        <v>6</v>
      </c>
      <c r="N446" s="322" t="s">
        <v>368</v>
      </c>
      <c r="O446" s="322" t="s">
        <v>1348</v>
      </c>
      <c r="P446" s="322" t="s">
        <v>417</v>
      </c>
      <c r="Q446" s="322" t="s">
        <v>1464</v>
      </c>
      <c r="R446" s="322" t="s">
        <v>1465</v>
      </c>
      <c r="S446" s="303">
        <f t="shared" si="7"/>
        <v>3601442292.4129405</v>
      </c>
      <c r="T446" s="307">
        <f>+IFERROR(VLOOKUP(C446,'Tasas Diarias'!$B:$F,5,FALSE)*G446,0)</f>
        <v>8.2833490615678466E-6</v>
      </c>
      <c r="U446" s="311" t="e">
        <f>+VLOOKUP(C446,Spreads!$A$2:$G$345,7,0)</f>
        <v>#N/A</v>
      </c>
    </row>
    <row r="447" spans="1:21" ht="15" customHeight="1" thickTop="1" thickBot="1">
      <c r="A447" s="317" t="s">
        <v>2137</v>
      </c>
      <c r="B447" s="318" t="s">
        <v>4</v>
      </c>
      <c r="C447" s="318" t="s">
        <v>1698</v>
      </c>
      <c r="D447" s="318" t="s">
        <v>1699</v>
      </c>
      <c r="E447" s="319">
        <v>24503197.874400001</v>
      </c>
      <c r="F447" s="319"/>
      <c r="G447" s="314">
        <v>5.5800000000000001E-4</v>
      </c>
      <c r="H447" s="320">
        <v>0</v>
      </c>
      <c r="I447" s="318" t="s">
        <v>1700</v>
      </c>
      <c r="J447" s="318">
        <v>2582</v>
      </c>
      <c r="K447" s="318">
        <v>5.91</v>
      </c>
      <c r="L447" s="318">
        <v>105.8342</v>
      </c>
      <c r="M447" s="318" t="s">
        <v>369</v>
      </c>
      <c r="N447" s="318" t="s">
        <v>368</v>
      </c>
      <c r="O447" s="318" t="s">
        <v>8</v>
      </c>
      <c r="P447" s="318" t="s">
        <v>392</v>
      </c>
      <c r="Q447" s="318" t="s">
        <v>1369</v>
      </c>
      <c r="R447" s="318" t="s">
        <v>1701</v>
      </c>
      <c r="S447" s="303">
        <f t="shared" si="7"/>
        <v>144813899.437704</v>
      </c>
      <c r="T447" s="307">
        <f>+IFERROR(VLOOKUP(C447,'Tasas Diarias'!$B:$F,5,FALSE)*G447,0)</f>
        <v>0</v>
      </c>
      <c r="U447" s="311" t="e">
        <f>+VLOOKUP(C447,Spreads!$A$2:$G$345,7,0)</f>
        <v>#N/A</v>
      </c>
    </row>
    <row r="448" spans="1:21" ht="15" customHeight="1" thickTop="1" thickBot="1">
      <c r="A448" s="321" t="s">
        <v>2137</v>
      </c>
      <c r="B448" s="322" t="s">
        <v>4</v>
      </c>
      <c r="C448" s="322" t="s">
        <v>725</v>
      </c>
      <c r="D448" s="322" t="s">
        <v>485</v>
      </c>
      <c r="E448" s="323">
        <v>34276.495199999998</v>
      </c>
      <c r="F448" s="323"/>
      <c r="G448" s="314">
        <v>9.9999999999999995E-7</v>
      </c>
      <c r="H448" s="322">
        <v>2.14</v>
      </c>
      <c r="I448" s="322" t="s">
        <v>726</v>
      </c>
      <c r="J448" s="322">
        <v>4362</v>
      </c>
      <c r="K448" s="322">
        <v>5.95</v>
      </c>
      <c r="L448" s="322">
        <v>112.66</v>
      </c>
      <c r="M448" s="322" t="s">
        <v>6</v>
      </c>
      <c r="N448" s="322" t="s">
        <v>368</v>
      </c>
      <c r="O448" s="322" t="s">
        <v>1348</v>
      </c>
      <c r="P448" s="322" t="s">
        <v>392</v>
      </c>
      <c r="Q448" s="322" t="s">
        <v>487</v>
      </c>
      <c r="R448" s="322" t="s">
        <v>488</v>
      </c>
      <c r="S448" s="303">
        <f t="shared" si="7"/>
        <v>203945.14643999998</v>
      </c>
      <c r="T448" s="307">
        <f>+IFERROR(VLOOKUP(C448,'Tasas Diarias'!$B:$F,5,FALSE)*G448,0)</f>
        <v>5.9841784680078388E-10</v>
      </c>
      <c r="U448" s="311" t="str">
        <f ca="1">+VLOOKUP(C448,Spreads!$A$2:$G$345,7,0)</f>
        <v/>
      </c>
    </row>
    <row r="449" spans="1:21" ht="15" customHeight="1" thickTop="1" thickBot="1">
      <c r="A449" s="317" t="s">
        <v>2137</v>
      </c>
      <c r="B449" s="318" t="s">
        <v>4</v>
      </c>
      <c r="C449" s="318" t="s">
        <v>892</v>
      </c>
      <c r="D449" s="318" t="s">
        <v>893</v>
      </c>
      <c r="E449" s="319">
        <v>23887985.929299999</v>
      </c>
      <c r="F449" s="319"/>
      <c r="G449" s="314">
        <v>5.44E-4</v>
      </c>
      <c r="H449" s="318">
        <v>0</v>
      </c>
      <c r="I449" s="318" t="s">
        <v>894</v>
      </c>
      <c r="J449" s="318">
        <v>2536</v>
      </c>
      <c r="K449" s="318">
        <v>5.99</v>
      </c>
      <c r="L449" s="318">
        <v>104.7458</v>
      </c>
      <c r="M449" s="318" t="s">
        <v>9</v>
      </c>
      <c r="N449" s="318" t="s">
        <v>368</v>
      </c>
      <c r="O449" s="318" t="s">
        <v>895</v>
      </c>
      <c r="P449" s="318" t="s">
        <v>417</v>
      </c>
      <c r="Q449" s="318" t="s">
        <v>893</v>
      </c>
      <c r="R449" s="318" t="s">
        <v>896</v>
      </c>
      <c r="S449" s="303">
        <f t="shared" si="7"/>
        <v>143089035.71650699</v>
      </c>
      <c r="T449" s="307">
        <f>+IFERROR(VLOOKUP(C449,'Tasas Diarias'!$B:$F,5,FALSE)*G449,0)</f>
        <v>0</v>
      </c>
      <c r="U449" s="311" t="e">
        <f>+VLOOKUP(C449,Spreads!$A$2:$G$345,7,0)</f>
        <v>#N/A</v>
      </c>
    </row>
    <row r="450" spans="1:21" ht="15" customHeight="1" thickTop="1" thickBot="1">
      <c r="A450" s="321" t="s">
        <v>2137</v>
      </c>
      <c r="B450" s="322" t="s">
        <v>4</v>
      </c>
      <c r="C450" s="322" t="s">
        <v>892</v>
      </c>
      <c r="D450" s="322" t="s">
        <v>893</v>
      </c>
      <c r="E450" s="323">
        <v>28566684.047800001</v>
      </c>
      <c r="F450" s="323"/>
      <c r="G450" s="314">
        <v>6.5099999999999999E-4</v>
      </c>
      <c r="H450" s="324">
        <v>0</v>
      </c>
      <c r="I450" s="322" t="s">
        <v>894</v>
      </c>
      <c r="J450" s="322">
        <v>2536</v>
      </c>
      <c r="K450" s="322">
        <v>5.99</v>
      </c>
      <c r="L450" s="322">
        <v>104.7458</v>
      </c>
      <c r="M450" s="322" t="s">
        <v>369</v>
      </c>
      <c r="N450" s="322" t="s">
        <v>368</v>
      </c>
      <c r="O450" s="322" t="s">
        <v>895</v>
      </c>
      <c r="P450" s="322" t="s">
        <v>417</v>
      </c>
      <c r="Q450" s="322" t="s">
        <v>893</v>
      </c>
      <c r="R450" s="322" t="s">
        <v>896</v>
      </c>
      <c r="S450" s="303">
        <f t="shared" si="7"/>
        <v>171114437.44632202</v>
      </c>
      <c r="T450" s="307">
        <f>+IFERROR(VLOOKUP(C450,'Tasas Diarias'!$B:$F,5,FALSE)*G450,0)</f>
        <v>0</v>
      </c>
      <c r="U450" s="311" t="e">
        <f>+VLOOKUP(C450,Spreads!$A$2:$G$345,7,0)</f>
        <v>#N/A</v>
      </c>
    </row>
    <row r="451" spans="1:21" ht="15" customHeight="1" thickTop="1" thickBot="1">
      <c r="A451" s="317" t="s">
        <v>2137</v>
      </c>
      <c r="B451" s="318" t="s">
        <v>4</v>
      </c>
      <c r="C451" s="318" t="s">
        <v>1445</v>
      </c>
      <c r="D451" s="318" t="s">
        <v>420</v>
      </c>
      <c r="E451" s="319">
        <v>14342996.339500001</v>
      </c>
      <c r="F451" s="319"/>
      <c r="G451" s="314">
        <v>3.2699999999999998E-4</v>
      </c>
      <c r="H451" s="320">
        <v>2.4500000000000002</v>
      </c>
      <c r="I451" s="318" t="s">
        <v>1446</v>
      </c>
      <c r="J451" s="318">
        <v>4498</v>
      </c>
      <c r="K451" s="318">
        <v>6.06</v>
      </c>
      <c r="L451" s="318">
        <v>117.61</v>
      </c>
      <c r="M451" s="318" t="s">
        <v>6</v>
      </c>
      <c r="N451" s="318" t="s">
        <v>368</v>
      </c>
      <c r="O451" s="318" t="s">
        <v>421</v>
      </c>
      <c r="P451" s="318" t="s">
        <v>417</v>
      </c>
      <c r="Q451" s="318" t="s">
        <v>422</v>
      </c>
      <c r="R451" s="318" t="s">
        <v>423</v>
      </c>
      <c r="S451" s="303">
        <f t="shared" ref="S451:S514" si="8">+IFERROR(E451*K451,0)</f>
        <v>86918557.817369998</v>
      </c>
      <c r="T451" s="307">
        <f>+IFERROR(VLOOKUP(C451,'Tasas Diarias'!$B:$F,5,FALSE)*G451,0)</f>
        <v>3.9934154093785712E-7</v>
      </c>
      <c r="U451" s="311" t="e">
        <f>+VLOOKUP(C451,Spreads!$A$2:$G$345,7,0)</f>
        <v>#N/A</v>
      </c>
    </row>
    <row r="452" spans="1:21" ht="15" customHeight="1" thickTop="1" thickBot="1">
      <c r="A452" s="317" t="s">
        <v>2137</v>
      </c>
      <c r="B452" s="318" t="s">
        <v>4</v>
      </c>
      <c r="C452" s="318" t="s">
        <v>1702</v>
      </c>
      <c r="D452" s="318" t="s">
        <v>71</v>
      </c>
      <c r="E452" s="319">
        <v>2713693.8912999998</v>
      </c>
      <c r="F452" s="319"/>
      <c r="G452" s="314">
        <v>6.2000000000000003E-5</v>
      </c>
      <c r="H452" s="320">
        <v>0</v>
      </c>
      <c r="I452" s="318" t="s">
        <v>894</v>
      </c>
      <c r="J452" s="318">
        <v>2536</v>
      </c>
      <c r="K452" s="318">
        <v>6.07</v>
      </c>
      <c r="L452" s="318">
        <v>104.5132</v>
      </c>
      <c r="M452" s="318" t="s">
        <v>369</v>
      </c>
      <c r="N452" s="318" t="s">
        <v>368</v>
      </c>
      <c r="O452" s="318" t="s">
        <v>1346</v>
      </c>
      <c r="P452" s="318" t="s">
        <v>444</v>
      </c>
      <c r="Q452" s="318" t="s">
        <v>71</v>
      </c>
      <c r="R452" s="318" t="s">
        <v>759</v>
      </c>
      <c r="S452" s="303">
        <f t="shared" si="8"/>
        <v>16472121.920190999</v>
      </c>
      <c r="T452" s="307">
        <f>+IFERROR(VLOOKUP(C452,'Tasas Diarias'!$B:$F,5,FALSE)*G452,0)</f>
        <v>0</v>
      </c>
      <c r="U452" s="311" t="e">
        <f>+VLOOKUP(C452,Spreads!$A$2:$G$345,7,0)</f>
        <v>#N/A</v>
      </c>
    </row>
    <row r="453" spans="1:21" ht="15" customHeight="1" thickTop="1" thickBot="1">
      <c r="A453" s="321" t="s">
        <v>2137</v>
      </c>
      <c r="B453" s="322" t="s">
        <v>4</v>
      </c>
      <c r="C453" s="322" t="s">
        <v>729</v>
      </c>
      <c r="D453" s="322" t="s">
        <v>32</v>
      </c>
      <c r="E453" s="323">
        <v>20303.769700000001</v>
      </c>
      <c r="F453" s="323"/>
      <c r="G453" s="314">
        <v>0</v>
      </c>
      <c r="H453" s="324">
        <v>2.12</v>
      </c>
      <c r="I453" s="322" t="s">
        <v>730</v>
      </c>
      <c r="J453" s="322">
        <v>2446</v>
      </c>
      <c r="K453" s="322">
        <v>6.09</v>
      </c>
      <c r="L453" s="322">
        <v>105.48</v>
      </c>
      <c r="M453" s="322" t="s">
        <v>6</v>
      </c>
      <c r="N453" s="322" t="s">
        <v>368</v>
      </c>
      <c r="O453" s="322" t="s">
        <v>8</v>
      </c>
      <c r="P453" s="322" t="s">
        <v>379</v>
      </c>
      <c r="Q453" s="322" t="s">
        <v>67</v>
      </c>
      <c r="R453" s="322" t="s">
        <v>389</v>
      </c>
      <c r="S453" s="303">
        <f t="shared" si="8"/>
        <v>123649.957473</v>
      </c>
      <c r="T453" s="307">
        <f>+IFERROR(VLOOKUP(C453,'Tasas Diarias'!$B:$F,5,FALSE)*G453,0)</f>
        <v>0</v>
      </c>
      <c r="U453" s="311" t="str">
        <f ca="1">+VLOOKUP(C453,Spreads!$A$2:$G$345,7,0)</f>
        <v/>
      </c>
    </row>
    <row r="454" spans="1:21" ht="15" customHeight="1" thickTop="1" thickBot="1">
      <c r="A454" s="317" t="s">
        <v>2137</v>
      </c>
      <c r="B454" s="318" t="s">
        <v>4</v>
      </c>
      <c r="C454" s="318" t="s">
        <v>1703</v>
      </c>
      <c r="D454" s="318" t="s">
        <v>166</v>
      </c>
      <c r="E454" s="319">
        <v>14008993.9991</v>
      </c>
      <c r="F454" s="319"/>
      <c r="G454" s="314">
        <v>3.19E-4</v>
      </c>
      <c r="H454" s="320">
        <v>0</v>
      </c>
      <c r="I454" s="318" t="s">
        <v>1704</v>
      </c>
      <c r="J454" s="318">
        <v>2641</v>
      </c>
      <c r="K454" s="318">
        <v>6.09</v>
      </c>
      <c r="L454" s="318">
        <v>106.74339999999999</v>
      </c>
      <c r="M454" s="318" t="s">
        <v>369</v>
      </c>
      <c r="N454" s="318" t="s">
        <v>368</v>
      </c>
      <c r="O454" s="318" t="s">
        <v>429</v>
      </c>
      <c r="P454" s="318" t="s">
        <v>802</v>
      </c>
      <c r="Q454" s="318" t="s">
        <v>57</v>
      </c>
      <c r="R454" s="318" t="s">
        <v>447</v>
      </c>
      <c r="S454" s="303">
        <f t="shared" si="8"/>
        <v>85314773.454518989</v>
      </c>
      <c r="T454" s="307">
        <f>+IFERROR(VLOOKUP(C454,'Tasas Diarias'!$B:$F,5,FALSE)*G454,0)</f>
        <v>0</v>
      </c>
      <c r="U454" s="311" t="e">
        <f>+VLOOKUP(C454,Spreads!$A$2:$G$345,7,0)</f>
        <v>#N/A</v>
      </c>
    </row>
    <row r="455" spans="1:21" ht="15" customHeight="1" thickTop="1" thickBot="1">
      <c r="A455" s="317" t="s">
        <v>2137</v>
      </c>
      <c r="B455" s="318" t="s">
        <v>4</v>
      </c>
      <c r="C455" s="318" t="s">
        <v>1705</v>
      </c>
      <c r="D455" s="318" t="s">
        <v>1706</v>
      </c>
      <c r="E455" s="319">
        <v>6861836.0266000004</v>
      </c>
      <c r="F455" s="319"/>
      <c r="G455" s="314">
        <v>1.56E-4</v>
      </c>
      <c r="H455" s="320">
        <v>0</v>
      </c>
      <c r="I455" s="318" t="s">
        <v>1707</v>
      </c>
      <c r="J455" s="318">
        <v>2627</v>
      </c>
      <c r="K455" s="318">
        <v>6.17</v>
      </c>
      <c r="L455" s="318">
        <v>104.5675</v>
      </c>
      <c r="M455" s="318" t="s">
        <v>369</v>
      </c>
      <c r="N455" s="318" t="s">
        <v>368</v>
      </c>
      <c r="O455" s="318" t="s">
        <v>1346</v>
      </c>
      <c r="P455" s="318" t="s">
        <v>392</v>
      </c>
      <c r="Q455" s="318" t="s">
        <v>1371</v>
      </c>
      <c r="R455" s="318" t="s">
        <v>1708</v>
      </c>
      <c r="S455" s="303">
        <f t="shared" si="8"/>
        <v>42337528.284122005</v>
      </c>
      <c r="T455" s="307">
        <f>+IFERROR(VLOOKUP(C455,'Tasas Diarias'!$B:$F,5,FALSE)*G455,0)</f>
        <v>0</v>
      </c>
      <c r="U455" s="311" t="e">
        <f>+VLOOKUP(C455,Spreads!$A$2:$G$345,7,0)</f>
        <v>#N/A</v>
      </c>
    </row>
    <row r="456" spans="1:21" ht="15" customHeight="1" thickTop="1" thickBot="1">
      <c r="A456" s="317" t="s">
        <v>2137</v>
      </c>
      <c r="B456" s="318" t="s">
        <v>4</v>
      </c>
      <c r="C456" s="318" t="s">
        <v>722</v>
      </c>
      <c r="D456" s="318" t="s">
        <v>173</v>
      </c>
      <c r="E456" s="319">
        <v>24548248.189800002</v>
      </c>
      <c r="F456" s="319"/>
      <c r="G456" s="314">
        <v>5.5900000000000004E-4</v>
      </c>
      <c r="H456" s="320">
        <v>2.35</v>
      </c>
      <c r="I456" s="318" t="s">
        <v>723</v>
      </c>
      <c r="J456" s="318">
        <v>4759</v>
      </c>
      <c r="K456" s="318">
        <v>6.18</v>
      </c>
      <c r="L456" s="318">
        <v>113.32</v>
      </c>
      <c r="M456" s="318" t="s">
        <v>6</v>
      </c>
      <c r="N456" s="318" t="s">
        <v>368</v>
      </c>
      <c r="O456" s="318" t="s">
        <v>8</v>
      </c>
      <c r="P456" s="318" t="s">
        <v>392</v>
      </c>
      <c r="Q456" s="318" t="s">
        <v>55</v>
      </c>
      <c r="R456" s="318" t="s">
        <v>724</v>
      </c>
      <c r="S456" s="303">
        <f t="shared" si="8"/>
        <v>151708173.81296399</v>
      </c>
      <c r="T456" s="307">
        <f>+IFERROR(VLOOKUP(C456,'Tasas Diarias'!$B:$F,5,FALSE)*G456,0)</f>
        <v>6.9653762665606686E-7</v>
      </c>
      <c r="U456" s="311" t="str">
        <f ca="1">+VLOOKUP(C456,Spreads!$A$2:$G$345,7,0)</f>
        <v/>
      </c>
    </row>
    <row r="457" spans="1:21" ht="15" customHeight="1" thickTop="1" thickBot="1">
      <c r="A457" s="317" t="s">
        <v>2137</v>
      </c>
      <c r="B457" s="318" t="s">
        <v>4</v>
      </c>
      <c r="C457" s="318" t="s">
        <v>1593</v>
      </c>
      <c r="D457" s="318" t="s">
        <v>173</v>
      </c>
      <c r="E457" s="319">
        <v>14117.117700000001</v>
      </c>
      <c r="F457" s="319"/>
      <c r="G457" s="314">
        <v>0</v>
      </c>
      <c r="H457" s="320">
        <v>2.35</v>
      </c>
      <c r="I457" s="318" t="s">
        <v>723</v>
      </c>
      <c r="J457" s="318">
        <v>4759</v>
      </c>
      <c r="K457" s="318">
        <v>6.18</v>
      </c>
      <c r="L457" s="318">
        <v>113.32</v>
      </c>
      <c r="M457" s="318" t="s">
        <v>6</v>
      </c>
      <c r="N457" s="318" t="s">
        <v>368</v>
      </c>
      <c r="O457" s="318" t="s">
        <v>8</v>
      </c>
      <c r="P457" s="318" t="s">
        <v>392</v>
      </c>
      <c r="Q457" s="318" t="s">
        <v>55</v>
      </c>
      <c r="R457" s="318" t="s">
        <v>724</v>
      </c>
      <c r="S457" s="303">
        <f t="shared" si="8"/>
        <v>87243.787385999996</v>
      </c>
      <c r="T457" s="307">
        <f>+IFERROR(VLOOKUP(C457,'Tasas Diarias'!$B:$F,5,FALSE)*G457,0)</f>
        <v>0</v>
      </c>
      <c r="U457" s="311" t="e">
        <f>+VLOOKUP(C457,Spreads!$A$2:$G$345,7,0)</f>
        <v>#N/A</v>
      </c>
    </row>
    <row r="458" spans="1:21" ht="15" customHeight="1" thickTop="1" thickBot="1">
      <c r="A458" s="327" t="s">
        <v>2137</v>
      </c>
      <c r="B458" s="328" t="s">
        <v>4</v>
      </c>
      <c r="C458" s="328" t="s">
        <v>1709</v>
      </c>
      <c r="D458" s="328" t="s">
        <v>1462</v>
      </c>
      <c r="E458" s="328">
        <v>5441497.1095000003</v>
      </c>
      <c r="F458" s="328"/>
      <c r="G458" s="328">
        <v>1.2400000000000001E-4</v>
      </c>
      <c r="H458" s="329">
        <v>0</v>
      </c>
      <c r="I458" s="328" t="s">
        <v>1710</v>
      </c>
      <c r="J458" s="328">
        <v>2626</v>
      </c>
      <c r="K458" s="328">
        <v>6.19</v>
      </c>
      <c r="L458" s="328">
        <v>103.6795</v>
      </c>
      <c r="M458" s="328" t="s">
        <v>369</v>
      </c>
      <c r="N458" s="328" t="s">
        <v>368</v>
      </c>
      <c r="O458" s="328" t="s">
        <v>1348</v>
      </c>
      <c r="P458" s="328" t="s">
        <v>417</v>
      </c>
      <c r="Q458" s="328" t="s">
        <v>1464</v>
      </c>
      <c r="R458" s="328" t="s">
        <v>1465</v>
      </c>
      <c r="S458" s="303">
        <f t="shared" si="8"/>
        <v>33682867.107805006</v>
      </c>
      <c r="T458" s="307">
        <f>+IFERROR(VLOOKUP(C458,'Tasas Diarias'!$B:$F,5,FALSE)*G458,0)</f>
        <v>0</v>
      </c>
      <c r="U458" s="311" t="e">
        <f>+VLOOKUP(C458,Spreads!$A$2:$G$345,7,0)</f>
        <v>#N/A</v>
      </c>
    </row>
    <row r="459" spans="1:21" ht="15" customHeight="1" thickTop="1" thickBot="1">
      <c r="A459" s="321" t="s">
        <v>2137</v>
      </c>
      <c r="B459" s="322" t="s">
        <v>4</v>
      </c>
      <c r="C459" s="322" t="s">
        <v>897</v>
      </c>
      <c r="D459" s="322" t="s">
        <v>50</v>
      </c>
      <c r="E459" s="323">
        <v>44189866.316100001</v>
      </c>
      <c r="F459" s="323"/>
      <c r="G459" s="314">
        <v>1.0070000000000001E-3</v>
      </c>
      <c r="H459" s="324">
        <v>2.34</v>
      </c>
      <c r="I459" s="322" t="s">
        <v>898</v>
      </c>
      <c r="J459" s="322">
        <v>4537</v>
      </c>
      <c r="K459" s="322">
        <v>6.2</v>
      </c>
      <c r="L459" s="322">
        <v>117.78</v>
      </c>
      <c r="M459" s="322" t="s">
        <v>6</v>
      </c>
      <c r="N459" s="322" t="s">
        <v>368</v>
      </c>
      <c r="O459" s="322" t="s">
        <v>429</v>
      </c>
      <c r="P459" s="322" t="s">
        <v>25</v>
      </c>
      <c r="Q459" s="322" t="s">
        <v>899</v>
      </c>
      <c r="R459" s="322" t="s">
        <v>900</v>
      </c>
      <c r="S459" s="303">
        <f t="shared" si="8"/>
        <v>273977171.15982002</v>
      </c>
      <c r="T459" s="307">
        <f>+IFERROR(VLOOKUP(C459,'Tasas Diarias'!$B:$F,5,FALSE)*G459,0)</f>
        <v>6.2965814477678139E-7</v>
      </c>
      <c r="U459" s="311" t="str">
        <f ca="1">+VLOOKUP(C459,Spreads!$A$2:$G$345,7,0)</f>
        <v/>
      </c>
    </row>
    <row r="460" spans="1:21" ht="15" customHeight="1" thickTop="1" thickBot="1">
      <c r="A460" s="321" t="s">
        <v>2137</v>
      </c>
      <c r="B460" s="322" t="s">
        <v>4</v>
      </c>
      <c r="C460" s="322" t="s">
        <v>901</v>
      </c>
      <c r="D460" s="322" t="s">
        <v>902</v>
      </c>
      <c r="E460" s="323">
        <v>114180308.1842</v>
      </c>
      <c r="F460" s="323"/>
      <c r="G460" s="314">
        <v>2.6020000000000001E-3</v>
      </c>
      <c r="H460" s="324">
        <v>2.48</v>
      </c>
      <c r="I460" s="322" t="s">
        <v>903</v>
      </c>
      <c r="J460" s="322">
        <v>4585</v>
      </c>
      <c r="K460" s="322">
        <v>6.2</v>
      </c>
      <c r="L460" s="322">
        <v>115.83</v>
      </c>
      <c r="M460" s="322" t="s">
        <v>6</v>
      </c>
      <c r="N460" s="322" t="s">
        <v>368</v>
      </c>
      <c r="O460" s="322" t="s">
        <v>429</v>
      </c>
      <c r="P460" s="322" t="s">
        <v>25</v>
      </c>
      <c r="Q460" s="322" t="s">
        <v>904</v>
      </c>
      <c r="R460" s="322" t="s">
        <v>905</v>
      </c>
      <c r="S460" s="303">
        <f t="shared" si="8"/>
        <v>707917910.74204004</v>
      </c>
      <c r="T460" s="307">
        <f>+IFERROR(VLOOKUP(C460,'Tasas Diarias'!$B:$F,5,FALSE)*G460,0)</f>
        <v>1.6264034092479386E-6</v>
      </c>
      <c r="U460" s="311" t="str">
        <f ca="1">+VLOOKUP(C460,Spreads!$A$2:$G$345,7,0)</f>
        <v/>
      </c>
    </row>
    <row r="461" spans="1:21" ht="15" customHeight="1" thickTop="1" thickBot="1">
      <c r="A461" s="321" t="s">
        <v>2137</v>
      </c>
      <c r="B461" s="322" t="s">
        <v>4</v>
      </c>
      <c r="C461" s="322" t="s">
        <v>732</v>
      </c>
      <c r="D461" s="322" t="s">
        <v>469</v>
      </c>
      <c r="E461" s="323">
        <v>29422.6947</v>
      </c>
      <c r="F461" s="323"/>
      <c r="G461" s="314">
        <v>9.9999999999999995E-7</v>
      </c>
      <c r="H461" s="324">
        <v>2.4700000000000002</v>
      </c>
      <c r="I461" s="322" t="s">
        <v>733</v>
      </c>
      <c r="J461" s="322">
        <v>4546</v>
      </c>
      <c r="K461" s="322">
        <v>6.28</v>
      </c>
      <c r="L461" s="322">
        <v>112.86</v>
      </c>
      <c r="M461" s="322" t="s">
        <v>6</v>
      </c>
      <c r="N461" s="322" t="s">
        <v>368</v>
      </c>
      <c r="O461" s="322" t="s">
        <v>429</v>
      </c>
      <c r="P461" s="322" t="s">
        <v>7</v>
      </c>
      <c r="Q461" s="322" t="s">
        <v>471</v>
      </c>
      <c r="R461" s="322" t="s">
        <v>472</v>
      </c>
      <c r="S461" s="303">
        <f t="shared" si="8"/>
        <v>184774.52271600001</v>
      </c>
      <c r="T461" s="307">
        <f>+IFERROR(VLOOKUP(C461,'Tasas Diarias'!$B:$F,5,FALSE)*G461,0)</f>
        <v>0</v>
      </c>
      <c r="U461" s="311" t="str">
        <f ca="1">+VLOOKUP(C461,Spreads!$A$2:$G$345,7,0)</f>
        <v/>
      </c>
    </row>
    <row r="462" spans="1:21" ht="15" customHeight="1" thickTop="1" thickBot="1">
      <c r="A462" s="327" t="s">
        <v>2137</v>
      </c>
      <c r="B462" s="328" t="s">
        <v>4</v>
      </c>
      <c r="C462" s="328" t="s">
        <v>1711</v>
      </c>
      <c r="D462" s="328" t="s">
        <v>1712</v>
      </c>
      <c r="E462" s="328">
        <v>34989563.234700002</v>
      </c>
      <c r="F462" s="328"/>
      <c r="G462" s="328">
        <v>7.9699999999999997E-4</v>
      </c>
      <c r="H462" s="329">
        <v>0</v>
      </c>
      <c r="I462" s="328" t="s">
        <v>1713</v>
      </c>
      <c r="J462" s="328">
        <v>2709</v>
      </c>
      <c r="K462" s="328">
        <v>6.32</v>
      </c>
      <c r="L462" s="328">
        <v>104.50749999999999</v>
      </c>
      <c r="M462" s="328" t="s">
        <v>369</v>
      </c>
      <c r="N462" s="328" t="s">
        <v>368</v>
      </c>
      <c r="O462" s="328" t="s">
        <v>8</v>
      </c>
      <c r="P462" s="328" t="s">
        <v>7</v>
      </c>
      <c r="Q462" s="328" t="s">
        <v>1370</v>
      </c>
      <c r="R462" s="328" t="s">
        <v>1714</v>
      </c>
      <c r="S462" s="303">
        <f t="shared" si="8"/>
        <v>221134039.64330402</v>
      </c>
      <c r="T462" s="307">
        <f>+IFERROR(VLOOKUP(C462,'Tasas Diarias'!$B:$F,5,FALSE)*G462,0)</f>
        <v>0</v>
      </c>
      <c r="U462" s="311" t="e">
        <f>+VLOOKUP(C462,Spreads!$A$2:$G$345,7,0)</f>
        <v>#N/A</v>
      </c>
    </row>
    <row r="463" spans="1:21" ht="15" customHeight="1" thickTop="1" thickBot="1">
      <c r="A463" s="321" t="s">
        <v>2137</v>
      </c>
      <c r="B463" s="322" t="s">
        <v>4</v>
      </c>
      <c r="C463" s="322" t="s">
        <v>734</v>
      </c>
      <c r="D463" s="322" t="s">
        <v>288</v>
      </c>
      <c r="E463" s="323">
        <v>17034.581399999999</v>
      </c>
      <c r="F463" s="323"/>
      <c r="G463" s="314">
        <v>0</v>
      </c>
      <c r="H463" s="324">
        <v>2.2000000000000002</v>
      </c>
      <c r="I463" s="322" t="s">
        <v>735</v>
      </c>
      <c r="J463" s="322">
        <v>2521</v>
      </c>
      <c r="K463" s="322">
        <v>6.35</v>
      </c>
      <c r="L463" s="322">
        <v>103.13</v>
      </c>
      <c r="M463" s="322" t="s">
        <v>6</v>
      </c>
      <c r="N463" s="322" t="s">
        <v>368</v>
      </c>
      <c r="O463" s="322" t="s">
        <v>1348</v>
      </c>
      <c r="P463" s="322" t="s">
        <v>392</v>
      </c>
      <c r="Q463" s="322" t="s">
        <v>83</v>
      </c>
      <c r="R463" s="322" t="s">
        <v>736</v>
      </c>
      <c r="S463" s="303">
        <f t="shared" si="8"/>
        <v>108169.59188999998</v>
      </c>
      <c r="T463" s="307">
        <f>+IFERROR(VLOOKUP(C463,'Tasas Diarias'!$B:$F,5,FALSE)*G463,0)</f>
        <v>0</v>
      </c>
      <c r="U463" s="311" t="str">
        <f ca="1">+VLOOKUP(C463,Spreads!$A$2:$G$345,7,0)</f>
        <v/>
      </c>
    </row>
    <row r="464" spans="1:21" ht="15" customHeight="1" thickTop="1" thickBot="1">
      <c r="A464" s="321" t="s">
        <v>2137</v>
      </c>
      <c r="B464" s="322" t="s">
        <v>4</v>
      </c>
      <c r="C464" s="322" t="s">
        <v>1419</v>
      </c>
      <c r="D464" s="322" t="s">
        <v>16</v>
      </c>
      <c r="E464" s="323">
        <v>18134.183799999999</v>
      </c>
      <c r="F464" s="323"/>
      <c r="G464" s="314">
        <v>0</v>
      </c>
      <c r="H464" s="324">
        <v>2.15</v>
      </c>
      <c r="I464" s="322" t="s">
        <v>855</v>
      </c>
      <c r="J464" s="322">
        <v>2568</v>
      </c>
      <c r="K464" s="322">
        <v>6.4</v>
      </c>
      <c r="L464" s="322">
        <v>103.27</v>
      </c>
      <c r="M464" s="322" t="s">
        <v>6</v>
      </c>
      <c r="N464" s="322" t="s">
        <v>368</v>
      </c>
      <c r="O464" s="322" t="s">
        <v>8</v>
      </c>
      <c r="P464" s="322" t="s">
        <v>379</v>
      </c>
      <c r="Q464" s="322" t="s">
        <v>61</v>
      </c>
      <c r="R464" s="322" t="s">
        <v>394</v>
      </c>
      <c r="S464" s="303">
        <f t="shared" si="8"/>
        <v>116058.77632</v>
      </c>
      <c r="T464" s="307">
        <f>+IFERROR(VLOOKUP(C464,'Tasas Diarias'!$B:$F,5,FALSE)*G464,0)</f>
        <v>0</v>
      </c>
      <c r="U464" s="311" t="e">
        <f>+VLOOKUP(C464,Spreads!$A$2:$G$345,7,0)</f>
        <v>#N/A</v>
      </c>
    </row>
    <row r="465" spans="1:21" ht="15" customHeight="1" thickTop="1" thickBot="1">
      <c r="A465" s="317" t="s">
        <v>2137</v>
      </c>
      <c r="B465" s="318" t="s">
        <v>4</v>
      </c>
      <c r="C465" s="318" t="s">
        <v>739</v>
      </c>
      <c r="D465" s="318" t="s">
        <v>173</v>
      </c>
      <c r="E465" s="319">
        <v>51322.183599999997</v>
      </c>
      <c r="F465" s="319"/>
      <c r="G465" s="314">
        <v>9.9999999999999995E-7</v>
      </c>
      <c r="H465" s="320">
        <v>2.27</v>
      </c>
      <c r="I465" s="318" t="s">
        <v>740</v>
      </c>
      <c r="J465" s="318">
        <v>2507</v>
      </c>
      <c r="K465" s="318">
        <v>6.43</v>
      </c>
      <c r="L465" s="318">
        <v>98.37</v>
      </c>
      <c r="M465" s="318" t="s">
        <v>6</v>
      </c>
      <c r="N465" s="318" t="s">
        <v>368</v>
      </c>
      <c r="O465" s="318" t="s">
        <v>8</v>
      </c>
      <c r="P465" s="318" t="s">
        <v>444</v>
      </c>
      <c r="Q465" s="318" t="s">
        <v>55</v>
      </c>
      <c r="R465" s="318" t="s">
        <v>445</v>
      </c>
      <c r="S465" s="303">
        <f t="shared" si="8"/>
        <v>330001.64054799994</v>
      </c>
      <c r="T465" s="307">
        <f>+IFERROR(VLOOKUP(C465,'Tasas Diarias'!$B:$F,5,FALSE)*G465,0)</f>
        <v>6.4886642222787608E-10</v>
      </c>
      <c r="U465" s="311" t="str">
        <f ca="1">+VLOOKUP(C465,Spreads!$A$2:$G$345,7,0)</f>
        <v/>
      </c>
    </row>
    <row r="466" spans="1:21" ht="15" customHeight="1" thickTop="1" thickBot="1">
      <c r="A466" s="321" t="s">
        <v>2137</v>
      </c>
      <c r="B466" s="322" t="s">
        <v>4</v>
      </c>
      <c r="C466" s="322" t="s">
        <v>909</v>
      </c>
      <c r="D466" s="322" t="s">
        <v>910</v>
      </c>
      <c r="E466" s="323">
        <v>6009149.8279999997</v>
      </c>
      <c r="F466" s="323"/>
      <c r="G466" s="314">
        <v>1.37E-4</v>
      </c>
      <c r="H466" s="324">
        <v>2.86</v>
      </c>
      <c r="I466" s="322" t="s">
        <v>911</v>
      </c>
      <c r="J466" s="322">
        <v>4682</v>
      </c>
      <c r="K466" s="322">
        <v>6.49</v>
      </c>
      <c r="L466" s="322">
        <v>109.98</v>
      </c>
      <c r="M466" s="322" t="s">
        <v>6</v>
      </c>
      <c r="N466" s="322" t="s">
        <v>368</v>
      </c>
      <c r="O466" s="322" t="s">
        <v>429</v>
      </c>
      <c r="P466" s="322" t="s">
        <v>417</v>
      </c>
      <c r="Q466" s="322" t="s">
        <v>912</v>
      </c>
      <c r="R466" s="322" t="s">
        <v>913</v>
      </c>
      <c r="S466" s="303">
        <f t="shared" si="8"/>
        <v>38999382.383720003</v>
      </c>
      <c r="T466" s="307">
        <f>+IFERROR(VLOOKUP(C466,'Tasas Diarias'!$B:$F,5,FALSE)*G466,0)</f>
        <v>8.9719237515026363E-8</v>
      </c>
      <c r="U466" s="311" t="str">
        <f ca="1">+VLOOKUP(C466,Spreads!$A$2:$G$345,7,0)</f>
        <v/>
      </c>
    </row>
    <row r="467" spans="1:21" ht="15" customHeight="1" thickTop="1" thickBot="1">
      <c r="A467" s="321" t="s">
        <v>2137</v>
      </c>
      <c r="B467" s="322" t="s">
        <v>4</v>
      </c>
      <c r="C467" s="322" t="s">
        <v>1529</v>
      </c>
      <c r="D467" s="322" t="s">
        <v>294</v>
      </c>
      <c r="E467" s="323">
        <v>25786.9722</v>
      </c>
      <c r="F467" s="323"/>
      <c r="G467" s="314">
        <v>9.9999999999999995E-7</v>
      </c>
      <c r="H467" s="322">
        <v>2.16</v>
      </c>
      <c r="I467" s="322" t="s">
        <v>742</v>
      </c>
      <c r="J467" s="322">
        <v>2658</v>
      </c>
      <c r="K467" s="322">
        <v>6.58</v>
      </c>
      <c r="L467" s="322">
        <v>105.52</v>
      </c>
      <c r="M467" s="322" t="s">
        <v>6</v>
      </c>
      <c r="N467" s="322" t="s">
        <v>368</v>
      </c>
      <c r="O467" s="322" t="s">
        <v>8</v>
      </c>
      <c r="P467" s="322" t="s">
        <v>379</v>
      </c>
      <c r="Q467" s="322" t="s">
        <v>74</v>
      </c>
      <c r="R467" s="322" t="s">
        <v>407</v>
      </c>
      <c r="S467" s="303">
        <f t="shared" si="8"/>
        <v>169678.277076</v>
      </c>
      <c r="T467" s="307">
        <f>+IFERROR(VLOOKUP(C467,'Tasas Diarias'!$B:$F,5,FALSE)*G467,0)</f>
        <v>6.6388583090442574E-10</v>
      </c>
      <c r="U467" s="311" t="e">
        <f>+VLOOKUP(C467,Spreads!$A$2:$G$345,7,0)</f>
        <v>#N/A</v>
      </c>
    </row>
    <row r="468" spans="1:21" ht="15" customHeight="1" thickTop="1" thickBot="1">
      <c r="A468" s="321" t="s">
        <v>2137</v>
      </c>
      <c r="B468" s="322" t="s">
        <v>4</v>
      </c>
      <c r="C468" s="322" t="s">
        <v>738</v>
      </c>
      <c r="D468" s="322" t="s">
        <v>290</v>
      </c>
      <c r="E468" s="323">
        <v>698507089.59290004</v>
      </c>
      <c r="F468" s="323">
        <v>20000</v>
      </c>
      <c r="G468" s="314">
        <v>1.5918999999999999E-2</v>
      </c>
      <c r="H468" s="324">
        <v>2.46</v>
      </c>
      <c r="I468" s="322" t="s">
        <v>723</v>
      </c>
      <c r="J468" s="322">
        <v>4759</v>
      </c>
      <c r="K468" s="322">
        <v>6.61</v>
      </c>
      <c r="L468" s="322">
        <v>113.63</v>
      </c>
      <c r="M468" s="322" t="s">
        <v>6</v>
      </c>
      <c r="N468" s="322" t="s">
        <v>368</v>
      </c>
      <c r="O468" s="322" t="s">
        <v>1350</v>
      </c>
      <c r="P468" s="322" t="s">
        <v>392</v>
      </c>
      <c r="Q468" s="322" t="s">
        <v>84</v>
      </c>
      <c r="R468" s="322" t="s">
        <v>582</v>
      </c>
      <c r="S468" s="303">
        <f t="shared" si="8"/>
        <v>4617131862.2090693</v>
      </c>
      <c r="T468" s="307">
        <f>+IFERROR(VLOOKUP(C468,'Tasas Diarias'!$B:$F,5,FALSE)*G468,0)</f>
        <v>1.0601463852133463E-5</v>
      </c>
      <c r="U468" s="311" t="str">
        <f ca="1">+VLOOKUP(C468,Spreads!$A$2:$G$345,7,0)</f>
        <v/>
      </c>
    </row>
    <row r="469" spans="1:21" ht="15" customHeight="1" thickTop="1" thickBot="1">
      <c r="A469" s="317" t="s">
        <v>2137</v>
      </c>
      <c r="B469" s="318" t="s">
        <v>4</v>
      </c>
      <c r="C469" s="318" t="s">
        <v>906</v>
      </c>
      <c r="D469" s="318" t="s">
        <v>24</v>
      </c>
      <c r="E469" s="319">
        <v>831605344.18830001</v>
      </c>
      <c r="F469" s="319">
        <v>28000</v>
      </c>
      <c r="G469" s="314">
        <v>1.8953000000000001E-2</v>
      </c>
      <c r="H469" s="320">
        <v>2.44</v>
      </c>
      <c r="I469" s="318" t="s">
        <v>907</v>
      </c>
      <c r="J469" s="318">
        <v>5124</v>
      </c>
      <c r="K469" s="318">
        <v>6.61</v>
      </c>
      <c r="L469" s="318">
        <v>103.63</v>
      </c>
      <c r="M469" s="318" t="s">
        <v>6</v>
      </c>
      <c r="N469" s="318" t="s">
        <v>368</v>
      </c>
      <c r="O469" s="318" t="s">
        <v>8</v>
      </c>
      <c r="P469" s="318" t="s">
        <v>25</v>
      </c>
      <c r="Q469" s="318" t="s">
        <v>51</v>
      </c>
      <c r="R469" s="318" t="s">
        <v>908</v>
      </c>
      <c r="S469" s="303">
        <f t="shared" si="8"/>
        <v>5496911325.0846634</v>
      </c>
      <c r="T469" s="307">
        <f>+IFERROR(VLOOKUP(C469,'Tasas Diarias'!$B:$F,5,FALSE)*G469,0)</f>
        <v>0</v>
      </c>
      <c r="U469" s="311" t="str">
        <f ca="1">+VLOOKUP(C469,Spreads!$A$2:$G$345,7,0)</f>
        <v/>
      </c>
    </row>
    <row r="470" spans="1:21" ht="15" customHeight="1" thickTop="1" thickBot="1">
      <c r="A470" s="321" t="s">
        <v>2137</v>
      </c>
      <c r="B470" s="322" t="s">
        <v>4</v>
      </c>
      <c r="C470" s="322" t="s">
        <v>741</v>
      </c>
      <c r="D470" s="322" t="s">
        <v>24</v>
      </c>
      <c r="E470" s="323">
        <v>43299.1587</v>
      </c>
      <c r="F470" s="323"/>
      <c r="G470" s="314">
        <v>9.9999999999999995E-7</v>
      </c>
      <c r="H470" s="324">
        <v>2.25</v>
      </c>
      <c r="I470" s="322" t="s">
        <v>742</v>
      </c>
      <c r="J470" s="322">
        <v>2658</v>
      </c>
      <c r="K470" s="322">
        <v>6.62</v>
      </c>
      <c r="L470" s="322">
        <v>103.4</v>
      </c>
      <c r="M470" s="322" t="s">
        <v>6</v>
      </c>
      <c r="N470" s="322" t="s">
        <v>368</v>
      </c>
      <c r="O470" s="322" t="s">
        <v>8</v>
      </c>
      <c r="P470" s="322" t="s">
        <v>392</v>
      </c>
      <c r="Q470" s="322" t="s">
        <v>51</v>
      </c>
      <c r="R470" s="322" t="s">
        <v>414</v>
      </c>
      <c r="S470" s="303">
        <f t="shared" si="8"/>
        <v>286640.43059399998</v>
      </c>
      <c r="T470" s="307">
        <f>+IFERROR(VLOOKUP(C470,'Tasas Diarias'!$B:$F,5,FALSE)*G470,0)</f>
        <v>6.6788731231875535E-10</v>
      </c>
      <c r="U470" s="311" t="str">
        <f ca="1">+VLOOKUP(C470,Spreads!$A$2:$G$345,7,0)</f>
        <v/>
      </c>
    </row>
    <row r="471" spans="1:21" ht="15" customHeight="1" thickTop="1" thickBot="1">
      <c r="A471" s="317" t="s">
        <v>2137</v>
      </c>
      <c r="B471" s="318" t="s">
        <v>4</v>
      </c>
      <c r="C471" s="318" t="s">
        <v>746</v>
      </c>
      <c r="D471" s="318" t="s">
        <v>182</v>
      </c>
      <c r="E471" s="319">
        <v>38349.096700000002</v>
      </c>
      <c r="F471" s="319"/>
      <c r="G471" s="314">
        <v>9.9999999999999995E-7</v>
      </c>
      <c r="H471" s="320">
        <v>2.16</v>
      </c>
      <c r="I471" s="318" t="s">
        <v>747</v>
      </c>
      <c r="J471" s="318">
        <v>2780</v>
      </c>
      <c r="K471" s="318">
        <v>6.72</v>
      </c>
      <c r="L471" s="318">
        <v>109.1</v>
      </c>
      <c r="M471" s="318" t="s">
        <v>6</v>
      </c>
      <c r="N471" s="318" t="s">
        <v>368</v>
      </c>
      <c r="O471" s="318" t="s">
        <v>8</v>
      </c>
      <c r="P471" s="318" t="s">
        <v>7</v>
      </c>
      <c r="Q471" s="318" t="s">
        <v>390</v>
      </c>
      <c r="R471" s="318" t="s">
        <v>402</v>
      </c>
      <c r="S471" s="303">
        <f t="shared" si="8"/>
        <v>257705.92982399999</v>
      </c>
      <c r="T471" s="307">
        <f>+IFERROR(VLOOKUP(C471,'Tasas Diarias'!$B:$F,5,FALSE)*G471,0)</f>
        <v>1.3546955990519411E-9</v>
      </c>
      <c r="U471" s="311" t="str">
        <f ca="1">+VLOOKUP(C471,Spreads!$A$2:$G$345,7,0)</f>
        <v/>
      </c>
    </row>
    <row r="472" spans="1:21" ht="15" customHeight="1" thickTop="1" thickBot="1">
      <c r="A472" s="321" t="s">
        <v>2137</v>
      </c>
      <c r="B472" s="322" t="s">
        <v>4</v>
      </c>
      <c r="C472" s="322" t="s">
        <v>748</v>
      </c>
      <c r="D472" s="322" t="s">
        <v>32</v>
      </c>
      <c r="E472" s="323">
        <v>30981.390299999999</v>
      </c>
      <c r="F472" s="323"/>
      <c r="G472" s="314">
        <v>9.9999999999999995E-7</v>
      </c>
      <c r="H472" s="324">
        <v>2.29</v>
      </c>
      <c r="I472" s="322" t="s">
        <v>749</v>
      </c>
      <c r="J472" s="322">
        <v>2719</v>
      </c>
      <c r="K472" s="322">
        <v>6.74</v>
      </c>
      <c r="L472" s="322">
        <v>104.92</v>
      </c>
      <c r="M472" s="322" t="s">
        <v>6</v>
      </c>
      <c r="N472" s="322" t="s">
        <v>368</v>
      </c>
      <c r="O472" s="322" t="s">
        <v>8</v>
      </c>
      <c r="P472" s="322" t="s">
        <v>379</v>
      </c>
      <c r="Q472" s="322" t="s">
        <v>67</v>
      </c>
      <c r="R472" s="322" t="s">
        <v>389</v>
      </c>
      <c r="S472" s="303">
        <f t="shared" si="8"/>
        <v>208814.570622</v>
      </c>
      <c r="T472" s="307">
        <f>+IFERROR(VLOOKUP(C472,'Tasas Diarias'!$B:$F,5,FALSE)*G472,0)</f>
        <v>1.3405944204248611E-9</v>
      </c>
      <c r="U472" s="311" t="str">
        <f ca="1">+VLOOKUP(C472,Spreads!$A$2:$G$345,7,0)</f>
        <v/>
      </c>
    </row>
    <row r="473" spans="1:21" ht="15" customHeight="1" thickTop="1" thickBot="1">
      <c r="A473" s="317" t="s">
        <v>2137</v>
      </c>
      <c r="B473" s="318" t="s">
        <v>4</v>
      </c>
      <c r="C473" s="318" t="s">
        <v>1501</v>
      </c>
      <c r="D473" s="318" t="s">
        <v>294</v>
      </c>
      <c r="E473" s="319">
        <v>46449.871299999999</v>
      </c>
      <c r="F473" s="319"/>
      <c r="G473" s="314">
        <v>9.9999999999999995E-7</v>
      </c>
      <c r="H473" s="318">
        <v>2.16</v>
      </c>
      <c r="I473" s="318" t="s">
        <v>1502</v>
      </c>
      <c r="J473" s="318">
        <v>2750</v>
      </c>
      <c r="K473" s="318">
        <v>6.74</v>
      </c>
      <c r="L473" s="318">
        <v>105.65</v>
      </c>
      <c r="M473" s="318" t="s">
        <v>6</v>
      </c>
      <c r="N473" s="318" t="s">
        <v>368</v>
      </c>
      <c r="O473" s="318" t="s">
        <v>8</v>
      </c>
      <c r="P473" s="318" t="s">
        <v>379</v>
      </c>
      <c r="Q473" s="318" t="s">
        <v>74</v>
      </c>
      <c r="R473" s="318" t="s">
        <v>407</v>
      </c>
      <c r="S473" s="303">
        <f t="shared" si="8"/>
        <v>313072.13256200001</v>
      </c>
      <c r="T473" s="307">
        <f>+IFERROR(VLOOKUP(C473,'Tasas Diarias'!$B:$F,5,FALSE)*G473,0)</f>
        <v>1.3583942955466211E-9</v>
      </c>
      <c r="U473" s="311" t="e">
        <f>+VLOOKUP(C473,Spreads!$A$2:$G$345,7,0)</f>
        <v>#N/A</v>
      </c>
    </row>
    <row r="474" spans="1:21" ht="15" customHeight="1" thickTop="1" thickBot="1">
      <c r="A474" s="317" t="s">
        <v>2137</v>
      </c>
      <c r="B474" s="318" t="s">
        <v>4</v>
      </c>
      <c r="C474" s="318" t="s">
        <v>2105</v>
      </c>
      <c r="D474" s="318" t="s">
        <v>11</v>
      </c>
      <c r="E474" s="319">
        <v>36927.388500000001</v>
      </c>
      <c r="F474" s="319"/>
      <c r="G474" s="314">
        <v>9.9999999999999995E-7</v>
      </c>
      <c r="H474" s="320">
        <v>2.25</v>
      </c>
      <c r="I474" s="318" t="s">
        <v>747</v>
      </c>
      <c r="J474" s="318">
        <v>2780</v>
      </c>
      <c r="K474" s="318">
        <v>6.82</v>
      </c>
      <c r="L474" s="318">
        <v>105.24</v>
      </c>
      <c r="M474" s="318" t="s">
        <v>6</v>
      </c>
      <c r="N474" s="318" t="s">
        <v>368</v>
      </c>
      <c r="O474" s="318" t="s">
        <v>8</v>
      </c>
      <c r="P474" s="318" t="s">
        <v>7</v>
      </c>
      <c r="Q474" s="318" t="s">
        <v>326</v>
      </c>
      <c r="R474" s="318" t="s">
        <v>450</v>
      </c>
      <c r="S474" s="303">
        <f t="shared" si="8"/>
        <v>251844.78957000002</v>
      </c>
      <c r="T474" s="307">
        <f>+IFERROR(VLOOKUP(C474,'Tasas Diarias'!$B:$F,5,FALSE)*G474,0)</f>
        <v>0</v>
      </c>
      <c r="U474" s="311" t="e">
        <f>+VLOOKUP(C474,Spreads!$A$2:$G$345,7,0)</f>
        <v>#N/A</v>
      </c>
    </row>
    <row r="475" spans="1:21" ht="15" customHeight="1" thickTop="1" thickBot="1">
      <c r="A475" s="321" t="s">
        <v>2137</v>
      </c>
      <c r="B475" s="322" t="s">
        <v>4</v>
      </c>
      <c r="C475" s="322" t="s">
        <v>914</v>
      </c>
      <c r="D475" s="322" t="s">
        <v>844</v>
      </c>
      <c r="E475" s="323">
        <v>32320180.0429</v>
      </c>
      <c r="F475" s="323"/>
      <c r="G475" s="314">
        <v>7.3700000000000002E-4</v>
      </c>
      <c r="H475" s="324">
        <v>2.37</v>
      </c>
      <c r="I475" s="322" t="s">
        <v>915</v>
      </c>
      <c r="J475" s="322">
        <v>3115</v>
      </c>
      <c r="K475" s="322">
        <v>6.82</v>
      </c>
      <c r="L475" s="322">
        <v>130.13999999999999</v>
      </c>
      <c r="M475" s="322" t="s">
        <v>6</v>
      </c>
      <c r="N475" s="322" t="s">
        <v>368</v>
      </c>
      <c r="O475" s="322" t="s">
        <v>1346</v>
      </c>
      <c r="P475" s="322" t="s">
        <v>392</v>
      </c>
      <c r="Q475" s="322" t="s">
        <v>845</v>
      </c>
      <c r="R475" s="322" t="s">
        <v>846</v>
      </c>
      <c r="S475" s="303">
        <f t="shared" si="8"/>
        <v>220423627.89257801</v>
      </c>
      <c r="T475" s="307">
        <f>+IFERROR(VLOOKUP(C475,'Tasas Diarias'!$B:$F,5,FALSE)*G475,0)</f>
        <v>1.0129090475674506E-6</v>
      </c>
      <c r="U475" s="311" t="str">
        <f ca="1">+VLOOKUP(C475,Spreads!$A$2:$G$345,7,0)</f>
        <v/>
      </c>
    </row>
    <row r="476" spans="1:21" ht="15" customHeight="1" thickTop="1" thickBot="1">
      <c r="A476" s="321" t="s">
        <v>2137</v>
      </c>
      <c r="B476" s="322" t="s">
        <v>4</v>
      </c>
      <c r="C476" s="322" t="s">
        <v>1266</v>
      </c>
      <c r="D476" s="322" t="s">
        <v>176</v>
      </c>
      <c r="E476" s="323">
        <v>28737.757099999999</v>
      </c>
      <c r="F476" s="323"/>
      <c r="G476" s="314">
        <v>9.9999999999999995E-7</v>
      </c>
      <c r="H476" s="324">
        <v>2.5499999999999998</v>
      </c>
      <c r="I476" s="322" t="s">
        <v>1267</v>
      </c>
      <c r="J476" s="322">
        <v>5611</v>
      </c>
      <c r="K476" s="322">
        <v>6.83</v>
      </c>
      <c r="L476" s="322">
        <v>106.4</v>
      </c>
      <c r="M476" s="322" t="s">
        <v>6</v>
      </c>
      <c r="N476" s="322" t="s">
        <v>368</v>
      </c>
      <c r="O476" s="322" t="s">
        <v>8</v>
      </c>
      <c r="P476" s="322" t="s">
        <v>392</v>
      </c>
      <c r="Q476" s="322" t="s">
        <v>326</v>
      </c>
      <c r="R476" s="322" t="s">
        <v>1268</v>
      </c>
      <c r="S476" s="303">
        <f t="shared" si="8"/>
        <v>196278.880993</v>
      </c>
      <c r="T476" s="307">
        <f>+IFERROR(VLOOKUP(C476,'Tasas Diarias'!$B:$F,5,FALSE)*G476,0)</f>
        <v>0</v>
      </c>
      <c r="U476" s="311" t="str">
        <f ca="1">+VLOOKUP(C476,Spreads!$A$2:$G$345,7,0)</f>
        <v/>
      </c>
    </row>
    <row r="477" spans="1:21" ht="15" customHeight="1" thickTop="1" thickBot="1">
      <c r="A477" s="317" t="s">
        <v>2137</v>
      </c>
      <c r="B477" s="318" t="s">
        <v>4</v>
      </c>
      <c r="C477" s="318" t="s">
        <v>1719</v>
      </c>
      <c r="D477" s="318" t="s">
        <v>1720</v>
      </c>
      <c r="E477" s="319">
        <v>28471054.164799999</v>
      </c>
      <c r="F477" s="319"/>
      <c r="G477" s="314">
        <v>6.4899999999999995E-4</v>
      </c>
      <c r="H477" s="320">
        <v>0</v>
      </c>
      <c r="I477" s="318" t="s">
        <v>1721</v>
      </c>
      <c r="J477" s="318">
        <v>3158</v>
      </c>
      <c r="K477" s="318">
        <v>6.88</v>
      </c>
      <c r="L477" s="318">
        <v>107.8853</v>
      </c>
      <c r="M477" s="318" t="s">
        <v>369</v>
      </c>
      <c r="N477" s="318" t="s">
        <v>368</v>
      </c>
      <c r="O477" s="318" t="s">
        <v>1346</v>
      </c>
      <c r="P477" s="318" t="s">
        <v>25</v>
      </c>
      <c r="Q477" s="318" t="s">
        <v>1722</v>
      </c>
      <c r="R477" s="318" t="s">
        <v>1723</v>
      </c>
      <c r="S477" s="303">
        <f t="shared" si="8"/>
        <v>195880852.653824</v>
      </c>
      <c r="T477" s="307">
        <f>+IFERROR(VLOOKUP(C477,'Tasas Diarias'!$B:$F,5,FALSE)*G477,0)</f>
        <v>0</v>
      </c>
      <c r="U477" s="311" t="e">
        <f>+VLOOKUP(C477,Spreads!$A$2:$G$345,7,0)</f>
        <v>#N/A</v>
      </c>
    </row>
    <row r="478" spans="1:21" ht="15" customHeight="1" thickTop="1" thickBot="1">
      <c r="A478" s="321" t="s">
        <v>2137</v>
      </c>
      <c r="B478" s="322" t="s">
        <v>4</v>
      </c>
      <c r="C478" s="322" t="s">
        <v>1844</v>
      </c>
      <c r="D478" s="322" t="s">
        <v>1720</v>
      </c>
      <c r="E478" s="323">
        <v>3833033.8325999998</v>
      </c>
      <c r="F478" s="323"/>
      <c r="G478" s="314">
        <v>8.7000000000000001E-5</v>
      </c>
      <c r="H478" s="322">
        <v>0</v>
      </c>
      <c r="I478" s="322" t="s">
        <v>1721</v>
      </c>
      <c r="J478" s="322">
        <v>3158</v>
      </c>
      <c r="K478" s="322">
        <v>6.88</v>
      </c>
      <c r="L478" s="322">
        <v>107.58199999999999</v>
      </c>
      <c r="M478" s="322" t="s">
        <v>369</v>
      </c>
      <c r="N478" s="322" t="s">
        <v>368</v>
      </c>
      <c r="O478" s="322" t="s">
        <v>1346</v>
      </c>
      <c r="P478" s="322" t="s">
        <v>25</v>
      </c>
      <c r="Q478" s="322" t="s">
        <v>1722</v>
      </c>
      <c r="R478" s="322" t="s">
        <v>1723</v>
      </c>
      <c r="S478" s="303">
        <f t="shared" si="8"/>
        <v>26371272.768287998</v>
      </c>
      <c r="T478" s="307">
        <f>+IFERROR(VLOOKUP(C478,'Tasas Diarias'!$B:$F,5,FALSE)*G478,0)</f>
        <v>0</v>
      </c>
      <c r="U478" s="311" t="e">
        <f>+VLOOKUP(C478,Spreads!$A$2:$G$345,7,0)</f>
        <v>#N/A</v>
      </c>
    </row>
    <row r="479" spans="1:21" ht="15" customHeight="1" thickTop="1" thickBot="1">
      <c r="A479" s="321" t="s">
        <v>2137</v>
      </c>
      <c r="B479" s="322" t="s">
        <v>4</v>
      </c>
      <c r="C479" s="322" t="s">
        <v>1845</v>
      </c>
      <c r="D479" s="322" t="s">
        <v>1846</v>
      </c>
      <c r="E479" s="323">
        <v>15057787.305400001</v>
      </c>
      <c r="F479" s="323"/>
      <c r="G479" s="314">
        <v>3.4299999999999999E-4</v>
      </c>
      <c r="H479" s="324">
        <v>0</v>
      </c>
      <c r="I479" s="322" t="s">
        <v>1847</v>
      </c>
      <c r="J479" s="322">
        <v>3185</v>
      </c>
      <c r="K479" s="322">
        <v>6.89</v>
      </c>
      <c r="L479" s="322">
        <v>114.5157</v>
      </c>
      <c r="M479" s="322" t="s">
        <v>369</v>
      </c>
      <c r="N479" s="322" t="s">
        <v>368</v>
      </c>
      <c r="O479" s="322" t="s">
        <v>1348</v>
      </c>
      <c r="P479" s="322" t="s">
        <v>25</v>
      </c>
      <c r="Q479" s="322" t="s">
        <v>1848</v>
      </c>
      <c r="R479" s="322" t="s">
        <v>1849</v>
      </c>
      <c r="S479" s="303">
        <f t="shared" si="8"/>
        <v>103748154.534206</v>
      </c>
      <c r="T479" s="307">
        <f>+IFERROR(VLOOKUP(C479,'Tasas Diarias'!$B:$F,5,FALSE)*G479,0)</f>
        <v>0</v>
      </c>
      <c r="U479" s="311" t="e">
        <f>+VLOOKUP(C479,Spreads!$A$2:$G$345,7,0)</f>
        <v>#N/A</v>
      </c>
    </row>
    <row r="480" spans="1:21" ht="15" customHeight="1" thickTop="1" thickBot="1">
      <c r="A480" s="321" t="s">
        <v>2137</v>
      </c>
      <c r="B480" s="322" t="s">
        <v>4</v>
      </c>
      <c r="C480" s="322" t="s">
        <v>2147</v>
      </c>
      <c r="D480" s="322" t="s">
        <v>1523</v>
      </c>
      <c r="E480" s="323">
        <v>41437288.007799998</v>
      </c>
      <c r="F480" s="323"/>
      <c r="G480" s="314">
        <v>9.4399999999999996E-4</v>
      </c>
      <c r="H480" s="337">
        <v>2.54</v>
      </c>
      <c r="I480" s="322" t="s">
        <v>751</v>
      </c>
      <c r="J480" s="322">
        <v>4863</v>
      </c>
      <c r="K480" s="322">
        <v>6.89</v>
      </c>
      <c r="L480" s="322">
        <v>113.67</v>
      </c>
      <c r="M480" s="322" t="s">
        <v>6</v>
      </c>
      <c r="N480" s="322" t="s">
        <v>368</v>
      </c>
      <c r="O480" s="322" t="s">
        <v>8</v>
      </c>
      <c r="P480" s="322" t="s">
        <v>25</v>
      </c>
      <c r="Q480" s="322" t="s">
        <v>325</v>
      </c>
      <c r="R480" s="322" t="s">
        <v>1525</v>
      </c>
      <c r="S480" s="303">
        <f t="shared" si="8"/>
        <v>285502914.37374198</v>
      </c>
      <c r="T480" s="307">
        <f>+IFERROR(VLOOKUP(C480,'Tasas Diarias'!$B:$F,5,FALSE)*G480,0)</f>
        <v>0</v>
      </c>
      <c r="U480" s="311" t="e">
        <f>+VLOOKUP(C480,Spreads!$A$2:$G$345,7,0)</f>
        <v>#N/A</v>
      </c>
    </row>
    <row r="481" spans="1:21" ht="15" customHeight="1" thickTop="1" thickBot="1">
      <c r="A481" s="317" t="s">
        <v>2137</v>
      </c>
      <c r="B481" s="318" t="s">
        <v>4</v>
      </c>
      <c r="C481" s="318" t="s">
        <v>1715</v>
      </c>
      <c r="D481" s="318" t="s">
        <v>1716</v>
      </c>
      <c r="E481" s="319">
        <v>31675439.094799999</v>
      </c>
      <c r="F481" s="319"/>
      <c r="G481" s="314">
        <v>7.2199999999999999E-4</v>
      </c>
      <c r="H481" s="320">
        <v>0</v>
      </c>
      <c r="I481" s="318" t="s">
        <v>1717</v>
      </c>
      <c r="J481" s="318">
        <v>3082</v>
      </c>
      <c r="K481" s="318">
        <v>6.92</v>
      </c>
      <c r="L481" s="318">
        <v>108.36069999999999</v>
      </c>
      <c r="M481" s="318" t="s">
        <v>369</v>
      </c>
      <c r="N481" s="318" t="s">
        <v>368</v>
      </c>
      <c r="O481" s="318" t="s">
        <v>8</v>
      </c>
      <c r="P481" s="318" t="s">
        <v>392</v>
      </c>
      <c r="Q481" s="318" t="s">
        <v>1373</v>
      </c>
      <c r="R481" s="318" t="s">
        <v>1718</v>
      </c>
      <c r="S481" s="303">
        <f t="shared" si="8"/>
        <v>219194038.53601599</v>
      </c>
      <c r="T481" s="307">
        <f>+IFERROR(VLOOKUP(C481,'Tasas Diarias'!$B:$F,5,FALSE)*G481,0)</f>
        <v>0</v>
      </c>
      <c r="U481" s="311" t="e">
        <f>+VLOOKUP(C481,Spreads!$A$2:$G$345,7,0)</f>
        <v>#N/A</v>
      </c>
    </row>
    <row r="482" spans="1:21" ht="15" customHeight="1" thickTop="1" thickBot="1">
      <c r="A482" s="321" t="s">
        <v>2137</v>
      </c>
      <c r="B482" s="322" t="s">
        <v>4</v>
      </c>
      <c r="C482" s="322" t="s">
        <v>1724</v>
      </c>
      <c r="D482" s="322" t="s">
        <v>1681</v>
      </c>
      <c r="E482" s="323">
        <v>32873164.186000001</v>
      </c>
      <c r="F482" s="323"/>
      <c r="G482" s="314">
        <v>7.4899999999999999E-4</v>
      </c>
      <c r="H482" s="324">
        <v>0</v>
      </c>
      <c r="I482" s="322" t="s">
        <v>1725</v>
      </c>
      <c r="J482" s="322">
        <v>3140</v>
      </c>
      <c r="K482" s="322">
        <v>6.92</v>
      </c>
      <c r="L482" s="322">
        <v>107.0033</v>
      </c>
      <c r="M482" s="322" t="s">
        <v>369</v>
      </c>
      <c r="N482" s="322" t="s">
        <v>368</v>
      </c>
      <c r="O482" s="322" t="s">
        <v>1346</v>
      </c>
      <c r="P482" s="322" t="s">
        <v>417</v>
      </c>
      <c r="Q482" s="322" t="s">
        <v>1366</v>
      </c>
      <c r="R482" s="322" t="s">
        <v>1683</v>
      </c>
      <c r="S482" s="303">
        <f t="shared" si="8"/>
        <v>227482296.16712001</v>
      </c>
      <c r="T482" s="307">
        <f>+IFERROR(VLOOKUP(C482,'Tasas Diarias'!$B:$F,5,FALSE)*G482,0)</f>
        <v>0</v>
      </c>
      <c r="U482" s="311" t="e">
        <f>+VLOOKUP(C482,Spreads!$A$2:$G$345,7,0)</f>
        <v>#N/A</v>
      </c>
    </row>
    <row r="483" spans="1:21" ht="15" customHeight="1" thickTop="1" thickBot="1">
      <c r="A483" s="321" t="s">
        <v>2137</v>
      </c>
      <c r="B483" s="322" t="s">
        <v>4</v>
      </c>
      <c r="C483" s="322" t="s">
        <v>17</v>
      </c>
      <c r="D483" s="322" t="s">
        <v>115</v>
      </c>
      <c r="E483" s="323">
        <v>1047829860</v>
      </c>
      <c r="F483" s="323">
        <v>1035000000</v>
      </c>
      <c r="G483" s="314">
        <v>2.3879999999999998E-2</v>
      </c>
      <c r="H483" s="324">
        <v>4.51</v>
      </c>
      <c r="I483" s="322" t="s">
        <v>770</v>
      </c>
      <c r="J483" s="322">
        <v>3023</v>
      </c>
      <c r="K483" s="322">
        <v>6.94</v>
      </c>
      <c r="L483" s="322">
        <v>100.27</v>
      </c>
      <c r="M483" s="322" t="s">
        <v>9</v>
      </c>
      <c r="N483" s="322" t="s">
        <v>458</v>
      </c>
      <c r="O483" s="322" t="s">
        <v>378</v>
      </c>
      <c r="P483" s="322" t="s">
        <v>379</v>
      </c>
      <c r="Q483" s="322" t="s">
        <v>2139</v>
      </c>
      <c r="R483" s="322" t="s">
        <v>885</v>
      </c>
      <c r="S483" s="303">
        <f t="shared" si="8"/>
        <v>7271939228.4000006</v>
      </c>
      <c r="T483" s="307">
        <f>+IFERROR(VLOOKUP(C483,'Tasas Diarias'!$B:$F,5,FALSE)*G483,0)</f>
        <v>0</v>
      </c>
      <c r="U483" s="311" t="str">
        <f>+VLOOKUP(C483,Spreads!$A$2:$G$345,7,0)</f>
        <v/>
      </c>
    </row>
    <row r="484" spans="1:21" ht="15" customHeight="1" thickTop="1" thickBot="1">
      <c r="A484" s="321" t="s">
        <v>2137</v>
      </c>
      <c r="B484" s="322" t="s">
        <v>4</v>
      </c>
      <c r="C484" s="322" t="s">
        <v>1726</v>
      </c>
      <c r="D484" s="322" t="s">
        <v>1727</v>
      </c>
      <c r="E484" s="323">
        <v>16431095.1325</v>
      </c>
      <c r="F484" s="323"/>
      <c r="G484" s="314">
        <v>3.7399999999999998E-4</v>
      </c>
      <c r="H484" s="324">
        <v>0</v>
      </c>
      <c r="I484" s="322" t="s">
        <v>1728</v>
      </c>
      <c r="J484" s="322">
        <v>3107</v>
      </c>
      <c r="K484" s="322">
        <v>6.96</v>
      </c>
      <c r="L484" s="322">
        <v>105.4845</v>
      </c>
      <c r="M484" s="322" t="s">
        <v>369</v>
      </c>
      <c r="N484" s="322" t="s">
        <v>368</v>
      </c>
      <c r="O484" s="322" t="s">
        <v>1494</v>
      </c>
      <c r="P484" s="322" t="s">
        <v>417</v>
      </c>
      <c r="Q484" s="322" t="s">
        <v>1374</v>
      </c>
      <c r="R484" s="322" t="s">
        <v>1729</v>
      </c>
      <c r="S484" s="303">
        <f t="shared" si="8"/>
        <v>114360422.1222</v>
      </c>
      <c r="T484" s="307">
        <f>+IFERROR(VLOOKUP(C484,'Tasas Diarias'!$B:$F,5,FALSE)*G484,0)</f>
        <v>0</v>
      </c>
      <c r="U484" s="311" t="e">
        <f>+VLOOKUP(C484,Spreads!$A$2:$G$345,7,0)</f>
        <v>#N/A</v>
      </c>
    </row>
    <row r="485" spans="1:21" ht="15" customHeight="1" thickTop="1" thickBot="1">
      <c r="A485" s="321" t="s">
        <v>2137</v>
      </c>
      <c r="B485" s="322" t="s">
        <v>4</v>
      </c>
      <c r="C485" s="322" t="s">
        <v>752</v>
      </c>
      <c r="D485" s="322" t="s">
        <v>286</v>
      </c>
      <c r="E485" s="323">
        <v>93425372.548199996</v>
      </c>
      <c r="F485" s="323"/>
      <c r="G485" s="314">
        <v>2.1289999999999998E-3</v>
      </c>
      <c r="H485" s="324">
        <v>2.3199999999999998</v>
      </c>
      <c r="I485" s="322" t="s">
        <v>753</v>
      </c>
      <c r="J485" s="322">
        <v>2842</v>
      </c>
      <c r="K485" s="322">
        <v>7.01</v>
      </c>
      <c r="L485" s="322">
        <v>104.02</v>
      </c>
      <c r="M485" s="322" t="s">
        <v>6</v>
      </c>
      <c r="N485" s="322" t="s">
        <v>368</v>
      </c>
      <c r="O485" s="322" t="s">
        <v>1346</v>
      </c>
      <c r="P485" s="322" t="s">
        <v>392</v>
      </c>
      <c r="Q485" s="322" t="s">
        <v>286</v>
      </c>
      <c r="R485" s="322" t="s">
        <v>754</v>
      </c>
      <c r="S485" s="303">
        <f t="shared" si="8"/>
        <v>654911861.56288195</v>
      </c>
      <c r="T485" s="307">
        <f>+IFERROR(VLOOKUP(C485,'Tasas Diarias'!$B:$F,5,FALSE)*G485,0)</f>
        <v>0</v>
      </c>
      <c r="U485" s="311" t="str">
        <f ca="1">+VLOOKUP(C485,Spreads!$A$2:$G$345,7,0)</f>
        <v/>
      </c>
    </row>
    <row r="486" spans="1:21" ht="15" customHeight="1" thickTop="1" thickBot="1">
      <c r="A486" s="317" t="s">
        <v>2137</v>
      </c>
      <c r="B486" s="318" t="s">
        <v>4</v>
      </c>
      <c r="C486" s="318" t="s">
        <v>750</v>
      </c>
      <c r="D486" s="318" t="s">
        <v>396</v>
      </c>
      <c r="E486" s="319">
        <v>900462133.20780003</v>
      </c>
      <c r="F486" s="319">
        <v>25000</v>
      </c>
      <c r="G486" s="314">
        <v>2.0521000000000001E-2</v>
      </c>
      <c r="H486" s="320">
        <v>2.42</v>
      </c>
      <c r="I486" s="318" t="s">
        <v>751</v>
      </c>
      <c r="J486" s="318">
        <v>4863</v>
      </c>
      <c r="K486" s="318">
        <v>7.02</v>
      </c>
      <c r="L486" s="318">
        <v>114.83999999999999</v>
      </c>
      <c r="M486" s="318" t="s">
        <v>6</v>
      </c>
      <c r="N486" s="318" t="s">
        <v>368</v>
      </c>
      <c r="O486" s="318" t="s">
        <v>8</v>
      </c>
      <c r="P486" s="318" t="s">
        <v>392</v>
      </c>
      <c r="Q486" s="318" t="s">
        <v>398</v>
      </c>
      <c r="R486" s="318" t="s">
        <v>399</v>
      </c>
      <c r="S486" s="303">
        <f t="shared" si="8"/>
        <v>6321244175.1187563</v>
      </c>
      <c r="T486" s="307">
        <f>+IFERROR(VLOOKUP(C486,'Tasas Diarias'!$B:$F,5,FALSE)*G486,0)</f>
        <v>2.9038515082054244E-5</v>
      </c>
      <c r="U486" s="311" t="str">
        <f ca="1">+VLOOKUP(C486,Spreads!$A$2:$G$345,7,0)</f>
        <v/>
      </c>
    </row>
    <row r="487" spans="1:21" ht="15" customHeight="1" thickTop="1" thickBot="1">
      <c r="A487" s="321" t="s">
        <v>2137</v>
      </c>
      <c r="B487" s="322" t="s">
        <v>4</v>
      </c>
      <c r="C487" s="322" t="s">
        <v>1899</v>
      </c>
      <c r="D487" s="322" t="s">
        <v>24</v>
      </c>
      <c r="E487" s="323">
        <v>8985.6399000000001</v>
      </c>
      <c r="F487" s="323"/>
      <c r="G487" s="314">
        <v>0</v>
      </c>
      <c r="H487" s="324">
        <v>2.33</v>
      </c>
      <c r="I487" s="322" t="s">
        <v>753</v>
      </c>
      <c r="J487" s="322">
        <v>2842</v>
      </c>
      <c r="K487" s="322">
        <v>7.04</v>
      </c>
      <c r="L487" s="322">
        <v>103.04</v>
      </c>
      <c r="M487" s="322" t="s">
        <v>6</v>
      </c>
      <c r="N487" s="322" t="s">
        <v>368</v>
      </c>
      <c r="O487" s="322" t="s">
        <v>8</v>
      </c>
      <c r="P487" s="322" t="s">
        <v>392</v>
      </c>
      <c r="Q487" s="322" t="s">
        <v>51</v>
      </c>
      <c r="R487" s="322" t="s">
        <v>414</v>
      </c>
      <c r="S487" s="303">
        <f t="shared" si="8"/>
        <v>63258.904896</v>
      </c>
      <c r="T487" s="307">
        <f>+IFERROR(VLOOKUP(C487,'Tasas Diarias'!$B:$F,5,FALSE)*G487,0)</f>
        <v>0</v>
      </c>
      <c r="U487" s="311" t="e">
        <f>+VLOOKUP(C487,Spreads!$A$2:$G$345,7,0)</f>
        <v>#N/A</v>
      </c>
    </row>
    <row r="488" spans="1:21" ht="15" customHeight="1" thickTop="1" thickBot="1">
      <c r="A488" s="321" t="s">
        <v>2137</v>
      </c>
      <c r="B488" s="322" t="s">
        <v>4</v>
      </c>
      <c r="C488" s="322" t="s">
        <v>2123</v>
      </c>
      <c r="D488" s="322" t="s">
        <v>1744</v>
      </c>
      <c r="E488" s="323">
        <v>6415040.6719000004</v>
      </c>
      <c r="F488" s="323"/>
      <c r="G488" s="314">
        <v>1.46E-4</v>
      </c>
      <c r="H488" s="322">
        <v>0</v>
      </c>
      <c r="I488" s="322" t="s">
        <v>2124</v>
      </c>
      <c r="J488" s="322">
        <v>2916</v>
      </c>
      <c r="K488" s="322">
        <v>7.04</v>
      </c>
      <c r="L488" s="322">
        <v>99.003399999999999</v>
      </c>
      <c r="M488" s="322" t="s">
        <v>369</v>
      </c>
      <c r="N488" s="322" t="s">
        <v>368</v>
      </c>
      <c r="O488" s="322" t="s">
        <v>1348</v>
      </c>
      <c r="P488" s="322" t="s">
        <v>417</v>
      </c>
      <c r="Q488" s="322" t="s">
        <v>1376</v>
      </c>
      <c r="R488" s="322" t="s">
        <v>1701</v>
      </c>
      <c r="S488" s="303">
        <f t="shared" si="8"/>
        <v>45161886.330176003</v>
      </c>
      <c r="T488" s="307">
        <f>+IFERROR(VLOOKUP(C488,'Tasas Diarias'!$B:$F,5,FALSE)*G488,0)</f>
        <v>0</v>
      </c>
      <c r="U488" s="311" t="e">
        <f>+VLOOKUP(C488,Spreads!$A$2:$G$345,7,0)</f>
        <v>#N/A</v>
      </c>
    </row>
    <row r="489" spans="1:21" ht="15" customHeight="1" thickTop="1" thickBot="1">
      <c r="A489" s="321" t="s">
        <v>2137</v>
      </c>
      <c r="B489" s="322" t="s">
        <v>4</v>
      </c>
      <c r="C489" s="322" t="s">
        <v>1420</v>
      </c>
      <c r="D489" s="322" t="s">
        <v>32</v>
      </c>
      <c r="E489" s="323">
        <v>27445.631700000002</v>
      </c>
      <c r="F489" s="323"/>
      <c r="G489" s="314">
        <v>9.9999999999999995E-7</v>
      </c>
      <c r="H489" s="322">
        <v>2.2999999999999998</v>
      </c>
      <c r="I489" s="322" t="s">
        <v>1421</v>
      </c>
      <c r="J489" s="322">
        <v>2872</v>
      </c>
      <c r="K489" s="322">
        <v>7.06</v>
      </c>
      <c r="L489" s="322">
        <v>105.07</v>
      </c>
      <c r="M489" s="322" t="s">
        <v>6</v>
      </c>
      <c r="N489" s="322" t="s">
        <v>368</v>
      </c>
      <c r="O489" s="322" t="s">
        <v>8</v>
      </c>
      <c r="P489" s="322" t="s">
        <v>379</v>
      </c>
      <c r="Q489" s="322" t="s">
        <v>67</v>
      </c>
      <c r="R489" s="322" t="s">
        <v>389</v>
      </c>
      <c r="S489" s="303">
        <f t="shared" si="8"/>
        <v>193766.15980200001</v>
      </c>
      <c r="T489" s="307">
        <f>+IFERROR(VLOOKUP(C489,'Tasas Diarias'!$B:$F,5,FALSE)*G489,0)</f>
        <v>7.1219590431646482E-10</v>
      </c>
      <c r="U489" s="311" t="e">
        <f>+VLOOKUP(C489,Spreads!$A$2:$G$345,7,0)</f>
        <v>#N/A</v>
      </c>
    </row>
    <row r="490" spans="1:21" ht="15" customHeight="1" thickTop="1" thickBot="1">
      <c r="A490" s="317" t="s">
        <v>2137</v>
      </c>
      <c r="B490" s="318" t="s">
        <v>4</v>
      </c>
      <c r="C490" s="318" t="s">
        <v>743</v>
      </c>
      <c r="D490" s="318" t="s">
        <v>58</v>
      </c>
      <c r="E490" s="319">
        <v>16169347.162699999</v>
      </c>
      <c r="F490" s="319"/>
      <c r="G490" s="314">
        <v>3.6900000000000002E-4</v>
      </c>
      <c r="H490" s="320">
        <v>2.6</v>
      </c>
      <c r="I490" s="318" t="s">
        <v>744</v>
      </c>
      <c r="J490" s="318">
        <v>6076</v>
      </c>
      <c r="K490" s="318">
        <v>7.11</v>
      </c>
      <c r="L490" s="318">
        <v>108.78</v>
      </c>
      <c r="M490" s="318" t="s">
        <v>6</v>
      </c>
      <c r="N490" s="318" t="s">
        <v>368</v>
      </c>
      <c r="O490" s="318" t="s">
        <v>8</v>
      </c>
      <c r="P490" s="318" t="s">
        <v>392</v>
      </c>
      <c r="Q490" s="318" t="s">
        <v>58</v>
      </c>
      <c r="R490" s="318" t="s">
        <v>745</v>
      </c>
      <c r="S490" s="303">
        <f t="shared" si="8"/>
        <v>114964058.32679699</v>
      </c>
      <c r="T490" s="307">
        <f>+IFERROR(VLOOKUP(C490,'Tasas Diarias'!$B:$F,5,FALSE)*G490,0)</f>
        <v>2.6402060551716785E-7</v>
      </c>
      <c r="U490" s="311" t="str">
        <f ca="1">+VLOOKUP(C490,Spreads!$A$2:$G$345,7,0)</f>
        <v/>
      </c>
    </row>
    <row r="491" spans="1:21" ht="15" customHeight="1" thickTop="1" thickBot="1">
      <c r="A491" s="321" t="s">
        <v>2137</v>
      </c>
      <c r="B491" s="322" t="s">
        <v>4</v>
      </c>
      <c r="C491" s="322" t="s">
        <v>1739</v>
      </c>
      <c r="D491" s="322" t="s">
        <v>893</v>
      </c>
      <c r="E491" s="323">
        <v>19760896.3024</v>
      </c>
      <c r="F491" s="323"/>
      <c r="G491" s="314">
        <v>4.4999999999999999E-4</v>
      </c>
      <c r="H491" s="324">
        <v>0</v>
      </c>
      <c r="I491" s="322" t="s">
        <v>769</v>
      </c>
      <c r="J491" s="322">
        <v>3176</v>
      </c>
      <c r="K491" s="322">
        <v>7.16</v>
      </c>
      <c r="L491" s="322">
        <v>103.77160000000001</v>
      </c>
      <c r="M491" s="322" t="s">
        <v>369</v>
      </c>
      <c r="N491" s="322" t="s">
        <v>368</v>
      </c>
      <c r="O491" s="322" t="s">
        <v>895</v>
      </c>
      <c r="P491" s="322" t="s">
        <v>417</v>
      </c>
      <c r="Q491" s="322" t="s">
        <v>893</v>
      </c>
      <c r="R491" s="322" t="s">
        <v>896</v>
      </c>
      <c r="S491" s="303">
        <f t="shared" si="8"/>
        <v>141488017.52518401</v>
      </c>
      <c r="T491" s="307">
        <f>+IFERROR(VLOOKUP(C491,'Tasas Diarias'!$B:$F,5,FALSE)*G491,0)</f>
        <v>0</v>
      </c>
      <c r="U491" s="311" t="e">
        <f>+VLOOKUP(C491,Spreads!$A$2:$G$345,7,0)</f>
        <v>#N/A</v>
      </c>
    </row>
    <row r="492" spans="1:21" ht="15" customHeight="1" thickTop="1" thickBot="1">
      <c r="A492" s="321" t="s">
        <v>2137</v>
      </c>
      <c r="B492" s="322" t="s">
        <v>4</v>
      </c>
      <c r="C492" s="322" t="s">
        <v>1730</v>
      </c>
      <c r="D492" s="322" t="s">
        <v>1731</v>
      </c>
      <c r="E492" s="323">
        <v>21532400.691300001</v>
      </c>
      <c r="F492" s="323"/>
      <c r="G492" s="314">
        <v>4.9100000000000001E-4</v>
      </c>
      <c r="H492" s="324">
        <v>0</v>
      </c>
      <c r="I492" s="322" t="s">
        <v>1732</v>
      </c>
      <c r="J492" s="322">
        <v>3400</v>
      </c>
      <c r="K492" s="322">
        <v>7.17</v>
      </c>
      <c r="L492" s="322">
        <v>109.61060000000001</v>
      </c>
      <c r="M492" s="322" t="s">
        <v>369</v>
      </c>
      <c r="N492" s="322" t="s">
        <v>368</v>
      </c>
      <c r="O492" s="322" t="s">
        <v>421</v>
      </c>
      <c r="P492" s="322" t="s">
        <v>7</v>
      </c>
      <c r="Q492" s="322" t="s">
        <v>1733</v>
      </c>
      <c r="R492" s="322" t="s">
        <v>1734</v>
      </c>
      <c r="S492" s="303">
        <f t="shared" si="8"/>
        <v>154387312.95662099</v>
      </c>
      <c r="T492" s="307">
        <f>+IFERROR(VLOOKUP(C492,'Tasas Diarias'!$B:$F,5,FALSE)*G492,0)</f>
        <v>0</v>
      </c>
      <c r="U492" s="311" t="e">
        <f>+VLOOKUP(C492,Spreads!$A$2:$G$345,7,0)</f>
        <v>#N/A</v>
      </c>
    </row>
    <row r="493" spans="1:21" ht="15" customHeight="1" thickTop="1" thickBot="1">
      <c r="A493" s="321" t="s">
        <v>2137</v>
      </c>
      <c r="B493" s="322" t="s">
        <v>4</v>
      </c>
      <c r="C493" s="322" t="s">
        <v>1735</v>
      </c>
      <c r="D493" s="322" t="s">
        <v>1736</v>
      </c>
      <c r="E493" s="323">
        <v>26009760.4564</v>
      </c>
      <c r="F493" s="323"/>
      <c r="G493" s="314">
        <v>5.9299999999999999E-4</v>
      </c>
      <c r="H493" s="324">
        <v>0</v>
      </c>
      <c r="I493" s="322" t="s">
        <v>1737</v>
      </c>
      <c r="J493" s="322">
        <v>3085</v>
      </c>
      <c r="K493" s="322">
        <v>7.21</v>
      </c>
      <c r="L493" s="322">
        <v>100.1891</v>
      </c>
      <c r="M493" s="322" t="s">
        <v>369</v>
      </c>
      <c r="N493" s="322" t="s">
        <v>368</v>
      </c>
      <c r="O493" s="322" t="s">
        <v>1182</v>
      </c>
      <c r="P493" s="322" t="s">
        <v>417</v>
      </c>
      <c r="Q493" s="322" t="s">
        <v>1375</v>
      </c>
      <c r="R493" s="322" t="s">
        <v>1738</v>
      </c>
      <c r="S493" s="303">
        <f t="shared" si="8"/>
        <v>187530372.89064398</v>
      </c>
      <c r="T493" s="307">
        <f>+IFERROR(VLOOKUP(C493,'Tasas Diarias'!$B:$F,5,FALSE)*G493,0)</f>
        <v>0</v>
      </c>
      <c r="U493" s="311" t="e">
        <f>+VLOOKUP(C493,Spreads!$A$2:$G$345,7,0)</f>
        <v>#N/A</v>
      </c>
    </row>
    <row r="494" spans="1:21" ht="15" customHeight="1" thickTop="1" thickBot="1">
      <c r="A494" s="317" t="s">
        <v>2137</v>
      </c>
      <c r="B494" s="318" t="s">
        <v>4</v>
      </c>
      <c r="C494" s="318" t="s">
        <v>1743</v>
      </c>
      <c r="D494" s="318" t="s">
        <v>1744</v>
      </c>
      <c r="E494" s="319">
        <v>37331711.515199997</v>
      </c>
      <c r="F494" s="319"/>
      <c r="G494" s="314">
        <v>8.5099999999999998E-4</v>
      </c>
      <c r="H494" s="318">
        <v>0</v>
      </c>
      <c r="I494" s="318" t="s">
        <v>1745</v>
      </c>
      <c r="J494" s="318">
        <v>3345</v>
      </c>
      <c r="K494" s="318">
        <v>7.26</v>
      </c>
      <c r="L494" s="318">
        <v>106.875</v>
      </c>
      <c r="M494" s="318" t="s">
        <v>369</v>
      </c>
      <c r="N494" s="318" t="s">
        <v>368</v>
      </c>
      <c r="O494" s="318" t="s">
        <v>1348</v>
      </c>
      <c r="P494" s="318" t="s">
        <v>417</v>
      </c>
      <c r="Q494" s="318" t="s">
        <v>1376</v>
      </c>
      <c r="R494" s="318" t="s">
        <v>1746</v>
      </c>
      <c r="S494" s="303">
        <f t="shared" si="8"/>
        <v>271028225.60035199</v>
      </c>
      <c r="T494" s="307">
        <f>+IFERROR(VLOOKUP(C494,'Tasas Diarias'!$B:$F,5,FALSE)*G494,0)</f>
        <v>0</v>
      </c>
      <c r="U494" s="311" t="e">
        <f>+VLOOKUP(C494,Spreads!$A$2:$G$345,7,0)</f>
        <v>#N/A</v>
      </c>
    </row>
    <row r="495" spans="1:21" ht="15" customHeight="1" thickTop="1" thickBot="1">
      <c r="A495" s="317" t="s">
        <v>2137</v>
      </c>
      <c r="B495" s="318" t="s">
        <v>4</v>
      </c>
      <c r="C495" s="318" t="s">
        <v>755</v>
      </c>
      <c r="D495" s="318" t="s">
        <v>514</v>
      </c>
      <c r="E495" s="319">
        <v>5908.9745000000003</v>
      </c>
      <c r="F495" s="319"/>
      <c r="G495" s="314">
        <v>0</v>
      </c>
      <c r="H495" s="320">
        <v>2.31</v>
      </c>
      <c r="I495" s="318" t="s">
        <v>756</v>
      </c>
      <c r="J495" s="318">
        <v>5016</v>
      </c>
      <c r="K495" s="318">
        <v>7.29</v>
      </c>
      <c r="L495" s="318">
        <v>112.46</v>
      </c>
      <c r="M495" s="318" t="s">
        <v>6</v>
      </c>
      <c r="N495" s="318" t="s">
        <v>368</v>
      </c>
      <c r="O495" s="318" t="s">
        <v>421</v>
      </c>
      <c r="P495" s="318" t="s">
        <v>7</v>
      </c>
      <c r="Q495" s="318" t="s">
        <v>515</v>
      </c>
      <c r="R495" s="318" t="s">
        <v>516</v>
      </c>
      <c r="S495" s="303">
        <f t="shared" si="8"/>
        <v>43076.424105000006</v>
      </c>
      <c r="T495" s="307">
        <f>+IFERROR(VLOOKUP(C495,'Tasas Diarias'!$B:$F,5,FALSE)*G495,0)</f>
        <v>0</v>
      </c>
      <c r="U495" s="311" t="str">
        <f ca="1">+VLOOKUP(C495,Spreads!$A$2:$G$345,7,0)</f>
        <v/>
      </c>
    </row>
    <row r="496" spans="1:21" ht="15" customHeight="1" thickTop="1" thickBot="1">
      <c r="A496" s="317" t="s">
        <v>2137</v>
      </c>
      <c r="B496" s="318" t="s">
        <v>4</v>
      </c>
      <c r="C496" s="318" t="s">
        <v>1747</v>
      </c>
      <c r="D496" s="318" t="s">
        <v>1748</v>
      </c>
      <c r="E496" s="319">
        <v>20003890.267200001</v>
      </c>
      <c r="F496" s="319"/>
      <c r="G496" s="314">
        <v>4.5600000000000003E-4</v>
      </c>
      <c r="H496" s="320">
        <v>0</v>
      </c>
      <c r="I496" s="318" t="s">
        <v>1749</v>
      </c>
      <c r="J496" s="318">
        <v>3348</v>
      </c>
      <c r="K496" s="318">
        <v>7.3</v>
      </c>
      <c r="L496" s="318">
        <v>104.73650000000001</v>
      </c>
      <c r="M496" s="318" t="s">
        <v>369</v>
      </c>
      <c r="N496" s="318" t="s">
        <v>368</v>
      </c>
      <c r="O496" s="318" t="s">
        <v>1346</v>
      </c>
      <c r="P496" s="318" t="s">
        <v>417</v>
      </c>
      <c r="Q496" s="318" t="s">
        <v>1378</v>
      </c>
      <c r="R496" s="318" t="s">
        <v>1750</v>
      </c>
      <c r="S496" s="303">
        <f t="shared" si="8"/>
        <v>146028398.95056</v>
      </c>
      <c r="T496" s="307">
        <f>+IFERROR(VLOOKUP(C496,'Tasas Diarias'!$B:$F,5,FALSE)*G496,0)</f>
        <v>0</v>
      </c>
      <c r="U496" s="311" t="e">
        <f>+VLOOKUP(C496,Spreads!$A$2:$G$345,7,0)</f>
        <v>#N/A</v>
      </c>
    </row>
    <row r="497" spans="1:21" ht="15" customHeight="1" thickTop="1" thickBot="1">
      <c r="A497" s="317" t="s">
        <v>2137</v>
      </c>
      <c r="B497" s="318" t="s">
        <v>4</v>
      </c>
      <c r="C497" s="318" t="s">
        <v>1755</v>
      </c>
      <c r="D497" s="318" t="s">
        <v>1756</v>
      </c>
      <c r="E497" s="319">
        <v>34674454.931900002</v>
      </c>
      <c r="F497" s="319"/>
      <c r="G497" s="314">
        <v>7.9000000000000001E-4</v>
      </c>
      <c r="H497" s="318">
        <v>0</v>
      </c>
      <c r="I497" s="318" t="s">
        <v>921</v>
      </c>
      <c r="J497" s="318">
        <v>3360</v>
      </c>
      <c r="K497" s="318">
        <v>7.32</v>
      </c>
      <c r="L497" s="318">
        <v>105.86750000000001</v>
      </c>
      <c r="M497" s="318" t="s">
        <v>369</v>
      </c>
      <c r="N497" s="318" t="s">
        <v>368</v>
      </c>
      <c r="O497" s="318" t="s">
        <v>421</v>
      </c>
      <c r="P497" s="318" t="s">
        <v>417</v>
      </c>
      <c r="Q497" s="318" t="s">
        <v>1379</v>
      </c>
      <c r="R497" s="318" t="s">
        <v>1757</v>
      </c>
      <c r="S497" s="303">
        <f t="shared" si="8"/>
        <v>253817010.10150802</v>
      </c>
      <c r="T497" s="307">
        <f>+IFERROR(VLOOKUP(C497,'Tasas Diarias'!$B:$F,5,FALSE)*G497,0)</f>
        <v>0</v>
      </c>
      <c r="U497" s="311" t="e">
        <f>+VLOOKUP(C497,Spreads!$A$2:$G$345,7,0)</f>
        <v>#N/A</v>
      </c>
    </row>
    <row r="498" spans="1:21" ht="15" customHeight="1" thickTop="1" thickBot="1">
      <c r="A498" s="327" t="s">
        <v>2137</v>
      </c>
      <c r="B498" s="328" t="s">
        <v>4</v>
      </c>
      <c r="C498" s="328" t="s">
        <v>1045</v>
      </c>
      <c r="D498" s="328" t="s">
        <v>16</v>
      </c>
      <c r="E498" s="328">
        <v>43591945.301899999</v>
      </c>
      <c r="F498" s="328"/>
      <c r="G498" s="332">
        <v>9.9400000000000009E-4</v>
      </c>
      <c r="H498" s="329">
        <v>2.36</v>
      </c>
      <c r="I498" s="328" t="s">
        <v>664</v>
      </c>
      <c r="J498" s="328">
        <v>3207</v>
      </c>
      <c r="K498" s="328">
        <v>7.36</v>
      </c>
      <c r="L498" s="328">
        <v>119.16</v>
      </c>
      <c r="M498" s="328" t="s">
        <v>6</v>
      </c>
      <c r="N498" s="328" t="s">
        <v>368</v>
      </c>
      <c r="O498" s="328" t="s">
        <v>8</v>
      </c>
      <c r="P498" s="328" t="s">
        <v>7</v>
      </c>
      <c r="Q498" s="328" t="s">
        <v>61</v>
      </c>
      <c r="R498" s="328" t="s">
        <v>394</v>
      </c>
      <c r="S498" s="303">
        <f t="shared" si="8"/>
        <v>320836717.42198402</v>
      </c>
      <c r="T498" s="307">
        <f>+IFERROR(VLOOKUP(C498,'Tasas Diarias'!$B:$F,5,FALSE)*G498,0)</f>
        <v>7.3683114908195997E-7</v>
      </c>
      <c r="U498" s="311" t="str">
        <f ca="1">+VLOOKUP(C498,Spreads!$A$2:$G$345,7,0)</f>
        <v/>
      </c>
    </row>
    <row r="499" spans="1:21" ht="15" customHeight="1" thickTop="1" thickBot="1">
      <c r="A499" s="317" t="s">
        <v>2137</v>
      </c>
      <c r="B499" s="318" t="s">
        <v>4</v>
      </c>
      <c r="C499" s="318" t="s">
        <v>1740</v>
      </c>
      <c r="D499" s="318" t="s">
        <v>1377</v>
      </c>
      <c r="E499" s="319">
        <v>22781859.9815</v>
      </c>
      <c r="F499" s="319"/>
      <c r="G499" s="314">
        <v>5.1900000000000004E-4</v>
      </c>
      <c r="H499" s="320">
        <v>0</v>
      </c>
      <c r="I499" s="318" t="s">
        <v>1741</v>
      </c>
      <c r="J499" s="318">
        <v>3235</v>
      </c>
      <c r="K499" s="318">
        <v>7.37</v>
      </c>
      <c r="L499" s="318">
        <v>97.094099999999997</v>
      </c>
      <c r="M499" s="318" t="s">
        <v>369</v>
      </c>
      <c r="N499" s="318" t="s">
        <v>368</v>
      </c>
      <c r="O499" s="318" t="s">
        <v>1182</v>
      </c>
      <c r="P499" s="318" t="s">
        <v>802</v>
      </c>
      <c r="Q499" s="318" t="s">
        <v>1377</v>
      </c>
      <c r="R499" s="318" t="s">
        <v>1742</v>
      </c>
      <c r="S499" s="303">
        <f t="shared" si="8"/>
        <v>167902308.06365499</v>
      </c>
      <c r="T499" s="307">
        <f>+IFERROR(VLOOKUP(C499,'Tasas Diarias'!$B:$F,5,FALSE)*G499,0)</f>
        <v>0</v>
      </c>
      <c r="U499" s="311" t="e">
        <f>+VLOOKUP(C499,Spreads!$A$2:$G$345,7,0)</f>
        <v>#N/A</v>
      </c>
    </row>
    <row r="500" spans="1:21" ht="15" customHeight="1" thickTop="1" thickBot="1">
      <c r="A500" s="317" t="s">
        <v>2137</v>
      </c>
      <c r="B500" s="318" t="s">
        <v>4</v>
      </c>
      <c r="C500" s="318" t="s">
        <v>757</v>
      </c>
      <c r="D500" s="318" t="s">
        <v>71</v>
      </c>
      <c r="E500" s="319">
        <v>4953941.4768000003</v>
      </c>
      <c r="F500" s="319"/>
      <c r="G500" s="314">
        <v>1.13E-4</v>
      </c>
      <c r="H500" s="320">
        <v>0</v>
      </c>
      <c r="I500" s="318" t="s">
        <v>758</v>
      </c>
      <c r="J500" s="318">
        <v>3180</v>
      </c>
      <c r="K500" s="318">
        <v>7.43</v>
      </c>
      <c r="L500" s="318">
        <v>99.554900000000004</v>
      </c>
      <c r="M500" s="318" t="s">
        <v>369</v>
      </c>
      <c r="N500" s="318" t="s">
        <v>368</v>
      </c>
      <c r="O500" s="318" t="s">
        <v>1346</v>
      </c>
      <c r="P500" s="318" t="s">
        <v>444</v>
      </c>
      <c r="Q500" s="318" t="s">
        <v>71</v>
      </c>
      <c r="R500" s="318" t="s">
        <v>759</v>
      </c>
      <c r="S500" s="303">
        <f t="shared" si="8"/>
        <v>36807785.172623999</v>
      </c>
      <c r="T500" s="307">
        <f>+IFERROR(VLOOKUP(C500,'Tasas Diarias'!$B:$F,5,FALSE)*G500,0)</f>
        <v>0</v>
      </c>
      <c r="U500" s="311" t="e">
        <f>+VLOOKUP(C500,Spreads!$A$2:$G$345,7,0)</f>
        <v>#N/A</v>
      </c>
    </row>
    <row r="501" spans="1:21" ht="15" customHeight="1" thickTop="1" thickBot="1">
      <c r="A501" s="321" t="s">
        <v>2137</v>
      </c>
      <c r="B501" s="322" t="s">
        <v>4</v>
      </c>
      <c r="C501" s="322" t="s">
        <v>1313</v>
      </c>
      <c r="D501" s="322" t="s">
        <v>1460</v>
      </c>
      <c r="E501" s="323">
        <v>86165223</v>
      </c>
      <c r="F501" s="345">
        <v>2300000</v>
      </c>
      <c r="G501" s="314">
        <v>1.9629999999999999E-3</v>
      </c>
      <c r="H501" s="324">
        <v>0</v>
      </c>
      <c r="I501" s="322" t="s">
        <v>1314</v>
      </c>
      <c r="J501" s="322">
        <v>4210</v>
      </c>
      <c r="K501" s="322">
        <v>7.49</v>
      </c>
      <c r="L501" s="322">
        <v>109.0758</v>
      </c>
      <c r="M501" s="322" t="s">
        <v>1243</v>
      </c>
      <c r="N501" s="322" t="s">
        <v>458</v>
      </c>
      <c r="O501" s="322" t="s">
        <v>378</v>
      </c>
      <c r="P501" s="322" t="s">
        <v>7</v>
      </c>
      <c r="Q501" s="322" t="s">
        <v>1254</v>
      </c>
      <c r="R501" s="322" t="s">
        <v>1244</v>
      </c>
      <c r="S501" s="303">
        <f t="shared" si="8"/>
        <v>645377520.26999998</v>
      </c>
      <c r="T501" s="307">
        <f>+IFERROR(VLOOKUP(C501,'Tasas Diarias'!$B:$F,5,FALSE)*G501,0)</f>
        <v>0</v>
      </c>
      <c r="U501" s="311" t="e">
        <f>+VLOOKUP(C501,Spreads!$A$2:$G$345,7,0)</f>
        <v>#N/A</v>
      </c>
    </row>
    <row r="502" spans="1:21" ht="15" customHeight="1" thickTop="1" thickBot="1">
      <c r="A502" s="321" t="s">
        <v>2137</v>
      </c>
      <c r="B502" s="322" t="s">
        <v>4</v>
      </c>
      <c r="C502" s="322" t="s">
        <v>763</v>
      </c>
      <c r="D502" s="322" t="s">
        <v>764</v>
      </c>
      <c r="E502" s="323">
        <v>17656746.795699999</v>
      </c>
      <c r="F502" s="323"/>
      <c r="G502" s="314">
        <v>4.0200000000000001E-4</v>
      </c>
      <c r="H502" s="324">
        <v>2.61</v>
      </c>
      <c r="I502" s="322" t="s">
        <v>765</v>
      </c>
      <c r="J502" s="322">
        <v>4282</v>
      </c>
      <c r="K502" s="322">
        <v>7.5</v>
      </c>
      <c r="L502" s="322">
        <v>115.68</v>
      </c>
      <c r="M502" s="322" t="s">
        <v>6</v>
      </c>
      <c r="N502" s="322" t="s">
        <v>368</v>
      </c>
      <c r="O502" s="322" t="s">
        <v>1347</v>
      </c>
      <c r="P502" s="322" t="s">
        <v>392</v>
      </c>
      <c r="Q502" s="322" t="s">
        <v>766</v>
      </c>
      <c r="R502" s="322" t="s">
        <v>767</v>
      </c>
      <c r="S502" s="303">
        <f t="shared" si="8"/>
        <v>132425600.96774998</v>
      </c>
      <c r="T502" s="307">
        <f>+IFERROR(VLOOKUP(C502,'Tasas Diarias'!$B:$F,5,FALSE)*G502,0)</f>
        <v>6.0762811297212079E-7</v>
      </c>
      <c r="U502" s="311" t="str">
        <f ca="1">+VLOOKUP(C502,Spreads!$A$2:$G$345,7,0)</f>
        <v/>
      </c>
    </row>
    <row r="503" spans="1:21" ht="15" customHeight="1" thickTop="1" thickBot="1">
      <c r="A503" s="317" t="s">
        <v>2137</v>
      </c>
      <c r="B503" s="318" t="s">
        <v>4</v>
      </c>
      <c r="C503" s="318" t="s">
        <v>1751</v>
      </c>
      <c r="D503" s="318" t="s">
        <v>1752</v>
      </c>
      <c r="E503" s="319">
        <v>13196923.8456</v>
      </c>
      <c r="F503" s="319"/>
      <c r="G503" s="314">
        <v>3.01E-4</v>
      </c>
      <c r="H503" s="320">
        <v>0</v>
      </c>
      <c r="I503" s="318" t="s">
        <v>1753</v>
      </c>
      <c r="J503" s="318">
        <v>3418</v>
      </c>
      <c r="K503" s="318">
        <v>7.51</v>
      </c>
      <c r="L503" s="318">
        <v>101.176</v>
      </c>
      <c r="M503" s="318" t="s">
        <v>369</v>
      </c>
      <c r="N503" s="318" t="s">
        <v>368</v>
      </c>
      <c r="O503" s="318" t="s">
        <v>1513</v>
      </c>
      <c r="P503" s="318" t="s">
        <v>417</v>
      </c>
      <c r="Q503" s="318" t="s">
        <v>1428</v>
      </c>
      <c r="R503" s="318" t="s">
        <v>1754</v>
      </c>
      <c r="S503" s="303">
        <f t="shared" si="8"/>
        <v>99108898.080455989</v>
      </c>
      <c r="T503" s="307">
        <f>+IFERROR(VLOOKUP(C503,'Tasas Diarias'!$B:$F,5,FALSE)*G503,0)</f>
        <v>0</v>
      </c>
      <c r="U503" s="311" t="e">
        <f>+VLOOKUP(C503,Spreads!$A$2:$G$345,7,0)</f>
        <v>#N/A</v>
      </c>
    </row>
    <row r="504" spans="1:21" ht="15" customHeight="1" thickTop="1" thickBot="1">
      <c r="A504" s="321" t="s">
        <v>2137</v>
      </c>
      <c r="B504" s="322" t="s">
        <v>4</v>
      </c>
      <c r="C504" s="322" t="s">
        <v>760</v>
      </c>
      <c r="D504" s="322" t="s">
        <v>181</v>
      </c>
      <c r="E504" s="323">
        <v>543672845.23020005</v>
      </c>
      <c r="F504" s="323">
        <v>15000</v>
      </c>
      <c r="G504" s="314">
        <v>1.239E-2</v>
      </c>
      <c r="H504" s="324">
        <v>2.48</v>
      </c>
      <c r="I504" s="322" t="s">
        <v>761</v>
      </c>
      <c r="J504" s="322">
        <v>5504</v>
      </c>
      <c r="K504" s="322">
        <v>7.51</v>
      </c>
      <c r="L504" s="322">
        <v>116.99</v>
      </c>
      <c r="M504" s="322" t="s">
        <v>6</v>
      </c>
      <c r="N504" s="322" t="s">
        <v>368</v>
      </c>
      <c r="O504" s="322" t="s">
        <v>530</v>
      </c>
      <c r="P504" s="322" t="s">
        <v>392</v>
      </c>
      <c r="Q504" s="322" t="s">
        <v>85</v>
      </c>
      <c r="R504" s="322" t="s">
        <v>762</v>
      </c>
      <c r="S504" s="303">
        <f t="shared" si="8"/>
        <v>4082983067.6788025</v>
      </c>
      <c r="T504" s="307">
        <f>+IFERROR(VLOOKUP(C504,'Tasas Diarias'!$B:$F,5,FALSE)*G504,0)</f>
        <v>9.3278258950492587E-6</v>
      </c>
      <c r="U504" s="311" t="str">
        <f ca="1">+VLOOKUP(C504,Spreads!$A$2:$G$345,7,0)</f>
        <v/>
      </c>
    </row>
    <row r="505" spans="1:21" ht="15" customHeight="1" thickTop="1" thickBot="1">
      <c r="A505" s="321" t="s">
        <v>2137</v>
      </c>
      <c r="B505" s="322" t="s">
        <v>4</v>
      </c>
      <c r="C505" s="322" t="s">
        <v>1522</v>
      </c>
      <c r="D505" s="322" t="s">
        <v>1523</v>
      </c>
      <c r="E505" s="323">
        <v>666593946.70829999</v>
      </c>
      <c r="F505" s="323">
        <v>20000</v>
      </c>
      <c r="G505" s="314">
        <v>1.5192000000000001E-2</v>
      </c>
      <c r="H505" s="324">
        <v>2.58</v>
      </c>
      <c r="I505" s="322" t="s">
        <v>1524</v>
      </c>
      <c r="J505" s="322">
        <v>5169</v>
      </c>
      <c r="K505" s="322">
        <v>7.54</v>
      </c>
      <c r="L505" s="322">
        <v>110.75</v>
      </c>
      <c r="M505" s="322" t="s">
        <v>6</v>
      </c>
      <c r="N505" s="322" t="s">
        <v>368</v>
      </c>
      <c r="O505" s="322" t="s">
        <v>8</v>
      </c>
      <c r="P505" s="322" t="s">
        <v>25</v>
      </c>
      <c r="Q505" s="322" t="s">
        <v>325</v>
      </c>
      <c r="R505" s="322" t="s">
        <v>1525</v>
      </c>
      <c r="S505" s="303">
        <f t="shared" si="8"/>
        <v>5026118358.180582</v>
      </c>
      <c r="T505" s="307">
        <f>+IFERROR(VLOOKUP(C505,'Tasas Diarias'!$B:$F,5,FALSE)*G505,0)</f>
        <v>1.1550243441937412E-5</v>
      </c>
      <c r="U505" s="311" t="e">
        <f>+VLOOKUP(C505,Spreads!$A$2:$G$345,7,0)</f>
        <v>#N/A</v>
      </c>
    </row>
    <row r="506" spans="1:21" ht="15" customHeight="1" thickTop="1" thickBot="1">
      <c r="A506" s="321" t="s">
        <v>2137</v>
      </c>
      <c r="B506" s="322" t="s">
        <v>4</v>
      </c>
      <c r="C506" s="322" t="s">
        <v>768</v>
      </c>
      <c r="D506" s="322" t="s">
        <v>168</v>
      </c>
      <c r="E506" s="323">
        <v>3843.0549000000001</v>
      </c>
      <c r="F506" s="323"/>
      <c r="G506" s="314">
        <v>0</v>
      </c>
      <c r="H506" s="324">
        <v>2.34</v>
      </c>
      <c r="I506" s="322" t="s">
        <v>769</v>
      </c>
      <c r="J506" s="322">
        <v>3176</v>
      </c>
      <c r="K506" s="322">
        <v>7.55</v>
      </c>
      <c r="L506" s="322">
        <v>109.61</v>
      </c>
      <c r="M506" s="322" t="s">
        <v>6</v>
      </c>
      <c r="N506" s="322" t="s">
        <v>368</v>
      </c>
      <c r="O506" s="322" t="s">
        <v>8</v>
      </c>
      <c r="P506" s="322" t="s">
        <v>379</v>
      </c>
      <c r="Q506" s="322" t="s">
        <v>77</v>
      </c>
      <c r="R506" s="322" t="s">
        <v>453</v>
      </c>
      <c r="S506" s="303">
        <f t="shared" si="8"/>
        <v>29015.064494999999</v>
      </c>
      <c r="T506" s="307">
        <f>+IFERROR(VLOOKUP(C506,'Tasas Diarias'!$B:$F,5,FALSE)*G506,0)</f>
        <v>0</v>
      </c>
      <c r="U506" s="311" t="str">
        <f ca="1">+VLOOKUP(C506,Spreads!$A$2:$G$345,7,0)</f>
        <v/>
      </c>
    </row>
    <row r="507" spans="1:21" ht="15" customHeight="1" thickTop="1" thickBot="1">
      <c r="A507" s="321" t="s">
        <v>2137</v>
      </c>
      <c r="B507" s="322" t="s">
        <v>4</v>
      </c>
      <c r="C507" s="322" t="s">
        <v>1760</v>
      </c>
      <c r="D507" s="322" t="s">
        <v>1761</v>
      </c>
      <c r="E507" s="323">
        <v>9602180.8688999992</v>
      </c>
      <c r="F507" s="323"/>
      <c r="G507" s="314">
        <v>2.1900000000000001E-4</v>
      </c>
      <c r="H507" s="324">
        <v>0</v>
      </c>
      <c r="I507" s="322" t="s">
        <v>1762</v>
      </c>
      <c r="J507" s="322">
        <v>3242</v>
      </c>
      <c r="K507" s="322">
        <v>7.55</v>
      </c>
      <c r="L507" s="322">
        <v>98.368399999999994</v>
      </c>
      <c r="M507" s="322" t="s">
        <v>369</v>
      </c>
      <c r="N507" s="322" t="s">
        <v>368</v>
      </c>
      <c r="O507" s="322" t="s">
        <v>665</v>
      </c>
      <c r="P507" s="322" t="s">
        <v>7</v>
      </c>
      <c r="Q507" s="322" t="s">
        <v>1380</v>
      </c>
      <c r="R507" s="322" t="s">
        <v>1763</v>
      </c>
      <c r="S507" s="303">
        <f t="shared" si="8"/>
        <v>72496465.560194999</v>
      </c>
      <c r="T507" s="307">
        <f>+IFERROR(VLOOKUP(C507,'Tasas Diarias'!$B:$F,5,FALSE)*G507,0)</f>
        <v>0</v>
      </c>
      <c r="U507" s="311" t="e">
        <f>+VLOOKUP(C507,Spreads!$A$2:$G$345,7,0)</f>
        <v>#N/A</v>
      </c>
    </row>
    <row r="508" spans="1:21" ht="15" customHeight="1" thickTop="1" thickBot="1">
      <c r="A508" s="327" t="s">
        <v>2137</v>
      </c>
      <c r="B508" s="328" t="s">
        <v>4</v>
      </c>
      <c r="C508" s="328" t="s">
        <v>1768</v>
      </c>
      <c r="D508" s="328" t="s">
        <v>1769</v>
      </c>
      <c r="E508" s="328">
        <v>24699160.749200001</v>
      </c>
      <c r="F508" s="343"/>
      <c r="G508" s="332">
        <v>5.6300000000000002E-4</v>
      </c>
      <c r="H508" s="329">
        <v>0</v>
      </c>
      <c r="I508" s="328" t="s">
        <v>1770</v>
      </c>
      <c r="J508" s="328">
        <v>3382</v>
      </c>
      <c r="K508" s="328">
        <v>7.56</v>
      </c>
      <c r="L508" s="328">
        <v>104.77930000000001</v>
      </c>
      <c r="M508" s="328" t="s">
        <v>369</v>
      </c>
      <c r="N508" s="328" t="s">
        <v>368</v>
      </c>
      <c r="O508" s="328" t="s">
        <v>1346</v>
      </c>
      <c r="P508" s="328" t="s">
        <v>7</v>
      </c>
      <c r="Q508" s="328" t="s">
        <v>1383</v>
      </c>
      <c r="R508" s="328" t="s">
        <v>1771</v>
      </c>
      <c r="S508" s="303">
        <f t="shared" si="8"/>
        <v>186725655.26395199</v>
      </c>
      <c r="T508" s="307">
        <f>+IFERROR(VLOOKUP(C508,'Tasas Diarias'!$B:$F,5,FALSE)*G508,0)</f>
        <v>0</v>
      </c>
      <c r="U508" s="311" t="e">
        <f>+VLOOKUP(C508,Spreads!$A$2:$G$345,7,0)</f>
        <v>#N/A</v>
      </c>
    </row>
    <row r="509" spans="1:21" ht="15" customHeight="1" thickTop="1" thickBot="1">
      <c r="A509" s="321" t="s">
        <v>2137</v>
      </c>
      <c r="B509" s="322" t="s">
        <v>4</v>
      </c>
      <c r="C509" s="322" t="s">
        <v>1764</v>
      </c>
      <c r="D509" s="322" t="s">
        <v>1765</v>
      </c>
      <c r="E509" s="323">
        <v>15167526.5153</v>
      </c>
      <c r="F509" s="323"/>
      <c r="G509" s="314">
        <v>3.4600000000000001E-4</v>
      </c>
      <c r="H509" s="324">
        <v>0</v>
      </c>
      <c r="I509" s="322" t="s">
        <v>1766</v>
      </c>
      <c r="J509" s="322">
        <v>3261</v>
      </c>
      <c r="K509" s="322">
        <v>7.59</v>
      </c>
      <c r="L509" s="322">
        <v>101.542</v>
      </c>
      <c r="M509" s="322" t="s">
        <v>369</v>
      </c>
      <c r="N509" s="322" t="s">
        <v>368</v>
      </c>
      <c r="O509" s="322" t="s">
        <v>1494</v>
      </c>
      <c r="P509" s="322" t="s">
        <v>417</v>
      </c>
      <c r="Q509" s="322" t="s">
        <v>1382</v>
      </c>
      <c r="R509" s="322" t="s">
        <v>1767</v>
      </c>
      <c r="S509" s="303">
        <f t="shared" si="8"/>
        <v>115121526.251127</v>
      </c>
      <c r="T509" s="307">
        <f>+IFERROR(VLOOKUP(C509,'Tasas Diarias'!$B:$F,5,FALSE)*G509,0)</f>
        <v>0</v>
      </c>
      <c r="U509" s="311" t="e">
        <f>+VLOOKUP(C509,Spreads!$A$2:$G$345,7,0)</f>
        <v>#N/A</v>
      </c>
    </row>
    <row r="510" spans="1:21" ht="15" customHeight="1" thickTop="1" thickBot="1">
      <c r="A510" s="317" t="s">
        <v>2137</v>
      </c>
      <c r="B510" s="318" t="s">
        <v>4</v>
      </c>
      <c r="C510" s="318" t="s">
        <v>1422</v>
      </c>
      <c r="D510" s="318" t="s">
        <v>11</v>
      </c>
      <c r="E510" s="319">
        <v>66027.977400000003</v>
      </c>
      <c r="F510" s="319"/>
      <c r="G510" s="314">
        <v>9.9999999999999995E-7</v>
      </c>
      <c r="H510" s="320">
        <v>2.42</v>
      </c>
      <c r="I510" s="318" t="s">
        <v>1423</v>
      </c>
      <c r="J510" s="318">
        <v>3145</v>
      </c>
      <c r="K510" s="318">
        <v>7.6</v>
      </c>
      <c r="L510" s="318">
        <v>104.53</v>
      </c>
      <c r="M510" s="318" t="s">
        <v>6</v>
      </c>
      <c r="N510" s="318" t="s">
        <v>368</v>
      </c>
      <c r="O510" s="318" t="s">
        <v>8</v>
      </c>
      <c r="P510" s="318" t="s">
        <v>7</v>
      </c>
      <c r="Q510" s="318" t="s">
        <v>326</v>
      </c>
      <c r="R510" s="318" t="s">
        <v>404</v>
      </c>
      <c r="S510" s="303">
        <f t="shared" si="8"/>
        <v>501812.62823999999</v>
      </c>
      <c r="T510" s="307">
        <f>+IFERROR(VLOOKUP(C510,'Tasas Diarias'!$B:$F,5,FALSE)*G510,0)</f>
        <v>3.0601773751728825E-9</v>
      </c>
      <c r="U510" s="311" t="e">
        <f>+VLOOKUP(C510,Spreads!$A$2:$G$345,7,0)</f>
        <v>#N/A</v>
      </c>
    </row>
    <row r="511" spans="1:21" ht="15" customHeight="1" thickTop="1" thickBot="1">
      <c r="A511" s="321" t="s">
        <v>2137</v>
      </c>
      <c r="B511" s="322" t="s">
        <v>4</v>
      </c>
      <c r="C511" s="322" t="s">
        <v>1772</v>
      </c>
      <c r="D511" s="322" t="s">
        <v>1773</v>
      </c>
      <c r="E511" s="323">
        <v>25898453.543499999</v>
      </c>
      <c r="F511" s="323"/>
      <c r="G511" s="314">
        <v>5.9000000000000003E-4</v>
      </c>
      <c r="H511" s="324">
        <v>0</v>
      </c>
      <c r="I511" s="322" t="s">
        <v>1774</v>
      </c>
      <c r="J511" s="322">
        <v>3429</v>
      </c>
      <c r="K511" s="322">
        <v>7.76</v>
      </c>
      <c r="L511" s="322">
        <v>99.491</v>
      </c>
      <c r="M511" s="322" t="s">
        <v>369</v>
      </c>
      <c r="N511" s="322" t="s">
        <v>368</v>
      </c>
      <c r="O511" s="322" t="s">
        <v>8</v>
      </c>
      <c r="P511" s="322" t="s">
        <v>7</v>
      </c>
      <c r="Q511" s="322" t="s">
        <v>1477</v>
      </c>
      <c r="R511" s="322" t="s">
        <v>1775</v>
      </c>
      <c r="S511" s="303">
        <f t="shared" si="8"/>
        <v>200971999.49755999</v>
      </c>
      <c r="T511" s="307">
        <f>+IFERROR(VLOOKUP(C511,'Tasas Diarias'!$B:$F,5,FALSE)*G511,0)</f>
        <v>0</v>
      </c>
      <c r="U511" s="311" t="e">
        <f>+VLOOKUP(C511,Spreads!$A$2:$G$345,7,0)</f>
        <v>#N/A</v>
      </c>
    </row>
    <row r="512" spans="1:21" ht="15" customHeight="1" thickTop="1" thickBot="1">
      <c r="A512" s="321" t="s">
        <v>2137</v>
      </c>
      <c r="B512" s="322" t="s">
        <v>4</v>
      </c>
      <c r="C512" s="322" t="s">
        <v>1424</v>
      </c>
      <c r="D512" s="322" t="s">
        <v>1236</v>
      </c>
      <c r="E512" s="323">
        <v>25194.593799999999</v>
      </c>
      <c r="F512" s="323"/>
      <c r="G512" s="314">
        <v>9.9999999999999995E-7</v>
      </c>
      <c r="H512" s="324">
        <v>0</v>
      </c>
      <c r="I512" s="322" t="s">
        <v>1425</v>
      </c>
      <c r="J512" s="322">
        <v>3422</v>
      </c>
      <c r="K512" s="322">
        <v>7.77</v>
      </c>
      <c r="L512" s="322">
        <v>102.0819</v>
      </c>
      <c r="M512" s="322" t="s">
        <v>9</v>
      </c>
      <c r="N512" s="322" t="s">
        <v>368</v>
      </c>
      <c r="O512" s="322" t="s">
        <v>1348</v>
      </c>
      <c r="P512" s="322" t="s">
        <v>7</v>
      </c>
      <c r="Q512" s="322" t="s">
        <v>86</v>
      </c>
      <c r="R512" s="322" t="s">
        <v>1352</v>
      </c>
      <c r="S512" s="303">
        <f t="shared" si="8"/>
        <v>195761.99382599999</v>
      </c>
      <c r="T512" s="307">
        <f>+IFERROR(VLOOKUP(C512,'Tasas Diarias'!$B:$F,5,FALSE)*G512,0)</f>
        <v>0</v>
      </c>
      <c r="U512" s="311" t="e">
        <f>+VLOOKUP(C512,Spreads!$A$2:$G$345,7,0)</f>
        <v>#N/A</v>
      </c>
    </row>
    <row r="513" spans="1:21" ht="15" customHeight="1" thickTop="1" thickBot="1">
      <c r="A513" s="317" t="s">
        <v>2137</v>
      </c>
      <c r="B513" s="318" t="s">
        <v>4</v>
      </c>
      <c r="C513" s="318" t="s">
        <v>1424</v>
      </c>
      <c r="D513" s="318" t="s">
        <v>1236</v>
      </c>
      <c r="E513" s="319">
        <v>5317648.5725999996</v>
      </c>
      <c r="F513" s="319"/>
      <c r="G513" s="314">
        <v>1.21E-4</v>
      </c>
      <c r="H513" s="320">
        <v>0</v>
      </c>
      <c r="I513" s="318" t="s">
        <v>1425</v>
      </c>
      <c r="J513" s="318">
        <v>3422</v>
      </c>
      <c r="K513" s="318">
        <v>7.77</v>
      </c>
      <c r="L513" s="318">
        <v>102.0819</v>
      </c>
      <c r="M513" s="318" t="s">
        <v>369</v>
      </c>
      <c r="N513" s="318" t="s">
        <v>368</v>
      </c>
      <c r="O513" s="318" t="s">
        <v>1348</v>
      </c>
      <c r="P513" s="318" t="s">
        <v>7</v>
      </c>
      <c r="Q513" s="318" t="s">
        <v>86</v>
      </c>
      <c r="R513" s="318" t="s">
        <v>1352</v>
      </c>
      <c r="S513" s="303">
        <f t="shared" si="8"/>
        <v>41318129.409101993</v>
      </c>
      <c r="T513" s="307">
        <f>+IFERROR(VLOOKUP(C513,'Tasas Diarias'!$B:$F,5,FALSE)*G513,0)</f>
        <v>0</v>
      </c>
      <c r="U513" s="311" t="e">
        <f>+VLOOKUP(C513,Spreads!$A$2:$G$345,7,0)</f>
        <v>#N/A</v>
      </c>
    </row>
    <row r="514" spans="1:21" ht="15" customHeight="1" thickTop="1" thickBot="1">
      <c r="A514" s="317" t="s">
        <v>2137</v>
      </c>
      <c r="B514" s="318" t="s">
        <v>4</v>
      </c>
      <c r="C514" s="318" t="s">
        <v>1610</v>
      </c>
      <c r="D514" s="318" t="s">
        <v>1600</v>
      </c>
      <c r="E514" s="319">
        <v>68769227.548199996</v>
      </c>
      <c r="F514" s="319"/>
      <c r="G514" s="314">
        <v>1.567E-3</v>
      </c>
      <c r="H514" s="320">
        <v>4.3899999999999997</v>
      </c>
      <c r="I514" s="318" t="s">
        <v>1611</v>
      </c>
      <c r="J514" s="318">
        <v>3694</v>
      </c>
      <c r="K514" s="318">
        <v>7.77</v>
      </c>
      <c r="L514" s="318">
        <v>111.09</v>
      </c>
      <c r="M514" s="318" t="s">
        <v>6</v>
      </c>
      <c r="N514" s="318" t="s">
        <v>368</v>
      </c>
      <c r="O514" s="318" t="s">
        <v>461</v>
      </c>
      <c r="P514" s="318" t="s">
        <v>802</v>
      </c>
      <c r="Q514" s="318" t="s">
        <v>836</v>
      </c>
      <c r="R514" s="318" t="s">
        <v>837</v>
      </c>
      <c r="S514" s="303">
        <f t="shared" si="8"/>
        <v>534336898.04951394</v>
      </c>
      <c r="T514" s="307">
        <f>+IFERROR(VLOOKUP(C514,'Tasas Diarias'!$B:$F,5,FALSE)*G514,0)</f>
        <v>2.4524540120959594E-6</v>
      </c>
      <c r="U514" s="311" t="e">
        <f>+VLOOKUP(C514,Spreads!$A$2:$G$345,7,0)</f>
        <v>#N/A</v>
      </c>
    </row>
    <row r="515" spans="1:21" ht="15" customHeight="1" thickTop="1" thickBot="1">
      <c r="A515" s="321" t="s">
        <v>2137</v>
      </c>
      <c r="B515" s="322" t="s">
        <v>4</v>
      </c>
      <c r="C515" s="322" t="s">
        <v>1776</v>
      </c>
      <c r="D515" s="322" t="s">
        <v>1695</v>
      </c>
      <c r="E515" s="323">
        <v>21041709.652600002</v>
      </c>
      <c r="F515" s="323"/>
      <c r="G515" s="314">
        <v>4.8000000000000001E-4</v>
      </c>
      <c r="H515" s="324">
        <v>0</v>
      </c>
      <c r="I515" s="322" t="s">
        <v>1774</v>
      </c>
      <c r="J515" s="322">
        <v>3429</v>
      </c>
      <c r="K515" s="322">
        <v>7.78</v>
      </c>
      <c r="L515" s="322">
        <v>101.0474</v>
      </c>
      <c r="M515" s="322" t="s">
        <v>369</v>
      </c>
      <c r="N515" s="322" t="s">
        <v>368</v>
      </c>
      <c r="O515" s="322" t="s">
        <v>8</v>
      </c>
      <c r="P515" s="322" t="s">
        <v>794</v>
      </c>
      <c r="Q515" s="322" t="s">
        <v>1368</v>
      </c>
      <c r="R515" s="322" t="s">
        <v>1697</v>
      </c>
      <c r="S515" s="303">
        <f t="shared" ref="S515:S578" si="9">+IFERROR(E515*K515,0)</f>
        <v>163704501.09722802</v>
      </c>
      <c r="T515" s="307">
        <f>+IFERROR(VLOOKUP(C515,'Tasas Diarias'!$B:$F,5,FALSE)*G515,0)</f>
        <v>0</v>
      </c>
      <c r="U515" s="311" t="e">
        <f>+VLOOKUP(C515,Spreads!$A$2:$G$345,7,0)</f>
        <v>#N/A</v>
      </c>
    </row>
    <row r="516" spans="1:21" ht="15" customHeight="1" thickTop="1" thickBot="1">
      <c r="A516" s="317" t="s">
        <v>2137</v>
      </c>
      <c r="B516" s="318" t="s">
        <v>4</v>
      </c>
      <c r="C516" s="318" t="s">
        <v>19</v>
      </c>
      <c r="D516" s="318" t="s">
        <v>116</v>
      </c>
      <c r="E516" s="319">
        <v>6195817044.6619997</v>
      </c>
      <c r="F516" s="319">
        <v>233000</v>
      </c>
      <c r="G516" s="314">
        <v>0.141207</v>
      </c>
      <c r="H516" s="318">
        <v>1.76</v>
      </c>
      <c r="I516" s="318" t="s">
        <v>770</v>
      </c>
      <c r="J516" s="318">
        <v>3023</v>
      </c>
      <c r="K516" s="318">
        <v>7.79</v>
      </c>
      <c r="L516" s="318">
        <v>98.07</v>
      </c>
      <c r="M516" s="318" t="s">
        <v>6</v>
      </c>
      <c r="N516" s="318" t="s">
        <v>458</v>
      </c>
      <c r="O516" s="318" t="s">
        <v>378</v>
      </c>
      <c r="P516" s="318" t="s">
        <v>379</v>
      </c>
      <c r="Q516" s="318" t="s">
        <v>2139</v>
      </c>
      <c r="R516" s="318" t="s">
        <v>508</v>
      </c>
      <c r="S516" s="303">
        <f t="shared" si="9"/>
        <v>48265414777.916977</v>
      </c>
      <c r="T516" s="307">
        <f>+IFERROR(VLOOKUP(C516,'Tasas Diarias'!$B:$F,5,FALSE)*G516,0)</f>
        <v>3.3238531342270661E-4</v>
      </c>
      <c r="U516" s="311" t="str">
        <f>+VLOOKUP(C516,Spreads!$A$2:$G$345,7,0)</f>
        <v/>
      </c>
    </row>
    <row r="517" spans="1:21" ht="15" customHeight="1" thickTop="1" thickBot="1">
      <c r="A517" s="317" t="s">
        <v>2137</v>
      </c>
      <c r="B517" s="318" t="s">
        <v>4</v>
      </c>
      <c r="C517" s="318" t="s">
        <v>920</v>
      </c>
      <c r="D517" s="318" t="s">
        <v>295</v>
      </c>
      <c r="E517" s="319">
        <v>41204675.756399997</v>
      </c>
      <c r="F517" s="319"/>
      <c r="G517" s="314">
        <v>9.3899999999999995E-4</v>
      </c>
      <c r="H517" s="320">
        <v>2.46</v>
      </c>
      <c r="I517" s="318" t="s">
        <v>921</v>
      </c>
      <c r="J517" s="318">
        <v>3360</v>
      </c>
      <c r="K517" s="318">
        <v>7.81</v>
      </c>
      <c r="L517" s="318">
        <v>112.56</v>
      </c>
      <c r="M517" s="318" t="s">
        <v>6</v>
      </c>
      <c r="N517" s="318" t="s">
        <v>368</v>
      </c>
      <c r="O517" s="318" t="s">
        <v>8</v>
      </c>
      <c r="P517" s="318" t="s">
        <v>417</v>
      </c>
      <c r="Q517" s="318" t="s">
        <v>70</v>
      </c>
      <c r="R517" s="318" t="s">
        <v>922</v>
      </c>
      <c r="S517" s="303">
        <f t="shared" si="9"/>
        <v>321808517.65748394</v>
      </c>
      <c r="T517" s="307">
        <f>+IFERROR(VLOOKUP(C517,'Tasas Diarias'!$B:$F,5,FALSE)*G517,0)</f>
        <v>7.3849757154984411E-7</v>
      </c>
      <c r="U517" s="311" t="str">
        <f ca="1">+VLOOKUP(C517,Spreads!$A$2:$G$345,7,0)</f>
        <v/>
      </c>
    </row>
    <row r="518" spans="1:21" ht="15" customHeight="1" thickTop="1" thickBot="1">
      <c r="A518" s="321" t="s">
        <v>2137</v>
      </c>
      <c r="B518" s="322" t="s">
        <v>4</v>
      </c>
      <c r="C518" s="322" t="s">
        <v>1777</v>
      </c>
      <c r="D518" s="322" t="s">
        <v>166</v>
      </c>
      <c r="E518" s="323">
        <v>23872981.268800002</v>
      </c>
      <c r="F518" s="323"/>
      <c r="G518" s="314">
        <v>5.44E-4</v>
      </c>
      <c r="H518" s="324">
        <v>0</v>
      </c>
      <c r="I518" s="322" t="s">
        <v>1778</v>
      </c>
      <c r="J518" s="322">
        <v>3526</v>
      </c>
      <c r="K518" s="322">
        <v>7.86</v>
      </c>
      <c r="L518" s="322">
        <v>99.489099999999993</v>
      </c>
      <c r="M518" s="322" t="s">
        <v>369</v>
      </c>
      <c r="N518" s="322" t="s">
        <v>368</v>
      </c>
      <c r="O518" s="322" t="s">
        <v>429</v>
      </c>
      <c r="P518" s="322" t="s">
        <v>392</v>
      </c>
      <c r="Q518" s="322" t="s">
        <v>57</v>
      </c>
      <c r="R518" s="322" t="s">
        <v>447</v>
      </c>
      <c r="S518" s="303">
        <f t="shared" si="9"/>
        <v>187641632.77276802</v>
      </c>
      <c r="T518" s="307">
        <f>+IFERROR(VLOOKUP(C518,'Tasas Diarias'!$B:$F,5,FALSE)*G518,0)</f>
        <v>0</v>
      </c>
      <c r="U518" s="311" t="e">
        <f>+VLOOKUP(C518,Spreads!$A$2:$G$345,7,0)</f>
        <v>#N/A</v>
      </c>
    </row>
    <row r="519" spans="1:21" ht="15" customHeight="1" thickTop="1" thickBot="1">
      <c r="A519" s="317" t="s">
        <v>2137</v>
      </c>
      <c r="B519" s="318" t="s">
        <v>4</v>
      </c>
      <c r="C519" s="318" t="s">
        <v>1779</v>
      </c>
      <c r="D519" s="318" t="s">
        <v>1780</v>
      </c>
      <c r="E519" s="319">
        <v>32885705.809999999</v>
      </c>
      <c r="F519" s="319"/>
      <c r="G519" s="314">
        <v>7.4899999999999999E-4</v>
      </c>
      <c r="H519" s="320">
        <v>0</v>
      </c>
      <c r="I519" s="318" t="s">
        <v>1781</v>
      </c>
      <c r="J519" s="318">
        <v>3543</v>
      </c>
      <c r="K519" s="318">
        <v>7.91</v>
      </c>
      <c r="L519" s="318">
        <v>100.2484</v>
      </c>
      <c r="M519" s="318" t="s">
        <v>369</v>
      </c>
      <c r="N519" s="318" t="s">
        <v>368</v>
      </c>
      <c r="O519" s="318" t="s">
        <v>8</v>
      </c>
      <c r="P519" s="318" t="s">
        <v>417</v>
      </c>
      <c r="Q519" s="318" t="s">
        <v>1782</v>
      </c>
      <c r="R519" s="318" t="s">
        <v>1783</v>
      </c>
      <c r="S519" s="303">
        <f t="shared" si="9"/>
        <v>260125932.9571</v>
      </c>
      <c r="T519" s="307">
        <f>+IFERROR(VLOOKUP(C519,'Tasas Diarias'!$B:$F,5,FALSE)*G519,0)</f>
        <v>0</v>
      </c>
      <c r="U519" s="311" t="e">
        <f>+VLOOKUP(C519,Spreads!$A$2:$G$345,7,0)</f>
        <v>#N/A</v>
      </c>
    </row>
    <row r="520" spans="1:21" ht="15" customHeight="1" thickTop="1" thickBot="1">
      <c r="A520" s="317" t="s">
        <v>2137</v>
      </c>
      <c r="B520" s="318" t="s">
        <v>4</v>
      </c>
      <c r="C520" s="318" t="s">
        <v>1929</v>
      </c>
      <c r="D520" s="318" t="s">
        <v>1633</v>
      </c>
      <c r="E520" s="319">
        <v>25889047.3255</v>
      </c>
      <c r="F520" s="319"/>
      <c r="G520" s="314">
        <v>5.9000000000000003E-4</v>
      </c>
      <c r="H520" s="320">
        <v>0</v>
      </c>
      <c r="I520" s="318" t="s">
        <v>1930</v>
      </c>
      <c r="J520" s="318">
        <v>3625</v>
      </c>
      <c r="K520" s="318">
        <v>7.95</v>
      </c>
      <c r="L520" s="318">
        <v>99.575999999999993</v>
      </c>
      <c r="M520" s="318" t="s">
        <v>369</v>
      </c>
      <c r="N520" s="318" t="s">
        <v>368</v>
      </c>
      <c r="O520" s="318" t="s">
        <v>1348</v>
      </c>
      <c r="P520" s="318" t="s">
        <v>417</v>
      </c>
      <c r="Q520" s="318" t="s">
        <v>1357</v>
      </c>
      <c r="R520" s="318" t="s">
        <v>1634</v>
      </c>
      <c r="S520" s="303">
        <f t="shared" si="9"/>
        <v>205817926.23772502</v>
      </c>
      <c r="T520" s="307">
        <f>+IFERROR(VLOOKUP(C520,'Tasas Diarias'!$B:$F,5,FALSE)*G520,0)</f>
        <v>0</v>
      </c>
      <c r="U520" s="311" t="e">
        <f>+VLOOKUP(C520,Spreads!$A$2:$G$345,7,0)</f>
        <v>#N/A</v>
      </c>
    </row>
    <row r="521" spans="1:21" ht="15" customHeight="1" thickTop="1" thickBot="1">
      <c r="A521" s="321" t="s">
        <v>2137</v>
      </c>
      <c r="B521" s="322" t="s">
        <v>4</v>
      </c>
      <c r="C521" s="322" t="s">
        <v>1201</v>
      </c>
      <c r="D521" s="322" t="s">
        <v>1222</v>
      </c>
      <c r="E521" s="323">
        <v>414398567.875</v>
      </c>
      <c r="F521" s="323">
        <v>15000</v>
      </c>
      <c r="G521" s="314">
        <v>9.4439999999999993E-3</v>
      </c>
      <c r="H521" s="324">
        <v>2.5</v>
      </c>
      <c r="I521" s="322" t="s">
        <v>671</v>
      </c>
      <c r="J521" s="322">
        <v>3312</v>
      </c>
      <c r="K521" s="322">
        <v>8</v>
      </c>
      <c r="L521" s="322">
        <v>102.35</v>
      </c>
      <c r="M521" s="322" t="s">
        <v>6</v>
      </c>
      <c r="N521" s="322" t="s">
        <v>368</v>
      </c>
      <c r="O521" s="322" t="s">
        <v>421</v>
      </c>
      <c r="P521" s="322" t="s">
        <v>392</v>
      </c>
      <c r="Q521" s="322" t="s">
        <v>1223</v>
      </c>
      <c r="R521" s="322" t="s">
        <v>1224</v>
      </c>
      <c r="S521" s="303">
        <f t="shared" si="9"/>
        <v>3315188543</v>
      </c>
      <c r="T521" s="307">
        <f>+IFERROR(VLOOKUP(C521,'Tasas Diarias'!$B:$F,5,FALSE)*G521,0)</f>
        <v>7.6122392507588403E-6</v>
      </c>
      <c r="U521" s="311" t="str">
        <f ca="1">+VLOOKUP(C521,Spreads!$A$2:$G$345,7,0)</f>
        <v/>
      </c>
    </row>
    <row r="522" spans="1:21" ht="15" customHeight="1" thickTop="1" thickBot="1">
      <c r="A522" s="321" t="s">
        <v>2137</v>
      </c>
      <c r="B522" s="322" t="s">
        <v>4</v>
      </c>
      <c r="C522" s="322" t="s">
        <v>1784</v>
      </c>
      <c r="D522" s="322" t="s">
        <v>1785</v>
      </c>
      <c r="E522" s="323">
        <v>26136744.399300002</v>
      </c>
      <c r="F522" s="323"/>
      <c r="G522" s="314">
        <v>5.9599999999999996E-4</v>
      </c>
      <c r="H522" s="324">
        <v>0</v>
      </c>
      <c r="I522" s="322" t="s">
        <v>1786</v>
      </c>
      <c r="J522" s="322">
        <v>3547</v>
      </c>
      <c r="K522" s="322">
        <v>8.01</v>
      </c>
      <c r="L522" s="322">
        <v>99.703699999999998</v>
      </c>
      <c r="M522" s="322" t="s">
        <v>369</v>
      </c>
      <c r="N522" s="322" t="s">
        <v>368</v>
      </c>
      <c r="O522" s="322" t="s">
        <v>8</v>
      </c>
      <c r="P522" s="322" t="s">
        <v>7</v>
      </c>
      <c r="Q522" s="322" t="s">
        <v>1787</v>
      </c>
      <c r="R522" s="322" t="s">
        <v>1788</v>
      </c>
      <c r="S522" s="303">
        <f t="shared" si="9"/>
        <v>209355322.63839301</v>
      </c>
      <c r="T522" s="307">
        <f>+IFERROR(VLOOKUP(C522,'Tasas Diarias'!$B:$F,5,FALSE)*G522,0)</f>
        <v>0</v>
      </c>
      <c r="U522" s="311" t="e">
        <f>+VLOOKUP(C522,Spreads!$A$2:$G$345,7,0)</f>
        <v>#N/A</v>
      </c>
    </row>
    <row r="523" spans="1:21" ht="15" customHeight="1" thickTop="1" thickBot="1">
      <c r="A523" s="321" t="s">
        <v>2137</v>
      </c>
      <c r="B523" s="322" t="s">
        <v>4</v>
      </c>
      <c r="C523" s="322" t="s">
        <v>1791</v>
      </c>
      <c r="D523" s="322" t="s">
        <v>1727</v>
      </c>
      <c r="E523" s="323">
        <v>26125770.478300001</v>
      </c>
      <c r="F523" s="323"/>
      <c r="G523" s="314">
        <v>5.9500000000000004E-4</v>
      </c>
      <c r="H523" s="324">
        <v>0</v>
      </c>
      <c r="I523" s="322" t="s">
        <v>1792</v>
      </c>
      <c r="J523" s="322">
        <v>3556</v>
      </c>
      <c r="K523" s="322">
        <v>8.0299999999999994</v>
      </c>
      <c r="L523" s="322">
        <v>99.766300000000001</v>
      </c>
      <c r="M523" s="322" t="s">
        <v>369</v>
      </c>
      <c r="N523" s="322" t="s">
        <v>368</v>
      </c>
      <c r="O523" s="322" t="s">
        <v>1494</v>
      </c>
      <c r="P523" s="322" t="s">
        <v>417</v>
      </c>
      <c r="Q523" s="322" t="s">
        <v>1374</v>
      </c>
      <c r="R523" s="322" t="s">
        <v>1729</v>
      </c>
      <c r="S523" s="303">
        <f t="shared" si="9"/>
        <v>209789936.94074899</v>
      </c>
      <c r="T523" s="307">
        <f>+IFERROR(VLOOKUP(C523,'Tasas Diarias'!$B:$F,5,FALSE)*G523,0)</f>
        <v>0</v>
      </c>
      <c r="U523" s="311" t="e">
        <f>+VLOOKUP(C523,Spreads!$A$2:$G$345,7,0)</f>
        <v>#N/A</v>
      </c>
    </row>
    <row r="524" spans="1:21" ht="15" customHeight="1" thickTop="1" thickBot="1">
      <c r="A524" s="317" t="s">
        <v>2137</v>
      </c>
      <c r="B524" s="318" t="s">
        <v>4</v>
      </c>
      <c r="C524" s="318" t="s">
        <v>1859</v>
      </c>
      <c r="D524" s="318" t="s">
        <v>1860</v>
      </c>
      <c r="E524" s="319">
        <v>27336037.193599999</v>
      </c>
      <c r="F524" s="319"/>
      <c r="G524" s="314">
        <v>6.2299999999999996E-4</v>
      </c>
      <c r="H524" s="318">
        <v>0</v>
      </c>
      <c r="I524" s="318" t="s">
        <v>1861</v>
      </c>
      <c r="J524" s="318">
        <v>3591</v>
      </c>
      <c r="K524" s="318">
        <v>8.06</v>
      </c>
      <c r="L524" s="318">
        <v>99.767399999999995</v>
      </c>
      <c r="M524" s="318" t="s">
        <v>369</v>
      </c>
      <c r="N524" s="318" t="s">
        <v>368</v>
      </c>
      <c r="O524" s="318" t="s">
        <v>1494</v>
      </c>
      <c r="P524" s="318" t="s">
        <v>417</v>
      </c>
      <c r="Q524" s="318" t="s">
        <v>1862</v>
      </c>
      <c r="R524" s="318" t="s">
        <v>1863</v>
      </c>
      <c r="S524" s="303">
        <f t="shared" si="9"/>
        <v>220328459.78041601</v>
      </c>
      <c r="T524" s="307">
        <f>+IFERROR(VLOOKUP(C524,'Tasas Diarias'!$B:$F,5,FALSE)*G524,0)</f>
        <v>0</v>
      </c>
      <c r="U524" s="311" t="e">
        <f>+VLOOKUP(C524,Spreads!$A$2:$G$345,7,0)</f>
        <v>#N/A</v>
      </c>
    </row>
    <row r="525" spans="1:21" ht="15" customHeight="1" thickTop="1" thickBot="1">
      <c r="A525" s="327" t="s">
        <v>2137</v>
      </c>
      <c r="B525" s="328" t="s">
        <v>4</v>
      </c>
      <c r="C525" s="328" t="s">
        <v>771</v>
      </c>
      <c r="D525" s="328" t="s">
        <v>521</v>
      </c>
      <c r="E525" s="328">
        <v>133533979.70900001</v>
      </c>
      <c r="F525" s="328"/>
      <c r="G525" s="332">
        <v>3.0439999999999998E-3</v>
      </c>
      <c r="H525" s="329">
        <v>2.59</v>
      </c>
      <c r="I525" s="328" t="s">
        <v>772</v>
      </c>
      <c r="J525" s="328">
        <v>5399</v>
      </c>
      <c r="K525" s="328">
        <v>8.07</v>
      </c>
      <c r="L525" s="328">
        <v>109.8</v>
      </c>
      <c r="M525" s="328" t="s">
        <v>6</v>
      </c>
      <c r="N525" s="328" t="s">
        <v>368</v>
      </c>
      <c r="O525" s="328" t="s">
        <v>429</v>
      </c>
      <c r="P525" s="328" t="s">
        <v>392</v>
      </c>
      <c r="Q525" s="328" t="s">
        <v>522</v>
      </c>
      <c r="R525" s="328" t="s">
        <v>523</v>
      </c>
      <c r="S525" s="303">
        <f t="shared" si="9"/>
        <v>1077619216.2516301</v>
      </c>
      <c r="T525" s="307">
        <f>+IFERROR(VLOOKUP(C525,'Tasas Diarias'!$B:$F,5,FALSE)*G525,0)</f>
        <v>2.4732844024097836E-6</v>
      </c>
      <c r="U525" s="311" t="str">
        <f ca="1">+VLOOKUP(C525,Spreads!$A$2:$G$345,7,0)</f>
        <v/>
      </c>
    </row>
    <row r="526" spans="1:21" ht="15" customHeight="1" thickTop="1" thickBot="1">
      <c r="A526" s="327" t="s">
        <v>2137</v>
      </c>
      <c r="B526" s="328" t="s">
        <v>4</v>
      </c>
      <c r="C526" s="328" t="s">
        <v>773</v>
      </c>
      <c r="D526" s="328" t="s">
        <v>528</v>
      </c>
      <c r="E526" s="328">
        <v>19655.855800000001</v>
      </c>
      <c r="F526" s="328"/>
      <c r="G526" s="328">
        <v>0</v>
      </c>
      <c r="H526" s="329">
        <v>2.46</v>
      </c>
      <c r="I526" s="328" t="s">
        <v>774</v>
      </c>
      <c r="J526" s="328">
        <v>5307</v>
      </c>
      <c r="K526" s="328">
        <v>8.08</v>
      </c>
      <c r="L526" s="328">
        <v>111.34</v>
      </c>
      <c r="M526" s="328" t="s">
        <v>6</v>
      </c>
      <c r="N526" s="328" t="s">
        <v>368</v>
      </c>
      <c r="O526" s="328" t="s">
        <v>530</v>
      </c>
      <c r="P526" s="328" t="s">
        <v>7</v>
      </c>
      <c r="Q526" s="328" t="s">
        <v>531</v>
      </c>
      <c r="R526" s="328" t="s">
        <v>532</v>
      </c>
      <c r="S526" s="303">
        <f t="shared" si="9"/>
        <v>158819.31486400001</v>
      </c>
      <c r="T526" s="307">
        <f>+IFERROR(VLOOKUP(C526,'Tasas Diarias'!$B:$F,5,FALSE)*G526,0)</f>
        <v>0</v>
      </c>
      <c r="U526" s="311" t="str">
        <f ca="1">+VLOOKUP(C526,Spreads!$A$2:$G$345,7,0)</f>
        <v/>
      </c>
    </row>
    <row r="527" spans="1:21" ht="15" customHeight="1" thickTop="1" thickBot="1">
      <c r="A527" s="321" t="s">
        <v>2137</v>
      </c>
      <c r="B527" s="322" t="s">
        <v>4</v>
      </c>
      <c r="C527" s="322" t="s">
        <v>1789</v>
      </c>
      <c r="D527" s="322" t="s">
        <v>836</v>
      </c>
      <c r="E527" s="323">
        <v>29587258.700100001</v>
      </c>
      <c r="F527" s="323"/>
      <c r="G527" s="314">
        <v>6.7400000000000001E-4</v>
      </c>
      <c r="H527" s="324">
        <v>0</v>
      </c>
      <c r="I527" s="322" t="s">
        <v>1790</v>
      </c>
      <c r="J527" s="322">
        <v>3647</v>
      </c>
      <c r="K527" s="322">
        <v>8.1</v>
      </c>
      <c r="L527" s="322">
        <v>101.661</v>
      </c>
      <c r="M527" s="322" t="s">
        <v>369</v>
      </c>
      <c r="N527" s="322" t="s">
        <v>368</v>
      </c>
      <c r="O527" s="322" t="s">
        <v>461</v>
      </c>
      <c r="P527" s="322" t="s">
        <v>109</v>
      </c>
      <c r="Q527" s="322" t="s">
        <v>836</v>
      </c>
      <c r="R527" s="322" t="s">
        <v>837</v>
      </c>
      <c r="S527" s="303">
        <f t="shared" si="9"/>
        <v>239656795.47081</v>
      </c>
      <c r="T527" s="307">
        <f>+IFERROR(VLOOKUP(C527,'Tasas Diarias'!$B:$F,5,FALSE)*G527,0)</f>
        <v>0</v>
      </c>
      <c r="U527" s="311" t="e">
        <f>+VLOOKUP(C527,Spreads!$A$2:$G$345,7,0)</f>
        <v>#N/A</v>
      </c>
    </row>
    <row r="528" spans="1:21" ht="15" customHeight="1" thickTop="1" thickBot="1">
      <c r="A528" s="321" t="s">
        <v>2137</v>
      </c>
      <c r="B528" s="322" t="s">
        <v>4</v>
      </c>
      <c r="C528" s="322" t="s">
        <v>1907</v>
      </c>
      <c r="D528" s="322" t="s">
        <v>1903</v>
      </c>
      <c r="E528" s="323">
        <v>12980580.831700001</v>
      </c>
      <c r="F528" s="323"/>
      <c r="G528" s="314">
        <v>2.9599999999999998E-4</v>
      </c>
      <c r="H528" s="322">
        <v>0</v>
      </c>
      <c r="I528" s="322" t="s">
        <v>1908</v>
      </c>
      <c r="J528" s="322">
        <v>3703</v>
      </c>
      <c r="K528" s="322">
        <v>8.1</v>
      </c>
      <c r="L528" s="322">
        <v>99.227699999999999</v>
      </c>
      <c r="M528" s="322" t="s">
        <v>369</v>
      </c>
      <c r="N528" s="322" t="s">
        <v>368</v>
      </c>
      <c r="O528" s="322" t="s">
        <v>421</v>
      </c>
      <c r="P528" s="322" t="s">
        <v>1307</v>
      </c>
      <c r="Q528" s="322" t="s">
        <v>1905</v>
      </c>
      <c r="R528" s="322" t="s">
        <v>1906</v>
      </c>
      <c r="S528" s="303">
        <f t="shared" si="9"/>
        <v>105142704.73677</v>
      </c>
      <c r="T528" s="307">
        <f>+IFERROR(VLOOKUP(C528,'Tasas Diarias'!$B:$F,5,FALSE)*G528,0)</f>
        <v>0</v>
      </c>
      <c r="U528" s="311" t="e">
        <f>+VLOOKUP(C528,Spreads!$A$2:$G$345,7,0)</f>
        <v>#N/A</v>
      </c>
    </row>
    <row r="529" spans="1:21" ht="15" customHeight="1" thickTop="1" thickBot="1">
      <c r="A529" s="321" t="s">
        <v>2137</v>
      </c>
      <c r="B529" s="322" t="s">
        <v>4</v>
      </c>
      <c r="C529" s="322" t="s">
        <v>1008</v>
      </c>
      <c r="D529" s="322" t="s">
        <v>485</v>
      </c>
      <c r="E529" s="323">
        <v>30026413.320999999</v>
      </c>
      <c r="F529" s="323"/>
      <c r="G529" s="314">
        <v>6.8499999999999995E-4</v>
      </c>
      <c r="H529" s="324">
        <v>2.46</v>
      </c>
      <c r="I529" s="322" t="s">
        <v>1009</v>
      </c>
      <c r="J529" s="322">
        <v>3282</v>
      </c>
      <c r="K529" s="322">
        <v>8.14</v>
      </c>
      <c r="L529" s="322">
        <v>99.51</v>
      </c>
      <c r="M529" s="322" t="s">
        <v>6</v>
      </c>
      <c r="N529" s="322" t="s">
        <v>368</v>
      </c>
      <c r="O529" s="322" t="s">
        <v>1348</v>
      </c>
      <c r="P529" s="322" t="s">
        <v>392</v>
      </c>
      <c r="Q529" s="322" t="s">
        <v>487</v>
      </c>
      <c r="R529" s="322" t="s">
        <v>488</v>
      </c>
      <c r="S529" s="303">
        <f t="shared" si="9"/>
        <v>244415004.43294001</v>
      </c>
      <c r="T529" s="307">
        <f>+IFERROR(VLOOKUP(C529,'Tasas Diarias'!$B:$F,5,FALSE)*G529,0)</f>
        <v>1.6632635974281766E-6</v>
      </c>
      <c r="U529" s="311" t="str">
        <f ca="1">+VLOOKUP(C529,Spreads!$A$2:$G$345,7,0)</f>
        <v/>
      </c>
    </row>
    <row r="530" spans="1:21" ht="15" customHeight="1" thickTop="1" thickBot="1">
      <c r="A530" s="321" t="s">
        <v>2137</v>
      </c>
      <c r="B530" s="322" t="s">
        <v>4</v>
      </c>
      <c r="C530" s="322" t="s">
        <v>923</v>
      </c>
      <c r="D530" s="322" t="s">
        <v>859</v>
      </c>
      <c r="E530" s="323">
        <v>6144840.3080000002</v>
      </c>
      <c r="F530" s="323"/>
      <c r="G530" s="314">
        <v>1.3999999999999999E-4</v>
      </c>
      <c r="H530" s="324">
        <v>3.34</v>
      </c>
      <c r="I530" s="322" t="s">
        <v>924</v>
      </c>
      <c r="J530" s="322">
        <v>3938</v>
      </c>
      <c r="K530" s="322">
        <v>8.14</v>
      </c>
      <c r="L530" s="322">
        <v>101.26</v>
      </c>
      <c r="M530" s="322" t="s">
        <v>6</v>
      </c>
      <c r="N530" s="322" t="s">
        <v>368</v>
      </c>
      <c r="O530" s="322" t="s">
        <v>1347</v>
      </c>
      <c r="P530" s="322" t="s">
        <v>25</v>
      </c>
      <c r="Q530" s="322" t="s">
        <v>861</v>
      </c>
      <c r="R530" s="322" t="s">
        <v>862</v>
      </c>
      <c r="S530" s="303">
        <f t="shared" si="9"/>
        <v>50019000.107120007</v>
      </c>
      <c r="T530" s="307">
        <f>+IFERROR(VLOOKUP(C530,'Tasas Diarias'!$B:$F,5,FALSE)*G530,0)</f>
        <v>0</v>
      </c>
      <c r="U530" s="311" t="str">
        <f ca="1">+VLOOKUP(C530,Spreads!$A$2:$G$345,7,0)</f>
        <v/>
      </c>
    </row>
    <row r="531" spans="1:21" ht="15" customHeight="1" thickTop="1" thickBot="1">
      <c r="A531" s="317" t="s">
        <v>2137</v>
      </c>
      <c r="B531" s="318" t="s">
        <v>4</v>
      </c>
      <c r="C531" s="318" t="s">
        <v>1931</v>
      </c>
      <c r="D531" s="318" t="s">
        <v>1932</v>
      </c>
      <c r="E531" s="319">
        <v>30726978.780400001</v>
      </c>
      <c r="F531" s="319"/>
      <c r="G531" s="314">
        <v>6.9999999999999999E-4</v>
      </c>
      <c r="H531" s="318">
        <v>0</v>
      </c>
      <c r="I531" s="318" t="s">
        <v>1933</v>
      </c>
      <c r="J531" s="318">
        <v>3620</v>
      </c>
      <c r="K531" s="318">
        <v>8.19</v>
      </c>
      <c r="L531" s="318">
        <v>98.4786</v>
      </c>
      <c r="M531" s="318" t="s">
        <v>369</v>
      </c>
      <c r="N531" s="318" t="s">
        <v>368</v>
      </c>
      <c r="O531" s="318" t="s">
        <v>8</v>
      </c>
      <c r="P531" s="318" t="s">
        <v>392</v>
      </c>
      <c r="Q531" s="318" t="s">
        <v>1934</v>
      </c>
      <c r="R531" s="318" t="s">
        <v>1935</v>
      </c>
      <c r="S531" s="303">
        <f t="shared" si="9"/>
        <v>251653956.211476</v>
      </c>
      <c r="T531" s="307">
        <f>+IFERROR(VLOOKUP(C531,'Tasas Diarias'!$B:$F,5,FALSE)*G531,0)</f>
        <v>0</v>
      </c>
      <c r="U531" s="311" t="e">
        <f>+VLOOKUP(C531,Spreads!$A$2:$G$345,7,0)</f>
        <v>#N/A</v>
      </c>
    </row>
    <row r="532" spans="1:21" ht="15" customHeight="1" thickTop="1" thickBot="1">
      <c r="A532" s="321" t="s">
        <v>2137</v>
      </c>
      <c r="B532" s="322" t="s">
        <v>4</v>
      </c>
      <c r="C532" s="322" t="s">
        <v>1888</v>
      </c>
      <c r="D532" s="322" t="s">
        <v>1616</v>
      </c>
      <c r="E532" s="323">
        <v>15521827.393100001</v>
      </c>
      <c r="F532" s="323"/>
      <c r="G532" s="314">
        <v>3.5399999999999999E-4</v>
      </c>
      <c r="H532" s="324">
        <v>0</v>
      </c>
      <c r="I532" s="322" t="s">
        <v>1889</v>
      </c>
      <c r="J532" s="322">
        <v>3605</v>
      </c>
      <c r="K532" s="322">
        <v>8.1999999999999993</v>
      </c>
      <c r="L532" s="322">
        <v>99.346800000000002</v>
      </c>
      <c r="M532" s="322" t="s">
        <v>369</v>
      </c>
      <c r="N532" s="322" t="s">
        <v>368</v>
      </c>
      <c r="O532" s="322" t="s">
        <v>421</v>
      </c>
      <c r="P532" s="322" t="s">
        <v>417</v>
      </c>
      <c r="Q532" s="322" t="s">
        <v>1362</v>
      </c>
      <c r="R532" s="322" t="s">
        <v>1618</v>
      </c>
      <c r="S532" s="303">
        <f t="shared" si="9"/>
        <v>127278984.62342</v>
      </c>
      <c r="T532" s="307">
        <f>+IFERROR(VLOOKUP(C532,'Tasas Diarias'!$B:$F,5,FALSE)*G532,0)</f>
        <v>0</v>
      </c>
      <c r="U532" s="311" t="e">
        <f>+VLOOKUP(C532,Spreads!$A$2:$G$345,7,0)</f>
        <v>#N/A</v>
      </c>
    </row>
    <row r="533" spans="1:21" ht="15" customHeight="1" thickTop="1" thickBot="1">
      <c r="A533" s="317" t="s">
        <v>2137</v>
      </c>
      <c r="B533" s="318" t="s">
        <v>4</v>
      </c>
      <c r="C533" s="318" t="s">
        <v>1598</v>
      </c>
      <c r="D533" s="318" t="s">
        <v>485</v>
      </c>
      <c r="E533" s="319">
        <v>11539988.926200001</v>
      </c>
      <c r="F533" s="319"/>
      <c r="G533" s="314">
        <v>2.63E-4</v>
      </c>
      <c r="H533" s="320">
        <v>2.5299999999999998</v>
      </c>
      <c r="I533" s="318" t="s">
        <v>952</v>
      </c>
      <c r="J533" s="318">
        <v>5474</v>
      </c>
      <c r="K533" s="318">
        <v>8.24</v>
      </c>
      <c r="L533" s="318">
        <v>112.27</v>
      </c>
      <c r="M533" s="318" t="s">
        <v>6</v>
      </c>
      <c r="N533" s="318" t="s">
        <v>368</v>
      </c>
      <c r="O533" s="318" t="s">
        <v>1348</v>
      </c>
      <c r="P533" s="318" t="s">
        <v>392</v>
      </c>
      <c r="Q533" s="318" t="s">
        <v>487</v>
      </c>
      <c r="R533" s="318" t="s">
        <v>488</v>
      </c>
      <c r="S533" s="303">
        <f t="shared" si="9"/>
        <v>95089508.751888007</v>
      </c>
      <c r="T533" s="307">
        <f>+IFERROR(VLOOKUP(C533,'Tasas Diarias'!$B:$F,5,FALSE)*G533,0)</f>
        <v>0</v>
      </c>
      <c r="U533" s="311" t="e">
        <f>+VLOOKUP(C533,Spreads!$A$2:$G$345,7,0)</f>
        <v>#N/A</v>
      </c>
    </row>
    <row r="534" spans="1:21" ht="15" customHeight="1" thickTop="1" thickBot="1">
      <c r="A534" s="317" t="s">
        <v>2137</v>
      </c>
      <c r="B534" s="318" t="s">
        <v>4</v>
      </c>
      <c r="C534" s="318" t="s">
        <v>1909</v>
      </c>
      <c r="D534" s="318" t="s">
        <v>683</v>
      </c>
      <c r="E534" s="319">
        <v>25979974.099399999</v>
      </c>
      <c r="F534" s="319"/>
      <c r="G534" s="314">
        <v>5.9199999999999997E-4</v>
      </c>
      <c r="H534" s="320">
        <v>0</v>
      </c>
      <c r="I534" s="318" t="s">
        <v>1910</v>
      </c>
      <c r="J534" s="318">
        <v>3612</v>
      </c>
      <c r="K534" s="318">
        <v>8.25</v>
      </c>
      <c r="L534" s="318">
        <v>99.851299999999995</v>
      </c>
      <c r="M534" s="318" t="s">
        <v>369</v>
      </c>
      <c r="N534" s="318" t="s">
        <v>368</v>
      </c>
      <c r="O534" s="318" t="s">
        <v>1346</v>
      </c>
      <c r="P534" s="318" t="s">
        <v>417</v>
      </c>
      <c r="Q534" s="318" t="s">
        <v>685</v>
      </c>
      <c r="R534" s="318" t="s">
        <v>686</v>
      </c>
      <c r="S534" s="303">
        <f t="shared" si="9"/>
        <v>214334786.32005</v>
      </c>
      <c r="T534" s="307">
        <f>+IFERROR(VLOOKUP(C534,'Tasas Diarias'!$B:$F,5,FALSE)*G534,0)</f>
        <v>0</v>
      </c>
      <c r="U534" s="311" t="e">
        <f>+VLOOKUP(C534,Spreads!$A$2:$G$345,7,0)</f>
        <v>#N/A</v>
      </c>
    </row>
    <row r="535" spans="1:21" ht="15" customHeight="1" thickTop="1" thickBot="1">
      <c r="A535" s="317" t="s">
        <v>2137</v>
      </c>
      <c r="B535" s="318" t="s">
        <v>4</v>
      </c>
      <c r="C535" s="318" t="s">
        <v>2093</v>
      </c>
      <c r="D535" s="318" t="s">
        <v>2094</v>
      </c>
      <c r="E535" s="319">
        <v>6400931.3448999999</v>
      </c>
      <c r="F535" s="319"/>
      <c r="G535" s="314">
        <v>1.46E-4</v>
      </c>
      <c r="H535" s="318">
        <v>0</v>
      </c>
      <c r="I535" s="318" t="s">
        <v>2095</v>
      </c>
      <c r="J535" s="318">
        <v>3634</v>
      </c>
      <c r="K535" s="318">
        <v>8.32</v>
      </c>
      <c r="L535" s="318">
        <v>98.638199999999998</v>
      </c>
      <c r="M535" s="318" t="s">
        <v>369</v>
      </c>
      <c r="N535" s="318" t="s">
        <v>368</v>
      </c>
      <c r="O535" s="318" t="s">
        <v>421</v>
      </c>
      <c r="P535" s="318" t="s">
        <v>392</v>
      </c>
      <c r="Q535" s="318" t="s">
        <v>487</v>
      </c>
      <c r="R535" s="318" t="s">
        <v>488</v>
      </c>
      <c r="S535" s="303">
        <f t="shared" si="9"/>
        <v>53255748.789568</v>
      </c>
      <c r="T535" s="307">
        <f>+IFERROR(VLOOKUP(C535,'Tasas Diarias'!$B:$F,5,FALSE)*G535,0)</f>
        <v>0</v>
      </c>
      <c r="U535" s="311" t="e">
        <f>+VLOOKUP(C535,Spreads!$A$2:$G$345,7,0)</f>
        <v>#N/A</v>
      </c>
    </row>
    <row r="536" spans="1:21" ht="15" customHeight="1" thickTop="1" thickBot="1">
      <c r="A536" s="321" t="s">
        <v>2137</v>
      </c>
      <c r="B536" s="322" t="s">
        <v>4</v>
      </c>
      <c r="C536" s="322" t="s">
        <v>775</v>
      </c>
      <c r="D536" s="322" t="s">
        <v>776</v>
      </c>
      <c r="E536" s="323">
        <v>105550356.2877</v>
      </c>
      <c r="F536" s="323"/>
      <c r="G536" s="314">
        <v>2.405E-3</v>
      </c>
      <c r="H536" s="324">
        <v>2.54</v>
      </c>
      <c r="I536" s="322" t="s">
        <v>777</v>
      </c>
      <c r="J536" s="322">
        <v>3677</v>
      </c>
      <c r="K536" s="322">
        <v>8.32</v>
      </c>
      <c r="L536" s="322">
        <v>114.59</v>
      </c>
      <c r="M536" s="322" t="s">
        <v>6</v>
      </c>
      <c r="N536" s="322" t="s">
        <v>368</v>
      </c>
      <c r="O536" s="322" t="s">
        <v>1347</v>
      </c>
      <c r="P536" s="322" t="s">
        <v>392</v>
      </c>
      <c r="Q536" s="322" t="s">
        <v>778</v>
      </c>
      <c r="R536" s="322" t="s">
        <v>779</v>
      </c>
      <c r="S536" s="303">
        <f t="shared" si="9"/>
        <v>878178964.31366396</v>
      </c>
      <c r="T536" s="307">
        <f>+IFERROR(VLOOKUP(C536,'Tasas Diarias'!$B:$F,5,FALSE)*G536,0)</f>
        <v>2.0148724000233949E-6</v>
      </c>
      <c r="U536" s="311" t="str">
        <f ca="1">+VLOOKUP(C536,Spreads!$A$2:$G$345,7,0)</f>
        <v/>
      </c>
    </row>
    <row r="537" spans="1:21" ht="15" customHeight="1" thickTop="1" thickBot="1">
      <c r="A537" s="321" t="s">
        <v>2137</v>
      </c>
      <c r="B537" s="322" t="s">
        <v>4</v>
      </c>
      <c r="C537" s="322" t="s">
        <v>1951</v>
      </c>
      <c r="D537" s="322" t="s">
        <v>37</v>
      </c>
      <c r="E537" s="323">
        <v>19019372.7839</v>
      </c>
      <c r="F537" s="323"/>
      <c r="G537" s="314">
        <v>4.3300000000000001E-4</v>
      </c>
      <c r="H537" s="324">
        <v>0</v>
      </c>
      <c r="I537" s="322" t="s">
        <v>1952</v>
      </c>
      <c r="J537" s="322">
        <v>3631</v>
      </c>
      <c r="K537" s="322">
        <v>8.35</v>
      </c>
      <c r="L537" s="322">
        <v>97.673500000000004</v>
      </c>
      <c r="M537" s="322" t="s">
        <v>369</v>
      </c>
      <c r="N537" s="322" t="s">
        <v>368</v>
      </c>
      <c r="O537" s="322" t="s">
        <v>429</v>
      </c>
      <c r="P537" s="322" t="s">
        <v>7</v>
      </c>
      <c r="Q537" s="322" t="s">
        <v>329</v>
      </c>
      <c r="R537" s="322" t="s">
        <v>1032</v>
      </c>
      <c r="S537" s="303">
        <f t="shared" si="9"/>
        <v>158811762.745565</v>
      </c>
      <c r="T537" s="307">
        <f>+IFERROR(VLOOKUP(C537,'Tasas Diarias'!$B:$F,5,FALSE)*G537,0)</f>
        <v>0</v>
      </c>
      <c r="U537" s="311" t="e">
        <f>+VLOOKUP(C537,Spreads!$A$2:$G$345,7,0)</f>
        <v>#N/A</v>
      </c>
    </row>
    <row r="538" spans="1:21" ht="15" customHeight="1" thickTop="1" thickBot="1">
      <c r="A538" s="321" t="s">
        <v>2137</v>
      </c>
      <c r="B538" s="322" t="s">
        <v>4</v>
      </c>
      <c r="C538" s="322" t="s">
        <v>925</v>
      </c>
      <c r="D538" s="322" t="s">
        <v>859</v>
      </c>
      <c r="E538" s="323">
        <v>52958055.903899997</v>
      </c>
      <c r="F538" s="323"/>
      <c r="G538" s="314">
        <v>1.207E-3</v>
      </c>
      <c r="H538" s="324">
        <v>2.74</v>
      </c>
      <c r="I538" s="322" t="s">
        <v>926</v>
      </c>
      <c r="J538" s="322">
        <v>4119</v>
      </c>
      <c r="K538" s="322">
        <v>8.4</v>
      </c>
      <c r="L538" s="322">
        <v>144.13999999999999</v>
      </c>
      <c r="M538" s="322" t="s">
        <v>6</v>
      </c>
      <c r="N538" s="322" t="s">
        <v>368</v>
      </c>
      <c r="O538" s="322" t="s">
        <v>1347</v>
      </c>
      <c r="P538" s="322" t="s">
        <v>25</v>
      </c>
      <c r="Q538" s="322" t="s">
        <v>861</v>
      </c>
      <c r="R538" s="322" t="s">
        <v>862</v>
      </c>
      <c r="S538" s="303">
        <f t="shared" si="9"/>
        <v>444847669.59276003</v>
      </c>
      <c r="T538" s="307">
        <f>+IFERROR(VLOOKUP(C538,'Tasas Diarias'!$B:$F,5,FALSE)*G538,0)</f>
        <v>1.0203975639293268E-6</v>
      </c>
      <c r="U538" s="311" t="str">
        <f ca="1">+VLOOKUP(C538,Spreads!$A$2:$G$345,7,0)</f>
        <v/>
      </c>
    </row>
    <row r="539" spans="1:21" ht="15" customHeight="1" thickTop="1" thickBot="1">
      <c r="A539" s="321" t="s">
        <v>2137</v>
      </c>
      <c r="B539" s="322" t="s">
        <v>4</v>
      </c>
      <c r="C539" s="322" t="s">
        <v>1270</v>
      </c>
      <c r="D539" s="322" t="s">
        <v>1460</v>
      </c>
      <c r="E539" s="323">
        <v>70631765</v>
      </c>
      <c r="F539" s="323">
        <v>2000000</v>
      </c>
      <c r="G539" s="314">
        <v>1.609E-3</v>
      </c>
      <c r="H539" s="324">
        <v>0</v>
      </c>
      <c r="I539" s="322" t="s">
        <v>1271</v>
      </c>
      <c r="J539" s="322">
        <v>4938</v>
      </c>
      <c r="K539" s="322">
        <v>8.4</v>
      </c>
      <c r="L539" s="322">
        <v>102.9753</v>
      </c>
      <c r="M539" s="322" t="s">
        <v>1243</v>
      </c>
      <c r="N539" s="322" t="s">
        <v>458</v>
      </c>
      <c r="O539" s="322" t="s">
        <v>378</v>
      </c>
      <c r="P539" s="322" t="s">
        <v>7</v>
      </c>
      <c r="Q539" s="322" t="s">
        <v>1254</v>
      </c>
      <c r="R539" s="322" t="s">
        <v>1244</v>
      </c>
      <c r="S539" s="303">
        <f t="shared" si="9"/>
        <v>593306826</v>
      </c>
      <c r="T539" s="307">
        <f>+IFERROR(VLOOKUP(C539,'Tasas Diarias'!$B:$F,5,FALSE)*G539,0)</f>
        <v>0</v>
      </c>
      <c r="U539" s="311" t="e">
        <f>+VLOOKUP(C539,Spreads!$A$2:$G$345,7,0)</f>
        <v>#N/A</v>
      </c>
    </row>
    <row r="540" spans="1:21" ht="15" customHeight="1" thickTop="1" thickBot="1">
      <c r="A540" s="321" t="s">
        <v>2137</v>
      </c>
      <c r="B540" s="322" t="s">
        <v>4</v>
      </c>
      <c r="C540" s="322" t="s">
        <v>780</v>
      </c>
      <c r="D540" s="322" t="s">
        <v>420</v>
      </c>
      <c r="E540" s="323">
        <v>78033497.973199993</v>
      </c>
      <c r="F540" s="323"/>
      <c r="G540" s="314">
        <v>1.779E-3</v>
      </c>
      <c r="H540" s="324">
        <v>2.62</v>
      </c>
      <c r="I540" s="322" t="s">
        <v>781</v>
      </c>
      <c r="J540" s="322">
        <v>5594</v>
      </c>
      <c r="K540" s="322">
        <v>8.42</v>
      </c>
      <c r="L540" s="322">
        <v>111.73</v>
      </c>
      <c r="M540" s="322" t="s">
        <v>6</v>
      </c>
      <c r="N540" s="322" t="s">
        <v>368</v>
      </c>
      <c r="O540" s="322" t="s">
        <v>421</v>
      </c>
      <c r="P540" s="322" t="s">
        <v>417</v>
      </c>
      <c r="Q540" s="322" t="s">
        <v>422</v>
      </c>
      <c r="R540" s="322" t="s">
        <v>423</v>
      </c>
      <c r="S540" s="303">
        <f t="shared" si="9"/>
        <v>657042052.93434393</v>
      </c>
      <c r="T540" s="307">
        <f>+IFERROR(VLOOKUP(C540,'Tasas Diarias'!$B:$F,5,FALSE)*G540,0)</f>
        <v>1.5063114468861056E-6</v>
      </c>
      <c r="U540" s="311" t="str">
        <f ca="1">+VLOOKUP(C540,Spreads!$A$2:$G$345,7,0)</f>
        <v/>
      </c>
    </row>
    <row r="541" spans="1:21" ht="15" customHeight="1" thickTop="1" thickBot="1">
      <c r="A541" s="321" t="s">
        <v>2137</v>
      </c>
      <c r="B541" s="322" t="s">
        <v>4</v>
      </c>
      <c r="C541" s="322" t="s">
        <v>928</v>
      </c>
      <c r="D541" s="322" t="s">
        <v>929</v>
      </c>
      <c r="E541" s="323">
        <v>652606.59420000005</v>
      </c>
      <c r="F541" s="323"/>
      <c r="G541" s="314">
        <v>1.5E-5</v>
      </c>
      <c r="H541" s="324">
        <v>3.43</v>
      </c>
      <c r="I541" s="322" t="s">
        <v>930</v>
      </c>
      <c r="J541" s="322">
        <v>3846</v>
      </c>
      <c r="K541" s="322">
        <v>8.5399999999999991</v>
      </c>
      <c r="L541" s="322">
        <v>106.91</v>
      </c>
      <c r="M541" s="322" t="s">
        <v>6</v>
      </c>
      <c r="N541" s="322" t="s">
        <v>368</v>
      </c>
      <c r="O541" s="322" t="s">
        <v>1348</v>
      </c>
      <c r="P541" s="322" t="s">
        <v>417</v>
      </c>
      <c r="Q541" s="322" t="s">
        <v>929</v>
      </c>
      <c r="R541" s="322" t="s">
        <v>931</v>
      </c>
      <c r="S541" s="303">
        <f t="shared" si="9"/>
        <v>5573260.3144680001</v>
      </c>
      <c r="T541" s="307">
        <f>+IFERROR(VLOOKUP(C541,'Tasas Diarias'!$B:$F,5,FALSE)*G541,0)</f>
        <v>2.5788156777242722E-8</v>
      </c>
      <c r="U541" s="311" t="str">
        <f ca="1">+VLOOKUP(C541,Spreads!$A$2:$G$345,7,0)</f>
        <v/>
      </c>
    </row>
    <row r="542" spans="1:21" ht="15" customHeight="1" thickTop="1" thickBot="1">
      <c r="A542" s="321" t="s">
        <v>2137</v>
      </c>
      <c r="B542" s="322" t="s">
        <v>4</v>
      </c>
      <c r="C542" s="322" t="s">
        <v>1793</v>
      </c>
      <c r="D542" s="322" t="s">
        <v>1794</v>
      </c>
      <c r="E542" s="323">
        <v>7347823.9562999997</v>
      </c>
      <c r="F542" s="323"/>
      <c r="G542" s="314">
        <v>1.6699999999999999E-4</v>
      </c>
      <c r="H542" s="324">
        <v>0</v>
      </c>
      <c r="I542" s="322" t="s">
        <v>1795</v>
      </c>
      <c r="J542" s="322">
        <v>3814</v>
      </c>
      <c r="K542" s="322">
        <v>8.56</v>
      </c>
      <c r="L542" s="322">
        <v>103.27330000000001</v>
      </c>
      <c r="M542" s="322" t="s">
        <v>369</v>
      </c>
      <c r="N542" s="322" t="s">
        <v>368</v>
      </c>
      <c r="O542" s="322" t="s">
        <v>1494</v>
      </c>
      <c r="P542" s="322" t="s">
        <v>7</v>
      </c>
      <c r="Q542" s="322" t="s">
        <v>1796</v>
      </c>
      <c r="R542" s="322" t="s">
        <v>1797</v>
      </c>
      <c r="S542" s="303">
        <f t="shared" si="9"/>
        <v>62897373.065928005</v>
      </c>
      <c r="T542" s="307">
        <f>+IFERROR(VLOOKUP(C542,'Tasas Diarias'!$B:$F,5,FALSE)*G542,0)</f>
        <v>0</v>
      </c>
      <c r="U542" s="311" t="e">
        <f>+VLOOKUP(C542,Spreads!$A$2:$G$345,7,0)</f>
        <v>#N/A</v>
      </c>
    </row>
    <row r="543" spans="1:21" ht="15" customHeight="1" thickTop="1" thickBot="1">
      <c r="A543" s="321" t="s">
        <v>2137</v>
      </c>
      <c r="B543" s="322" t="s">
        <v>4</v>
      </c>
      <c r="C543" s="322" t="s">
        <v>1864</v>
      </c>
      <c r="D543" s="322" t="s">
        <v>1758</v>
      </c>
      <c r="E543" s="323">
        <v>6360171.0669</v>
      </c>
      <c r="F543" s="323"/>
      <c r="G543" s="314">
        <v>1.45E-4</v>
      </c>
      <c r="H543" s="324">
        <v>0</v>
      </c>
      <c r="I543" s="322" t="s">
        <v>1795</v>
      </c>
      <c r="J543" s="322">
        <v>3814</v>
      </c>
      <c r="K543" s="322">
        <v>8.65</v>
      </c>
      <c r="L543" s="322">
        <v>97.673299999999998</v>
      </c>
      <c r="M543" s="322" t="s">
        <v>369</v>
      </c>
      <c r="N543" s="322" t="s">
        <v>368</v>
      </c>
      <c r="O543" s="322" t="s">
        <v>461</v>
      </c>
      <c r="P543" s="322" t="s">
        <v>814</v>
      </c>
      <c r="Q543" s="322" t="s">
        <v>1381</v>
      </c>
      <c r="R543" s="322" t="s">
        <v>1759</v>
      </c>
      <c r="S543" s="303">
        <f t="shared" si="9"/>
        <v>55015479.728684999</v>
      </c>
      <c r="T543" s="307">
        <f>+IFERROR(VLOOKUP(C543,'Tasas Diarias'!$B:$F,5,FALSE)*G543,0)</f>
        <v>0</v>
      </c>
      <c r="U543" s="311" t="e">
        <f>+VLOOKUP(C543,Spreads!$A$2:$G$345,7,0)</f>
        <v>#N/A</v>
      </c>
    </row>
    <row r="544" spans="1:21" ht="15" customHeight="1" thickTop="1" thickBot="1">
      <c r="A544" s="317" t="s">
        <v>2137</v>
      </c>
      <c r="B544" s="318" t="s">
        <v>4</v>
      </c>
      <c r="C544" s="318" t="s">
        <v>784</v>
      </c>
      <c r="D544" s="318" t="s">
        <v>166</v>
      </c>
      <c r="E544" s="319">
        <v>512515143.11750001</v>
      </c>
      <c r="F544" s="319">
        <v>492254190.01584899</v>
      </c>
      <c r="G544" s="314">
        <v>1.1679999999999999E-2</v>
      </c>
      <c r="H544" s="320">
        <v>6.89</v>
      </c>
      <c r="I544" s="318" t="s">
        <v>785</v>
      </c>
      <c r="J544" s="318">
        <v>4941</v>
      </c>
      <c r="K544" s="318">
        <v>8.76</v>
      </c>
      <c r="L544" s="318">
        <v>100.87</v>
      </c>
      <c r="M544" s="318" t="s">
        <v>9</v>
      </c>
      <c r="N544" s="318" t="s">
        <v>368</v>
      </c>
      <c r="O544" s="318" t="s">
        <v>429</v>
      </c>
      <c r="P544" s="318" t="s">
        <v>392</v>
      </c>
      <c r="Q544" s="318" t="s">
        <v>57</v>
      </c>
      <c r="R544" s="318" t="s">
        <v>447</v>
      </c>
      <c r="S544" s="303">
        <f t="shared" si="9"/>
        <v>4489632653.7093</v>
      </c>
      <c r="T544" s="307">
        <f>+IFERROR(VLOOKUP(C544,'Tasas Diarias'!$B:$F,5,FALSE)*G544,0)</f>
        <v>-1.032058315388894E-5</v>
      </c>
      <c r="U544" s="311" t="str">
        <f ca="1">+VLOOKUP(C544,Spreads!$A$2:$G$345,7,0)</f>
        <v/>
      </c>
    </row>
    <row r="545" spans="1:21" ht="15" customHeight="1" thickTop="1" thickBot="1">
      <c r="A545" s="317" t="s">
        <v>2137</v>
      </c>
      <c r="B545" s="318" t="s">
        <v>4</v>
      </c>
      <c r="C545" s="318" t="s">
        <v>932</v>
      </c>
      <c r="D545" s="318" t="s">
        <v>166</v>
      </c>
      <c r="E545" s="319">
        <v>13478587.6788</v>
      </c>
      <c r="F545" s="319"/>
      <c r="G545" s="314">
        <v>3.0699999999999998E-4</v>
      </c>
      <c r="H545" s="320">
        <v>2.69</v>
      </c>
      <c r="I545" s="318" t="s">
        <v>933</v>
      </c>
      <c r="J545" s="318">
        <v>3821</v>
      </c>
      <c r="K545" s="318">
        <v>8.7799999999999994</v>
      </c>
      <c r="L545" s="318">
        <v>111.67</v>
      </c>
      <c r="M545" s="318" t="s">
        <v>6</v>
      </c>
      <c r="N545" s="318" t="s">
        <v>368</v>
      </c>
      <c r="O545" s="318" t="s">
        <v>429</v>
      </c>
      <c r="P545" s="318" t="s">
        <v>392</v>
      </c>
      <c r="Q545" s="318" t="s">
        <v>57</v>
      </c>
      <c r="R545" s="318" t="s">
        <v>447</v>
      </c>
      <c r="S545" s="303">
        <f t="shared" si="9"/>
        <v>118341999.81986399</v>
      </c>
      <c r="T545" s="307">
        <f>+IFERROR(VLOOKUP(C545,'Tasas Diarias'!$B:$F,5,FALSE)*G545,0)</f>
        <v>5.3286472155541808E-7</v>
      </c>
      <c r="U545" s="311" t="str">
        <f ca="1">+VLOOKUP(C545,Spreads!$A$2:$G$345,7,0)</f>
        <v/>
      </c>
    </row>
    <row r="546" spans="1:21" ht="15" customHeight="1" thickTop="1" thickBot="1">
      <c r="A546" s="317" t="s">
        <v>2137</v>
      </c>
      <c r="B546" s="318" t="s">
        <v>4</v>
      </c>
      <c r="C546" s="318" t="s">
        <v>786</v>
      </c>
      <c r="D546" s="318" t="s">
        <v>58</v>
      </c>
      <c r="E546" s="319">
        <v>663841432.56410003</v>
      </c>
      <c r="F546" s="319">
        <v>23000</v>
      </c>
      <c r="G546" s="314">
        <v>1.5129999999999999E-2</v>
      </c>
      <c r="H546" s="320">
        <v>2.73</v>
      </c>
      <c r="I546" s="318" t="s">
        <v>787</v>
      </c>
      <c r="J546" s="318">
        <v>7836</v>
      </c>
      <c r="K546" s="318">
        <v>8.9499999999999993</v>
      </c>
      <c r="L546" s="318">
        <v>109.49</v>
      </c>
      <c r="M546" s="318" t="s">
        <v>6</v>
      </c>
      <c r="N546" s="318" t="s">
        <v>368</v>
      </c>
      <c r="O546" s="318" t="s">
        <v>8</v>
      </c>
      <c r="P546" s="318" t="s">
        <v>392</v>
      </c>
      <c r="Q546" s="318" t="s">
        <v>58</v>
      </c>
      <c r="R546" s="318" t="s">
        <v>745</v>
      </c>
      <c r="S546" s="303">
        <f t="shared" si="9"/>
        <v>5941380821.4486952</v>
      </c>
      <c r="T546" s="307">
        <f>+IFERROR(VLOOKUP(C546,'Tasas Diarias'!$B:$F,5,FALSE)*G546,0)</f>
        <v>1.3108888401292746E-5</v>
      </c>
      <c r="U546" s="311" t="str">
        <f ca="1">+VLOOKUP(C546,Spreads!$A$2:$G$345,7,0)</f>
        <v/>
      </c>
    </row>
    <row r="547" spans="1:21" ht="15" customHeight="1" thickTop="1" thickBot="1">
      <c r="A547" s="317" t="s">
        <v>2137</v>
      </c>
      <c r="B547" s="318" t="s">
        <v>4</v>
      </c>
      <c r="C547" s="318" t="s">
        <v>1798</v>
      </c>
      <c r="D547" s="318" t="s">
        <v>1658</v>
      </c>
      <c r="E547" s="319">
        <v>37436747.616099998</v>
      </c>
      <c r="F547" s="319"/>
      <c r="G547" s="314">
        <v>8.5300000000000003E-4</v>
      </c>
      <c r="H547" s="320">
        <v>0</v>
      </c>
      <c r="I547" s="318" t="s">
        <v>1799</v>
      </c>
      <c r="J547" s="318">
        <v>4324</v>
      </c>
      <c r="K547" s="318">
        <v>9.02</v>
      </c>
      <c r="L547" s="318">
        <v>108.0882</v>
      </c>
      <c r="M547" s="318" t="s">
        <v>369</v>
      </c>
      <c r="N547" s="318" t="s">
        <v>368</v>
      </c>
      <c r="O547" s="318" t="s">
        <v>8</v>
      </c>
      <c r="P547" s="318" t="s">
        <v>417</v>
      </c>
      <c r="Q547" s="318" t="s">
        <v>390</v>
      </c>
      <c r="R547" s="318" t="s">
        <v>1659</v>
      </c>
      <c r="S547" s="303">
        <f t="shared" si="9"/>
        <v>337679463.49722195</v>
      </c>
      <c r="T547" s="307">
        <f>+IFERROR(VLOOKUP(C547,'Tasas Diarias'!$B:$F,5,FALSE)*G547,0)</f>
        <v>0</v>
      </c>
      <c r="U547" s="311" t="e">
        <f>+VLOOKUP(C547,Spreads!$A$2:$G$345,7,0)</f>
        <v>#N/A</v>
      </c>
    </row>
    <row r="548" spans="1:21" ht="15" customHeight="1" thickTop="1" thickBot="1">
      <c r="A548" s="317" t="s">
        <v>2137</v>
      </c>
      <c r="B548" s="318" t="s">
        <v>4</v>
      </c>
      <c r="C548" s="318" t="s">
        <v>1274</v>
      </c>
      <c r="D548" s="318" t="s">
        <v>1275</v>
      </c>
      <c r="E548" s="319">
        <v>34646.731699999997</v>
      </c>
      <c r="F548" s="319"/>
      <c r="G548" s="314">
        <v>9.9999999999999995E-7</v>
      </c>
      <c r="H548" s="320">
        <v>0</v>
      </c>
      <c r="I548" s="318" t="s">
        <v>1276</v>
      </c>
      <c r="J548" s="318">
        <v>4271</v>
      </c>
      <c r="K548" s="318">
        <v>9.1</v>
      </c>
      <c r="L548" s="318">
        <v>104.44840000000001</v>
      </c>
      <c r="M548" s="318" t="s">
        <v>9</v>
      </c>
      <c r="N548" s="318" t="s">
        <v>368</v>
      </c>
      <c r="O548" s="318" t="s">
        <v>1346</v>
      </c>
      <c r="P548" s="318" t="s">
        <v>392</v>
      </c>
      <c r="Q548" s="318" t="s">
        <v>1031</v>
      </c>
      <c r="R548" s="318" t="s">
        <v>1277</v>
      </c>
      <c r="S548" s="303">
        <f t="shared" si="9"/>
        <v>315285.25846999994</v>
      </c>
      <c r="T548" s="307">
        <f>+IFERROR(VLOOKUP(C548,'Tasas Diarias'!$B:$F,5,FALSE)*G548,0)</f>
        <v>0</v>
      </c>
      <c r="U548" s="311" t="e">
        <f>+VLOOKUP(C548,Spreads!$A$2:$G$345,7,0)</f>
        <v>#N/A</v>
      </c>
    </row>
    <row r="549" spans="1:21" ht="15" customHeight="1" thickTop="1" thickBot="1">
      <c r="A549" s="317" t="s">
        <v>2137</v>
      </c>
      <c r="B549" s="318" t="s">
        <v>4</v>
      </c>
      <c r="C549" s="318" t="s">
        <v>1274</v>
      </c>
      <c r="D549" s="318" t="s">
        <v>1275</v>
      </c>
      <c r="E549" s="319">
        <v>31814964.661699999</v>
      </c>
      <c r="F549" s="319"/>
      <c r="G549" s="314">
        <v>7.2499999999999995E-4</v>
      </c>
      <c r="H549" s="318">
        <v>0</v>
      </c>
      <c r="I549" s="318" t="s">
        <v>1276</v>
      </c>
      <c r="J549" s="318">
        <v>4271</v>
      </c>
      <c r="K549" s="318">
        <v>9.1</v>
      </c>
      <c r="L549" s="318">
        <v>104.44840000000001</v>
      </c>
      <c r="M549" s="318" t="s">
        <v>369</v>
      </c>
      <c r="N549" s="318" t="s">
        <v>368</v>
      </c>
      <c r="O549" s="318" t="s">
        <v>1346</v>
      </c>
      <c r="P549" s="318" t="s">
        <v>392</v>
      </c>
      <c r="Q549" s="318" t="s">
        <v>1031</v>
      </c>
      <c r="R549" s="318" t="s">
        <v>1277</v>
      </c>
      <c r="S549" s="303">
        <f t="shared" si="9"/>
        <v>289516178.42146999</v>
      </c>
      <c r="T549" s="307">
        <f>+IFERROR(VLOOKUP(C549,'Tasas Diarias'!$B:$F,5,FALSE)*G549,0)</f>
        <v>0</v>
      </c>
      <c r="U549" s="311" t="e">
        <f>+VLOOKUP(C549,Spreads!$A$2:$G$345,7,0)</f>
        <v>#N/A</v>
      </c>
    </row>
    <row r="550" spans="1:21" ht="15" customHeight="1" thickTop="1" thickBot="1">
      <c r="A550" s="317" t="s">
        <v>2137</v>
      </c>
      <c r="B550" s="318" t="s">
        <v>4</v>
      </c>
      <c r="C550" s="318" t="s">
        <v>788</v>
      </c>
      <c r="D550" s="318" t="s">
        <v>433</v>
      </c>
      <c r="E550" s="319">
        <v>346836352.77359998</v>
      </c>
      <c r="F550" s="319">
        <v>10000</v>
      </c>
      <c r="G550" s="314">
        <v>7.9050000000000006E-3</v>
      </c>
      <c r="H550" s="320">
        <v>2.64</v>
      </c>
      <c r="I550" s="318" t="s">
        <v>789</v>
      </c>
      <c r="J550" s="318">
        <v>5976</v>
      </c>
      <c r="K550" s="318">
        <v>9.18</v>
      </c>
      <c r="L550" s="318">
        <v>111.69</v>
      </c>
      <c r="M550" s="318" t="s">
        <v>6</v>
      </c>
      <c r="N550" s="318" t="s">
        <v>368</v>
      </c>
      <c r="O550" s="318" t="s">
        <v>8</v>
      </c>
      <c r="P550" s="318" t="s">
        <v>392</v>
      </c>
      <c r="Q550" s="318" t="s">
        <v>435</v>
      </c>
      <c r="R550" s="318" t="s">
        <v>790</v>
      </c>
      <c r="S550" s="303">
        <f t="shared" si="9"/>
        <v>3183957718.4616475</v>
      </c>
      <c r="T550" s="307">
        <f>+IFERROR(VLOOKUP(C550,'Tasas Diarias'!$B:$F,5,FALSE)*G550,0)</f>
        <v>0</v>
      </c>
      <c r="U550" s="311" t="str">
        <f ca="1">+VLOOKUP(C550,Spreads!$A$2:$G$345,7,0)</f>
        <v/>
      </c>
    </row>
    <row r="551" spans="1:21" ht="15" customHeight="1" thickTop="1" thickBot="1">
      <c r="A551" s="317" t="s">
        <v>2137</v>
      </c>
      <c r="B551" s="318" t="s">
        <v>4</v>
      </c>
      <c r="C551" s="318" t="s">
        <v>939</v>
      </c>
      <c r="D551" s="318" t="s">
        <v>940</v>
      </c>
      <c r="E551" s="319">
        <v>13323512.8445</v>
      </c>
      <c r="F551" s="319"/>
      <c r="G551" s="314">
        <v>3.0400000000000002E-4</v>
      </c>
      <c r="H551" s="320">
        <v>3.04</v>
      </c>
      <c r="I551" s="318" t="s">
        <v>941</v>
      </c>
      <c r="J551" s="318">
        <v>6219</v>
      </c>
      <c r="K551" s="318">
        <v>9.43</v>
      </c>
      <c r="L551" s="318">
        <v>108.53</v>
      </c>
      <c r="M551" s="318" t="s">
        <v>6</v>
      </c>
      <c r="N551" s="318" t="s">
        <v>368</v>
      </c>
      <c r="O551" s="318" t="s">
        <v>551</v>
      </c>
      <c r="P551" s="318" t="s">
        <v>417</v>
      </c>
      <c r="Q551" s="318" t="s">
        <v>940</v>
      </c>
      <c r="R551" s="318" t="s">
        <v>942</v>
      </c>
      <c r="S551" s="303">
        <f t="shared" si="9"/>
        <v>125640726.12363499</v>
      </c>
      <c r="T551" s="307">
        <f>+IFERROR(VLOOKUP(C551,'Tasas Diarias'!$B:$F,5,FALSE)*G551,0)</f>
        <v>5.7690522030209019E-7</v>
      </c>
      <c r="U551" s="311" t="str">
        <f ca="1">+VLOOKUP(C551,Spreads!$A$2:$G$345,7,0)</f>
        <v/>
      </c>
    </row>
    <row r="552" spans="1:21" ht="15" customHeight="1" thickTop="1" thickBot="1">
      <c r="A552" s="321" t="s">
        <v>2137</v>
      </c>
      <c r="B552" s="322" t="s">
        <v>4</v>
      </c>
      <c r="C552" s="322" t="s">
        <v>1315</v>
      </c>
      <c r="D552" s="322" t="s">
        <v>1460</v>
      </c>
      <c r="E552" s="323">
        <v>140011756</v>
      </c>
      <c r="F552" s="323">
        <v>3270000</v>
      </c>
      <c r="G552" s="314">
        <v>3.1900000000000001E-3</v>
      </c>
      <c r="H552" s="324">
        <v>0</v>
      </c>
      <c r="I552" s="322" t="s">
        <v>1316</v>
      </c>
      <c r="J552" s="322">
        <v>6940</v>
      </c>
      <c r="K552" s="322">
        <v>9.49</v>
      </c>
      <c r="L552" s="322">
        <v>124.5399</v>
      </c>
      <c r="M552" s="322" t="s">
        <v>1243</v>
      </c>
      <c r="N552" s="322" t="s">
        <v>458</v>
      </c>
      <c r="O552" s="322" t="s">
        <v>378</v>
      </c>
      <c r="P552" s="322" t="s">
        <v>7</v>
      </c>
      <c r="Q552" s="322" t="s">
        <v>1254</v>
      </c>
      <c r="R552" s="322" t="s">
        <v>1244</v>
      </c>
      <c r="S552" s="303">
        <f t="shared" si="9"/>
        <v>1328711564.4400001</v>
      </c>
      <c r="T552" s="307">
        <f>+IFERROR(VLOOKUP(C552,'Tasas Diarias'!$B:$F,5,FALSE)*G552,0)</f>
        <v>0</v>
      </c>
      <c r="U552" s="311" t="e">
        <f>+VLOOKUP(C552,Spreads!$A$2:$G$345,7,0)</f>
        <v>#N/A</v>
      </c>
    </row>
    <row r="553" spans="1:21" ht="15" customHeight="1" thickTop="1" thickBot="1">
      <c r="A553" s="321" t="s">
        <v>2137</v>
      </c>
      <c r="B553" s="322" t="s">
        <v>4</v>
      </c>
      <c r="C553" s="322" t="s">
        <v>934</v>
      </c>
      <c r="D553" s="322" t="s">
        <v>935</v>
      </c>
      <c r="E553" s="323">
        <v>150487203.7581</v>
      </c>
      <c r="F553" s="323"/>
      <c r="G553" s="314">
        <v>3.4299999999999999E-3</v>
      </c>
      <c r="H553" s="324">
        <v>3.2</v>
      </c>
      <c r="I553" s="322" t="s">
        <v>936</v>
      </c>
      <c r="J553" s="322">
        <v>6204</v>
      </c>
      <c r="K553" s="322">
        <v>9.52</v>
      </c>
      <c r="L553" s="322">
        <v>107.55</v>
      </c>
      <c r="M553" s="322" t="s">
        <v>6</v>
      </c>
      <c r="N553" s="322" t="s">
        <v>368</v>
      </c>
      <c r="O553" s="322" t="s">
        <v>1349</v>
      </c>
      <c r="P553" s="322" t="s">
        <v>25</v>
      </c>
      <c r="Q553" s="322" t="s">
        <v>937</v>
      </c>
      <c r="R553" s="322" t="s">
        <v>938</v>
      </c>
      <c r="S553" s="303">
        <f t="shared" si="9"/>
        <v>1432638179.777112</v>
      </c>
      <c r="T553" s="307">
        <f>+IFERROR(VLOOKUP(C553,'Tasas Diarias'!$B:$F,5,FALSE)*G553,0)</f>
        <v>3.2230076777872033E-6</v>
      </c>
      <c r="U553" s="311" t="str">
        <f ca="1">+VLOOKUP(C553,Spreads!$A$2:$G$345,7,0)</f>
        <v/>
      </c>
    </row>
    <row r="554" spans="1:21" ht="15" customHeight="1" thickTop="1" thickBot="1">
      <c r="A554" s="321" t="s">
        <v>2137</v>
      </c>
      <c r="B554" s="322" t="s">
        <v>4</v>
      </c>
      <c r="C554" s="322" t="s">
        <v>1161</v>
      </c>
      <c r="D554" s="322" t="s">
        <v>1236</v>
      </c>
      <c r="E554" s="323">
        <v>21193560.683800001</v>
      </c>
      <c r="F554" s="323"/>
      <c r="G554" s="314">
        <v>4.8299999999999998E-4</v>
      </c>
      <c r="H554" s="324">
        <v>2.69</v>
      </c>
      <c r="I554" s="322" t="s">
        <v>1163</v>
      </c>
      <c r="J554" s="322">
        <v>4507</v>
      </c>
      <c r="K554" s="322">
        <v>9.9</v>
      </c>
      <c r="L554" s="322">
        <v>116.43</v>
      </c>
      <c r="M554" s="322" t="s">
        <v>6</v>
      </c>
      <c r="N554" s="322" t="s">
        <v>368</v>
      </c>
      <c r="O554" s="322" t="s">
        <v>1348</v>
      </c>
      <c r="P554" s="322" t="s">
        <v>7</v>
      </c>
      <c r="Q554" s="322" t="s">
        <v>86</v>
      </c>
      <c r="R554" s="322" t="s">
        <v>1164</v>
      </c>
      <c r="S554" s="303">
        <f t="shared" si="9"/>
        <v>209816250.76962</v>
      </c>
      <c r="T554" s="307">
        <f>+IFERROR(VLOOKUP(C554,'Tasas Diarias'!$B:$F,5,FALSE)*G554,0)</f>
        <v>4.8068575959350224E-7</v>
      </c>
      <c r="U554" s="311" t="str">
        <f ca="1">+VLOOKUP(C554,Spreads!$A$2:$G$345,7,0)</f>
        <v/>
      </c>
    </row>
    <row r="555" spans="1:21" ht="15" customHeight="1" thickTop="1" thickBot="1">
      <c r="A555" s="321" t="s">
        <v>2137</v>
      </c>
      <c r="B555" s="322" t="s">
        <v>4</v>
      </c>
      <c r="C555" s="322" t="s">
        <v>1025</v>
      </c>
      <c r="D555" s="322" t="s">
        <v>528</v>
      </c>
      <c r="E555" s="323">
        <v>329741137.30159998</v>
      </c>
      <c r="F555" s="323">
        <v>10000</v>
      </c>
      <c r="G555" s="314">
        <v>7.515E-3</v>
      </c>
      <c r="H555" s="324">
        <v>2.63</v>
      </c>
      <c r="I555" s="322" t="s">
        <v>1026</v>
      </c>
      <c r="J555" s="322">
        <v>5490</v>
      </c>
      <c r="K555" s="322">
        <v>9.94</v>
      </c>
      <c r="L555" s="322">
        <v>113.87</v>
      </c>
      <c r="M555" s="322" t="s">
        <v>6</v>
      </c>
      <c r="N555" s="322" t="s">
        <v>368</v>
      </c>
      <c r="O555" s="322" t="s">
        <v>530</v>
      </c>
      <c r="P555" s="322" t="s">
        <v>7</v>
      </c>
      <c r="Q555" s="322" t="s">
        <v>531</v>
      </c>
      <c r="R555" s="322" t="s">
        <v>532</v>
      </c>
      <c r="S555" s="303">
        <f t="shared" si="9"/>
        <v>3277626904.7779036</v>
      </c>
      <c r="T555" s="307">
        <f>+IFERROR(VLOOKUP(C555,'Tasas Diarias'!$B:$F,5,FALSE)*G555,0)</f>
        <v>0</v>
      </c>
      <c r="U555" s="311" t="str">
        <f ca="1">+VLOOKUP(C555,Spreads!$A$2:$G$345,7,0)</f>
        <v/>
      </c>
    </row>
    <row r="556" spans="1:21" ht="15" customHeight="1" thickTop="1" thickBot="1">
      <c r="A556" s="317" t="s">
        <v>2137</v>
      </c>
      <c r="B556" s="318" t="s">
        <v>4</v>
      </c>
      <c r="C556" s="318" t="s">
        <v>1800</v>
      </c>
      <c r="D556" s="318" t="s">
        <v>1801</v>
      </c>
      <c r="E556" s="319">
        <v>23046801.7883</v>
      </c>
      <c r="F556" s="319"/>
      <c r="G556" s="314">
        <v>5.2499999999999997E-4</v>
      </c>
      <c r="H556" s="320">
        <v>0</v>
      </c>
      <c r="I556" s="318" t="s">
        <v>1802</v>
      </c>
      <c r="J556" s="318">
        <v>5495</v>
      </c>
      <c r="K556" s="318">
        <v>10.050000000000001</v>
      </c>
      <c r="L556" s="318">
        <v>104.9807</v>
      </c>
      <c r="M556" s="318" t="s">
        <v>369</v>
      </c>
      <c r="N556" s="318" t="s">
        <v>368</v>
      </c>
      <c r="O556" s="318" t="s">
        <v>1494</v>
      </c>
      <c r="P556" s="318" t="s">
        <v>392</v>
      </c>
      <c r="Q556" s="318" t="s">
        <v>1429</v>
      </c>
      <c r="R556" s="318" t="s">
        <v>1803</v>
      </c>
      <c r="S556" s="303">
        <f t="shared" si="9"/>
        <v>231620357.97241503</v>
      </c>
      <c r="T556" s="307">
        <f>+IFERROR(VLOOKUP(C556,'Tasas Diarias'!$B:$F,5,FALSE)*G556,0)</f>
        <v>0</v>
      </c>
      <c r="U556" s="311" t="e">
        <f>+VLOOKUP(C556,Spreads!$A$2:$G$345,7,0)</f>
        <v>#N/A</v>
      </c>
    </row>
    <row r="557" spans="1:21" ht="15" customHeight="1" thickTop="1" thickBot="1">
      <c r="A557" s="317" t="s">
        <v>2137</v>
      </c>
      <c r="B557" s="318" t="s">
        <v>4</v>
      </c>
      <c r="C557" s="318" t="s">
        <v>1572</v>
      </c>
      <c r="D557" s="318" t="s">
        <v>182</v>
      </c>
      <c r="E557" s="319">
        <v>30220208.3288</v>
      </c>
      <c r="F557" s="319"/>
      <c r="G557" s="314">
        <v>6.8900000000000005E-4</v>
      </c>
      <c r="H557" s="320">
        <v>2.72</v>
      </c>
      <c r="I557" s="318" t="s">
        <v>1573</v>
      </c>
      <c r="J557" s="318">
        <v>4910</v>
      </c>
      <c r="K557" s="318">
        <v>10.39</v>
      </c>
      <c r="L557" s="318">
        <v>125.01</v>
      </c>
      <c r="M557" s="318" t="s">
        <v>6</v>
      </c>
      <c r="N557" s="318" t="s">
        <v>368</v>
      </c>
      <c r="O557" s="318" t="s">
        <v>8</v>
      </c>
      <c r="P557" s="318" t="s">
        <v>417</v>
      </c>
      <c r="Q557" s="318" t="s">
        <v>390</v>
      </c>
      <c r="R557" s="318" t="s">
        <v>402</v>
      </c>
      <c r="S557" s="303">
        <f t="shared" si="9"/>
        <v>313987964.53623199</v>
      </c>
      <c r="T557" s="307">
        <f>+IFERROR(VLOOKUP(C557,'Tasas Diarias'!$B:$F,5,FALSE)*G557,0)</f>
        <v>7.0547180883126932E-7</v>
      </c>
      <c r="U557" s="311" t="e">
        <f>+VLOOKUP(C557,Spreads!$A$2:$G$345,7,0)</f>
        <v>#N/A</v>
      </c>
    </row>
    <row r="558" spans="1:21" ht="15" customHeight="1" thickTop="1" thickBot="1">
      <c r="A558" s="317" t="s">
        <v>2137</v>
      </c>
      <c r="B558" s="318" t="s">
        <v>4</v>
      </c>
      <c r="C558" s="318" t="s">
        <v>1232</v>
      </c>
      <c r="D558" s="318" t="s">
        <v>1020</v>
      </c>
      <c r="E558" s="319">
        <v>51142388.052599996</v>
      </c>
      <c r="F558" s="319"/>
      <c r="G558" s="314">
        <v>1.1659999999999999E-3</v>
      </c>
      <c r="H558" s="320">
        <v>2.82</v>
      </c>
      <c r="I558" s="318" t="s">
        <v>1233</v>
      </c>
      <c r="J558" s="318">
        <v>6569</v>
      </c>
      <c r="K558" s="318">
        <v>10.46</v>
      </c>
      <c r="L558" s="318">
        <v>106.01</v>
      </c>
      <c r="M558" s="318" t="s">
        <v>6</v>
      </c>
      <c r="N558" s="318" t="s">
        <v>368</v>
      </c>
      <c r="O558" s="318" t="s">
        <v>530</v>
      </c>
      <c r="P558" s="318" t="s">
        <v>417</v>
      </c>
      <c r="Q558" s="318" t="s">
        <v>1021</v>
      </c>
      <c r="R558" s="318" t="s">
        <v>1181</v>
      </c>
      <c r="S558" s="303">
        <f t="shared" si="9"/>
        <v>534949379.03019601</v>
      </c>
      <c r="T558" s="307">
        <f>+IFERROR(VLOOKUP(C558,'Tasas Diarias'!$B:$F,5,FALSE)*G558,0)</f>
        <v>1.2070599502909103E-6</v>
      </c>
      <c r="U558" s="311" t="str">
        <f ca="1">+VLOOKUP(C558,Spreads!$A$2:$G$345,7,0)</f>
        <v/>
      </c>
    </row>
    <row r="559" spans="1:21" ht="15" customHeight="1" thickTop="1" thickBot="1">
      <c r="A559" s="321" t="s">
        <v>2137</v>
      </c>
      <c r="B559" s="322" t="s">
        <v>4</v>
      </c>
      <c r="C559" s="322" t="s">
        <v>1574</v>
      </c>
      <c r="D559" s="322" t="s">
        <v>776</v>
      </c>
      <c r="E559" s="323">
        <v>51853147.709700003</v>
      </c>
      <c r="F559" s="323"/>
      <c r="G559" s="314">
        <v>1.1820000000000001E-3</v>
      </c>
      <c r="H559" s="324">
        <v>2.86</v>
      </c>
      <c r="I559" s="322" t="s">
        <v>1575</v>
      </c>
      <c r="J559" s="322">
        <v>5002</v>
      </c>
      <c r="K559" s="322">
        <v>10.48</v>
      </c>
      <c r="L559" s="322">
        <v>121.15</v>
      </c>
      <c r="M559" s="322" t="s">
        <v>6</v>
      </c>
      <c r="N559" s="322" t="s">
        <v>368</v>
      </c>
      <c r="O559" s="322" t="s">
        <v>1347</v>
      </c>
      <c r="P559" s="322" t="s">
        <v>392</v>
      </c>
      <c r="Q559" s="322" t="s">
        <v>778</v>
      </c>
      <c r="R559" s="322" t="s">
        <v>1576</v>
      </c>
      <c r="S559" s="303">
        <f t="shared" si="9"/>
        <v>543420987.99765611</v>
      </c>
      <c r="T559" s="307">
        <f>+IFERROR(VLOOKUP(C559,'Tasas Diarias'!$B:$F,5,FALSE)*G559,0)</f>
        <v>1.2455372169116868E-6</v>
      </c>
      <c r="U559" s="311" t="e">
        <f>+VLOOKUP(C559,Spreads!$A$2:$G$345,7,0)</f>
        <v>#N/A</v>
      </c>
    </row>
    <row r="560" spans="1:21" ht="15" customHeight="1" thickTop="1" thickBot="1">
      <c r="A560" s="321" t="s">
        <v>2137</v>
      </c>
      <c r="B560" s="322" t="s">
        <v>4</v>
      </c>
      <c r="C560" s="322" t="s">
        <v>1804</v>
      </c>
      <c r="D560" s="322" t="s">
        <v>1805</v>
      </c>
      <c r="E560" s="323">
        <v>3358019.8239000002</v>
      </c>
      <c r="F560" s="323"/>
      <c r="G560" s="314">
        <v>7.7000000000000001E-5</v>
      </c>
      <c r="H560" s="324">
        <v>0</v>
      </c>
      <c r="I560" s="322" t="s">
        <v>1806</v>
      </c>
      <c r="J560" s="322">
        <v>5325</v>
      </c>
      <c r="K560" s="322">
        <v>10.52</v>
      </c>
      <c r="L560" s="322">
        <v>101.72629999999999</v>
      </c>
      <c r="M560" s="322" t="s">
        <v>369</v>
      </c>
      <c r="N560" s="322" t="s">
        <v>368</v>
      </c>
      <c r="O560" s="322" t="s">
        <v>1346</v>
      </c>
      <c r="P560" s="322" t="s">
        <v>417</v>
      </c>
      <c r="Q560" s="322" t="s">
        <v>2146</v>
      </c>
      <c r="R560" s="322" t="s">
        <v>1807</v>
      </c>
      <c r="S560" s="303">
        <f t="shared" si="9"/>
        <v>35326368.547427997</v>
      </c>
      <c r="T560" s="307">
        <f>+IFERROR(VLOOKUP(C560,'Tasas Diarias'!$B:$F,5,FALSE)*G560,0)</f>
        <v>0</v>
      </c>
      <c r="U560" s="311" t="e">
        <f>+VLOOKUP(C560,Spreads!$A$2:$G$345,7,0)</f>
        <v>#N/A</v>
      </c>
    </row>
    <row r="561" spans="1:21" ht="15" customHeight="1" thickTop="1" thickBot="1">
      <c r="A561" s="317" t="s">
        <v>2137</v>
      </c>
      <c r="B561" s="318" t="s">
        <v>4</v>
      </c>
      <c r="C561" s="318" t="s">
        <v>996</v>
      </c>
      <c r="D561" s="318" t="s">
        <v>292</v>
      </c>
      <c r="E561" s="319">
        <v>26995944.066199999</v>
      </c>
      <c r="F561" s="319"/>
      <c r="G561" s="314">
        <v>6.1499999999999999E-4</v>
      </c>
      <c r="H561" s="320">
        <v>2.94</v>
      </c>
      <c r="I561" s="318" t="s">
        <v>997</v>
      </c>
      <c r="J561" s="318">
        <v>5985</v>
      </c>
      <c r="K561" s="318">
        <v>10.95</v>
      </c>
      <c r="L561" s="318">
        <v>109.43</v>
      </c>
      <c r="M561" s="318" t="s">
        <v>6</v>
      </c>
      <c r="N561" s="318" t="s">
        <v>368</v>
      </c>
      <c r="O561" s="318" t="s">
        <v>551</v>
      </c>
      <c r="P561" s="318" t="s">
        <v>392</v>
      </c>
      <c r="Q561" s="318" t="s">
        <v>327</v>
      </c>
      <c r="R561" s="318" t="s">
        <v>552</v>
      </c>
      <c r="S561" s="303">
        <f t="shared" si="9"/>
        <v>295605587.52488995</v>
      </c>
      <c r="T561" s="307">
        <f>+IFERROR(VLOOKUP(C561,'Tasas Diarias'!$B:$F,5,FALSE)*G561,0)</f>
        <v>1.354359657063073E-6</v>
      </c>
      <c r="U561" s="311" t="str">
        <f ca="1">+VLOOKUP(C561,Spreads!$A$2:$G$345,7,0)</f>
        <v/>
      </c>
    </row>
    <row r="562" spans="1:21" ht="15" customHeight="1" thickTop="1" thickBot="1">
      <c r="A562" s="327" t="s">
        <v>2137</v>
      </c>
      <c r="B562" s="328" t="s">
        <v>4</v>
      </c>
      <c r="C562" s="328" t="s">
        <v>1865</v>
      </c>
      <c r="D562" s="328" t="s">
        <v>1866</v>
      </c>
      <c r="E562" s="328">
        <v>28734428.2687</v>
      </c>
      <c r="F562" s="328"/>
      <c r="G562" s="332">
        <v>6.5499999999999998E-4</v>
      </c>
      <c r="H562" s="329">
        <v>0</v>
      </c>
      <c r="I562" s="328" t="s">
        <v>1867</v>
      </c>
      <c r="J562" s="328">
        <v>6071</v>
      </c>
      <c r="K562" s="328">
        <v>10.96</v>
      </c>
      <c r="L562" s="328">
        <v>110.1793</v>
      </c>
      <c r="M562" s="328" t="s">
        <v>369</v>
      </c>
      <c r="N562" s="328" t="s">
        <v>368</v>
      </c>
      <c r="O562" s="328" t="s">
        <v>461</v>
      </c>
      <c r="P562" s="328" t="s">
        <v>392</v>
      </c>
      <c r="Q562" s="328" t="s">
        <v>1868</v>
      </c>
      <c r="R562" s="328" t="s">
        <v>1869</v>
      </c>
      <c r="S562" s="303">
        <f t="shared" si="9"/>
        <v>314929333.82495201</v>
      </c>
      <c r="T562" s="307">
        <f>+IFERROR(VLOOKUP(C562,'Tasas Diarias'!$B:$F,5,FALSE)*G562,0)</f>
        <v>0</v>
      </c>
      <c r="U562" s="311" t="e">
        <f>+VLOOKUP(C562,Spreads!$A$2:$G$345,7,0)</f>
        <v>#N/A</v>
      </c>
    </row>
    <row r="563" spans="1:21" ht="15" customHeight="1" thickTop="1" thickBot="1">
      <c r="A563" s="317" t="s">
        <v>2137</v>
      </c>
      <c r="B563" s="318" t="s">
        <v>4</v>
      </c>
      <c r="C563" s="318" t="s">
        <v>944</v>
      </c>
      <c r="D563" s="318" t="s">
        <v>170</v>
      </c>
      <c r="E563" s="319">
        <v>210944635.93169999</v>
      </c>
      <c r="F563" s="319">
        <v>5000</v>
      </c>
      <c r="G563" s="314">
        <v>4.8069999999999996E-3</v>
      </c>
      <c r="H563" s="320">
        <v>2.92</v>
      </c>
      <c r="I563" s="318" t="s">
        <v>945</v>
      </c>
      <c r="J563" s="318">
        <v>5077</v>
      </c>
      <c r="K563" s="318">
        <v>10.99</v>
      </c>
      <c r="L563" s="318">
        <v>112.01</v>
      </c>
      <c r="M563" s="318" t="s">
        <v>6</v>
      </c>
      <c r="N563" s="318" t="s">
        <v>368</v>
      </c>
      <c r="O563" s="318" t="s">
        <v>8</v>
      </c>
      <c r="P563" s="318" t="s">
        <v>417</v>
      </c>
      <c r="Q563" s="318" t="s">
        <v>88</v>
      </c>
      <c r="R563" s="318" t="s">
        <v>946</v>
      </c>
      <c r="S563" s="303">
        <f t="shared" si="9"/>
        <v>2318281548.8893828</v>
      </c>
      <c r="T563" s="307">
        <f>+IFERROR(VLOOKUP(C563,'Tasas Diarias'!$B:$F,5,FALSE)*G563,0)</f>
        <v>5.3100977087662793E-6</v>
      </c>
      <c r="U563" s="311" t="str">
        <f ca="1">+VLOOKUP(C563,Spreads!$A$2:$G$345,7,0)</f>
        <v/>
      </c>
    </row>
    <row r="564" spans="1:21" ht="15" customHeight="1" thickTop="1" thickBot="1">
      <c r="A564" s="321" t="s">
        <v>2137</v>
      </c>
      <c r="B564" s="322" t="s">
        <v>4</v>
      </c>
      <c r="C564" s="322" t="s">
        <v>1436</v>
      </c>
      <c r="D564" s="322" t="s">
        <v>1460</v>
      </c>
      <c r="E564" s="323">
        <v>69708382</v>
      </c>
      <c r="F564" s="323">
        <v>2000000</v>
      </c>
      <c r="G564" s="314">
        <v>1.588E-3</v>
      </c>
      <c r="H564" s="324">
        <v>0</v>
      </c>
      <c r="I564" s="322" t="s">
        <v>1272</v>
      </c>
      <c r="J564" s="322">
        <v>9124</v>
      </c>
      <c r="K564" s="322">
        <v>11.1</v>
      </c>
      <c r="L564" s="322">
        <v>101.5855</v>
      </c>
      <c r="M564" s="322" t="s">
        <v>1243</v>
      </c>
      <c r="N564" s="322" t="s">
        <v>458</v>
      </c>
      <c r="O564" s="322" t="s">
        <v>378</v>
      </c>
      <c r="P564" s="322" t="s">
        <v>7</v>
      </c>
      <c r="Q564" s="322" t="s">
        <v>1254</v>
      </c>
      <c r="R564" s="322" t="s">
        <v>1244</v>
      </c>
      <c r="S564" s="303">
        <f t="shared" si="9"/>
        <v>773763040.19999993</v>
      </c>
      <c r="T564" s="307">
        <f>+IFERROR(VLOOKUP(C564,'Tasas Diarias'!$B:$F,5,FALSE)*G564,0)</f>
        <v>0</v>
      </c>
      <c r="U564" s="311" t="e">
        <f>+VLOOKUP(C564,Spreads!$A$2:$G$345,7,0)</f>
        <v>#N/A</v>
      </c>
    </row>
    <row r="565" spans="1:21" ht="15" customHeight="1" thickTop="1" thickBot="1">
      <c r="A565" s="317" t="s">
        <v>2137</v>
      </c>
      <c r="B565" s="318" t="s">
        <v>4</v>
      </c>
      <c r="C565" s="318" t="s">
        <v>1237</v>
      </c>
      <c r="D565" s="318" t="s">
        <v>427</v>
      </c>
      <c r="E565" s="319">
        <v>3792871.9882</v>
      </c>
      <c r="F565" s="319"/>
      <c r="G565" s="314">
        <v>8.6000000000000003E-5</v>
      </c>
      <c r="H565" s="320">
        <v>2.91</v>
      </c>
      <c r="I565" s="318" t="s">
        <v>1238</v>
      </c>
      <c r="J565" s="318">
        <v>7590</v>
      </c>
      <c r="K565" s="318">
        <v>11.23</v>
      </c>
      <c r="L565" s="318">
        <v>104.3</v>
      </c>
      <c r="M565" s="318" t="s">
        <v>6</v>
      </c>
      <c r="N565" s="318" t="s">
        <v>368</v>
      </c>
      <c r="O565" s="318" t="s">
        <v>429</v>
      </c>
      <c r="P565" s="318" t="s">
        <v>392</v>
      </c>
      <c r="Q565" s="318" t="s">
        <v>430</v>
      </c>
      <c r="R565" s="318" t="s">
        <v>431</v>
      </c>
      <c r="S565" s="303">
        <f t="shared" si="9"/>
        <v>42593952.427486002</v>
      </c>
      <c r="T565" s="307">
        <f>+IFERROR(VLOOKUP(C565,'Tasas Diarias'!$B:$F,5,FALSE)*G565,0)</f>
        <v>0</v>
      </c>
      <c r="U565" s="311" t="str">
        <f ca="1">+VLOOKUP(C565,Spreads!$A$2:$G$345,7,0)</f>
        <v/>
      </c>
    </row>
    <row r="566" spans="1:21" ht="15" customHeight="1" thickTop="1" thickBot="1">
      <c r="A566" s="321" t="s">
        <v>2137</v>
      </c>
      <c r="B566" s="322" t="s">
        <v>4</v>
      </c>
      <c r="C566" s="322" t="s">
        <v>947</v>
      </c>
      <c r="D566" s="322" t="s">
        <v>11</v>
      </c>
      <c r="E566" s="323">
        <v>184746937</v>
      </c>
      <c r="F566" s="323">
        <v>6000</v>
      </c>
      <c r="G566" s="314">
        <v>4.2100000000000002E-3</v>
      </c>
      <c r="H566" s="324">
        <v>2.85</v>
      </c>
      <c r="I566" s="322" t="s">
        <v>948</v>
      </c>
      <c r="J566" s="322">
        <v>5337</v>
      </c>
      <c r="K566" s="322">
        <v>11.31</v>
      </c>
      <c r="L566" s="322">
        <v>113.68</v>
      </c>
      <c r="M566" s="322" t="s">
        <v>6</v>
      </c>
      <c r="N566" s="322" t="s">
        <v>368</v>
      </c>
      <c r="O566" s="322" t="s">
        <v>8</v>
      </c>
      <c r="P566" s="322" t="s">
        <v>392</v>
      </c>
      <c r="Q566" s="322" t="s">
        <v>326</v>
      </c>
      <c r="R566" s="322" t="s">
        <v>949</v>
      </c>
      <c r="S566" s="303">
        <f t="shared" si="9"/>
        <v>2089487857.47</v>
      </c>
      <c r="T566" s="307">
        <f>+IFERROR(VLOOKUP(C566,'Tasas Diarias'!$B:$F,5,FALSE)*G566,0)</f>
        <v>8.1344835463650639E-5</v>
      </c>
      <c r="U566" s="311" t="str">
        <f ca="1">+VLOOKUP(C566,Spreads!$A$2:$G$345,7,0)</f>
        <v/>
      </c>
    </row>
    <row r="567" spans="1:21" ht="15" customHeight="1" thickTop="1" thickBot="1">
      <c r="A567" s="317" t="s">
        <v>2137</v>
      </c>
      <c r="B567" s="318" t="s">
        <v>4</v>
      </c>
      <c r="C567" s="318" t="s">
        <v>950</v>
      </c>
      <c r="D567" s="318" t="s">
        <v>182</v>
      </c>
      <c r="E567" s="319">
        <v>26472566.500500001</v>
      </c>
      <c r="F567" s="319"/>
      <c r="G567" s="314">
        <v>6.0300000000000002E-4</v>
      </c>
      <c r="H567" s="320">
        <v>2.8</v>
      </c>
      <c r="I567" s="318" t="s">
        <v>774</v>
      </c>
      <c r="J567" s="318">
        <v>5307</v>
      </c>
      <c r="K567" s="318">
        <v>11.51</v>
      </c>
      <c r="L567" s="318">
        <v>108.04</v>
      </c>
      <c r="M567" s="318" t="s">
        <v>6</v>
      </c>
      <c r="N567" s="318" t="s">
        <v>368</v>
      </c>
      <c r="O567" s="318" t="s">
        <v>8</v>
      </c>
      <c r="P567" s="318" t="s">
        <v>417</v>
      </c>
      <c r="Q567" s="318" t="s">
        <v>390</v>
      </c>
      <c r="R567" s="318" t="s">
        <v>402</v>
      </c>
      <c r="S567" s="303">
        <f t="shared" si="9"/>
        <v>304699240.42075503</v>
      </c>
      <c r="T567" s="307">
        <f>+IFERROR(VLOOKUP(C567,'Tasas Diarias'!$B:$F,5,FALSE)*G567,0)</f>
        <v>6.9711158684031699E-7</v>
      </c>
      <c r="U567" s="311" t="str">
        <f ca="1">+VLOOKUP(C567,Spreads!$A$2:$G$345,7,0)</f>
        <v/>
      </c>
    </row>
    <row r="568" spans="1:21" ht="15" customHeight="1" thickTop="1" thickBot="1">
      <c r="A568" s="317" t="s">
        <v>2137</v>
      </c>
      <c r="B568" s="318" t="s">
        <v>4</v>
      </c>
      <c r="C568" s="318" t="s">
        <v>953</v>
      </c>
      <c r="D568" s="318" t="s">
        <v>50</v>
      </c>
      <c r="E568" s="319">
        <v>56001399.526500002</v>
      </c>
      <c r="F568" s="319"/>
      <c r="G568" s="314">
        <v>1.276E-3</v>
      </c>
      <c r="H568" s="320">
        <v>3.21</v>
      </c>
      <c r="I568" s="318" t="s">
        <v>954</v>
      </c>
      <c r="J568" s="318">
        <v>6385</v>
      </c>
      <c r="K568" s="318">
        <v>11.54</v>
      </c>
      <c r="L568" s="318">
        <v>106.74</v>
      </c>
      <c r="M568" s="318" t="s">
        <v>6</v>
      </c>
      <c r="N568" s="318" t="s">
        <v>368</v>
      </c>
      <c r="O568" s="318" t="s">
        <v>429</v>
      </c>
      <c r="P568" s="318" t="s">
        <v>25</v>
      </c>
      <c r="Q568" s="318" t="s">
        <v>899</v>
      </c>
      <c r="R568" s="318" t="s">
        <v>900</v>
      </c>
      <c r="S568" s="303">
        <f t="shared" si="9"/>
        <v>646256150.53580999</v>
      </c>
      <c r="T568" s="307">
        <f>+IFERROR(VLOOKUP(C568,'Tasas Diarias'!$B:$F,5,FALSE)*G568,0)</f>
        <v>1.4545780673357556E-6</v>
      </c>
      <c r="U568" s="311" t="str">
        <f ca="1">+VLOOKUP(C568,Spreads!$A$2:$G$345,7,0)</f>
        <v/>
      </c>
    </row>
    <row r="569" spans="1:21" ht="15" customHeight="1" thickTop="1" thickBot="1">
      <c r="A569" s="317" t="s">
        <v>2137</v>
      </c>
      <c r="B569" s="318" t="s">
        <v>4</v>
      </c>
      <c r="C569" s="318" t="s">
        <v>951</v>
      </c>
      <c r="D569" s="318" t="s">
        <v>917</v>
      </c>
      <c r="E569" s="319">
        <v>104856433.7736</v>
      </c>
      <c r="F569" s="319"/>
      <c r="G569" s="314">
        <v>2.3900000000000002E-3</v>
      </c>
      <c r="H569" s="320">
        <v>3.04</v>
      </c>
      <c r="I569" s="318" t="s">
        <v>952</v>
      </c>
      <c r="J569" s="318">
        <v>5474</v>
      </c>
      <c r="K569" s="318">
        <v>11.57</v>
      </c>
      <c r="L569" s="318">
        <v>113.62</v>
      </c>
      <c r="M569" s="318" t="s">
        <v>6</v>
      </c>
      <c r="N569" s="318" t="s">
        <v>368</v>
      </c>
      <c r="O569" s="318" t="s">
        <v>429</v>
      </c>
      <c r="P569" s="318" t="s">
        <v>25</v>
      </c>
      <c r="Q569" s="318" t="s">
        <v>918</v>
      </c>
      <c r="R569" s="318" t="s">
        <v>919</v>
      </c>
      <c r="S569" s="303">
        <f t="shared" si="9"/>
        <v>1213188938.7605519</v>
      </c>
      <c r="T569" s="307">
        <f>+IFERROR(VLOOKUP(C569,'Tasas Diarias'!$B:$F,5,FALSE)*G569,0)</f>
        <v>2.7282004397071781E-6</v>
      </c>
      <c r="U569" s="311" t="str">
        <f ca="1">+VLOOKUP(C569,Spreads!$A$2:$G$345,7,0)</f>
        <v/>
      </c>
    </row>
    <row r="570" spans="1:21" ht="15" customHeight="1" thickTop="1" thickBot="1">
      <c r="A570" s="327" t="s">
        <v>2137</v>
      </c>
      <c r="B570" s="328" t="s">
        <v>4</v>
      </c>
      <c r="C570" s="328" t="s">
        <v>955</v>
      </c>
      <c r="D570" s="328" t="s">
        <v>24</v>
      </c>
      <c r="E570" s="328">
        <v>47317208.8072</v>
      </c>
      <c r="F570" s="328"/>
      <c r="G570" s="332">
        <v>1.078E-3</v>
      </c>
      <c r="H570" s="329">
        <v>2.91</v>
      </c>
      <c r="I570" s="328" t="s">
        <v>956</v>
      </c>
      <c r="J570" s="328">
        <v>7041</v>
      </c>
      <c r="K570" s="328">
        <v>11.6</v>
      </c>
      <c r="L570" s="328">
        <v>112.8</v>
      </c>
      <c r="M570" s="328" t="s">
        <v>6</v>
      </c>
      <c r="N570" s="328" t="s">
        <v>368</v>
      </c>
      <c r="O570" s="328" t="s">
        <v>8</v>
      </c>
      <c r="P570" s="328" t="s">
        <v>25</v>
      </c>
      <c r="Q570" s="328" t="s">
        <v>51</v>
      </c>
      <c r="R570" s="328" t="s">
        <v>908</v>
      </c>
      <c r="S570" s="303">
        <f t="shared" si="9"/>
        <v>548879622.16351998</v>
      </c>
      <c r="T570" s="307">
        <f>+IFERROR(VLOOKUP(C570,'Tasas Diarias'!$B:$F,5,FALSE)*G570,0)</f>
        <v>1.2544365442657706E-6</v>
      </c>
      <c r="U570" s="311" t="str">
        <f ca="1">+VLOOKUP(C570,Spreads!$A$2:$G$345,7,0)</f>
        <v/>
      </c>
    </row>
    <row r="571" spans="1:21" ht="15" customHeight="1" thickTop="1" thickBot="1">
      <c r="A571" s="321" t="s">
        <v>2137</v>
      </c>
      <c r="B571" s="322" t="s">
        <v>4</v>
      </c>
      <c r="C571" s="322" t="s">
        <v>1808</v>
      </c>
      <c r="D571" s="322" t="s">
        <v>1809</v>
      </c>
      <c r="E571" s="323">
        <v>35517879.145300001</v>
      </c>
      <c r="F571" s="323"/>
      <c r="G571" s="314">
        <v>8.0900000000000004E-4</v>
      </c>
      <c r="H571" s="322">
        <v>0</v>
      </c>
      <c r="I571" s="322" t="s">
        <v>1810</v>
      </c>
      <c r="J571" s="322">
        <v>7435</v>
      </c>
      <c r="K571" s="322">
        <v>11.61</v>
      </c>
      <c r="L571" s="322">
        <v>108.55110000000001</v>
      </c>
      <c r="M571" s="322" t="s">
        <v>369</v>
      </c>
      <c r="N571" s="322" t="s">
        <v>368</v>
      </c>
      <c r="O571" s="322" t="s">
        <v>1346</v>
      </c>
      <c r="P571" s="322" t="s">
        <v>417</v>
      </c>
      <c r="Q571" s="322" t="s">
        <v>1384</v>
      </c>
      <c r="R571" s="322" t="s">
        <v>1811</v>
      </c>
      <c r="S571" s="303">
        <f t="shared" si="9"/>
        <v>412362576.87693298</v>
      </c>
      <c r="T571" s="307">
        <f>+IFERROR(VLOOKUP(C571,'Tasas Diarias'!$B:$F,5,FALSE)*G571,0)</f>
        <v>0</v>
      </c>
      <c r="U571" s="311" t="e">
        <f>+VLOOKUP(C571,Spreads!$A$2:$G$345,7,0)</f>
        <v>#N/A</v>
      </c>
    </row>
    <row r="572" spans="1:21" ht="15" customHeight="1" thickTop="1" thickBot="1">
      <c r="A572" s="327" t="s">
        <v>2137</v>
      </c>
      <c r="B572" s="328" t="s">
        <v>4</v>
      </c>
      <c r="C572" s="328" t="s">
        <v>958</v>
      </c>
      <c r="D572" s="328" t="s">
        <v>11</v>
      </c>
      <c r="E572" s="330">
        <v>745754289.58070004</v>
      </c>
      <c r="F572" s="328">
        <v>20000</v>
      </c>
      <c r="G572" s="332">
        <v>1.6996000000000001E-2</v>
      </c>
      <c r="H572" s="329">
        <v>2.89</v>
      </c>
      <c r="I572" s="328" t="s">
        <v>959</v>
      </c>
      <c r="J572" s="328">
        <v>5733</v>
      </c>
      <c r="K572" s="328">
        <v>11.69</v>
      </c>
      <c r="L572" s="328">
        <v>121.42</v>
      </c>
      <c r="M572" s="328" t="s">
        <v>6</v>
      </c>
      <c r="N572" s="328" t="s">
        <v>368</v>
      </c>
      <c r="O572" s="328" t="s">
        <v>8</v>
      </c>
      <c r="P572" s="328" t="s">
        <v>392</v>
      </c>
      <c r="Q572" s="328" t="s">
        <v>326</v>
      </c>
      <c r="R572" s="328" t="s">
        <v>949</v>
      </c>
      <c r="S572" s="303">
        <f t="shared" si="9"/>
        <v>8717867645.1983833</v>
      </c>
      <c r="T572" s="307">
        <f>+IFERROR(VLOOKUP(C572,'Tasas Diarias'!$B:$F,5,FALSE)*G572,0)</f>
        <v>3.3928248784929476E-4</v>
      </c>
      <c r="U572" s="311" t="str">
        <f ca="1">+VLOOKUP(C572,Spreads!$A$2:$G$345,7,0)</f>
        <v/>
      </c>
    </row>
    <row r="573" spans="1:21" ht="15" customHeight="1" thickTop="1" thickBot="1">
      <c r="A573" s="321" t="s">
        <v>2137</v>
      </c>
      <c r="B573" s="322" t="s">
        <v>4</v>
      </c>
      <c r="C573" s="322" t="s">
        <v>227</v>
      </c>
      <c r="D573" s="322" t="s">
        <v>115</v>
      </c>
      <c r="E573" s="323">
        <v>4062383390</v>
      </c>
      <c r="F573" s="323">
        <v>3970000000</v>
      </c>
      <c r="G573" s="314">
        <v>9.2584E-2</v>
      </c>
      <c r="H573" s="324">
        <v>4.95</v>
      </c>
      <c r="I573" s="322" t="s">
        <v>957</v>
      </c>
      <c r="J573" s="322">
        <v>6310</v>
      </c>
      <c r="K573" s="322">
        <v>11.69</v>
      </c>
      <c r="L573" s="322">
        <v>101.24</v>
      </c>
      <c r="M573" s="322" t="s">
        <v>9</v>
      </c>
      <c r="N573" s="322" t="s">
        <v>458</v>
      </c>
      <c r="O573" s="322" t="s">
        <v>378</v>
      </c>
      <c r="P573" s="322" t="s">
        <v>379</v>
      </c>
      <c r="Q573" s="322" t="s">
        <v>2139</v>
      </c>
      <c r="R573" s="322" t="s">
        <v>885</v>
      </c>
      <c r="S573" s="303">
        <f t="shared" si="9"/>
        <v>47489261829.099998</v>
      </c>
      <c r="T573" s="307">
        <f>+IFERROR(VLOOKUP(C573,'Tasas Diarias'!$B:$F,5,FALSE)*G573,0)</f>
        <v>-2.1791996229185087E-4</v>
      </c>
      <c r="U573" s="311" t="str">
        <f>+VLOOKUP(C573,Spreads!$A$2:$G$345,7,0)</f>
        <v/>
      </c>
    </row>
    <row r="574" spans="1:21" ht="15" customHeight="1" thickTop="1" thickBot="1">
      <c r="A574" s="317" t="s">
        <v>2137</v>
      </c>
      <c r="B574" s="318" t="s">
        <v>4</v>
      </c>
      <c r="C574" s="318" t="s">
        <v>1038</v>
      </c>
      <c r="D574" s="318" t="s">
        <v>999</v>
      </c>
      <c r="E574" s="319">
        <v>725704157.50160003</v>
      </c>
      <c r="F574" s="319">
        <v>20000</v>
      </c>
      <c r="G574" s="314">
        <v>1.6539000000000002E-2</v>
      </c>
      <c r="H574" s="320">
        <v>3.03</v>
      </c>
      <c r="I574" s="318" t="s">
        <v>1039</v>
      </c>
      <c r="J574" s="318">
        <v>6136</v>
      </c>
      <c r="K574" s="318">
        <v>11.73</v>
      </c>
      <c r="L574" s="318">
        <v>120.27</v>
      </c>
      <c r="M574" s="318" t="s">
        <v>6</v>
      </c>
      <c r="N574" s="318" t="s">
        <v>368</v>
      </c>
      <c r="O574" s="318" t="s">
        <v>8</v>
      </c>
      <c r="P574" s="318" t="s">
        <v>417</v>
      </c>
      <c r="Q574" s="318" t="s">
        <v>1001</v>
      </c>
      <c r="R574" s="318" t="s">
        <v>1002</v>
      </c>
      <c r="S574" s="303">
        <f t="shared" si="9"/>
        <v>8512509767.4937687</v>
      </c>
      <c r="T574" s="307">
        <f>+IFERROR(VLOOKUP(C574,'Tasas Diarias'!$B:$F,5,FALSE)*G574,0)</f>
        <v>1.9479471735872727E-5</v>
      </c>
      <c r="U574" s="311" t="str">
        <f ca="1">+VLOOKUP(C574,Spreads!$A$2:$G$345,7,0)</f>
        <v/>
      </c>
    </row>
    <row r="575" spans="1:21" ht="15" customHeight="1" thickTop="1" thickBot="1">
      <c r="A575" s="317" t="s">
        <v>2137</v>
      </c>
      <c r="B575" s="318" t="s">
        <v>4</v>
      </c>
      <c r="C575" s="318" t="s">
        <v>1842</v>
      </c>
      <c r="D575" s="318" t="s">
        <v>1462</v>
      </c>
      <c r="E575" s="319">
        <v>32785404.545699999</v>
      </c>
      <c r="F575" s="319"/>
      <c r="G575" s="314">
        <v>7.4700000000000005E-4</v>
      </c>
      <c r="H575" s="320">
        <v>3.15</v>
      </c>
      <c r="I575" s="318" t="s">
        <v>1843</v>
      </c>
      <c r="J575" s="318">
        <v>5552</v>
      </c>
      <c r="K575" s="318">
        <v>11.75</v>
      </c>
      <c r="L575" s="318">
        <v>107.56</v>
      </c>
      <c r="M575" s="318" t="s">
        <v>6</v>
      </c>
      <c r="N575" s="318" t="s">
        <v>368</v>
      </c>
      <c r="O575" s="318" t="s">
        <v>1348</v>
      </c>
      <c r="P575" s="318" t="s">
        <v>417</v>
      </c>
      <c r="Q575" s="318" t="s">
        <v>1464</v>
      </c>
      <c r="R575" s="318" t="s">
        <v>1465</v>
      </c>
      <c r="S575" s="303">
        <f t="shared" si="9"/>
        <v>385228503.41197497</v>
      </c>
      <c r="T575" s="307">
        <f>+IFERROR(VLOOKUP(C575,'Tasas Diarias'!$B:$F,5,FALSE)*G575,0)</f>
        <v>8.8165288273802545E-7</v>
      </c>
      <c r="U575" s="311" t="e">
        <f>+VLOOKUP(C575,Spreads!$A$2:$G$345,7,0)</f>
        <v>#N/A</v>
      </c>
    </row>
    <row r="576" spans="1:21" ht="15" customHeight="1" thickTop="1" thickBot="1">
      <c r="A576" s="317" t="s">
        <v>2137</v>
      </c>
      <c r="B576" s="318" t="s">
        <v>4</v>
      </c>
      <c r="C576" s="318" t="s">
        <v>960</v>
      </c>
      <c r="D576" s="318" t="s">
        <v>58</v>
      </c>
      <c r="E576" s="319">
        <v>315309377.4777</v>
      </c>
      <c r="F576" s="319">
        <v>10000</v>
      </c>
      <c r="G576" s="314">
        <v>7.1859999999999997E-3</v>
      </c>
      <c r="H576" s="320">
        <v>2.85</v>
      </c>
      <c r="I576" s="318" t="s">
        <v>961</v>
      </c>
      <c r="J576" s="318">
        <v>8137</v>
      </c>
      <c r="K576" s="318">
        <v>11.77</v>
      </c>
      <c r="L576" s="318">
        <v>107.61</v>
      </c>
      <c r="M576" s="318" t="s">
        <v>6</v>
      </c>
      <c r="N576" s="318" t="s">
        <v>368</v>
      </c>
      <c r="O576" s="318" t="s">
        <v>8</v>
      </c>
      <c r="P576" s="318" t="s">
        <v>392</v>
      </c>
      <c r="Q576" s="318" t="s">
        <v>58</v>
      </c>
      <c r="R576" s="318" t="s">
        <v>745</v>
      </c>
      <c r="S576" s="303">
        <f t="shared" si="9"/>
        <v>3711191372.912529</v>
      </c>
      <c r="T576" s="307">
        <f>+IFERROR(VLOOKUP(C576,'Tasas Diarias'!$B:$F,5,FALSE)*G576,0)</f>
        <v>8.5030418180547882E-6</v>
      </c>
      <c r="U576" s="311" t="str">
        <f ca="1">+VLOOKUP(C576,Spreads!$A$2:$G$345,7,0)</f>
        <v/>
      </c>
    </row>
    <row r="577" spans="1:21" ht="15" customHeight="1" thickTop="1" thickBot="1">
      <c r="A577" s="317" t="s">
        <v>2137</v>
      </c>
      <c r="B577" s="318" t="s">
        <v>4</v>
      </c>
      <c r="C577" s="318" t="s">
        <v>1199</v>
      </c>
      <c r="D577" s="318" t="s">
        <v>1227</v>
      </c>
      <c r="E577" s="319">
        <v>584958455.05089998</v>
      </c>
      <c r="F577" s="319">
        <v>20000</v>
      </c>
      <c r="G577" s="314">
        <v>1.3331000000000001E-2</v>
      </c>
      <c r="H577" s="320">
        <v>3.13</v>
      </c>
      <c r="I577" s="318" t="s">
        <v>1229</v>
      </c>
      <c r="J577" s="318">
        <v>7269</v>
      </c>
      <c r="K577" s="318">
        <v>11.93</v>
      </c>
      <c r="L577" s="318">
        <v>96.21</v>
      </c>
      <c r="M577" s="318" t="s">
        <v>6</v>
      </c>
      <c r="N577" s="318" t="s">
        <v>368</v>
      </c>
      <c r="O577" s="318" t="s">
        <v>429</v>
      </c>
      <c r="P577" s="318" t="s">
        <v>417</v>
      </c>
      <c r="Q577" s="318" t="s">
        <v>904</v>
      </c>
      <c r="R577" s="318" t="s">
        <v>905</v>
      </c>
      <c r="S577" s="303">
        <f t="shared" si="9"/>
        <v>6978554368.7572365</v>
      </c>
      <c r="T577" s="307">
        <f>+IFERROR(VLOOKUP(C577,'Tasas Diarias'!$B:$F,5,FALSE)*G577,0)</f>
        <v>0</v>
      </c>
      <c r="U577" s="311" t="str">
        <f ca="1">+VLOOKUP(C577,Spreads!$A$2:$G$345,7,0)</f>
        <v/>
      </c>
    </row>
    <row r="578" spans="1:21" ht="15" customHeight="1" thickTop="1" thickBot="1">
      <c r="A578" s="321" t="s">
        <v>2137</v>
      </c>
      <c r="B578" s="322" t="s">
        <v>4</v>
      </c>
      <c r="C578" s="322" t="s">
        <v>1495</v>
      </c>
      <c r="D578" s="322" t="s">
        <v>1496</v>
      </c>
      <c r="E578" s="323">
        <v>363368948.18699998</v>
      </c>
      <c r="F578" s="323">
        <v>10000</v>
      </c>
      <c r="G578" s="314">
        <v>8.2810000000000002E-3</v>
      </c>
      <c r="H578" s="324">
        <v>3.02</v>
      </c>
      <c r="I578" s="322" t="s">
        <v>1497</v>
      </c>
      <c r="J578" s="322">
        <v>10806</v>
      </c>
      <c r="K578" s="322">
        <v>12.09</v>
      </c>
      <c r="L578" s="322">
        <v>103.87</v>
      </c>
      <c r="M578" s="322" t="s">
        <v>6</v>
      </c>
      <c r="N578" s="322" t="s">
        <v>368</v>
      </c>
      <c r="O578" s="322" t="s">
        <v>1494</v>
      </c>
      <c r="P578" s="322" t="s">
        <v>417</v>
      </c>
      <c r="Q578" s="322" t="s">
        <v>1479</v>
      </c>
      <c r="R578" s="322" t="s">
        <v>1498</v>
      </c>
      <c r="S578" s="303">
        <f t="shared" si="9"/>
        <v>4393130583.5808296</v>
      </c>
      <c r="T578" s="307">
        <f>+IFERROR(VLOOKUP(C578,'Tasas Diarias'!$B:$F,5,FALSE)*G578,0)</f>
        <v>0</v>
      </c>
      <c r="U578" s="311" t="e">
        <f>+VLOOKUP(C578,Spreads!$A$2:$G$345,7,0)</f>
        <v>#N/A</v>
      </c>
    </row>
    <row r="579" spans="1:21" ht="15" customHeight="1" thickTop="1" thickBot="1">
      <c r="A579" s="317" t="s">
        <v>2137</v>
      </c>
      <c r="B579" s="318" t="s">
        <v>4</v>
      </c>
      <c r="C579" s="318" t="s">
        <v>962</v>
      </c>
      <c r="D579" s="318" t="s">
        <v>24</v>
      </c>
      <c r="E579" s="319">
        <v>53319897.183899999</v>
      </c>
      <c r="F579" s="319"/>
      <c r="G579" s="314">
        <v>1.2149999999999999E-3</v>
      </c>
      <c r="H579" s="320">
        <v>2.99</v>
      </c>
      <c r="I579" s="318" t="s">
        <v>963</v>
      </c>
      <c r="J579" s="318">
        <v>7620</v>
      </c>
      <c r="K579" s="318">
        <v>12.53</v>
      </c>
      <c r="L579" s="318">
        <v>112.79</v>
      </c>
      <c r="M579" s="318" t="s">
        <v>6</v>
      </c>
      <c r="N579" s="318" t="s">
        <v>368</v>
      </c>
      <c r="O579" s="318" t="s">
        <v>8</v>
      </c>
      <c r="P579" s="318" t="s">
        <v>25</v>
      </c>
      <c r="Q579" s="318" t="s">
        <v>51</v>
      </c>
      <c r="R579" s="318" t="s">
        <v>908</v>
      </c>
      <c r="S579" s="303">
        <f t="shared" ref="S579:S642" si="10">+IFERROR(E579*K579,0)</f>
        <v>668098311.7142669</v>
      </c>
      <c r="T579" s="307">
        <f>+IFERROR(VLOOKUP(C579,'Tasas Diarias'!$B:$F,5,FALSE)*G579,0)</f>
        <v>0</v>
      </c>
      <c r="U579" s="311" t="str">
        <f ca="1">+VLOOKUP(C579,Spreads!$A$2:$G$345,7,0)</f>
        <v/>
      </c>
    </row>
    <row r="580" spans="1:21" ht="15" customHeight="1" thickTop="1" thickBot="1">
      <c r="A580" s="317" t="s">
        <v>2137</v>
      </c>
      <c r="B580" s="318" t="s">
        <v>4</v>
      </c>
      <c r="C580" s="318" t="s">
        <v>1815</v>
      </c>
      <c r="D580" s="318" t="s">
        <v>1816</v>
      </c>
      <c r="E580" s="319">
        <v>12696826.5889</v>
      </c>
      <c r="F580" s="319"/>
      <c r="G580" s="314">
        <v>2.8899999999999998E-4</v>
      </c>
      <c r="H580" s="320">
        <v>0</v>
      </c>
      <c r="I580" s="318" t="s">
        <v>975</v>
      </c>
      <c r="J580" s="318">
        <v>8091</v>
      </c>
      <c r="K580" s="318">
        <v>12.58</v>
      </c>
      <c r="L580" s="318">
        <v>120.2325</v>
      </c>
      <c r="M580" s="318" t="s">
        <v>369</v>
      </c>
      <c r="N580" s="318" t="s">
        <v>368</v>
      </c>
      <c r="O580" s="318" t="s">
        <v>560</v>
      </c>
      <c r="P580" s="318" t="s">
        <v>7</v>
      </c>
      <c r="Q580" s="318" t="s">
        <v>1817</v>
      </c>
      <c r="R580" s="318" t="s">
        <v>1818</v>
      </c>
      <c r="S580" s="303">
        <f t="shared" si="10"/>
        <v>159726078.48836198</v>
      </c>
      <c r="T580" s="307">
        <f>+IFERROR(VLOOKUP(C580,'Tasas Diarias'!$B:$F,5,FALSE)*G580,0)</f>
        <v>0</v>
      </c>
      <c r="U580" s="311" t="e">
        <f>+VLOOKUP(C580,Spreads!$A$2:$G$345,7,0)</f>
        <v>#N/A</v>
      </c>
    </row>
    <row r="581" spans="1:21" ht="15" customHeight="1" thickTop="1" thickBot="1">
      <c r="A581" s="321" t="s">
        <v>2137</v>
      </c>
      <c r="B581" s="322" t="s">
        <v>4</v>
      </c>
      <c r="C581" s="322" t="s">
        <v>1812</v>
      </c>
      <c r="D581" s="322" t="s">
        <v>1681</v>
      </c>
      <c r="E581" s="323">
        <v>6126583.3201000001</v>
      </c>
      <c r="F581" s="323"/>
      <c r="G581" s="314">
        <v>1.3999999999999999E-4</v>
      </c>
      <c r="H581" s="324">
        <v>0</v>
      </c>
      <c r="I581" s="322" t="s">
        <v>1813</v>
      </c>
      <c r="J581" s="322">
        <v>9433</v>
      </c>
      <c r="K581" s="322">
        <v>12.73</v>
      </c>
      <c r="L581" s="322">
        <v>116.999</v>
      </c>
      <c r="M581" s="322" t="s">
        <v>369</v>
      </c>
      <c r="N581" s="322" t="s">
        <v>368</v>
      </c>
      <c r="O581" s="322" t="s">
        <v>1346</v>
      </c>
      <c r="P581" s="322" t="s">
        <v>417</v>
      </c>
      <c r="Q581" s="322" t="s">
        <v>1366</v>
      </c>
      <c r="R581" s="322" t="s">
        <v>1814</v>
      </c>
      <c r="S581" s="303">
        <f t="shared" si="10"/>
        <v>77991405.664873004</v>
      </c>
      <c r="T581" s="307">
        <f>+IFERROR(VLOOKUP(C581,'Tasas Diarias'!$B:$F,5,FALSE)*G581,0)</f>
        <v>0</v>
      </c>
      <c r="U581" s="311" t="e">
        <f>+VLOOKUP(C581,Spreads!$A$2:$G$345,7,0)</f>
        <v>#N/A</v>
      </c>
    </row>
    <row r="582" spans="1:21" ht="15" customHeight="1" thickTop="1" thickBot="1">
      <c r="A582" s="321" t="s">
        <v>2137</v>
      </c>
      <c r="B582" s="322" t="s">
        <v>4</v>
      </c>
      <c r="C582" s="322" t="s">
        <v>964</v>
      </c>
      <c r="D582" s="322" t="s">
        <v>11</v>
      </c>
      <c r="E582" s="323">
        <v>661545895.97469997</v>
      </c>
      <c r="F582" s="323">
        <v>20500</v>
      </c>
      <c r="G582" s="314">
        <v>1.5077E-2</v>
      </c>
      <c r="H582" s="324">
        <v>2.97</v>
      </c>
      <c r="I582" s="322" t="s">
        <v>965</v>
      </c>
      <c r="J582" s="322">
        <v>6432</v>
      </c>
      <c r="K582" s="322">
        <v>13</v>
      </c>
      <c r="L582" s="322">
        <v>114.12</v>
      </c>
      <c r="M582" s="322" t="s">
        <v>6</v>
      </c>
      <c r="N582" s="322" t="s">
        <v>368</v>
      </c>
      <c r="O582" s="322" t="s">
        <v>8</v>
      </c>
      <c r="P582" s="322" t="s">
        <v>392</v>
      </c>
      <c r="Q582" s="322" t="s">
        <v>326</v>
      </c>
      <c r="R582" s="322" t="s">
        <v>949</v>
      </c>
      <c r="S582" s="303">
        <f t="shared" si="10"/>
        <v>8600096647.6711006</v>
      </c>
      <c r="T582" s="307">
        <f>+IFERROR(VLOOKUP(C582,'Tasas Diarias'!$B:$F,5,FALSE)*G582,0)</f>
        <v>2.9515103916809797E-4</v>
      </c>
      <c r="U582" s="311" t="str">
        <f ca="1">+VLOOKUP(C582,Spreads!$A$2:$G$345,7,0)</f>
        <v/>
      </c>
    </row>
    <row r="583" spans="1:21" ht="15" customHeight="1" thickTop="1" thickBot="1">
      <c r="A583" s="317" t="s">
        <v>2137</v>
      </c>
      <c r="B583" s="318" t="s">
        <v>4</v>
      </c>
      <c r="C583" s="318" t="s">
        <v>998</v>
      </c>
      <c r="D583" s="318" t="s">
        <v>999</v>
      </c>
      <c r="E583" s="319">
        <v>93535970.871700004</v>
      </c>
      <c r="F583" s="319"/>
      <c r="G583" s="314">
        <v>2.1320000000000002E-3</v>
      </c>
      <c r="H583" s="320">
        <v>3.14</v>
      </c>
      <c r="I583" s="318" t="s">
        <v>1000</v>
      </c>
      <c r="J583" s="318">
        <v>6867</v>
      </c>
      <c r="K583" s="318">
        <v>13.13</v>
      </c>
      <c r="L583" s="318">
        <v>118.32</v>
      </c>
      <c r="M583" s="318" t="s">
        <v>6</v>
      </c>
      <c r="N583" s="318" t="s">
        <v>368</v>
      </c>
      <c r="O583" s="318" t="s">
        <v>8</v>
      </c>
      <c r="P583" s="318" t="s">
        <v>417</v>
      </c>
      <c r="Q583" s="318" t="s">
        <v>1001</v>
      </c>
      <c r="R583" s="318" t="s">
        <v>1002</v>
      </c>
      <c r="S583" s="303">
        <f t="shared" si="10"/>
        <v>1228127297.5454211</v>
      </c>
      <c r="T583" s="307">
        <f>+IFERROR(VLOOKUP(C583,'Tasas Diarias'!$B:$F,5,FALSE)*G583,0)</f>
        <v>0</v>
      </c>
      <c r="U583" s="311" t="str">
        <f ca="1">+VLOOKUP(C583,Spreads!$A$2:$G$345,7,0)</f>
        <v/>
      </c>
    </row>
    <row r="584" spans="1:21" ht="15" customHeight="1" thickTop="1" thickBot="1">
      <c r="A584" s="317" t="s">
        <v>2137</v>
      </c>
      <c r="B584" s="318" t="s">
        <v>4</v>
      </c>
      <c r="C584" s="318" t="s">
        <v>1819</v>
      </c>
      <c r="D584" s="318" t="s">
        <v>1820</v>
      </c>
      <c r="E584" s="319">
        <v>27549244.801399998</v>
      </c>
      <c r="F584" s="319"/>
      <c r="G584" s="314">
        <v>6.2799999999999998E-4</v>
      </c>
      <c r="H584" s="320">
        <v>0</v>
      </c>
      <c r="I584" s="318" t="s">
        <v>1821</v>
      </c>
      <c r="J584" s="318">
        <v>8166</v>
      </c>
      <c r="K584" s="318">
        <v>13.41</v>
      </c>
      <c r="L584" s="318">
        <v>124.2508</v>
      </c>
      <c r="M584" s="318" t="s">
        <v>369</v>
      </c>
      <c r="N584" s="318" t="s">
        <v>368</v>
      </c>
      <c r="O584" s="318" t="s">
        <v>895</v>
      </c>
      <c r="P584" s="318" t="s">
        <v>444</v>
      </c>
      <c r="Q584" s="318" t="s">
        <v>1953</v>
      </c>
      <c r="R584" s="318" t="s">
        <v>1822</v>
      </c>
      <c r="S584" s="303">
        <f t="shared" si="10"/>
        <v>369435372.78677398</v>
      </c>
      <c r="T584" s="307">
        <f>+IFERROR(VLOOKUP(C584,'Tasas Diarias'!$B:$F,5,FALSE)*G584,0)</f>
        <v>0</v>
      </c>
      <c r="U584" s="311" t="e">
        <f>+VLOOKUP(C584,Spreads!$A$2:$G$345,7,0)</f>
        <v>#N/A</v>
      </c>
    </row>
    <row r="585" spans="1:21" ht="15" customHeight="1" thickTop="1" thickBot="1">
      <c r="A585" s="321" t="s">
        <v>2137</v>
      </c>
      <c r="B585" s="322" t="s">
        <v>4</v>
      </c>
      <c r="C585" s="322" t="s">
        <v>1239</v>
      </c>
      <c r="D585" s="322" t="s">
        <v>11</v>
      </c>
      <c r="E585" s="323">
        <v>27939315.9747</v>
      </c>
      <c r="F585" s="323"/>
      <c r="G585" s="314">
        <v>6.3699999999999998E-4</v>
      </c>
      <c r="H585" s="324">
        <v>3.01</v>
      </c>
      <c r="I585" s="322" t="s">
        <v>1240</v>
      </c>
      <c r="J585" s="322">
        <v>6798</v>
      </c>
      <c r="K585" s="322">
        <v>13.52</v>
      </c>
      <c r="L585" s="322">
        <v>114.12</v>
      </c>
      <c r="M585" s="322" t="s">
        <v>6</v>
      </c>
      <c r="N585" s="322" t="s">
        <v>368</v>
      </c>
      <c r="O585" s="322" t="s">
        <v>8</v>
      </c>
      <c r="P585" s="322" t="s">
        <v>392</v>
      </c>
      <c r="Q585" s="322" t="s">
        <v>326</v>
      </c>
      <c r="R585" s="322" t="s">
        <v>949</v>
      </c>
      <c r="S585" s="303">
        <f t="shared" si="10"/>
        <v>377739551.97794402</v>
      </c>
      <c r="T585" s="307">
        <f>+IFERROR(VLOOKUP(C585,'Tasas Diarias'!$B:$F,5,FALSE)*G585,0)</f>
        <v>1.3833483908739197E-5</v>
      </c>
      <c r="U585" s="311" t="str">
        <f ca="1">+VLOOKUP(C585,Spreads!$A$2:$G$345,7,0)</f>
        <v/>
      </c>
    </row>
    <row r="586" spans="1:21" ht="15" customHeight="1" thickTop="1" thickBot="1">
      <c r="A586" s="321" t="s">
        <v>2137</v>
      </c>
      <c r="B586" s="322" t="s">
        <v>4</v>
      </c>
      <c r="C586" s="322" t="s">
        <v>1823</v>
      </c>
      <c r="D586" s="322" t="s">
        <v>1681</v>
      </c>
      <c r="E586" s="323">
        <v>10627458.6302</v>
      </c>
      <c r="F586" s="323"/>
      <c r="G586" s="314">
        <v>2.42E-4</v>
      </c>
      <c r="H586" s="324">
        <v>0</v>
      </c>
      <c r="I586" s="322" t="s">
        <v>1824</v>
      </c>
      <c r="J586" s="322">
        <v>10051</v>
      </c>
      <c r="K586" s="322">
        <v>13.56</v>
      </c>
      <c r="L586" s="322">
        <v>99.751000000000005</v>
      </c>
      <c r="M586" s="322" t="s">
        <v>369</v>
      </c>
      <c r="N586" s="322" t="s">
        <v>368</v>
      </c>
      <c r="O586" s="322" t="s">
        <v>1346</v>
      </c>
      <c r="P586" s="322" t="s">
        <v>417</v>
      </c>
      <c r="Q586" s="322" t="s">
        <v>1366</v>
      </c>
      <c r="R586" s="322" t="s">
        <v>1825</v>
      </c>
      <c r="S586" s="303">
        <f t="shared" si="10"/>
        <v>144108339.02551201</v>
      </c>
      <c r="T586" s="307">
        <f>+IFERROR(VLOOKUP(C586,'Tasas Diarias'!$B:$F,5,FALSE)*G586,0)</f>
        <v>0</v>
      </c>
      <c r="U586" s="311" t="e">
        <f>+VLOOKUP(C586,Spreads!$A$2:$G$345,7,0)</f>
        <v>#N/A</v>
      </c>
    </row>
    <row r="587" spans="1:21" ht="15" customHeight="1" thickTop="1" thickBot="1">
      <c r="A587" s="321" t="s">
        <v>2137</v>
      </c>
      <c r="B587" s="322" t="s">
        <v>4</v>
      </c>
      <c r="C587" s="322" t="s">
        <v>228</v>
      </c>
      <c r="D587" s="322" t="s">
        <v>115</v>
      </c>
      <c r="E587" s="323">
        <v>512736112</v>
      </c>
      <c r="F587" s="323">
        <v>450000000</v>
      </c>
      <c r="G587" s="314">
        <v>1.1684999999999999E-2</v>
      </c>
      <c r="H587" s="324">
        <v>5.23</v>
      </c>
      <c r="I587" s="322" t="s">
        <v>967</v>
      </c>
      <c r="J587" s="322">
        <v>9173</v>
      </c>
      <c r="K587" s="322">
        <v>13.64</v>
      </c>
      <c r="L587" s="322">
        <v>111.37</v>
      </c>
      <c r="M587" s="322" t="s">
        <v>9</v>
      </c>
      <c r="N587" s="322" t="s">
        <v>458</v>
      </c>
      <c r="O587" s="322" t="s">
        <v>378</v>
      </c>
      <c r="P587" s="322" t="s">
        <v>379</v>
      </c>
      <c r="Q587" s="322" t="s">
        <v>2139</v>
      </c>
      <c r="R587" s="322" t="s">
        <v>885</v>
      </c>
      <c r="S587" s="303">
        <f t="shared" si="10"/>
        <v>6993720567.6800003</v>
      </c>
      <c r="T587" s="307">
        <f>+IFERROR(VLOOKUP(C587,'Tasas Diarias'!$B:$F,5,FALSE)*G587,0)</f>
        <v>0</v>
      </c>
      <c r="U587" s="311" t="str">
        <f>+VLOOKUP(C587,Spreads!$A$2:$G$345,7,0)</f>
        <v/>
      </c>
    </row>
    <row r="588" spans="1:21" ht="15" customHeight="1" thickTop="1" thickBot="1">
      <c r="A588" s="317" t="s">
        <v>2137</v>
      </c>
      <c r="B588" s="318" t="s">
        <v>4</v>
      </c>
      <c r="C588" s="318" t="s">
        <v>968</v>
      </c>
      <c r="D588" s="318" t="s">
        <v>15</v>
      </c>
      <c r="E588" s="319">
        <v>56567096</v>
      </c>
      <c r="F588" s="319">
        <v>2000</v>
      </c>
      <c r="G588" s="314">
        <v>1.289E-3</v>
      </c>
      <c r="H588" s="320">
        <v>2.95</v>
      </c>
      <c r="I588" s="318" t="s">
        <v>969</v>
      </c>
      <c r="J588" s="318">
        <v>8258</v>
      </c>
      <c r="K588" s="318">
        <v>13.71</v>
      </c>
      <c r="L588" s="318">
        <v>104.71</v>
      </c>
      <c r="M588" s="318" t="s">
        <v>6</v>
      </c>
      <c r="N588" s="318" t="s">
        <v>368</v>
      </c>
      <c r="O588" s="318" t="s">
        <v>8</v>
      </c>
      <c r="P588" s="318" t="s">
        <v>7</v>
      </c>
      <c r="Q588" s="318" t="s">
        <v>28</v>
      </c>
      <c r="R588" s="318" t="s">
        <v>603</v>
      </c>
      <c r="S588" s="303">
        <f t="shared" si="10"/>
        <v>775534886.16000009</v>
      </c>
      <c r="T588" s="307">
        <f>+IFERROR(VLOOKUP(C588,'Tasas Diarias'!$B:$F,5,FALSE)*G588,0)</f>
        <v>1.7744672658971187E-6</v>
      </c>
      <c r="U588" s="311" t="str">
        <f ca="1">+VLOOKUP(C588,Spreads!$A$2:$G$345,7,0)</f>
        <v/>
      </c>
    </row>
    <row r="589" spans="1:21" ht="15" customHeight="1" thickTop="1" thickBot="1">
      <c r="A589" s="321" t="s">
        <v>2137</v>
      </c>
      <c r="B589" s="322" t="s">
        <v>4</v>
      </c>
      <c r="C589" s="322" t="s">
        <v>1890</v>
      </c>
      <c r="D589" s="322" t="s">
        <v>1616</v>
      </c>
      <c r="E589" s="323">
        <v>2550652.7793999999</v>
      </c>
      <c r="F589" s="335"/>
      <c r="G589" s="314">
        <v>5.8E-5</v>
      </c>
      <c r="H589" s="324">
        <v>0</v>
      </c>
      <c r="I589" s="322" t="s">
        <v>1891</v>
      </c>
      <c r="J589" s="322">
        <v>11013</v>
      </c>
      <c r="K589" s="322">
        <v>14.51</v>
      </c>
      <c r="L589" s="322">
        <v>97.215999999999994</v>
      </c>
      <c r="M589" s="322" t="s">
        <v>369</v>
      </c>
      <c r="N589" s="322" t="s">
        <v>368</v>
      </c>
      <c r="O589" s="322" t="s">
        <v>421</v>
      </c>
      <c r="P589" s="322" t="s">
        <v>417</v>
      </c>
      <c r="Q589" s="322" t="s">
        <v>1362</v>
      </c>
      <c r="R589" s="322" t="s">
        <v>1618</v>
      </c>
      <c r="S589" s="303">
        <f t="shared" si="10"/>
        <v>37009971.829094</v>
      </c>
      <c r="T589" s="307">
        <f>+IFERROR(VLOOKUP(C589,'Tasas Diarias'!$B:$F,5,FALSE)*G589,0)</f>
        <v>0</v>
      </c>
      <c r="U589" s="311" t="e">
        <f>+VLOOKUP(C589,Spreads!$A$2:$G$345,7,0)</f>
        <v>#N/A</v>
      </c>
    </row>
    <row r="590" spans="1:21" ht="15" customHeight="1" thickTop="1" thickBot="1">
      <c r="A590" s="317" t="s">
        <v>2137</v>
      </c>
      <c r="B590" s="318" t="s">
        <v>4</v>
      </c>
      <c r="C590" s="318" t="s">
        <v>208</v>
      </c>
      <c r="D590" s="318" t="s">
        <v>116</v>
      </c>
      <c r="E590" s="319">
        <v>2948607380</v>
      </c>
      <c r="F590" s="319">
        <v>112000</v>
      </c>
      <c r="G590" s="314">
        <v>6.7199999999999996E-2</v>
      </c>
      <c r="H590" s="320">
        <v>2.13</v>
      </c>
      <c r="I590" s="318" t="s">
        <v>957</v>
      </c>
      <c r="J590" s="318">
        <v>6310</v>
      </c>
      <c r="K590" s="318">
        <v>14.61</v>
      </c>
      <c r="L590" s="318">
        <v>98.28</v>
      </c>
      <c r="M590" s="318" t="s">
        <v>6</v>
      </c>
      <c r="N590" s="318" t="s">
        <v>458</v>
      </c>
      <c r="O590" s="318" t="s">
        <v>378</v>
      </c>
      <c r="P590" s="318" t="s">
        <v>379</v>
      </c>
      <c r="Q590" s="318" t="s">
        <v>2139</v>
      </c>
      <c r="R590" s="318" t="s">
        <v>508</v>
      </c>
      <c r="S590" s="303">
        <f t="shared" si="10"/>
        <v>43079153821.799995</v>
      </c>
      <c r="T590" s="307">
        <f>+IFERROR(VLOOKUP(C590,'Tasas Diarias'!$B:$F,5,FALSE)*G590,0)</f>
        <v>0</v>
      </c>
      <c r="U590" s="311" t="str">
        <f>+VLOOKUP(C590,Spreads!$A$2:$G$345,7,0)</f>
        <v/>
      </c>
    </row>
    <row r="591" spans="1:21" ht="15" customHeight="1" thickTop="1" thickBot="1">
      <c r="A591" s="317" t="s">
        <v>2137</v>
      </c>
      <c r="B591" s="318" t="s">
        <v>4</v>
      </c>
      <c r="C591" s="318" t="s">
        <v>1180</v>
      </c>
      <c r="D591" s="318" t="s">
        <v>1020</v>
      </c>
      <c r="E591" s="319">
        <v>27965161.780400001</v>
      </c>
      <c r="F591" s="319"/>
      <c r="G591" s="314">
        <v>6.3699999999999998E-4</v>
      </c>
      <c r="H591" s="320">
        <v>3.18</v>
      </c>
      <c r="I591" s="318" t="s">
        <v>1234</v>
      </c>
      <c r="J591" s="318">
        <v>8730</v>
      </c>
      <c r="K591" s="318">
        <v>14.98</v>
      </c>
      <c r="L591" s="318">
        <v>115.52</v>
      </c>
      <c r="M591" s="318" t="s">
        <v>6</v>
      </c>
      <c r="N591" s="318" t="s">
        <v>368</v>
      </c>
      <c r="O591" s="318" t="s">
        <v>530</v>
      </c>
      <c r="P591" s="318" t="s">
        <v>417</v>
      </c>
      <c r="Q591" s="318" t="s">
        <v>1021</v>
      </c>
      <c r="R591" s="318" t="s">
        <v>1181</v>
      </c>
      <c r="S591" s="303">
        <f t="shared" si="10"/>
        <v>418918123.47039205</v>
      </c>
      <c r="T591" s="307">
        <f>+IFERROR(VLOOKUP(C591,'Tasas Diarias'!$B:$F,5,FALSE)*G591,0)</f>
        <v>0</v>
      </c>
      <c r="U591" s="311" t="str">
        <f ca="1">+VLOOKUP(C591,Spreads!$A$2:$G$345,7,0)</f>
        <v/>
      </c>
    </row>
    <row r="592" spans="1:21" ht="15" customHeight="1" thickTop="1" thickBot="1">
      <c r="A592" s="321" t="s">
        <v>2137</v>
      </c>
      <c r="B592" s="322" t="s">
        <v>4</v>
      </c>
      <c r="C592" s="322" t="s">
        <v>970</v>
      </c>
      <c r="D592" s="322" t="s">
        <v>170</v>
      </c>
      <c r="E592" s="323">
        <v>16386240.8214</v>
      </c>
      <c r="F592" s="323"/>
      <c r="G592" s="314">
        <v>3.7300000000000001E-4</v>
      </c>
      <c r="H592" s="324">
        <v>3.16</v>
      </c>
      <c r="I592" s="322" t="s">
        <v>971</v>
      </c>
      <c r="J592" s="322">
        <v>7802</v>
      </c>
      <c r="K592" s="322">
        <v>14.99</v>
      </c>
      <c r="L592" s="322">
        <v>112.68</v>
      </c>
      <c r="M592" s="322" t="s">
        <v>6</v>
      </c>
      <c r="N592" s="322" t="s">
        <v>368</v>
      </c>
      <c r="O592" s="322" t="s">
        <v>8</v>
      </c>
      <c r="P592" s="322" t="s">
        <v>417</v>
      </c>
      <c r="Q592" s="322" t="s">
        <v>88</v>
      </c>
      <c r="R592" s="322" t="s">
        <v>946</v>
      </c>
      <c r="S592" s="303">
        <f t="shared" si="10"/>
        <v>245629749.91278601</v>
      </c>
      <c r="T592" s="307">
        <f>+IFERROR(VLOOKUP(C592,'Tasas Diarias'!$B:$F,5,FALSE)*G592,0)</f>
        <v>0</v>
      </c>
      <c r="U592" s="311" t="str">
        <f ca="1">+VLOOKUP(C592,Spreads!$A$2:$G$345,7,0)</f>
        <v/>
      </c>
    </row>
    <row r="593" spans="1:21" ht="15" customHeight="1" thickTop="1" thickBot="1">
      <c r="A593" s="321" t="s">
        <v>2137</v>
      </c>
      <c r="B593" s="322" t="s">
        <v>4</v>
      </c>
      <c r="C593" s="322" t="s">
        <v>1870</v>
      </c>
      <c r="D593" s="322" t="s">
        <v>1758</v>
      </c>
      <c r="E593" s="323">
        <v>2563194.4034000002</v>
      </c>
      <c r="F593" s="323"/>
      <c r="G593" s="314">
        <v>5.8E-5</v>
      </c>
      <c r="H593" s="324">
        <v>0</v>
      </c>
      <c r="I593" s="322" t="s">
        <v>1871</v>
      </c>
      <c r="J593" s="322">
        <v>10845</v>
      </c>
      <c r="K593" s="322">
        <v>15.11</v>
      </c>
      <c r="L593" s="322">
        <v>98.439700000000002</v>
      </c>
      <c r="M593" s="322" t="s">
        <v>369</v>
      </c>
      <c r="N593" s="322" t="s">
        <v>368</v>
      </c>
      <c r="O593" s="322" t="s">
        <v>461</v>
      </c>
      <c r="P593" s="322" t="s">
        <v>814</v>
      </c>
      <c r="Q593" s="322" t="s">
        <v>1381</v>
      </c>
      <c r="R593" s="322" t="s">
        <v>1759</v>
      </c>
      <c r="S593" s="303">
        <f t="shared" si="10"/>
        <v>38729867.435373999</v>
      </c>
      <c r="T593" s="307">
        <f>+IFERROR(VLOOKUP(C593,'Tasas Diarias'!$B:$F,5,FALSE)*G593,0)</f>
        <v>0</v>
      </c>
      <c r="U593" s="311" t="e">
        <f>+VLOOKUP(C593,Spreads!$A$2:$G$345,7,0)</f>
        <v>#N/A</v>
      </c>
    </row>
    <row r="594" spans="1:21" ht="15" customHeight="1" thickTop="1" thickBot="1">
      <c r="A594" s="317" t="s">
        <v>2137</v>
      </c>
      <c r="B594" s="318" t="s">
        <v>4</v>
      </c>
      <c r="C594" s="318" t="s">
        <v>1826</v>
      </c>
      <c r="D594" s="318" t="s">
        <v>1496</v>
      </c>
      <c r="E594" s="319">
        <v>3362722.9328999999</v>
      </c>
      <c r="F594" s="319"/>
      <c r="G594" s="314">
        <v>7.7000000000000001E-5</v>
      </c>
      <c r="H594" s="318">
        <v>0</v>
      </c>
      <c r="I594" s="318" t="s">
        <v>1497</v>
      </c>
      <c r="J594" s="318">
        <v>10806</v>
      </c>
      <c r="K594" s="318">
        <v>15.21</v>
      </c>
      <c r="L594" s="318">
        <v>101.61660000000001</v>
      </c>
      <c r="M594" s="318" t="s">
        <v>369</v>
      </c>
      <c r="N594" s="318" t="s">
        <v>368</v>
      </c>
      <c r="O594" s="318" t="s">
        <v>1494</v>
      </c>
      <c r="P594" s="318" t="s">
        <v>417</v>
      </c>
      <c r="Q594" s="318" t="s">
        <v>1479</v>
      </c>
      <c r="R594" s="318" t="s">
        <v>1498</v>
      </c>
      <c r="S594" s="303">
        <f t="shared" si="10"/>
        <v>51147015.809409</v>
      </c>
      <c r="T594" s="307">
        <f>+IFERROR(VLOOKUP(C594,'Tasas Diarias'!$B:$F,5,FALSE)*G594,0)</f>
        <v>0</v>
      </c>
      <c r="U594" s="311" t="e">
        <f>+VLOOKUP(C594,Spreads!$A$2:$G$345,7,0)</f>
        <v>#N/A</v>
      </c>
    </row>
    <row r="595" spans="1:21" ht="15" customHeight="1" thickTop="1" thickBot="1">
      <c r="A595" s="317" t="s">
        <v>2137</v>
      </c>
      <c r="B595" s="318" t="s">
        <v>4</v>
      </c>
      <c r="C595" s="318" t="s">
        <v>972</v>
      </c>
      <c r="D595" s="318" t="s">
        <v>170</v>
      </c>
      <c r="E595" s="319">
        <v>66158801.171300001</v>
      </c>
      <c r="F595" s="319"/>
      <c r="G595" s="314">
        <v>1.508E-3</v>
      </c>
      <c r="H595" s="320">
        <v>3.18</v>
      </c>
      <c r="I595" s="318" t="s">
        <v>973</v>
      </c>
      <c r="J595" s="318">
        <v>8016</v>
      </c>
      <c r="K595" s="318">
        <v>15.45</v>
      </c>
      <c r="L595" s="318">
        <v>109.55</v>
      </c>
      <c r="M595" s="318" t="s">
        <v>6</v>
      </c>
      <c r="N595" s="318" t="s">
        <v>368</v>
      </c>
      <c r="O595" s="318" t="s">
        <v>8</v>
      </c>
      <c r="P595" s="318" t="s">
        <v>417</v>
      </c>
      <c r="Q595" s="318" t="s">
        <v>88</v>
      </c>
      <c r="R595" s="318" t="s">
        <v>946</v>
      </c>
      <c r="S595" s="303">
        <f t="shared" si="10"/>
        <v>1022153478.0965849</v>
      </c>
      <c r="T595" s="307">
        <f>+IFERROR(VLOOKUP(C595,'Tasas Diarias'!$B:$F,5,FALSE)*G595,0)</f>
        <v>2.2976336177585935E-6</v>
      </c>
      <c r="U595" s="311" t="str">
        <f ca="1">+VLOOKUP(C595,Spreads!$A$2:$G$345,7,0)</f>
        <v/>
      </c>
    </row>
    <row r="596" spans="1:21" ht="15" customHeight="1" thickTop="1">
      <c r="A596" s="327" t="s">
        <v>2137</v>
      </c>
      <c r="B596" s="328" t="s">
        <v>4</v>
      </c>
      <c r="C596" s="328" t="s">
        <v>214</v>
      </c>
      <c r="D596" s="328" t="s">
        <v>116</v>
      </c>
      <c r="E596" s="328">
        <v>1916184600</v>
      </c>
      <c r="F596" s="328">
        <v>63000</v>
      </c>
      <c r="G596" s="332">
        <v>4.3671000000000001E-2</v>
      </c>
      <c r="H596" s="329">
        <v>2.35</v>
      </c>
      <c r="I596" s="328" t="s">
        <v>976</v>
      </c>
      <c r="J596" s="328">
        <v>9538</v>
      </c>
      <c r="K596" s="328">
        <v>18.63</v>
      </c>
      <c r="L596" s="328">
        <v>112.73</v>
      </c>
      <c r="M596" s="328" t="s">
        <v>6</v>
      </c>
      <c r="N596" s="328" t="s">
        <v>458</v>
      </c>
      <c r="O596" s="328" t="s">
        <v>378</v>
      </c>
      <c r="P596" s="328" t="s">
        <v>379</v>
      </c>
      <c r="Q596" s="328" t="s">
        <v>2139</v>
      </c>
      <c r="R596" s="328" t="s">
        <v>508</v>
      </c>
      <c r="S596" s="303">
        <f t="shared" si="10"/>
        <v>35698519098</v>
      </c>
      <c r="T596" s="307">
        <f>+IFERROR(VLOOKUP(C596,'Tasas Diarias'!$B:$F,5,FALSE)*G596,0)</f>
        <v>1.6317618355592622E-4</v>
      </c>
      <c r="U596" s="311" t="str">
        <f>+VLOOKUP(C596,Spreads!$A$2:$G$345,7,0)</f>
        <v/>
      </c>
    </row>
    <row r="597" spans="1:21" ht="15" hidden="1" customHeight="1" thickTop="1" thickBot="1">
      <c r="A597" s="321" t="s">
        <v>2137</v>
      </c>
      <c r="B597" s="322" t="s">
        <v>299</v>
      </c>
      <c r="C597" s="322" t="s">
        <v>22</v>
      </c>
      <c r="D597" s="322" t="s">
        <v>165</v>
      </c>
      <c r="E597" s="323">
        <v>2499801683</v>
      </c>
      <c r="F597" s="323">
        <v>2500000000</v>
      </c>
      <c r="G597" s="314">
        <v>4.0036000000000002E-2</v>
      </c>
      <c r="H597" s="324">
        <v>2.82</v>
      </c>
      <c r="I597" s="322" t="s">
        <v>1530</v>
      </c>
      <c r="J597" s="322">
        <v>0</v>
      </c>
      <c r="K597" s="322">
        <v>0</v>
      </c>
      <c r="L597" s="322">
        <v>99.992067000000006</v>
      </c>
      <c r="M597" s="322" t="s">
        <v>9</v>
      </c>
      <c r="N597" s="322" t="s">
        <v>374</v>
      </c>
      <c r="O597" s="322" t="s">
        <v>8</v>
      </c>
      <c r="P597" s="322" t="s">
        <v>375</v>
      </c>
      <c r="Q597" s="322" t="s">
        <v>74</v>
      </c>
      <c r="R597" s="322" t="s">
        <v>380</v>
      </c>
      <c r="S597" s="303">
        <f t="shared" si="10"/>
        <v>0</v>
      </c>
      <c r="T597" s="307">
        <f>+IFERROR(VLOOKUP(C597,'Tasas Diarias'!$B:$F,5,FALSE)*G597,0)</f>
        <v>0</v>
      </c>
      <c r="U597" s="311" t="str">
        <f>+VLOOKUP(C597,Spreads!$A$2:$G$345,7,0)</f>
        <v/>
      </c>
    </row>
    <row r="598" spans="1:21" ht="15" hidden="1" customHeight="1" thickTop="1" thickBot="1">
      <c r="A598" s="317" t="s">
        <v>2137</v>
      </c>
      <c r="B598" s="318" t="s">
        <v>299</v>
      </c>
      <c r="C598" s="318" t="s">
        <v>22</v>
      </c>
      <c r="D598" s="318" t="s">
        <v>164</v>
      </c>
      <c r="E598" s="319">
        <v>199986001</v>
      </c>
      <c r="F598" s="319">
        <v>200000000</v>
      </c>
      <c r="G598" s="314">
        <v>3.202E-3</v>
      </c>
      <c r="H598" s="320">
        <v>2.52</v>
      </c>
      <c r="I598" s="318" t="s">
        <v>1530</v>
      </c>
      <c r="J598" s="318">
        <v>0</v>
      </c>
      <c r="K598" s="318">
        <v>0</v>
      </c>
      <c r="L598" s="318">
        <v>99.992999999999995</v>
      </c>
      <c r="M598" s="318" t="s">
        <v>9</v>
      </c>
      <c r="N598" s="318" t="s">
        <v>374</v>
      </c>
      <c r="O598" s="318" t="s">
        <v>8</v>
      </c>
      <c r="P598" s="318" t="s">
        <v>375</v>
      </c>
      <c r="Q598" s="318" t="s">
        <v>61</v>
      </c>
      <c r="R598" s="318" t="s">
        <v>384</v>
      </c>
      <c r="S598" s="303">
        <f t="shared" si="10"/>
        <v>0</v>
      </c>
      <c r="T598" s="307">
        <f>+IFERROR(VLOOKUP(C598,'Tasas Diarias'!$B:$F,5,FALSE)*G598,0)</f>
        <v>0</v>
      </c>
      <c r="U598" s="311" t="str">
        <f>+VLOOKUP(C598,Spreads!$A$2:$G$345,7,0)</f>
        <v/>
      </c>
    </row>
    <row r="599" spans="1:21" ht="15" hidden="1" customHeight="1" thickTop="1" thickBot="1">
      <c r="A599" s="321" t="s">
        <v>2137</v>
      </c>
      <c r="B599" s="322" t="s">
        <v>299</v>
      </c>
      <c r="C599" s="322" t="s">
        <v>22</v>
      </c>
      <c r="D599" s="322" t="s">
        <v>178</v>
      </c>
      <c r="E599" s="323">
        <v>499906684</v>
      </c>
      <c r="F599" s="323">
        <v>500000000</v>
      </c>
      <c r="G599" s="314">
        <v>8.0059999999999992E-3</v>
      </c>
      <c r="H599" s="324">
        <v>3.36</v>
      </c>
      <c r="I599" s="322" t="s">
        <v>1601</v>
      </c>
      <c r="J599" s="322">
        <v>1</v>
      </c>
      <c r="K599" s="322">
        <v>0.01</v>
      </c>
      <c r="L599" s="322">
        <v>99.981335999999999</v>
      </c>
      <c r="M599" s="322" t="s">
        <v>9</v>
      </c>
      <c r="N599" s="322" t="s">
        <v>374</v>
      </c>
      <c r="O599" s="322" t="s">
        <v>8</v>
      </c>
      <c r="P599" s="322" t="s">
        <v>417</v>
      </c>
      <c r="Q599" s="322" t="s">
        <v>68</v>
      </c>
      <c r="R599" s="322" t="s">
        <v>1577</v>
      </c>
      <c r="S599" s="303">
        <f t="shared" si="10"/>
        <v>4999066.84</v>
      </c>
      <c r="T599" s="307">
        <f>+IFERROR(VLOOKUP(C599,'Tasas Diarias'!$B:$F,5,FALSE)*G599,0)</f>
        <v>0</v>
      </c>
      <c r="U599" s="311" t="str">
        <f>+VLOOKUP(C599,Spreads!$A$2:$G$345,7,0)</f>
        <v/>
      </c>
    </row>
    <row r="600" spans="1:21" ht="15" hidden="1" customHeight="1" thickTop="1" thickBot="1">
      <c r="A600" s="317" t="s">
        <v>2137</v>
      </c>
      <c r="B600" s="318" t="s">
        <v>299</v>
      </c>
      <c r="C600" s="318" t="s">
        <v>22</v>
      </c>
      <c r="D600" s="318" t="s">
        <v>305</v>
      </c>
      <c r="E600" s="319">
        <v>199941351</v>
      </c>
      <c r="F600" s="319">
        <v>200000000</v>
      </c>
      <c r="G600" s="314">
        <v>3.202E-3</v>
      </c>
      <c r="H600" s="318">
        <v>2.64</v>
      </c>
      <c r="I600" s="318" t="s">
        <v>1916</v>
      </c>
      <c r="J600" s="318">
        <v>3</v>
      </c>
      <c r="K600" s="318">
        <v>0.01</v>
      </c>
      <c r="L600" s="318">
        <v>99.970675</v>
      </c>
      <c r="M600" s="318" t="s">
        <v>9</v>
      </c>
      <c r="N600" s="318" t="s">
        <v>374</v>
      </c>
      <c r="O600" s="318" t="s">
        <v>8</v>
      </c>
      <c r="P600" s="318" t="s">
        <v>375</v>
      </c>
      <c r="Q600" s="318" t="s">
        <v>326</v>
      </c>
      <c r="R600" s="318" t="s">
        <v>387</v>
      </c>
      <c r="S600" s="303">
        <f t="shared" si="10"/>
        <v>1999413.51</v>
      </c>
      <c r="T600" s="307">
        <f>+IFERROR(VLOOKUP(C600,'Tasas Diarias'!$B:$F,5,FALSE)*G600,0)</f>
        <v>0</v>
      </c>
      <c r="U600" s="311" t="str">
        <f>+VLOOKUP(C600,Spreads!$A$2:$G$345,7,0)</f>
        <v/>
      </c>
    </row>
    <row r="601" spans="1:21" ht="15" hidden="1" customHeight="1" thickTop="1" thickBot="1">
      <c r="A601" s="327" t="s">
        <v>2137</v>
      </c>
      <c r="B601" s="328" t="s">
        <v>299</v>
      </c>
      <c r="C601" s="328" t="s">
        <v>1912</v>
      </c>
      <c r="D601" s="328" t="s">
        <v>1913</v>
      </c>
      <c r="E601" s="328">
        <v>799797385</v>
      </c>
      <c r="F601" s="328">
        <v>800000000</v>
      </c>
      <c r="G601" s="328">
        <v>1.2808999999999999E-2</v>
      </c>
      <c r="H601" s="329">
        <v>0.19</v>
      </c>
      <c r="I601" s="328" t="s">
        <v>1916</v>
      </c>
      <c r="J601" s="328">
        <v>3</v>
      </c>
      <c r="K601" s="328">
        <v>0.01</v>
      </c>
      <c r="L601" s="328">
        <v>99.974672999999996</v>
      </c>
      <c r="M601" s="328" t="s">
        <v>9</v>
      </c>
      <c r="N601" s="328" t="s">
        <v>374</v>
      </c>
      <c r="O601" s="328" t="s">
        <v>378</v>
      </c>
      <c r="P601" s="328" t="s">
        <v>1911</v>
      </c>
      <c r="Q601" s="328" t="s">
        <v>59</v>
      </c>
      <c r="R601" s="328" t="s">
        <v>1914</v>
      </c>
      <c r="S601" s="303">
        <f t="shared" si="10"/>
        <v>7997973.8500000006</v>
      </c>
      <c r="T601" s="307">
        <f>+IFERROR(VLOOKUP(C601,'Tasas Diarias'!$B:$F,5,FALSE)*G601,0)</f>
        <v>0</v>
      </c>
      <c r="U601" s="311" t="e">
        <f>+VLOOKUP(C601,Spreads!$A$2:$G$345,7,0)</f>
        <v>#N/A</v>
      </c>
    </row>
    <row r="602" spans="1:21" ht="15" hidden="1" customHeight="1" thickTop="1" thickBot="1">
      <c r="A602" s="317" t="s">
        <v>2137</v>
      </c>
      <c r="B602" s="318" t="s">
        <v>299</v>
      </c>
      <c r="C602" s="318" t="s">
        <v>22</v>
      </c>
      <c r="D602" s="318" t="s">
        <v>165</v>
      </c>
      <c r="E602" s="319">
        <v>39984673</v>
      </c>
      <c r="F602" s="319">
        <v>40000000</v>
      </c>
      <c r="G602" s="314">
        <v>6.4000000000000005E-4</v>
      </c>
      <c r="H602" s="320">
        <v>2.76</v>
      </c>
      <c r="I602" s="318" t="s">
        <v>1414</v>
      </c>
      <c r="J602" s="318">
        <v>4</v>
      </c>
      <c r="K602" s="318">
        <v>0.01</v>
      </c>
      <c r="L602" s="318">
        <v>99.961681999999996</v>
      </c>
      <c r="M602" s="318" t="s">
        <v>9</v>
      </c>
      <c r="N602" s="318" t="s">
        <v>374</v>
      </c>
      <c r="O602" s="318" t="s">
        <v>8</v>
      </c>
      <c r="P602" s="318" t="s">
        <v>375</v>
      </c>
      <c r="Q602" s="318" t="s">
        <v>74</v>
      </c>
      <c r="R602" s="318" t="s">
        <v>380</v>
      </c>
      <c r="S602" s="303">
        <f t="shared" si="10"/>
        <v>399846.73</v>
      </c>
      <c r="T602" s="307">
        <f>+IFERROR(VLOOKUP(C602,'Tasas Diarias'!$B:$F,5,FALSE)*G602,0)</f>
        <v>0</v>
      </c>
      <c r="U602" s="311" t="str">
        <f>+VLOOKUP(C602,Spreads!$A$2:$G$345,7,0)</f>
        <v/>
      </c>
    </row>
    <row r="603" spans="1:21" ht="15" hidden="1" customHeight="1" thickTop="1" thickBot="1">
      <c r="A603" s="317" t="s">
        <v>2137</v>
      </c>
      <c r="B603" s="318" t="s">
        <v>299</v>
      </c>
      <c r="C603" s="318" t="s">
        <v>22</v>
      </c>
      <c r="D603" s="318" t="s">
        <v>70</v>
      </c>
      <c r="E603" s="319">
        <v>579555674</v>
      </c>
      <c r="F603" s="319">
        <v>580000000</v>
      </c>
      <c r="G603" s="314">
        <v>9.2820000000000003E-3</v>
      </c>
      <c r="H603" s="320">
        <v>2.76</v>
      </c>
      <c r="I603" s="318" t="s">
        <v>1552</v>
      </c>
      <c r="J603" s="318">
        <v>9</v>
      </c>
      <c r="K603" s="318">
        <v>0.03</v>
      </c>
      <c r="L603" s="318">
        <v>99.923392000000007</v>
      </c>
      <c r="M603" s="318" t="s">
        <v>9</v>
      </c>
      <c r="N603" s="318" t="s">
        <v>374</v>
      </c>
      <c r="O603" s="318" t="s">
        <v>8</v>
      </c>
      <c r="P603" s="318" t="s">
        <v>375</v>
      </c>
      <c r="Q603" s="318" t="s">
        <v>70</v>
      </c>
      <c r="R603" s="318" t="s">
        <v>383</v>
      </c>
      <c r="S603" s="303">
        <f t="shared" si="10"/>
        <v>17386670.219999999</v>
      </c>
      <c r="T603" s="307">
        <f>+IFERROR(VLOOKUP(C603,'Tasas Diarias'!$B:$F,5,FALSE)*G603,0)</f>
        <v>0</v>
      </c>
      <c r="U603" s="311" t="str">
        <f>+VLOOKUP(C603,Spreads!$A$2:$G$345,7,0)</f>
        <v/>
      </c>
    </row>
    <row r="604" spans="1:21" ht="15" hidden="1" customHeight="1" thickTop="1" thickBot="1">
      <c r="A604" s="321" t="s">
        <v>2137</v>
      </c>
      <c r="B604" s="322" t="s">
        <v>299</v>
      </c>
      <c r="C604" s="322" t="s">
        <v>22</v>
      </c>
      <c r="D604" s="322" t="s">
        <v>23</v>
      </c>
      <c r="E604" s="323">
        <v>299748212</v>
      </c>
      <c r="F604" s="323">
        <v>300000000</v>
      </c>
      <c r="G604" s="314">
        <v>4.7999999999999996E-3</v>
      </c>
      <c r="H604" s="322">
        <v>2.52</v>
      </c>
      <c r="I604" s="322" t="s">
        <v>818</v>
      </c>
      <c r="J604" s="322">
        <v>11</v>
      </c>
      <c r="K604" s="322">
        <v>0.03</v>
      </c>
      <c r="L604" s="322">
        <v>99.916070000000005</v>
      </c>
      <c r="M604" s="322" t="s">
        <v>9</v>
      </c>
      <c r="N604" s="322" t="s">
        <v>374</v>
      </c>
      <c r="O604" s="322" t="s">
        <v>8</v>
      </c>
      <c r="P604" s="322" t="s">
        <v>375</v>
      </c>
      <c r="Q604" s="322" t="s">
        <v>67</v>
      </c>
      <c r="R604" s="322" t="s">
        <v>376</v>
      </c>
      <c r="S604" s="303">
        <f t="shared" si="10"/>
        <v>8992446.3599999994</v>
      </c>
      <c r="T604" s="307">
        <f>+IFERROR(VLOOKUP(C604,'Tasas Diarias'!$B:$F,5,FALSE)*G604,0)</f>
        <v>0</v>
      </c>
      <c r="U604" s="311" t="str">
        <f>+VLOOKUP(C604,Spreads!$A$2:$G$345,7,0)</f>
        <v/>
      </c>
    </row>
    <row r="605" spans="1:21" ht="15" hidden="1" customHeight="1" thickTop="1" thickBot="1">
      <c r="A605" s="317" t="s">
        <v>2137</v>
      </c>
      <c r="B605" s="318" t="s">
        <v>299</v>
      </c>
      <c r="C605" s="318" t="s">
        <v>22</v>
      </c>
      <c r="D605" s="318" t="s">
        <v>70</v>
      </c>
      <c r="E605" s="319">
        <v>699265771</v>
      </c>
      <c r="F605" s="319">
        <v>700000000</v>
      </c>
      <c r="G605" s="314">
        <v>1.1199000000000001E-2</v>
      </c>
      <c r="H605" s="320">
        <v>2.52</v>
      </c>
      <c r="I605" s="318" t="s">
        <v>1602</v>
      </c>
      <c r="J605" s="318">
        <v>14</v>
      </c>
      <c r="K605" s="318">
        <v>0.04</v>
      </c>
      <c r="L605" s="318">
        <v>99.895110000000003</v>
      </c>
      <c r="M605" s="318" t="s">
        <v>9</v>
      </c>
      <c r="N605" s="318" t="s">
        <v>374</v>
      </c>
      <c r="O605" s="318" t="s">
        <v>8</v>
      </c>
      <c r="P605" s="318" t="s">
        <v>375</v>
      </c>
      <c r="Q605" s="318" t="s">
        <v>70</v>
      </c>
      <c r="R605" s="318" t="s">
        <v>383</v>
      </c>
      <c r="S605" s="303">
        <f t="shared" si="10"/>
        <v>27970630.84</v>
      </c>
      <c r="T605" s="307">
        <f>+IFERROR(VLOOKUP(C605,'Tasas Diarias'!$B:$F,5,FALSE)*G605,0)</f>
        <v>0</v>
      </c>
      <c r="U605" s="311" t="str">
        <f>+VLOOKUP(C605,Spreads!$A$2:$G$345,7,0)</f>
        <v/>
      </c>
    </row>
    <row r="606" spans="1:21" ht="15" hidden="1" customHeight="1" thickTop="1" thickBot="1">
      <c r="A606" s="317" t="s">
        <v>2137</v>
      </c>
      <c r="B606" s="318" t="s">
        <v>299</v>
      </c>
      <c r="C606" s="318" t="s">
        <v>22</v>
      </c>
      <c r="D606" s="318" t="s">
        <v>305</v>
      </c>
      <c r="E606" s="319">
        <v>399540528</v>
      </c>
      <c r="F606" s="319">
        <v>400000000</v>
      </c>
      <c r="G606" s="314">
        <v>6.3990000000000002E-3</v>
      </c>
      <c r="H606" s="320">
        <v>2.76</v>
      </c>
      <c r="I606" s="318" t="s">
        <v>1602</v>
      </c>
      <c r="J606" s="318">
        <v>14</v>
      </c>
      <c r="K606" s="318">
        <v>0.04</v>
      </c>
      <c r="L606" s="318">
        <v>99.885131999999999</v>
      </c>
      <c r="M606" s="318" t="s">
        <v>9</v>
      </c>
      <c r="N606" s="318" t="s">
        <v>374</v>
      </c>
      <c r="O606" s="318" t="s">
        <v>8</v>
      </c>
      <c r="P606" s="318" t="s">
        <v>375</v>
      </c>
      <c r="Q606" s="318" t="s">
        <v>326</v>
      </c>
      <c r="R606" s="318" t="s">
        <v>387</v>
      </c>
      <c r="S606" s="303">
        <f t="shared" si="10"/>
        <v>15981621.120000001</v>
      </c>
      <c r="T606" s="307">
        <f>+IFERROR(VLOOKUP(C606,'Tasas Diarias'!$B:$F,5,FALSE)*G606,0)</f>
        <v>0</v>
      </c>
      <c r="U606" s="311" t="str">
        <f>+VLOOKUP(C606,Spreads!$A$2:$G$345,7,0)</f>
        <v/>
      </c>
    </row>
    <row r="607" spans="1:21" ht="15" hidden="1" customHeight="1" thickTop="1" thickBot="1">
      <c r="A607" s="321" t="s">
        <v>2137</v>
      </c>
      <c r="B607" s="322" t="s">
        <v>299</v>
      </c>
      <c r="C607" s="322" t="s">
        <v>22</v>
      </c>
      <c r="D607" s="322" t="s">
        <v>167</v>
      </c>
      <c r="E607" s="323">
        <v>369475425</v>
      </c>
      <c r="F607" s="323">
        <v>370000000</v>
      </c>
      <c r="G607" s="314">
        <v>5.9170000000000004E-3</v>
      </c>
      <c r="H607" s="324">
        <v>3.1440000000000001</v>
      </c>
      <c r="I607" s="322" t="s">
        <v>1098</v>
      </c>
      <c r="J607" s="322">
        <v>15</v>
      </c>
      <c r="K607" s="322">
        <v>0.04</v>
      </c>
      <c r="L607" s="322">
        <v>99.858221999999998</v>
      </c>
      <c r="M607" s="322" t="s">
        <v>9</v>
      </c>
      <c r="N607" s="322" t="s">
        <v>374</v>
      </c>
      <c r="O607" s="322" t="s">
        <v>8</v>
      </c>
      <c r="P607" s="322" t="s">
        <v>375</v>
      </c>
      <c r="Q607" s="322" t="s">
        <v>77</v>
      </c>
      <c r="R607" s="322" t="s">
        <v>400</v>
      </c>
      <c r="S607" s="303">
        <f t="shared" si="10"/>
        <v>14779017</v>
      </c>
      <c r="T607" s="307">
        <f>+IFERROR(VLOOKUP(C607,'Tasas Diarias'!$B:$F,5,FALSE)*G607,0)</f>
        <v>0</v>
      </c>
      <c r="U607" s="311" t="str">
        <f>+VLOOKUP(C607,Spreads!$A$2:$G$345,7,0)</f>
        <v/>
      </c>
    </row>
    <row r="608" spans="1:21" ht="15" hidden="1" customHeight="1" thickTop="1" thickBot="1">
      <c r="A608" s="321" t="s">
        <v>2137</v>
      </c>
      <c r="B608" s="322" t="s">
        <v>299</v>
      </c>
      <c r="C608" s="322" t="s">
        <v>22</v>
      </c>
      <c r="D608" s="322" t="s">
        <v>54</v>
      </c>
      <c r="E608" s="323">
        <v>399531217</v>
      </c>
      <c r="F608" s="323">
        <v>400000000</v>
      </c>
      <c r="G608" s="314">
        <v>6.398E-3</v>
      </c>
      <c r="H608" s="324">
        <v>2.64</v>
      </c>
      <c r="I608" s="322" t="s">
        <v>1098</v>
      </c>
      <c r="J608" s="322">
        <v>15</v>
      </c>
      <c r="K608" s="322">
        <v>0.04</v>
      </c>
      <c r="L608" s="322">
        <v>99.882803999999993</v>
      </c>
      <c r="M608" s="322" t="s">
        <v>9</v>
      </c>
      <c r="N608" s="322" t="s">
        <v>374</v>
      </c>
      <c r="O608" s="322" t="s">
        <v>8</v>
      </c>
      <c r="P608" s="322" t="s">
        <v>375</v>
      </c>
      <c r="Q608" s="322" t="s">
        <v>390</v>
      </c>
      <c r="R608" s="322" t="s">
        <v>391</v>
      </c>
      <c r="S608" s="303">
        <f t="shared" si="10"/>
        <v>15981248.68</v>
      </c>
      <c r="T608" s="307">
        <f>+IFERROR(VLOOKUP(C608,'Tasas Diarias'!$B:$F,5,FALSE)*G608,0)</f>
        <v>0</v>
      </c>
      <c r="U608" s="311" t="str">
        <f>+VLOOKUP(C608,Spreads!$A$2:$G$345,7,0)</f>
        <v/>
      </c>
    </row>
    <row r="609" spans="1:21" ht="15" hidden="1" customHeight="1" thickTop="1" thickBot="1">
      <c r="A609" s="321" t="s">
        <v>2137</v>
      </c>
      <c r="B609" s="322" t="s">
        <v>299</v>
      </c>
      <c r="C609" s="322" t="s">
        <v>22</v>
      </c>
      <c r="D609" s="322" t="s">
        <v>165</v>
      </c>
      <c r="E609" s="323">
        <v>499377443</v>
      </c>
      <c r="F609" s="323">
        <v>500000000</v>
      </c>
      <c r="G609" s="314">
        <v>7.9979999999999999E-3</v>
      </c>
      <c r="H609" s="324">
        <v>2.64</v>
      </c>
      <c r="I609" s="322" t="s">
        <v>1936</v>
      </c>
      <c r="J609" s="322">
        <v>16</v>
      </c>
      <c r="K609" s="322">
        <v>0.05</v>
      </c>
      <c r="L609" s="322">
        <v>99.875488000000004</v>
      </c>
      <c r="M609" s="322" t="s">
        <v>9</v>
      </c>
      <c r="N609" s="322" t="s">
        <v>374</v>
      </c>
      <c r="O609" s="322" t="s">
        <v>8</v>
      </c>
      <c r="P609" s="322" t="s">
        <v>375</v>
      </c>
      <c r="Q609" s="322" t="s">
        <v>74</v>
      </c>
      <c r="R609" s="322" t="s">
        <v>380</v>
      </c>
      <c r="S609" s="303">
        <f t="shared" si="10"/>
        <v>24968872.150000002</v>
      </c>
      <c r="T609" s="307">
        <f>+IFERROR(VLOOKUP(C609,'Tasas Diarias'!$B:$F,5,FALSE)*G609,0)</f>
        <v>0</v>
      </c>
      <c r="U609" s="311" t="str">
        <f>+VLOOKUP(C609,Spreads!$A$2:$G$345,7,0)</f>
        <v/>
      </c>
    </row>
    <row r="610" spans="1:21" ht="15" hidden="1" customHeight="1" thickTop="1" thickBot="1">
      <c r="A610" s="327" t="s">
        <v>2137</v>
      </c>
      <c r="B610" s="328" t="s">
        <v>299</v>
      </c>
      <c r="C610" s="328" t="s">
        <v>22</v>
      </c>
      <c r="D610" s="328" t="s">
        <v>164</v>
      </c>
      <c r="E610" s="328">
        <v>1847801117</v>
      </c>
      <c r="F610" s="343">
        <v>1850000000</v>
      </c>
      <c r="G610" s="332">
        <v>2.9593999999999999E-2</v>
      </c>
      <c r="H610" s="329">
        <v>2.52</v>
      </c>
      <c r="I610" s="328" t="s">
        <v>1936</v>
      </c>
      <c r="J610" s="328">
        <v>16</v>
      </c>
      <c r="K610" s="328">
        <v>0.05</v>
      </c>
      <c r="L610" s="328">
        <v>99.881141</v>
      </c>
      <c r="M610" s="328" t="s">
        <v>9</v>
      </c>
      <c r="N610" s="328" t="s">
        <v>374</v>
      </c>
      <c r="O610" s="328" t="s">
        <v>8</v>
      </c>
      <c r="P610" s="328" t="s">
        <v>375</v>
      </c>
      <c r="Q610" s="328" t="s">
        <v>61</v>
      </c>
      <c r="R610" s="328" t="s">
        <v>384</v>
      </c>
      <c r="S610" s="303">
        <f t="shared" si="10"/>
        <v>92390055.850000009</v>
      </c>
      <c r="T610" s="307">
        <f>+IFERROR(VLOOKUP(C610,'Tasas Diarias'!$B:$F,5,FALSE)*G610,0)</f>
        <v>0</v>
      </c>
      <c r="U610" s="311" t="str">
        <f>+VLOOKUP(C610,Spreads!$A$2:$G$345,7,0)</f>
        <v/>
      </c>
    </row>
    <row r="611" spans="1:21" ht="15" hidden="1" customHeight="1" thickTop="1" thickBot="1">
      <c r="A611" s="321" t="s">
        <v>2137</v>
      </c>
      <c r="B611" s="322" t="s">
        <v>299</v>
      </c>
      <c r="C611" s="322" t="s">
        <v>22</v>
      </c>
      <c r="D611" s="322" t="s">
        <v>164</v>
      </c>
      <c r="E611" s="323">
        <v>261623263</v>
      </c>
      <c r="F611" s="323">
        <v>262000000</v>
      </c>
      <c r="G611" s="314">
        <v>4.1900000000000001E-3</v>
      </c>
      <c r="H611" s="322">
        <v>2.88</v>
      </c>
      <c r="I611" s="322" t="s">
        <v>1320</v>
      </c>
      <c r="J611" s="322">
        <v>17</v>
      </c>
      <c r="K611" s="322">
        <v>0.05</v>
      </c>
      <c r="L611" s="322">
        <v>99.856206999999998</v>
      </c>
      <c r="M611" s="322" t="s">
        <v>9</v>
      </c>
      <c r="N611" s="322" t="s">
        <v>374</v>
      </c>
      <c r="O611" s="322" t="s">
        <v>8</v>
      </c>
      <c r="P611" s="322" t="s">
        <v>375</v>
      </c>
      <c r="Q611" s="322" t="s">
        <v>61</v>
      </c>
      <c r="R611" s="322" t="s">
        <v>384</v>
      </c>
      <c r="S611" s="303">
        <f t="shared" si="10"/>
        <v>13081163.15</v>
      </c>
      <c r="T611" s="307">
        <f>+IFERROR(VLOOKUP(C611,'Tasas Diarias'!$B:$F,5,FALSE)*G611,0)</f>
        <v>0</v>
      </c>
      <c r="U611" s="311" t="str">
        <f>+VLOOKUP(C611,Spreads!$A$2:$G$345,7,0)</f>
        <v/>
      </c>
    </row>
    <row r="612" spans="1:21" ht="15" hidden="1" customHeight="1" thickTop="1" thickBot="1">
      <c r="A612" s="317" t="s">
        <v>2137</v>
      </c>
      <c r="B612" s="318" t="s">
        <v>299</v>
      </c>
      <c r="C612" s="318" t="s">
        <v>22</v>
      </c>
      <c r="D612" s="318" t="s">
        <v>23</v>
      </c>
      <c r="E612" s="319">
        <v>1170723264</v>
      </c>
      <c r="F612" s="319">
        <v>1172500000</v>
      </c>
      <c r="G612" s="314">
        <v>1.8749999999999999E-2</v>
      </c>
      <c r="H612" s="320">
        <v>2.88</v>
      </c>
      <c r="I612" s="318" t="s">
        <v>1320</v>
      </c>
      <c r="J612" s="318">
        <v>17</v>
      </c>
      <c r="K612" s="318">
        <v>0.05</v>
      </c>
      <c r="L612" s="318">
        <v>99.848466000000002</v>
      </c>
      <c r="M612" s="318" t="s">
        <v>9</v>
      </c>
      <c r="N612" s="318" t="s">
        <v>374</v>
      </c>
      <c r="O612" s="318" t="s">
        <v>8</v>
      </c>
      <c r="P612" s="318" t="s">
        <v>375</v>
      </c>
      <c r="Q612" s="318" t="s">
        <v>67</v>
      </c>
      <c r="R612" s="318" t="s">
        <v>376</v>
      </c>
      <c r="S612" s="303">
        <f t="shared" si="10"/>
        <v>58536163.200000003</v>
      </c>
      <c r="T612" s="307">
        <f>+IFERROR(VLOOKUP(C612,'Tasas Diarias'!$B:$F,5,FALSE)*G612,0)</f>
        <v>0</v>
      </c>
      <c r="U612" s="311" t="str">
        <f>+VLOOKUP(C612,Spreads!$A$2:$G$345,7,0)</f>
        <v/>
      </c>
    </row>
    <row r="613" spans="1:21" ht="15" hidden="1" customHeight="1" thickTop="1" thickBot="1">
      <c r="A613" s="321" t="s">
        <v>2137</v>
      </c>
      <c r="B613" s="322" t="s">
        <v>299</v>
      </c>
      <c r="C613" s="322" t="s">
        <v>22</v>
      </c>
      <c r="D613" s="322" t="s">
        <v>305</v>
      </c>
      <c r="E613" s="323">
        <v>399448761</v>
      </c>
      <c r="F613" s="323">
        <v>400000000</v>
      </c>
      <c r="G613" s="314">
        <v>6.3969999999999999E-3</v>
      </c>
      <c r="H613" s="324">
        <v>2.76</v>
      </c>
      <c r="I613" s="322" t="s">
        <v>1320</v>
      </c>
      <c r="J613" s="322">
        <v>17</v>
      </c>
      <c r="K613" s="322">
        <v>0.05</v>
      </c>
      <c r="L613" s="322">
        <v>99.862189999999998</v>
      </c>
      <c r="M613" s="322" t="s">
        <v>9</v>
      </c>
      <c r="N613" s="322" t="s">
        <v>374</v>
      </c>
      <c r="O613" s="322" t="s">
        <v>8</v>
      </c>
      <c r="P613" s="322" t="s">
        <v>375</v>
      </c>
      <c r="Q613" s="322" t="s">
        <v>326</v>
      </c>
      <c r="R613" s="322" t="s">
        <v>387</v>
      </c>
      <c r="S613" s="303">
        <f t="shared" si="10"/>
        <v>19972438.050000001</v>
      </c>
      <c r="T613" s="307">
        <f>+IFERROR(VLOOKUP(C613,'Tasas Diarias'!$B:$F,5,FALSE)*G613,0)</f>
        <v>0</v>
      </c>
      <c r="U613" s="311" t="str">
        <f>+VLOOKUP(C613,Spreads!$A$2:$G$345,7,0)</f>
        <v/>
      </c>
    </row>
    <row r="614" spans="1:21" ht="15" hidden="1" customHeight="1" thickTop="1" thickBot="1">
      <c r="A614" s="317" t="s">
        <v>2137</v>
      </c>
      <c r="B614" s="318" t="s">
        <v>299</v>
      </c>
      <c r="C614" s="318" t="s">
        <v>2096</v>
      </c>
      <c r="D614" s="318" t="s">
        <v>2097</v>
      </c>
      <c r="E614" s="319">
        <v>1772960569</v>
      </c>
      <c r="F614" s="319">
        <v>65000</v>
      </c>
      <c r="G614" s="314">
        <v>2.8395E-2</v>
      </c>
      <c r="H614" s="320">
        <v>-2.2000000000000002</v>
      </c>
      <c r="I614" s="318" t="s">
        <v>2092</v>
      </c>
      <c r="J614" s="318">
        <v>25</v>
      </c>
      <c r="K614" s="318">
        <v>7.0000000000000007E-2</v>
      </c>
      <c r="L614" s="318">
        <v>100.43</v>
      </c>
      <c r="M614" s="318" t="s">
        <v>6</v>
      </c>
      <c r="N614" s="318" t="s">
        <v>368</v>
      </c>
      <c r="O614" s="318" t="s">
        <v>8</v>
      </c>
      <c r="P614" s="318" t="s">
        <v>417</v>
      </c>
      <c r="Q614" s="318" t="s">
        <v>2098</v>
      </c>
      <c r="R614" s="318" t="s">
        <v>2099</v>
      </c>
      <c r="S614" s="303">
        <f t="shared" si="10"/>
        <v>124107239.83000001</v>
      </c>
      <c r="T614" s="307">
        <f>+IFERROR(VLOOKUP(C614,'Tasas Diarias'!$B:$F,5,FALSE)*G614,0)</f>
        <v>0</v>
      </c>
      <c r="U614" s="311" t="e">
        <f>+VLOOKUP(C614,Spreads!$A$2:$G$345,7,0)</f>
        <v>#N/A</v>
      </c>
    </row>
    <row r="615" spans="1:21" ht="15" hidden="1" customHeight="1" thickTop="1" thickBot="1">
      <c r="A615" s="321" t="s">
        <v>2137</v>
      </c>
      <c r="B615" s="322" t="s">
        <v>299</v>
      </c>
      <c r="C615" s="322" t="s">
        <v>22</v>
      </c>
      <c r="D615" s="322" t="s">
        <v>23</v>
      </c>
      <c r="E615" s="323">
        <v>1196665293</v>
      </c>
      <c r="F615" s="323">
        <v>1200000000</v>
      </c>
      <c r="G615" s="314">
        <v>1.9165000000000001E-2</v>
      </c>
      <c r="H615" s="324">
        <v>2.64</v>
      </c>
      <c r="I615" s="322" t="s">
        <v>1310</v>
      </c>
      <c r="J615" s="322">
        <v>37</v>
      </c>
      <c r="K615" s="322">
        <v>0.1</v>
      </c>
      <c r="L615" s="322">
        <v>99.722106999999994</v>
      </c>
      <c r="M615" s="322" t="s">
        <v>9</v>
      </c>
      <c r="N615" s="322" t="s">
        <v>374</v>
      </c>
      <c r="O615" s="322" t="s">
        <v>8</v>
      </c>
      <c r="P615" s="322" t="s">
        <v>375</v>
      </c>
      <c r="Q615" s="322" t="s">
        <v>67</v>
      </c>
      <c r="R615" s="322" t="s">
        <v>376</v>
      </c>
      <c r="S615" s="303">
        <f t="shared" si="10"/>
        <v>119666529.30000001</v>
      </c>
      <c r="T615" s="307">
        <f>+IFERROR(VLOOKUP(C615,'Tasas Diarias'!$B:$F,5,FALSE)*G615,0)</f>
        <v>0</v>
      </c>
      <c r="U615" s="311" t="str">
        <f>+VLOOKUP(C615,Spreads!$A$2:$G$345,7,0)</f>
        <v/>
      </c>
    </row>
    <row r="616" spans="1:21" ht="15" hidden="1" customHeight="1" thickTop="1" thickBot="1">
      <c r="A616" s="321" t="s">
        <v>2137</v>
      </c>
      <c r="B616" s="322" t="s">
        <v>299</v>
      </c>
      <c r="C616" s="322" t="s">
        <v>22</v>
      </c>
      <c r="D616" s="322" t="s">
        <v>72</v>
      </c>
      <c r="E616" s="323">
        <v>99621439</v>
      </c>
      <c r="F616" s="323">
        <v>100000000</v>
      </c>
      <c r="G616" s="314">
        <v>1.5950000000000001E-3</v>
      </c>
      <c r="H616" s="324">
        <v>3.6</v>
      </c>
      <c r="I616" s="322" t="s">
        <v>1310</v>
      </c>
      <c r="J616" s="322">
        <v>37</v>
      </c>
      <c r="K616" s="322">
        <v>0.1</v>
      </c>
      <c r="L616" s="322">
        <v>99.621438999999995</v>
      </c>
      <c r="M616" s="322" t="s">
        <v>9</v>
      </c>
      <c r="N616" s="322" t="s">
        <v>374</v>
      </c>
      <c r="O616" s="322" t="s">
        <v>8</v>
      </c>
      <c r="P616" s="322" t="s">
        <v>296</v>
      </c>
      <c r="Q616" s="322" t="s">
        <v>325</v>
      </c>
      <c r="R616" s="322" t="s">
        <v>393</v>
      </c>
      <c r="S616" s="303">
        <f t="shared" si="10"/>
        <v>9962143.9000000004</v>
      </c>
      <c r="T616" s="307">
        <f>+IFERROR(VLOOKUP(C616,'Tasas Diarias'!$B:$F,5,FALSE)*G616,0)</f>
        <v>0</v>
      </c>
      <c r="U616" s="311" t="str">
        <f>+VLOOKUP(C616,Spreads!$A$2:$G$345,7,0)</f>
        <v/>
      </c>
    </row>
    <row r="617" spans="1:21" ht="15" hidden="1" customHeight="1" thickTop="1" thickBot="1">
      <c r="A617" s="321" t="s">
        <v>2137</v>
      </c>
      <c r="B617" s="322" t="s">
        <v>299</v>
      </c>
      <c r="C617" s="322" t="s">
        <v>22</v>
      </c>
      <c r="D617" s="322" t="s">
        <v>23</v>
      </c>
      <c r="E617" s="323">
        <v>199403783</v>
      </c>
      <c r="F617" s="323">
        <v>200000000</v>
      </c>
      <c r="G617" s="314">
        <v>3.1930000000000001E-3</v>
      </c>
      <c r="H617" s="324">
        <v>2.76</v>
      </c>
      <c r="I617" s="322" t="s">
        <v>2088</v>
      </c>
      <c r="J617" s="322">
        <v>38</v>
      </c>
      <c r="K617" s="322">
        <v>0.11</v>
      </c>
      <c r="L617" s="322">
        <v>99.701891000000003</v>
      </c>
      <c r="M617" s="322" t="s">
        <v>9</v>
      </c>
      <c r="N617" s="322" t="s">
        <v>374</v>
      </c>
      <c r="O617" s="322" t="s">
        <v>8</v>
      </c>
      <c r="P617" s="322" t="s">
        <v>375</v>
      </c>
      <c r="Q617" s="322" t="s">
        <v>67</v>
      </c>
      <c r="R617" s="322" t="s">
        <v>376</v>
      </c>
      <c r="S617" s="303">
        <f t="shared" si="10"/>
        <v>21934416.129999999</v>
      </c>
      <c r="T617" s="307">
        <f>+IFERROR(VLOOKUP(C617,'Tasas Diarias'!$B:$F,5,FALSE)*G617,0)</f>
        <v>0</v>
      </c>
      <c r="U617" s="311" t="str">
        <f>+VLOOKUP(C617,Spreads!$A$2:$G$345,7,0)</f>
        <v/>
      </c>
    </row>
    <row r="618" spans="1:21" ht="15.75" hidden="1" thickTop="1">
      <c r="A618" s="321" t="s">
        <v>2137</v>
      </c>
      <c r="B618" s="322" t="s">
        <v>299</v>
      </c>
      <c r="C618" s="322" t="s">
        <v>538</v>
      </c>
      <c r="D618" s="322" t="s">
        <v>24</v>
      </c>
      <c r="E618" s="323">
        <v>757655838</v>
      </c>
      <c r="F618" s="323">
        <v>28000</v>
      </c>
      <c r="G618" s="314">
        <v>1.2134000000000001E-2</v>
      </c>
      <c r="H618" s="322">
        <v>0.44</v>
      </c>
      <c r="I618" s="322" t="s">
        <v>539</v>
      </c>
      <c r="J618" s="322">
        <v>42</v>
      </c>
      <c r="K618" s="322">
        <v>0.12</v>
      </c>
      <c r="L618" s="322">
        <v>100.28</v>
      </c>
      <c r="M618" s="322" t="s">
        <v>6</v>
      </c>
      <c r="N618" s="322" t="s">
        <v>368</v>
      </c>
      <c r="O618" s="322" t="s">
        <v>8</v>
      </c>
      <c r="P618" s="322" t="s">
        <v>392</v>
      </c>
      <c r="Q618" s="322" t="s">
        <v>51</v>
      </c>
      <c r="R618" s="322" t="s">
        <v>414</v>
      </c>
      <c r="S618" s="303">
        <f t="shared" si="10"/>
        <v>90918700.560000002</v>
      </c>
      <c r="T618" s="307">
        <f>+IFERROR(VLOOKUP(C618,'Tasas Diarias'!$B:$F,5,FALSE)*G618,0)</f>
        <v>-2.0943616438356035E-7</v>
      </c>
      <c r="U618" s="311" t="str">
        <f ca="1">+VLOOKUP(C618,Spreads!$A$2:$G$345,7,0)</f>
        <v/>
      </c>
    </row>
    <row r="619" spans="1:21" ht="15" hidden="1" customHeight="1" thickTop="1" thickBot="1">
      <c r="A619" s="321" t="s">
        <v>2137</v>
      </c>
      <c r="B619" s="322" t="s">
        <v>299</v>
      </c>
      <c r="C619" s="322" t="s">
        <v>22</v>
      </c>
      <c r="D619" s="322" t="s">
        <v>165</v>
      </c>
      <c r="E619" s="323">
        <v>1096301809</v>
      </c>
      <c r="F619" s="323">
        <v>1100000000</v>
      </c>
      <c r="G619" s="314">
        <v>1.7558000000000001E-2</v>
      </c>
      <c r="H619" s="324">
        <v>2.76</v>
      </c>
      <c r="I619" s="322" t="s">
        <v>1603</v>
      </c>
      <c r="J619" s="322">
        <v>43</v>
      </c>
      <c r="K619" s="322">
        <v>0.12</v>
      </c>
      <c r="L619" s="322">
        <v>99.663799999999995</v>
      </c>
      <c r="M619" s="322" t="s">
        <v>9</v>
      </c>
      <c r="N619" s="322" t="s">
        <v>374</v>
      </c>
      <c r="O619" s="322" t="s">
        <v>8</v>
      </c>
      <c r="P619" s="322" t="s">
        <v>375</v>
      </c>
      <c r="Q619" s="322" t="s">
        <v>74</v>
      </c>
      <c r="R619" s="322" t="s">
        <v>380</v>
      </c>
      <c r="S619" s="303">
        <f t="shared" si="10"/>
        <v>131556217.08</v>
      </c>
      <c r="T619" s="307">
        <f>+IFERROR(VLOOKUP(C619,'Tasas Diarias'!$B:$F,5,FALSE)*G619,0)</f>
        <v>0</v>
      </c>
      <c r="U619" s="311" t="str">
        <f>+VLOOKUP(C619,Spreads!$A$2:$G$345,7,0)</f>
        <v/>
      </c>
    </row>
    <row r="620" spans="1:21" ht="15" hidden="1" customHeight="1" thickTop="1" thickBot="1">
      <c r="A620" s="317" t="s">
        <v>2137</v>
      </c>
      <c r="B620" s="318" t="s">
        <v>299</v>
      </c>
      <c r="C620" s="318" t="s">
        <v>22</v>
      </c>
      <c r="D620" s="318" t="s">
        <v>23</v>
      </c>
      <c r="E620" s="319">
        <v>370566325</v>
      </c>
      <c r="F620" s="319">
        <v>371816369</v>
      </c>
      <c r="G620" s="314">
        <v>5.9350000000000002E-3</v>
      </c>
      <c r="H620" s="320">
        <v>2.76</v>
      </c>
      <c r="I620" s="318" t="s">
        <v>1603</v>
      </c>
      <c r="J620" s="318">
        <v>43</v>
      </c>
      <c r="K620" s="318">
        <v>0.12</v>
      </c>
      <c r="L620" s="318">
        <v>99.663799999999995</v>
      </c>
      <c r="M620" s="318" t="s">
        <v>9</v>
      </c>
      <c r="N620" s="318" t="s">
        <v>374</v>
      </c>
      <c r="O620" s="318" t="s">
        <v>8</v>
      </c>
      <c r="P620" s="318" t="s">
        <v>375</v>
      </c>
      <c r="Q620" s="318" t="s">
        <v>67</v>
      </c>
      <c r="R620" s="318" t="s">
        <v>376</v>
      </c>
      <c r="S620" s="303">
        <f t="shared" si="10"/>
        <v>44467959</v>
      </c>
      <c r="T620" s="307">
        <f>+IFERROR(VLOOKUP(C620,'Tasas Diarias'!$B:$F,5,FALSE)*G620,0)</f>
        <v>0</v>
      </c>
      <c r="U620" s="311" t="str">
        <f>+VLOOKUP(C620,Spreads!$A$2:$G$345,7,0)</f>
        <v/>
      </c>
    </row>
    <row r="621" spans="1:21" ht="15" hidden="1" customHeight="1" thickTop="1" thickBot="1">
      <c r="A621" s="317" t="s">
        <v>2137</v>
      </c>
      <c r="B621" s="318" t="s">
        <v>299</v>
      </c>
      <c r="C621" s="318" t="s">
        <v>22</v>
      </c>
      <c r="D621" s="318" t="s">
        <v>164</v>
      </c>
      <c r="E621" s="319">
        <v>996783711</v>
      </c>
      <c r="F621" s="319">
        <v>1000000000</v>
      </c>
      <c r="G621" s="314">
        <v>1.5963999999999999E-2</v>
      </c>
      <c r="H621" s="320">
        <v>2.64</v>
      </c>
      <c r="I621" s="318" t="s">
        <v>1603</v>
      </c>
      <c r="J621" s="318">
        <v>43</v>
      </c>
      <c r="K621" s="318">
        <v>0.12</v>
      </c>
      <c r="L621" s="318">
        <v>99.678370999999999</v>
      </c>
      <c r="M621" s="318" t="s">
        <v>9</v>
      </c>
      <c r="N621" s="318" t="s">
        <v>374</v>
      </c>
      <c r="O621" s="318" t="s">
        <v>8</v>
      </c>
      <c r="P621" s="318" t="s">
        <v>375</v>
      </c>
      <c r="Q621" s="318" t="s">
        <v>61</v>
      </c>
      <c r="R621" s="318" t="s">
        <v>384</v>
      </c>
      <c r="S621" s="303">
        <f t="shared" si="10"/>
        <v>119614045.31999999</v>
      </c>
      <c r="T621" s="307">
        <f>+IFERROR(VLOOKUP(C621,'Tasas Diarias'!$B:$F,5,FALSE)*G621,0)</f>
        <v>0</v>
      </c>
      <c r="U621" s="311" t="str">
        <f>+VLOOKUP(C621,Spreads!$A$2:$G$345,7,0)</f>
        <v/>
      </c>
    </row>
    <row r="622" spans="1:21" ht="15" hidden="1" customHeight="1" thickTop="1" thickBot="1">
      <c r="A622" s="317" t="s">
        <v>2137</v>
      </c>
      <c r="B622" s="318" t="s">
        <v>299</v>
      </c>
      <c r="C622" s="318" t="s">
        <v>22</v>
      </c>
      <c r="D622" s="318" t="s">
        <v>54</v>
      </c>
      <c r="E622" s="319">
        <v>298991402</v>
      </c>
      <c r="F622" s="319">
        <v>300000000</v>
      </c>
      <c r="G622" s="314">
        <v>4.7879999999999997E-3</v>
      </c>
      <c r="H622" s="320">
        <v>2.76</v>
      </c>
      <c r="I622" s="318" t="s">
        <v>1603</v>
      </c>
      <c r="J622" s="318">
        <v>43</v>
      </c>
      <c r="K622" s="318">
        <v>0.12</v>
      </c>
      <c r="L622" s="318">
        <v>99.663799999999995</v>
      </c>
      <c r="M622" s="318" t="s">
        <v>9</v>
      </c>
      <c r="N622" s="318" t="s">
        <v>374</v>
      </c>
      <c r="O622" s="318" t="s">
        <v>8</v>
      </c>
      <c r="P622" s="318" t="s">
        <v>375</v>
      </c>
      <c r="Q622" s="318" t="s">
        <v>390</v>
      </c>
      <c r="R622" s="318" t="s">
        <v>391</v>
      </c>
      <c r="S622" s="303">
        <f t="shared" si="10"/>
        <v>35878968.240000002</v>
      </c>
      <c r="T622" s="307">
        <f>+IFERROR(VLOOKUP(C622,'Tasas Diarias'!$B:$F,5,FALSE)*G622,0)</f>
        <v>0</v>
      </c>
      <c r="U622" s="311" t="str">
        <f>+VLOOKUP(C622,Spreads!$A$2:$G$345,7,0)</f>
        <v/>
      </c>
    </row>
    <row r="623" spans="1:21" ht="15" hidden="1" customHeight="1" thickTop="1" thickBot="1">
      <c r="A623" s="317" t="s">
        <v>2137</v>
      </c>
      <c r="B623" s="318" t="s">
        <v>299</v>
      </c>
      <c r="C623" s="318" t="s">
        <v>22</v>
      </c>
      <c r="D623" s="318" t="s">
        <v>54</v>
      </c>
      <c r="E623" s="319">
        <v>1575500847</v>
      </c>
      <c r="F623" s="319">
        <v>1580700000</v>
      </c>
      <c r="G623" s="314">
        <v>2.5232999999999998E-2</v>
      </c>
      <c r="H623" s="320">
        <v>2.64</v>
      </c>
      <c r="I623" s="318" t="s">
        <v>1441</v>
      </c>
      <c r="J623" s="318">
        <v>44</v>
      </c>
      <c r="K623" s="318">
        <v>0.12</v>
      </c>
      <c r="L623" s="318">
        <v>99.671085000000005</v>
      </c>
      <c r="M623" s="318" t="s">
        <v>9</v>
      </c>
      <c r="N623" s="318" t="s">
        <v>374</v>
      </c>
      <c r="O623" s="318" t="s">
        <v>8</v>
      </c>
      <c r="P623" s="318" t="s">
        <v>375</v>
      </c>
      <c r="Q623" s="318" t="s">
        <v>390</v>
      </c>
      <c r="R623" s="318" t="s">
        <v>391</v>
      </c>
      <c r="S623" s="303">
        <f t="shared" si="10"/>
        <v>189060101.63999999</v>
      </c>
      <c r="T623" s="307">
        <f>+IFERROR(VLOOKUP(C623,'Tasas Diarias'!$B:$F,5,FALSE)*G623,0)</f>
        <v>0</v>
      </c>
      <c r="U623" s="311" t="str">
        <f>+VLOOKUP(C623,Spreads!$A$2:$G$345,7,0)</f>
        <v/>
      </c>
    </row>
    <row r="624" spans="1:21" ht="15" hidden="1" customHeight="1" thickTop="1" thickBot="1">
      <c r="A624" s="321" t="s">
        <v>2137</v>
      </c>
      <c r="B624" s="322" t="s">
        <v>299</v>
      </c>
      <c r="C624" s="322" t="s">
        <v>22</v>
      </c>
      <c r="D624" s="322" t="s">
        <v>164</v>
      </c>
      <c r="E624" s="323">
        <v>299013256</v>
      </c>
      <c r="F624" s="323">
        <v>300000000</v>
      </c>
      <c r="G624" s="314">
        <v>4.7889999999999999E-3</v>
      </c>
      <c r="H624" s="324">
        <v>2.64</v>
      </c>
      <c r="I624" s="322" t="s">
        <v>1441</v>
      </c>
      <c r="J624" s="322">
        <v>44</v>
      </c>
      <c r="K624" s="322">
        <v>0.12</v>
      </c>
      <c r="L624" s="322">
        <v>99.671085000000005</v>
      </c>
      <c r="M624" s="322" t="s">
        <v>9</v>
      </c>
      <c r="N624" s="322" t="s">
        <v>374</v>
      </c>
      <c r="O624" s="322" t="s">
        <v>8</v>
      </c>
      <c r="P624" s="322" t="s">
        <v>375</v>
      </c>
      <c r="Q624" s="322" t="s">
        <v>61</v>
      </c>
      <c r="R624" s="322" t="s">
        <v>384</v>
      </c>
      <c r="S624" s="303">
        <f t="shared" si="10"/>
        <v>35881590.719999999</v>
      </c>
      <c r="T624" s="307">
        <f>+IFERROR(VLOOKUP(C624,'Tasas Diarias'!$B:$F,5,FALSE)*G624,0)</f>
        <v>0</v>
      </c>
      <c r="U624" s="311" t="str">
        <f>+VLOOKUP(C624,Spreads!$A$2:$G$345,7,0)</f>
        <v/>
      </c>
    </row>
    <row r="625" spans="1:21" ht="15" hidden="1" customHeight="1" thickTop="1" thickBot="1">
      <c r="A625" s="317" t="s">
        <v>2137</v>
      </c>
      <c r="B625" s="318" t="s">
        <v>299</v>
      </c>
      <c r="C625" s="318" t="s">
        <v>22</v>
      </c>
      <c r="D625" s="318" t="s">
        <v>1561</v>
      </c>
      <c r="E625" s="319">
        <v>1993123723</v>
      </c>
      <c r="F625" s="319">
        <v>2000000000</v>
      </c>
      <c r="G625" s="314">
        <v>3.1920999999999998E-2</v>
      </c>
      <c r="H625" s="318">
        <v>2.76</v>
      </c>
      <c r="I625" s="318" t="s">
        <v>1441</v>
      </c>
      <c r="J625" s="318">
        <v>44</v>
      </c>
      <c r="K625" s="318">
        <v>0.12</v>
      </c>
      <c r="L625" s="318">
        <v>99.656186000000005</v>
      </c>
      <c r="M625" s="318" t="s">
        <v>9</v>
      </c>
      <c r="N625" s="318" t="s">
        <v>374</v>
      </c>
      <c r="O625" s="318" t="s">
        <v>378</v>
      </c>
      <c r="P625" s="318" t="s">
        <v>375</v>
      </c>
      <c r="Q625" s="318" t="s">
        <v>1564</v>
      </c>
      <c r="R625" s="318" t="s">
        <v>1937</v>
      </c>
      <c r="S625" s="303">
        <f t="shared" si="10"/>
        <v>239174846.75999999</v>
      </c>
      <c r="T625" s="307">
        <f>+IFERROR(VLOOKUP(C625,'Tasas Diarias'!$B:$F,5,FALSE)*G625,0)</f>
        <v>0</v>
      </c>
      <c r="U625" s="311" t="str">
        <f>+VLOOKUP(C625,Spreads!$A$2:$G$345,7,0)</f>
        <v/>
      </c>
    </row>
    <row r="626" spans="1:21" ht="15" hidden="1" customHeight="1" thickTop="1" thickBot="1">
      <c r="A626" s="321" t="s">
        <v>2137</v>
      </c>
      <c r="B626" s="322" t="s">
        <v>299</v>
      </c>
      <c r="C626" s="322" t="s">
        <v>22</v>
      </c>
      <c r="D626" s="322" t="s">
        <v>167</v>
      </c>
      <c r="E626" s="323">
        <v>57681651</v>
      </c>
      <c r="F626" s="323">
        <v>57872000</v>
      </c>
      <c r="G626" s="314">
        <v>9.2299999999999999E-4</v>
      </c>
      <c r="H626" s="324">
        <v>2.64</v>
      </c>
      <c r="I626" s="322" t="s">
        <v>1441</v>
      </c>
      <c r="J626" s="322">
        <v>44</v>
      </c>
      <c r="K626" s="322">
        <v>0.12</v>
      </c>
      <c r="L626" s="322">
        <v>99.671086000000003</v>
      </c>
      <c r="M626" s="322" t="s">
        <v>9</v>
      </c>
      <c r="N626" s="322" t="s">
        <v>374</v>
      </c>
      <c r="O626" s="322" t="s">
        <v>8</v>
      </c>
      <c r="P626" s="322" t="s">
        <v>375</v>
      </c>
      <c r="Q626" s="322" t="s">
        <v>77</v>
      </c>
      <c r="R626" s="322" t="s">
        <v>400</v>
      </c>
      <c r="S626" s="303">
        <f t="shared" si="10"/>
        <v>6921798.1200000001</v>
      </c>
      <c r="T626" s="307">
        <f>+IFERROR(VLOOKUP(C626,'Tasas Diarias'!$B:$F,5,FALSE)*G626,0)</f>
        <v>0</v>
      </c>
      <c r="U626" s="311" t="str">
        <f>+VLOOKUP(C626,Spreads!$A$2:$G$345,7,0)</f>
        <v/>
      </c>
    </row>
    <row r="627" spans="1:21" ht="15" hidden="1" customHeight="1" thickTop="1" thickBot="1">
      <c r="A627" s="321" t="s">
        <v>2137</v>
      </c>
      <c r="B627" s="322" t="s">
        <v>299</v>
      </c>
      <c r="C627" s="322" t="s">
        <v>22</v>
      </c>
      <c r="D627" s="322" t="s">
        <v>70</v>
      </c>
      <c r="E627" s="323">
        <v>502253874</v>
      </c>
      <c r="F627" s="323">
        <v>503986650</v>
      </c>
      <c r="G627" s="314">
        <v>8.0440000000000008E-3</v>
      </c>
      <c r="H627" s="324">
        <v>2.76</v>
      </c>
      <c r="I627" s="322" t="s">
        <v>1441</v>
      </c>
      <c r="J627" s="322">
        <v>44</v>
      </c>
      <c r="K627" s="322">
        <v>0.12</v>
      </c>
      <c r="L627" s="322">
        <v>99.656186000000005</v>
      </c>
      <c r="M627" s="322" t="s">
        <v>9</v>
      </c>
      <c r="N627" s="322" t="s">
        <v>374</v>
      </c>
      <c r="O627" s="322" t="s">
        <v>8</v>
      </c>
      <c r="P627" s="322" t="s">
        <v>375</v>
      </c>
      <c r="Q627" s="322" t="s">
        <v>70</v>
      </c>
      <c r="R627" s="322" t="s">
        <v>383</v>
      </c>
      <c r="S627" s="303">
        <f t="shared" si="10"/>
        <v>60270464.879999995</v>
      </c>
      <c r="T627" s="307">
        <f>+IFERROR(VLOOKUP(C627,'Tasas Diarias'!$B:$F,5,FALSE)*G627,0)</f>
        <v>0</v>
      </c>
      <c r="U627" s="311" t="str">
        <f>+VLOOKUP(C627,Spreads!$A$2:$G$345,7,0)</f>
        <v/>
      </c>
    </row>
    <row r="628" spans="1:21" ht="15" hidden="1" customHeight="1" thickTop="1" thickBot="1">
      <c r="A628" s="321" t="s">
        <v>2137</v>
      </c>
      <c r="B628" s="322" t="s">
        <v>299</v>
      </c>
      <c r="C628" s="322" t="s">
        <v>22</v>
      </c>
      <c r="D628" s="322" t="s">
        <v>23</v>
      </c>
      <c r="E628" s="323">
        <v>19929715</v>
      </c>
      <c r="F628" s="323">
        <v>20000000</v>
      </c>
      <c r="G628" s="314">
        <v>3.19E-4</v>
      </c>
      <c r="H628" s="324">
        <v>2.76</v>
      </c>
      <c r="I628" s="322" t="s">
        <v>1514</v>
      </c>
      <c r="J628" s="322">
        <v>45</v>
      </c>
      <c r="K628" s="322">
        <v>0.13</v>
      </c>
      <c r="L628" s="322">
        <v>99.648574999999994</v>
      </c>
      <c r="M628" s="322" t="s">
        <v>9</v>
      </c>
      <c r="N628" s="322" t="s">
        <v>374</v>
      </c>
      <c r="O628" s="322" t="s">
        <v>8</v>
      </c>
      <c r="P628" s="322" t="s">
        <v>375</v>
      </c>
      <c r="Q628" s="322" t="s">
        <v>67</v>
      </c>
      <c r="R628" s="322" t="s">
        <v>376</v>
      </c>
      <c r="S628" s="303">
        <f t="shared" si="10"/>
        <v>2590862.9500000002</v>
      </c>
      <c r="T628" s="307">
        <f>+IFERROR(VLOOKUP(C628,'Tasas Diarias'!$B:$F,5,FALSE)*G628,0)</f>
        <v>0</v>
      </c>
      <c r="U628" s="311" t="str">
        <f>+VLOOKUP(C628,Spreads!$A$2:$G$345,7,0)</f>
        <v/>
      </c>
    </row>
    <row r="629" spans="1:21" ht="15" hidden="1" customHeight="1" thickTop="1" thickBot="1">
      <c r="A629" s="327" t="s">
        <v>2137</v>
      </c>
      <c r="B629" s="328" t="s">
        <v>299</v>
      </c>
      <c r="C629" s="328" t="s">
        <v>22</v>
      </c>
      <c r="D629" s="328" t="s">
        <v>164</v>
      </c>
      <c r="E629" s="328">
        <v>40385750</v>
      </c>
      <c r="F629" s="342">
        <v>40537600</v>
      </c>
      <c r="G629" s="332">
        <v>6.4599999999999998E-4</v>
      </c>
      <c r="H629" s="329">
        <v>2.88</v>
      </c>
      <c r="I629" s="328" t="s">
        <v>1560</v>
      </c>
      <c r="J629" s="328">
        <v>46</v>
      </c>
      <c r="K629" s="328">
        <v>0.13</v>
      </c>
      <c r="L629" s="328">
        <v>99.625409000000005</v>
      </c>
      <c r="M629" s="328" t="s">
        <v>9</v>
      </c>
      <c r="N629" s="328" t="s">
        <v>374</v>
      </c>
      <c r="O629" s="328" t="s">
        <v>8</v>
      </c>
      <c r="P629" s="328" t="s">
        <v>375</v>
      </c>
      <c r="Q629" s="328" t="s">
        <v>61</v>
      </c>
      <c r="R629" s="328" t="s">
        <v>384</v>
      </c>
      <c r="S629" s="303">
        <f t="shared" si="10"/>
        <v>5250147.5</v>
      </c>
      <c r="T629" s="307">
        <f>+IFERROR(VLOOKUP(C629,'Tasas Diarias'!$B:$F,5,FALSE)*G629,0)</f>
        <v>0</v>
      </c>
      <c r="U629" s="311" t="str">
        <f>+VLOOKUP(C629,Spreads!$A$2:$G$345,7,0)</f>
        <v/>
      </c>
    </row>
    <row r="630" spans="1:21" ht="15" hidden="1" customHeight="1" thickTop="1" thickBot="1">
      <c r="A630" s="317" t="s">
        <v>2137</v>
      </c>
      <c r="B630" s="318" t="s">
        <v>299</v>
      </c>
      <c r="C630" s="318" t="s">
        <v>22</v>
      </c>
      <c r="D630" s="318" t="s">
        <v>167</v>
      </c>
      <c r="E630" s="319">
        <v>372711397</v>
      </c>
      <c r="F630" s="319">
        <v>374054400</v>
      </c>
      <c r="G630" s="314">
        <v>5.9690000000000003E-3</v>
      </c>
      <c r="H630" s="320">
        <v>2.76</v>
      </c>
      <c r="I630" s="318" t="s">
        <v>1560</v>
      </c>
      <c r="J630" s="318">
        <v>46</v>
      </c>
      <c r="K630" s="318">
        <v>0.13</v>
      </c>
      <c r="L630" s="318">
        <v>99.640960000000007</v>
      </c>
      <c r="M630" s="318" t="s">
        <v>9</v>
      </c>
      <c r="N630" s="318" t="s">
        <v>374</v>
      </c>
      <c r="O630" s="318" t="s">
        <v>8</v>
      </c>
      <c r="P630" s="318" t="s">
        <v>375</v>
      </c>
      <c r="Q630" s="318" t="s">
        <v>77</v>
      </c>
      <c r="R630" s="318" t="s">
        <v>400</v>
      </c>
      <c r="S630" s="303">
        <f t="shared" si="10"/>
        <v>48452481.609999999</v>
      </c>
      <c r="T630" s="307">
        <f>+IFERROR(VLOOKUP(C630,'Tasas Diarias'!$B:$F,5,FALSE)*G630,0)</f>
        <v>0</v>
      </c>
      <c r="U630" s="311" t="str">
        <f>+VLOOKUP(C630,Spreads!$A$2:$G$345,7,0)</f>
        <v/>
      </c>
    </row>
    <row r="631" spans="1:21" ht="15" hidden="1" customHeight="1" thickTop="1" thickBot="1">
      <c r="A631" s="317" t="s">
        <v>2137</v>
      </c>
      <c r="B631" s="318" t="s">
        <v>299</v>
      </c>
      <c r="C631" s="318" t="s">
        <v>22</v>
      </c>
      <c r="D631" s="318" t="s">
        <v>54</v>
      </c>
      <c r="E631" s="319">
        <v>1395129014</v>
      </c>
      <c r="F631" s="319">
        <v>1400000000</v>
      </c>
      <c r="G631" s="314">
        <v>2.2343999999999999E-2</v>
      </c>
      <c r="H631" s="320">
        <v>2.7</v>
      </c>
      <c r="I631" s="318" t="s">
        <v>1560</v>
      </c>
      <c r="J631" s="318">
        <v>46</v>
      </c>
      <c r="K631" s="318">
        <v>0.13</v>
      </c>
      <c r="L631" s="318">
        <v>99.652072000000004</v>
      </c>
      <c r="M631" s="318" t="s">
        <v>9</v>
      </c>
      <c r="N631" s="318" t="s">
        <v>374</v>
      </c>
      <c r="O631" s="318" t="s">
        <v>8</v>
      </c>
      <c r="P631" s="318" t="s">
        <v>375</v>
      </c>
      <c r="Q631" s="318" t="s">
        <v>390</v>
      </c>
      <c r="R631" s="318" t="s">
        <v>391</v>
      </c>
      <c r="S631" s="303">
        <f t="shared" si="10"/>
        <v>181366771.81999999</v>
      </c>
      <c r="T631" s="307">
        <f>+IFERROR(VLOOKUP(C631,'Tasas Diarias'!$B:$F,5,FALSE)*G631,0)</f>
        <v>0</v>
      </c>
      <c r="U631" s="311" t="str">
        <f>+VLOOKUP(C631,Spreads!$A$2:$G$345,7,0)</f>
        <v/>
      </c>
    </row>
    <row r="632" spans="1:21" ht="15" hidden="1" customHeight="1" thickTop="1" thickBot="1">
      <c r="A632" s="321" t="s">
        <v>2137</v>
      </c>
      <c r="B632" s="322" t="s">
        <v>299</v>
      </c>
      <c r="C632" s="322" t="s">
        <v>22</v>
      </c>
      <c r="D632" s="322" t="s">
        <v>165</v>
      </c>
      <c r="E632" s="323">
        <v>3088071161</v>
      </c>
      <c r="F632" s="323">
        <v>3100000000</v>
      </c>
      <c r="G632" s="314">
        <v>4.9458000000000002E-2</v>
      </c>
      <c r="H632" s="324">
        <v>3.09</v>
      </c>
      <c r="I632" s="322" t="s">
        <v>1305</v>
      </c>
      <c r="J632" s="322">
        <v>49</v>
      </c>
      <c r="K632" s="322">
        <v>0.14000000000000001</v>
      </c>
      <c r="L632" s="322">
        <v>99.615198000000007</v>
      </c>
      <c r="M632" s="322" t="s">
        <v>9</v>
      </c>
      <c r="N632" s="322" t="s">
        <v>374</v>
      </c>
      <c r="O632" s="322" t="s">
        <v>8</v>
      </c>
      <c r="P632" s="322" t="s">
        <v>375</v>
      </c>
      <c r="Q632" s="322" t="s">
        <v>74</v>
      </c>
      <c r="R632" s="322" t="s">
        <v>380</v>
      </c>
      <c r="S632" s="303">
        <f t="shared" si="10"/>
        <v>432329962.54000002</v>
      </c>
      <c r="T632" s="307">
        <f>+IFERROR(VLOOKUP(C632,'Tasas Diarias'!$B:$F,5,FALSE)*G632,0)</f>
        <v>0</v>
      </c>
      <c r="U632" s="311" t="str">
        <f>+VLOOKUP(C632,Spreads!$A$2:$G$345,7,0)</f>
        <v/>
      </c>
    </row>
    <row r="633" spans="1:21" ht="15" hidden="1" customHeight="1" thickTop="1" thickBot="1">
      <c r="A633" s="317" t="s">
        <v>2137</v>
      </c>
      <c r="B633" s="318" t="s">
        <v>299</v>
      </c>
      <c r="C633" s="318" t="s">
        <v>22</v>
      </c>
      <c r="D633" s="318" t="s">
        <v>169</v>
      </c>
      <c r="E633" s="319">
        <v>99618130</v>
      </c>
      <c r="F633" s="319">
        <v>100000000</v>
      </c>
      <c r="G633" s="314">
        <v>1.5950000000000001E-3</v>
      </c>
      <c r="H633" s="320">
        <v>2.76</v>
      </c>
      <c r="I633" s="318" t="s">
        <v>1305</v>
      </c>
      <c r="J633" s="318">
        <v>49</v>
      </c>
      <c r="K633" s="318">
        <v>0.14000000000000001</v>
      </c>
      <c r="L633" s="318">
        <v>99.618129999999994</v>
      </c>
      <c r="M633" s="318" t="s">
        <v>9</v>
      </c>
      <c r="N633" s="318" t="s">
        <v>374</v>
      </c>
      <c r="O633" s="318" t="s">
        <v>8</v>
      </c>
      <c r="P633" s="318" t="s">
        <v>375</v>
      </c>
      <c r="Q633" s="318" t="s">
        <v>51</v>
      </c>
      <c r="R633" s="318" t="s">
        <v>385</v>
      </c>
      <c r="S633" s="303">
        <f t="shared" si="10"/>
        <v>13946538.200000001</v>
      </c>
      <c r="T633" s="307">
        <f>+IFERROR(VLOOKUP(C633,'Tasas Diarias'!$B:$F,5,FALSE)*G633,0)</f>
        <v>0</v>
      </c>
      <c r="U633" s="311" t="str">
        <f>+VLOOKUP(C633,Spreads!$A$2:$G$345,7,0)</f>
        <v/>
      </c>
    </row>
    <row r="634" spans="1:21" ht="15" hidden="1" customHeight="1" thickTop="1" thickBot="1">
      <c r="A634" s="327" t="s">
        <v>2137</v>
      </c>
      <c r="B634" s="328" t="s">
        <v>299</v>
      </c>
      <c r="C634" s="328" t="s">
        <v>22</v>
      </c>
      <c r="D634" s="328" t="s">
        <v>72</v>
      </c>
      <c r="E634" s="328">
        <v>398239780</v>
      </c>
      <c r="F634" s="328">
        <v>400000000</v>
      </c>
      <c r="G634" s="328">
        <v>6.378E-3</v>
      </c>
      <c r="H634" s="329">
        <v>3.12</v>
      </c>
      <c r="I634" s="328" t="s">
        <v>1543</v>
      </c>
      <c r="J634" s="328">
        <v>50</v>
      </c>
      <c r="K634" s="328">
        <v>0.14000000000000001</v>
      </c>
      <c r="L634" s="328">
        <v>99.559944999999999</v>
      </c>
      <c r="M634" s="328" t="s">
        <v>9</v>
      </c>
      <c r="N634" s="328" t="s">
        <v>374</v>
      </c>
      <c r="O634" s="328" t="s">
        <v>8</v>
      </c>
      <c r="P634" s="328" t="s">
        <v>296</v>
      </c>
      <c r="Q634" s="328" t="s">
        <v>325</v>
      </c>
      <c r="R634" s="328" t="s">
        <v>393</v>
      </c>
      <c r="S634" s="303">
        <f t="shared" si="10"/>
        <v>55753569.200000003</v>
      </c>
      <c r="T634" s="307">
        <f>+IFERROR(VLOOKUP(C634,'Tasas Diarias'!$B:$F,5,FALSE)*G634,0)</f>
        <v>0</v>
      </c>
      <c r="U634" s="311" t="str">
        <f>+VLOOKUP(C634,Spreads!$A$2:$G$345,7,0)</f>
        <v/>
      </c>
    </row>
    <row r="635" spans="1:21" ht="15" hidden="1" customHeight="1" thickTop="1" thickBot="1">
      <c r="A635" s="317" t="s">
        <v>2137</v>
      </c>
      <c r="B635" s="318" t="s">
        <v>299</v>
      </c>
      <c r="C635" s="318" t="s">
        <v>22</v>
      </c>
      <c r="D635" s="318" t="s">
        <v>167</v>
      </c>
      <c r="E635" s="319">
        <v>498018890</v>
      </c>
      <c r="F635" s="319">
        <v>500000000</v>
      </c>
      <c r="G635" s="314">
        <v>7.9760000000000005E-3</v>
      </c>
      <c r="H635" s="320">
        <v>2.88</v>
      </c>
      <c r="I635" s="318" t="s">
        <v>1543</v>
      </c>
      <c r="J635" s="318">
        <v>50</v>
      </c>
      <c r="K635" s="318">
        <v>0.14000000000000001</v>
      </c>
      <c r="L635" s="318">
        <v>99.603778000000005</v>
      </c>
      <c r="M635" s="318" t="s">
        <v>9</v>
      </c>
      <c r="N635" s="318" t="s">
        <v>374</v>
      </c>
      <c r="O635" s="318" t="s">
        <v>8</v>
      </c>
      <c r="P635" s="318" t="s">
        <v>375</v>
      </c>
      <c r="Q635" s="318" t="s">
        <v>77</v>
      </c>
      <c r="R635" s="318" t="s">
        <v>400</v>
      </c>
      <c r="S635" s="303">
        <f t="shared" si="10"/>
        <v>69722644.600000009</v>
      </c>
      <c r="T635" s="307">
        <f>+IFERROR(VLOOKUP(C635,'Tasas Diarias'!$B:$F,5,FALSE)*G635,0)</f>
        <v>0</v>
      </c>
      <c r="U635" s="311" t="str">
        <f>+VLOOKUP(C635,Spreads!$A$2:$G$345,7,0)</f>
        <v/>
      </c>
    </row>
    <row r="636" spans="1:21" ht="15" hidden="1" customHeight="1" thickTop="1" thickBot="1">
      <c r="A636" s="327" t="s">
        <v>2137</v>
      </c>
      <c r="B636" s="328" t="s">
        <v>299</v>
      </c>
      <c r="C636" s="328" t="s">
        <v>22</v>
      </c>
      <c r="D636" s="328" t="s">
        <v>70</v>
      </c>
      <c r="E636" s="328">
        <v>298831569</v>
      </c>
      <c r="F636" s="328">
        <v>300000000</v>
      </c>
      <c r="G636" s="328">
        <v>4.7860000000000003E-3</v>
      </c>
      <c r="H636" s="329">
        <v>2.76</v>
      </c>
      <c r="I636" s="328" t="s">
        <v>1543</v>
      </c>
      <c r="J636" s="328">
        <v>50</v>
      </c>
      <c r="K636" s="328">
        <v>0.14000000000000001</v>
      </c>
      <c r="L636" s="328">
        <v>99.610523000000001</v>
      </c>
      <c r="M636" s="328" t="s">
        <v>9</v>
      </c>
      <c r="N636" s="328" t="s">
        <v>374</v>
      </c>
      <c r="O636" s="328" t="s">
        <v>8</v>
      </c>
      <c r="P636" s="328" t="s">
        <v>375</v>
      </c>
      <c r="Q636" s="328" t="s">
        <v>70</v>
      </c>
      <c r="R636" s="328" t="s">
        <v>383</v>
      </c>
      <c r="S636" s="303">
        <f t="shared" si="10"/>
        <v>41836419.660000004</v>
      </c>
      <c r="T636" s="307">
        <f>+IFERROR(VLOOKUP(C636,'Tasas Diarias'!$B:$F,5,FALSE)*G636,0)</f>
        <v>0</v>
      </c>
      <c r="U636" s="311" t="str">
        <f>+VLOOKUP(C636,Spreads!$A$2:$G$345,7,0)</f>
        <v/>
      </c>
    </row>
    <row r="637" spans="1:21" ht="15" hidden="1" customHeight="1" thickTop="1" thickBot="1">
      <c r="A637" s="321" t="s">
        <v>2137</v>
      </c>
      <c r="B637" s="322" t="s">
        <v>299</v>
      </c>
      <c r="C637" s="322" t="s">
        <v>22</v>
      </c>
      <c r="D637" s="322" t="s">
        <v>54</v>
      </c>
      <c r="E637" s="323">
        <v>403422618</v>
      </c>
      <c r="F637" s="323">
        <v>405000000</v>
      </c>
      <c r="G637" s="314">
        <v>6.4609999999999997E-3</v>
      </c>
      <c r="H637" s="324">
        <v>2.76</v>
      </c>
      <c r="I637" s="322" t="s">
        <v>1543</v>
      </c>
      <c r="J637" s="322">
        <v>50</v>
      </c>
      <c r="K637" s="322">
        <v>0.14000000000000001</v>
      </c>
      <c r="L637" s="322">
        <v>99.610522000000003</v>
      </c>
      <c r="M637" s="322" t="s">
        <v>9</v>
      </c>
      <c r="N637" s="322" t="s">
        <v>374</v>
      </c>
      <c r="O637" s="322" t="s">
        <v>8</v>
      </c>
      <c r="P637" s="322" t="s">
        <v>375</v>
      </c>
      <c r="Q637" s="322" t="s">
        <v>390</v>
      </c>
      <c r="R637" s="322" t="s">
        <v>391</v>
      </c>
      <c r="S637" s="303">
        <f t="shared" si="10"/>
        <v>56479166.520000003</v>
      </c>
      <c r="T637" s="307">
        <f>+IFERROR(VLOOKUP(C637,'Tasas Diarias'!$B:$F,5,FALSE)*G637,0)</f>
        <v>0</v>
      </c>
      <c r="U637" s="311" t="str">
        <f>+VLOOKUP(C637,Spreads!$A$2:$G$345,7,0)</f>
        <v/>
      </c>
    </row>
    <row r="638" spans="1:21" ht="15" hidden="1" customHeight="1" thickTop="1" thickBot="1">
      <c r="A638" s="321" t="s">
        <v>2137</v>
      </c>
      <c r="B638" s="322" t="s">
        <v>299</v>
      </c>
      <c r="C638" s="322" t="s">
        <v>22</v>
      </c>
      <c r="D638" s="322" t="s">
        <v>55</v>
      </c>
      <c r="E638" s="323">
        <v>799872498</v>
      </c>
      <c r="F638" s="323">
        <v>803000000</v>
      </c>
      <c r="G638" s="314">
        <v>1.281E-2</v>
      </c>
      <c r="H638" s="324">
        <v>2.76</v>
      </c>
      <c r="I638" s="322" t="s">
        <v>1543</v>
      </c>
      <c r="J638" s="322">
        <v>50</v>
      </c>
      <c r="K638" s="322">
        <v>0.14000000000000001</v>
      </c>
      <c r="L638" s="322">
        <v>99.610522000000003</v>
      </c>
      <c r="M638" s="322" t="s">
        <v>9</v>
      </c>
      <c r="N638" s="322" t="s">
        <v>374</v>
      </c>
      <c r="O638" s="322" t="s">
        <v>8</v>
      </c>
      <c r="P638" s="322" t="s">
        <v>375</v>
      </c>
      <c r="Q638" s="322" t="s">
        <v>55</v>
      </c>
      <c r="R638" s="322" t="s">
        <v>386</v>
      </c>
      <c r="S638" s="303">
        <f t="shared" si="10"/>
        <v>111982149.72000001</v>
      </c>
      <c r="T638" s="307">
        <f>+IFERROR(VLOOKUP(C638,'Tasas Diarias'!$B:$F,5,FALSE)*G638,0)</f>
        <v>0</v>
      </c>
      <c r="U638" s="311" t="str">
        <f>+VLOOKUP(C638,Spreads!$A$2:$G$345,7,0)</f>
        <v/>
      </c>
    </row>
    <row r="639" spans="1:21" ht="15" hidden="1" customHeight="1" thickTop="1" thickBot="1">
      <c r="A639" s="321" t="s">
        <v>2137</v>
      </c>
      <c r="B639" s="322" t="s">
        <v>299</v>
      </c>
      <c r="C639" s="322" t="s">
        <v>22</v>
      </c>
      <c r="D639" s="322" t="s">
        <v>70</v>
      </c>
      <c r="E639" s="323">
        <v>338649916</v>
      </c>
      <c r="F639" s="323">
        <v>340000000</v>
      </c>
      <c r="G639" s="314">
        <v>5.4229999999999999E-3</v>
      </c>
      <c r="H639" s="324">
        <v>2.76</v>
      </c>
      <c r="I639" s="322" t="s">
        <v>1415</v>
      </c>
      <c r="J639" s="322">
        <v>51</v>
      </c>
      <c r="K639" s="322">
        <v>0.14000000000000001</v>
      </c>
      <c r="L639" s="322">
        <v>99.602915999999993</v>
      </c>
      <c r="M639" s="322" t="s">
        <v>9</v>
      </c>
      <c r="N639" s="322" t="s">
        <v>374</v>
      </c>
      <c r="O639" s="322" t="s">
        <v>8</v>
      </c>
      <c r="P639" s="322" t="s">
        <v>375</v>
      </c>
      <c r="Q639" s="322" t="s">
        <v>70</v>
      </c>
      <c r="R639" s="322" t="s">
        <v>383</v>
      </c>
      <c r="S639" s="303">
        <f t="shared" si="10"/>
        <v>47410988.240000002</v>
      </c>
      <c r="T639" s="307">
        <f>+IFERROR(VLOOKUP(C639,'Tasas Diarias'!$B:$F,5,FALSE)*G639,0)</f>
        <v>0</v>
      </c>
      <c r="U639" s="311" t="str">
        <f>+VLOOKUP(C639,Spreads!$A$2:$G$345,7,0)</f>
        <v/>
      </c>
    </row>
    <row r="640" spans="1:21" ht="15" hidden="1" customHeight="1" thickTop="1" thickBot="1">
      <c r="A640" s="317" t="s">
        <v>2137</v>
      </c>
      <c r="B640" s="318" t="s">
        <v>299</v>
      </c>
      <c r="C640" s="318" t="s">
        <v>22</v>
      </c>
      <c r="D640" s="318" t="s">
        <v>1430</v>
      </c>
      <c r="E640" s="319">
        <v>743489703</v>
      </c>
      <c r="F640" s="319">
        <v>747098106</v>
      </c>
      <c r="G640" s="314">
        <v>1.1906999999999999E-2</v>
      </c>
      <c r="H640" s="320">
        <v>3.36</v>
      </c>
      <c r="I640" s="318" t="s">
        <v>1415</v>
      </c>
      <c r="J640" s="318">
        <v>51</v>
      </c>
      <c r="K640" s="318">
        <v>0.14000000000000001</v>
      </c>
      <c r="L640" s="318">
        <v>99.517009999999999</v>
      </c>
      <c r="M640" s="318" t="s">
        <v>9</v>
      </c>
      <c r="N640" s="318" t="s">
        <v>374</v>
      </c>
      <c r="O640" s="318" t="s">
        <v>8</v>
      </c>
      <c r="P640" s="318" t="s">
        <v>375</v>
      </c>
      <c r="Q640" s="318" t="s">
        <v>1430</v>
      </c>
      <c r="R640" s="318" t="s">
        <v>1431</v>
      </c>
      <c r="S640" s="303">
        <f t="shared" si="10"/>
        <v>104088558.42000002</v>
      </c>
      <c r="T640" s="307">
        <f>+IFERROR(VLOOKUP(C640,'Tasas Diarias'!$B:$F,5,FALSE)*G640,0)</f>
        <v>0</v>
      </c>
      <c r="U640" s="311" t="str">
        <f>+VLOOKUP(C640,Spreads!$A$2:$G$345,7,0)</f>
        <v/>
      </c>
    </row>
    <row r="641" spans="1:21" ht="15" hidden="1" customHeight="1" thickTop="1" thickBot="1">
      <c r="A641" s="317" t="s">
        <v>2137</v>
      </c>
      <c r="B641" s="318" t="s">
        <v>299</v>
      </c>
      <c r="C641" s="318" t="s">
        <v>22</v>
      </c>
      <c r="D641" s="318" t="s">
        <v>23</v>
      </c>
      <c r="E641" s="319">
        <v>498100576</v>
      </c>
      <c r="F641" s="319">
        <v>500000000</v>
      </c>
      <c r="G641" s="314">
        <v>7.9769999999999997E-3</v>
      </c>
      <c r="H641" s="320">
        <v>2.64</v>
      </c>
      <c r="I641" s="318" t="s">
        <v>1415</v>
      </c>
      <c r="J641" s="318">
        <v>51</v>
      </c>
      <c r="K641" s="318">
        <v>0.14000000000000001</v>
      </c>
      <c r="L641" s="318">
        <v>99.620114999999998</v>
      </c>
      <c r="M641" s="318" t="s">
        <v>9</v>
      </c>
      <c r="N641" s="318" t="s">
        <v>374</v>
      </c>
      <c r="O641" s="318" t="s">
        <v>8</v>
      </c>
      <c r="P641" s="318" t="s">
        <v>375</v>
      </c>
      <c r="Q641" s="318" t="s">
        <v>67</v>
      </c>
      <c r="R641" s="318" t="s">
        <v>376</v>
      </c>
      <c r="S641" s="303">
        <f t="shared" si="10"/>
        <v>69734080.640000001</v>
      </c>
      <c r="T641" s="307">
        <f>+IFERROR(VLOOKUP(C641,'Tasas Diarias'!$B:$F,5,FALSE)*G641,0)</f>
        <v>0</v>
      </c>
      <c r="U641" s="311" t="str">
        <f>+VLOOKUP(C641,Spreads!$A$2:$G$345,7,0)</f>
        <v/>
      </c>
    </row>
    <row r="642" spans="1:21" ht="15" hidden="1" customHeight="1" thickTop="1" thickBot="1">
      <c r="A642" s="317" t="s">
        <v>2137</v>
      </c>
      <c r="B642" s="318" t="s">
        <v>299</v>
      </c>
      <c r="C642" s="318" t="s">
        <v>22</v>
      </c>
      <c r="D642" s="318" t="s">
        <v>72</v>
      </c>
      <c r="E642" s="319">
        <v>199120551</v>
      </c>
      <c r="F642" s="319">
        <v>200000000</v>
      </c>
      <c r="G642" s="314">
        <v>3.189E-3</v>
      </c>
      <c r="H642" s="320">
        <v>3</v>
      </c>
      <c r="I642" s="318" t="s">
        <v>1321</v>
      </c>
      <c r="J642" s="318">
        <v>52</v>
      </c>
      <c r="K642" s="318">
        <v>0.15</v>
      </c>
      <c r="L642" s="318">
        <v>99.560275000000004</v>
      </c>
      <c r="M642" s="318" t="s">
        <v>9</v>
      </c>
      <c r="N642" s="318" t="s">
        <v>374</v>
      </c>
      <c r="O642" s="318" t="s">
        <v>8</v>
      </c>
      <c r="P642" s="318" t="s">
        <v>296</v>
      </c>
      <c r="Q642" s="318" t="s">
        <v>325</v>
      </c>
      <c r="R642" s="318" t="s">
        <v>393</v>
      </c>
      <c r="S642" s="303">
        <f t="shared" si="10"/>
        <v>29868082.649999999</v>
      </c>
      <c r="T642" s="307">
        <f>+IFERROR(VLOOKUP(C642,'Tasas Diarias'!$B:$F,5,FALSE)*G642,0)</f>
        <v>0</v>
      </c>
      <c r="U642" s="311" t="str">
        <f>+VLOOKUP(C642,Spreads!$A$2:$G$345,7,0)</f>
        <v/>
      </c>
    </row>
    <row r="643" spans="1:21" ht="15" hidden="1" customHeight="1" thickTop="1" thickBot="1">
      <c r="A643" s="317" t="s">
        <v>2137</v>
      </c>
      <c r="B643" s="318" t="s">
        <v>299</v>
      </c>
      <c r="C643" s="318" t="s">
        <v>22</v>
      </c>
      <c r="D643" s="318" t="s">
        <v>165</v>
      </c>
      <c r="E643" s="319">
        <v>461893095</v>
      </c>
      <c r="F643" s="319">
        <v>463769921</v>
      </c>
      <c r="G643" s="314">
        <v>7.3969999999999999E-3</v>
      </c>
      <c r="H643" s="320">
        <v>2.76</v>
      </c>
      <c r="I643" s="318" t="s">
        <v>1321</v>
      </c>
      <c r="J643" s="318">
        <v>52</v>
      </c>
      <c r="K643" s="318">
        <v>0.15</v>
      </c>
      <c r="L643" s="318">
        <v>99.595309999999998</v>
      </c>
      <c r="M643" s="318" t="s">
        <v>9</v>
      </c>
      <c r="N643" s="318" t="s">
        <v>374</v>
      </c>
      <c r="O643" s="318" t="s">
        <v>8</v>
      </c>
      <c r="P643" s="318" t="s">
        <v>375</v>
      </c>
      <c r="Q643" s="318" t="s">
        <v>74</v>
      </c>
      <c r="R643" s="318" t="s">
        <v>380</v>
      </c>
      <c r="S643" s="303">
        <f t="shared" ref="S643:S706" si="11">+IFERROR(E643*K643,0)</f>
        <v>69283964.25</v>
      </c>
      <c r="T643" s="307">
        <f>+IFERROR(VLOOKUP(C643,'Tasas Diarias'!$B:$F,5,FALSE)*G643,0)</f>
        <v>0</v>
      </c>
      <c r="U643" s="311" t="str">
        <f>+VLOOKUP(C643,Spreads!$A$2:$G$345,7,0)</f>
        <v/>
      </c>
    </row>
    <row r="644" spans="1:21" ht="15" hidden="1" customHeight="1" thickTop="1" thickBot="1">
      <c r="A644" s="317" t="s">
        <v>2137</v>
      </c>
      <c r="B644" s="318" t="s">
        <v>299</v>
      </c>
      <c r="C644" s="318" t="s">
        <v>22</v>
      </c>
      <c r="D644" s="318" t="s">
        <v>164</v>
      </c>
      <c r="E644" s="319">
        <v>219117960</v>
      </c>
      <c r="F644" s="319">
        <v>220000000</v>
      </c>
      <c r="G644" s="314">
        <v>3.509E-3</v>
      </c>
      <c r="H644" s="320">
        <v>2.88</v>
      </c>
      <c r="I644" s="318" t="s">
        <v>1480</v>
      </c>
      <c r="J644" s="318">
        <v>53</v>
      </c>
      <c r="K644" s="318">
        <v>0.15</v>
      </c>
      <c r="L644" s="318">
        <v>99.599072000000007</v>
      </c>
      <c r="M644" s="318" t="s">
        <v>9</v>
      </c>
      <c r="N644" s="318" t="s">
        <v>374</v>
      </c>
      <c r="O644" s="318" t="s">
        <v>8</v>
      </c>
      <c r="P644" s="318" t="s">
        <v>375</v>
      </c>
      <c r="Q644" s="318" t="s">
        <v>61</v>
      </c>
      <c r="R644" s="318" t="s">
        <v>384</v>
      </c>
      <c r="S644" s="303">
        <f t="shared" si="11"/>
        <v>32867694</v>
      </c>
      <c r="T644" s="307">
        <f>+IFERROR(VLOOKUP(C644,'Tasas Diarias'!$B:$F,5,FALSE)*G644,0)</f>
        <v>0</v>
      </c>
      <c r="U644" s="311" t="str">
        <f>+VLOOKUP(C644,Spreads!$A$2:$G$345,7,0)</f>
        <v/>
      </c>
    </row>
    <row r="645" spans="1:21" ht="15" hidden="1" customHeight="1" thickTop="1" thickBot="1">
      <c r="A645" s="321" t="s">
        <v>2137</v>
      </c>
      <c r="B645" s="322" t="s">
        <v>299</v>
      </c>
      <c r="C645" s="322" t="s">
        <v>22</v>
      </c>
      <c r="D645" s="322" t="s">
        <v>164</v>
      </c>
      <c r="E645" s="323">
        <v>467964456</v>
      </c>
      <c r="F645" s="323">
        <v>470000000</v>
      </c>
      <c r="G645" s="314">
        <v>7.4939999999999998E-3</v>
      </c>
      <c r="H645" s="324">
        <v>2.72</v>
      </c>
      <c r="I645" s="322" t="s">
        <v>1434</v>
      </c>
      <c r="J645" s="322">
        <v>56</v>
      </c>
      <c r="K645" s="322">
        <v>0.16</v>
      </c>
      <c r="L645" s="322">
        <v>99.566905000000006</v>
      </c>
      <c r="M645" s="322" t="s">
        <v>9</v>
      </c>
      <c r="N645" s="322" t="s">
        <v>374</v>
      </c>
      <c r="O645" s="322" t="s">
        <v>8</v>
      </c>
      <c r="P645" s="322" t="s">
        <v>375</v>
      </c>
      <c r="Q645" s="322" t="s">
        <v>61</v>
      </c>
      <c r="R645" s="322" t="s">
        <v>384</v>
      </c>
      <c r="S645" s="303">
        <f t="shared" si="11"/>
        <v>74874312.960000008</v>
      </c>
      <c r="T645" s="307">
        <f>+IFERROR(VLOOKUP(C645,'Tasas Diarias'!$B:$F,5,FALSE)*G645,0)</f>
        <v>0</v>
      </c>
      <c r="U645" s="311" t="str">
        <f>+VLOOKUP(C645,Spreads!$A$2:$G$345,7,0)</f>
        <v/>
      </c>
    </row>
    <row r="646" spans="1:21" ht="15" hidden="1" customHeight="1" thickTop="1" thickBot="1">
      <c r="A646" s="317" t="s">
        <v>2137</v>
      </c>
      <c r="B646" s="318" t="s">
        <v>299</v>
      </c>
      <c r="C646" s="318" t="s">
        <v>22</v>
      </c>
      <c r="D646" s="318" t="s">
        <v>55</v>
      </c>
      <c r="E646" s="319">
        <v>274770422</v>
      </c>
      <c r="F646" s="319">
        <v>276065720</v>
      </c>
      <c r="G646" s="314">
        <v>4.4000000000000003E-3</v>
      </c>
      <c r="H646" s="320">
        <v>2.92</v>
      </c>
      <c r="I646" s="318" t="s">
        <v>1434</v>
      </c>
      <c r="J646" s="318">
        <v>56</v>
      </c>
      <c r="K646" s="318">
        <v>0.16</v>
      </c>
      <c r="L646" s="318">
        <v>99.530799999999999</v>
      </c>
      <c r="M646" s="318" t="s">
        <v>9</v>
      </c>
      <c r="N646" s="318" t="s">
        <v>374</v>
      </c>
      <c r="O646" s="318" t="s">
        <v>8</v>
      </c>
      <c r="P646" s="318" t="s">
        <v>375</v>
      </c>
      <c r="Q646" s="318" t="s">
        <v>55</v>
      </c>
      <c r="R646" s="318" t="s">
        <v>386</v>
      </c>
      <c r="S646" s="303">
        <f t="shared" si="11"/>
        <v>43963267.520000003</v>
      </c>
      <c r="T646" s="307">
        <f>+IFERROR(VLOOKUP(C646,'Tasas Diarias'!$B:$F,5,FALSE)*G646,0)</f>
        <v>0</v>
      </c>
      <c r="U646" s="311" t="str">
        <f>+VLOOKUP(C646,Spreads!$A$2:$G$345,7,0)</f>
        <v/>
      </c>
    </row>
    <row r="647" spans="1:21" ht="15" hidden="1" customHeight="1" thickTop="1" thickBot="1">
      <c r="A647" s="321" t="s">
        <v>2137</v>
      </c>
      <c r="B647" s="322" t="s">
        <v>299</v>
      </c>
      <c r="C647" s="322" t="s">
        <v>22</v>
      </c>
      <c r="D647" s="322" t="s">
        <v>165</v>
      </c>
      <c r="E647" s="323">
        <v>1194687622</v>
      </c>
      <c r="F647" s="323">
        <v>1200000000</v>
      </c>
      <c r="G647" s="314">
        <v>1.9134000000000002E-2</v>
      </c>
      <c r="H647" s="324">
        <v>2.76</v>
      </c>
      <c r="I647" s="322" t="s">
        <v>1299</v>
      </c>
      <c r="J647" s="322">
        <v>57</v>
      </c>
      <c r="K647" s="322">
        <v>0.16</v>
      </c>
      <c r="L647" s="322">
        <v>99.557300999999995</v>
      </c>
      <c r="M647" s="322" t="s">
        <v>9</v>
      </c>
      <c r="N647" s="322" t="s">
        <v>374</v>
      </c>
      <c r="O647" s="322" t="s">
        <v>8</v>
      </c>
      <c r="P647" s="322" t="s">
        <v>375</v>
      </c>
      <c r="Q647" s="322" t="s">
        <v>74</v>
      </c>
      <c r="R647" s="322" t="s">
        <v>380</v>
      </c>
      <c r="S647" s="303">
        <f t="shared" si="11"/>
        <v>191150019.52000001</v>
      </c>
      <c r="T647" s="307">
        <f>+IFERROR(VLOOKUP(C647,'Tasas Diarias'!$B:$F,5,FALSE)*G647,0)</f>
        <v>0</v>
      </c>
      <c r="U647" s="311" t="str">
        <f>+VLOOKUP(C647,Spreads!$A$2:$G$345,7,0)</f>
        <v/>
      </c>
    </row>
    <row r="648" spans="1:21" ht="15" hidden="1" customHeight="1" thickTop="1" thickBot="1">
      <c r="A648" s="317" t="s">
        <v>2137</v>
      </c>
      <c r="B648" s="318" t="s">
        <v>299</v>
      </c>
      <c r="C648" s="318" t="s">
        <v>22</v>
      </c>
      <c r="D648" s="318" t="s">
        <v>70</v>
      </c>
      <c r="E648" s="319">
        <v>1194687622</v>
      </c>
      <c r="F648" s="319">
        <v>1200000000</v>
      </c>
      <c r="G648" s="314">
        <v>1.9134000000000002E-2</v>
      </c>
      <c r="H648" s="320">
        <v>2.76</v>
      </c>
      <c r="I648" s="318" t="s">
        <v>1299</v>
      </c>
      <c r="J648" s="318">
        <v>57</v>
      </c>
      <c r="K648" s="318">
        <v>0.16</v>
      </c>
      <c r="L648" s="318">
        <v>99.557300999999995</v>
      </c>
      <c r="M648" s="318" t="s">
        <v>9</v>
      </c>
      <c r="N648" s="318" t="s">
        <v>374</v>
      </c>
      <c r="O648" s="318" t="s">
        <v>8</v>
      </c>
      <c r="P648" s="318" t="s">
        <v>375</v>
      </c>
      <c r="Q648" s="318" t="s">
        <v>70</v>
      </c>
      <c r="R648" s="318" t="s">
        <v>383</v>
      </c>
      <c r="S648" s="303">
        <f t="shared" si="11"/>
        <v>191150019.52000001</v>
      </c>
      <c r="T648" s="307">
        <f>+IFERROR(VLOOKUP(C648,'Tasas Diarias'!$B:$F,5,FALSE)*G648,0)</f>
        <v>0</v>
      </c>
      <c r="U648" s="311" t="str">
        <f>+VLOOKUP(C648,Spreads!$A$2:$G$345,7,0)</f>
        <v/>
      </c>
    </row>
    <row r="649" spans="1:21" ht="15" hidden="1" customHeight="1" thickTop="1" thickBot="1">
      <c r="A649" s="317" t="s">
        <v>2137</v>
      </c>
      <c r="B649" s="318" t="s">
        <v>299</v>
      </c>
      <c r="C649" s="318" t="s">
        <v>22</v>
      </c>
      <c r="D649" s="318" t="s">
        <v>72</v>
      </c>
      <c r="E649" s="319">
        <v>199021478</v>
      </c>
      <c r="F649" s="319">
        <v>200000000</v>
      </c>
      <c r="G649" s="314">
        <v>3.1870000000000002E-3</v>
      </c>
      <c r="H649" s="320">
        <v>3</v>
      </c>
      <c r="I649" s="318" t="s">
        <v>1453</v>
      </c>
      <c r="J649" s="318">
        <v>58</v>
      </c>
      <c r="K649" s="318">
        <v>0.16</v>
      </c>
      <c r="L649" s="318">
        <v>99.510739000000001</v>
      </c>
      <c r="M649" s="318" t="s">
        <v>9</v>
      </c>
      <c r="N649" s="318" t="s">
        <v>374</v>
      </c>
      <c r="O649" s="318" t="s">
        <v>8</v>
      </c>
      <c r="P649" s="318" t="s">
        <v>296</v>
      </c>
      <c r="Q649" s="318" t="s">
        <v>325</v>
      </c>
      <c r="R649" s="318" t="s">
        <v>393</v>
      </c>
      <c r="S649" s="303">
        <f t="shared" si="11"/>
        <v>31843436.48</v>
      </c>
      <c r="T649" s="307">
        <f>+IFERROR(VLOOKUP(C649,'Tasas Diarias'!$B:$F,5,FALSE)*G649,0)</f>
        <v>0</v>
      </c>
      <c r="U649" s="311" t="str">
        <f>+VLOOKUP(C649,Spreads!$A$2:$G$345,7,0)</f>
        <v/>
      </c>
    </row>
    <row r="650" spans="1:21" ht="15" hidden="1" customHeight="1" thickTop="1" thickBot="1">
      <c r="A650" s="317" t="s">
        <v>2137</v>
      </c>
      <c r="B650" s="318" t="s">
        <v>299</v>
      </c>
      <c r="C650" s="318" t="s">
        <v>22</v>
      </c>
      <c r="D650" s="318" t="s">
        <v>23</v>
      </c>
      <c r="E650" s="319">
        <v>29864911</v>
      </c>
      <c r="F650" s="319">
        <v>30000000</v>
      </c>
      <c r="G650" s="314">
        <v>4.7800000000000002E-4</v>
      </c>
      <c r="H650" s="320">
        <v>2.76</v>
      </c>
      <c r="I650" s="318" t="s">
        <v>1453</v>
      </c>
      <c r="J650" s="318">
        <v>58</v>
      </c>
      <c r="K650" s="318">
        <v>0.16</v>
      </c>
      <c r="L650" s="318">
        <v>99.549702999999994</v>
      </c>
      <c r="M650" s="318" t="s">
        <v>9</v>
      </c>
      <c r="N650" s="318" t="s">
        <v>374</v>
      </c>
      <c r="O650" s="318" t="s">
        <v>8</v>
      </c>
      <c r="P650" s="318" t="s">
        <v>375</v>
      </c>
      <c r="Q650" s="318" t="s">
        <v>67</v>
      </c>
      <c r="R650" s="318" t="s">
        <v>376</v>
      </c>
      <c r="S650" s="303">
        <f t="shared" si="11"/>
        <v>4778385.76</v>
      </c>
      <c r="T650" s="307">
        <f>+IFERROR(VLOOKUP(C650,'Tasas Diarias'!$B:$F,5,FALSE)*G650,0)</f>
        <v>0</v>
      </c>
      <c r="U650" s="311" t="str">
        <f>+VLOOKUP(C650,Spreads!$A$2:$G$345,7,0)</f>
        <v/>
      </c>
    </row>
    <row r="651" spans="1:21" ht="15" hidden="1" customHeight="1" thickTop="1" thickBot="1">
      <c r="A651" s="327" t="s">
        <v>2137</v>
      </c>
      <c r="B651" s="328" t="s">
        <v>299</v>
      </c>
      <c r="C651" s="328" t="s">
        <v>22</v>
      </c>
      <c r="D651" s="328" t="s">
        <v>165</v>
      </c>
      <c r="E651" s="328">
        <v>602976082</v>
      </c>
      <c r="F651" s="328">
        <v>605796000</v>
      </c>
      <c r="G651" s="328">
        <v>9.6570000000000007E-3</v>
      </c>
      <c r="H651" s="329">
        <v>2.76</v>
      </c>
      <c r="I651" s="328" t="s">
        <v>1449</v>
      </c>
      <c r="J651" s="328">
        <v>60</v>
      </c>
      <c r="K651" s="328">
        <v>0.17</v>
      </c>
      <c r="L651" s="328">
        <v>99.534509999999997</v>
      </c>
      <c r="M651" s="328" t="s">
        <v>9</v>
      </c>
      <c r="N651" s="328" t="s">
        <v>374</v>
      </c>
      <c r="O651" s="328" t="s">
        <v>8</v>
      </c>
      <c r="P651" s="328" t="s">
        <v>375</v>
      </c>
      <c r="Q651" s="328" t="s">
        <v>74</v>
      </c>
      <c r="R651" s="328" t="s">
        <v>380</v>
      </c>
      <c r="S651" s="303">
        <f t="shared" si="11"/>
        <v>102505933.94000001</v>
      </c>
      <c r="T651" s="307">
        <f>+IFERROR(VLOOKUP(C651,'Tasas Diarias'!$B:$F,5,FALSE)*G651,0)</f>
        <v>0</v>
      </c>
      <c r="U651" s="311" t="str">
        <f>+VLOOKUP(C651,Spreads!$A$2:$G$345,7,0)</f>
        <v/>
      </c>
    </row>
    <row r="652" spans="1:21" ht="15" hidden="1" customHeight="1" thickTop="1" thickBot="1">
      <c r="A652" s="317" t="s">
        <v>2137</v>
      </c>
      <c r="B652" s="318" t="s">
        <v>299</v>
      </c>
      <c r="C652" s="318" t="s">
        <v>22</v>
      </c>
      <c r="D652" s="318" t="s">
        <v>167</v>
      </c>
      <c r="E652" s="319">
        <v>248779323</v>
      </c>
      <c r="F652" s="319">
        <v>250000000</v>
      </c>
      <c r="G652" s="314">
        <v>3.9839999999999997E-3</v>
      </c>
      <c r="H652" s="318">
        <v>2.76</v>
      </c>
      <c r="I652" s="318" t="s">
        <v>2101</v>
      </c>
      <c r="J652" s="318">
        <v>63</v>
      </c>
      <c r="K652" s="318">
        <v>0.18</v>
      </c>
      <c r="L652" s="318">
        <v>99.511729000000003</v>
      </c>
      <c r="M652" s="318" t="s">
        <v>9</v>
      </c>
      <c r="N652" s="318" t="s">
        <v>374</v>
      </c>
      <c r="O652" s="318" t="s">
        <v>8</v>
      </c>
      <c r="P652" s="318" t="s">
        <v>375</v>
      </c>
      <c r="Q652" s="318" t="s">
        <v>77</v>
      </c>
      <c r="R652" s="318" t="s">
        <v>400</v>
      </c>
      <c r="S652" s="303">
        <f t="shared" si="11"/>
        <v>44780278.140000001</v>
      </c>
      <c r="T652" s="307">
        <f>+IFERROR(VLOOKUP(C652,'Tasas Diarias'!$B:$F,5,FALSE)*G652,0)</f>
        <v>0</v>
      </c>
      <c r="U652" s="311" t="str">
        <f>+VLOOKUP(C652,Spreads!$A$2:$G$345,7,0)</f>
        <v/>
      </c>
    </row>
    <row r="653" spans="1:21" ht="15" hidden="1" customHeight="1" thickTop="1" thickBot="1">
      <c r="A653" s="317" t="s">
        <v>2137</v>
      </c>
      <c r="B653" s="318" t="s">
        <v>299</v>
      </c>
      <c r="C653" s="318" t="s">
        <v>22</v>
      </c>
      <c r="D653" s="318" t="s">
        <v>171</v>
      </c>
      <c r="E653" s="319">
        <v>398016551</v>
      </c>
      <c r="F653" s="319">
        <v>400000000</v>
      </c>
      <c r="G653" s="314">
        <v>6.3740000000000003E-3</v>
      </c>
      <c r="H653" s="320">
        <v>2.76</v>
      </c>
      <c r="I653" s="318" t="s">
        <v>1569</v>
      </c>
      <c r="J653" s="318">
        <v>64</v>
      </c>
      <c r="K653" s="318">
        <v>0.18</v>
      </c>
      <c r="L653" s="318">
        <v>99.504137</v>
      </c>
      <c r="M653" s="318" t="s">
        <v>9</v>
      </c>
      <c r="N653" s="318" t="s">
        <v>374</v>
      </c>
      <c r="O653" s="318" t="s">
        <v>8</v>
      </c>
      <c r="P653" s="318" t="s">
        <v>375</v>
      </c>
      <c r="Q653" s="318" t="s">
        <v>88</v>
      </c>
      <c r="R653" s="318" t="s">
        <v>381</v>
      </c>
      <c r="S653" s="303">
        <f t="shared" si="11"/>
        <v>71642979.179999992</v>
      </c>
      <c r="T653" s="307">
        <f>+IFERROR(VLOOKUP(C653,'Tasas Diarias'!$B:$F,5,FALSE)*G653,0)</f>
        <v>0</v>
      </c>
      <c r="U653" s="311" t="str">
        <f>+VLOOKUP(C653,Spreads!$A$2:$G$345,7,0)</f>
        <v/>
      </c>
    </row>
    <row r="654" spans="1:21" ht="15" hidden="1" customHeight="1" thickTop="1" thickBot="1">
      <c r="A654" s="321" t="s">
        <v>2137</v>
      </c>
      <c r="B654" s="322" t="s">
        <v>299</v>
      </c>
      <c r="C654" s="322" t="s">
        <v>22</v>
      </c>
      <c r="D654" s="322" t="s">
        <v>167</v>
      </c>
      <c r="E654" s="323">
        <v>905148946</v>
      </c>
      <c r="F654" s="323">
        <v>909729000</v>
      </c>
      <c r="G654" s="314">
        <v>1.4496E-2</v>
      </c>
      <c r="H654" s="324">
        <v>2.76</v>
      </c>
      <c r="I654" s="322" t="s">
        <v>2125</v>
      </c>
      <c r="J654" s="322">
        <v>65</v>
      </c>
      <c r="K654" s="322">
        <v>0.18</v>
      </c>
      <c r="L654" s="322">
        <v>99.496547000000007</v>
      </c>
      <c r="M654" s="322" t="s">
        <v>9</v>
      </c>
      <c r="N654" s="322" t="s">
        <v>374</v>
      </c>
      <c r="O654" s="322" t="s">
        <v>8</v>
      </c>
      <c r="P654" s="322" t="s">
        <v>375</v>
      </c>
      <c r="Q654" s="322" t="s">
        <v>77</v>
      </c>
      <c r="R654" s="322" t="s">
        <v>400</v>
      </c>
      <c r="S654" s="303">
        <f t="shared" si="11"/>
        <v>162926810.28</v>
      </c>
      <c r="T654" s="307">
        <f>+IFERROR(VLOOKUP(C654,'Tasas Diarias'!$B:$F,5,FALSE)*G654,0)</f>
        <v>0</v>
      </c>
      <c r="U654" s="311" t="str">
        <f>+VLOOKUP(C654,Spreads!$A$2:$G$345,7,0)</f>
        <v/>
      </c>
    </row>
    <row r="655" spans="1:21" ht="15" hidden="1" customHeight="1" thickTop="1" thickBot="1">
      <c r="A655" s="321" t="s">
        <v>2137</v>
      </c>
      <c r="B655" s="322" t="s">
        <v>299</v>
      </c>
      <c r="C655" s="322" t="s">
        <v>22</v>
      </c>
      <c r="D655" s="322" t="s">
        <v>55</v>
      </c>
      <c r="E655" s="323">
        <v>2039368094</v>
      </c>
      <c r="F655" s="323">
        <v>2050000000</v>
      </c>
      <c r="G655" s="314">
        <v>3.2661999999999997E-2</v>
      </c>
      <c r="H655" s="324">
        <v>2.76</v>
      </c>
      <c r="I655" s="322" t="s">
        <v>1319</v>
      </c>
      <c r="J655" s="322">
        <v>67</v>
      </c>
      <c r="K655" s="322">
        <v>0.19</v>
      </c>
      <c r="L655" s="322">
        <v>99.481369999999998</v>
      </c>
      <c r="M655" s="322" t="s">
        <v>9</v>
      </c>
      <c r="N655" s="322" t="s">
        <v>374</v>
      </c>
      <c r="O655" s="322" t="s">
        <v>8</v>
      </c>
      <c r="P655" s="322" t="s">
        <v>375</v>
      </c>
      <c r="Q655" s="322" t="s">
        <v>55</v>
      </c>
      <c r="R655" s="322" t="s">
        <v>386</v>
      </c>
      <c r="S655" s="303">
        <f t="shared" si="11"/>
        <v>387479937.86000001</v>
      </c>
      <c r="T655" s="307">
        <f>+IFERROR(VLOOKUP(C655,'Tasas Diarias'!$B:$F,5,FALSE)*G655,0)</f>
        <v>0</v>
      </c>
      <c r="U655" s="311" t="str">
        <f>+VLOOKUP(C655,Spreads!$A$2:$G$345,7,0)</f>
        <v/>
      </c>
    </row>
    <row r="656" spans="1:21" ht="15" hidden="1" customHeight="1" thickTop="1" thickBot="1">
      <c r="A656" s="321" t="s">
        <v>2137</v>
      </c>
      <c r="B656" s="322" t="s">
        <v>299</v>
      </c>
      <c r="C656" s="322" t="s">
        <v>22</v>
      </c>
      <c r="D656" s="322" t="s">
        <v>55</v>
      </c>
      <c r="E656" s="323">
        <v>198870416</v>
      </c>
      <c r="F656" s="323">
        <v>200000000</v>
      </c>
      <c r="G656" s="314">
        <v>3.1849999999999999E-3</v>
      </c>
      <c r="H656" s="324">
        <v>2.88</v>
      </c>
      <c r="I656" s="322" t="s">
        <v>1306</v>
      </c>
      <c r="J656" s="322">
        <v>70</v>
      </c>
      <c r="K656" s="322">
        <v>0.19</v>
      </c>
      <c r="L656" s="322">
        <v>99.435208000000003</v>
      </c>
      <c r="M656" s="322" t="s">
        <v>9</v>
      </c>
      <c r="N656" s="322" t="s">
        <v>374</v>
      </c>
      <c r="O656" s="322" t="s">
        <v>8</v>
      </c>
      <c r="P656" s="322" t="s">
        <v>375</v>
      </c>
      <c r="Q656" s="322" t="s">
        <v>55</v>
      </c>
      <c r="R656" s="322" t="s">
        <v>386</v>
      </c>
      <c r="S656" s="303">
        <f t="shared" si="11"/>
        <v>37785379.039999999</v>
      </c>
      <c r="T656" s="307">
        <f>+IFERROR(VLOOKUP(C656,'Tasas Diarias'!$B:$F,5,FALSE)*G656,0)</f>
        <v>0</v>
      </c>
      <c r="U656" s="311" t="str">
        <f>+VLOOKUP(C656,Spreads!$A$2:$G$345,7,0)</f>
        <v/>
      </c>
    </row>
    <row r="657" spans="1:21" ht="15" hidden="1" customHeight="1" thickTop="1" thickBot="1">
      <c r="A657" s="317" t="s">
        <v>2137</v>
      </c>
      <c r="B657" s="318" t="s">
        <v>299</v>
      </c>
      <c r="C657" s="318" t="s">
        <v>22</v>
      </c>
      <c r="D657" s="318" t="s">
        <v>23</v>
      </c>
      <c r="E657" s="319">
        <v>89407526</v>
      </c>
      <c r="F657" s="319">
        <v>90000000</v>
      </c>
      <c r="G657" s="314">
        <v>1.431E-3</v>
      </c>
      <c r="H657" s="320">
        <v>3.36</v>
      </c>
      <c r="I657" s="318" t="s">
        <v>1306</v>
      </c>
      <c r="J657" s="318">
        <v>70</v>
      </c>
      <c r="K657" s="318">
        <v>0.19</v>
      </c>
      <c r="L657" s="318">
        <v>99.341695000000001</v>
      </c>
      <c r="M657" s="318" t="s">
        <v>9</v>
      </c>
      <c r="N657" s="318" t="s">
        <v>374</v>
      </c>
      <c r="O657" s="318" t="s">
        <v>8</v>
      </c>
      <c r="P657" s="318" t="s">
        <v>375</v>
      </c>
      <c r="Q657" s="318" t="s">
        <v>67</v>
      </c>
      <c r="R657" s="318" t="s">
        <v>376</v>
      </c>
      <c r="S657" s="303">
        <f t="shared" si="11"/>
        <v>16987429.940000001</v>
      </c>
      <c r="T657" s="307">
        <f>+IFERROR(VLOOKUP(C657,'Tasas Diarias'!$B:$F,5,FALSE)*G657,0)</f>
        <v>0</v>
      </c>
      <c r="U657" s="311" t="str">
        <f>+VLOOKUP(C657,Spreads!$A$2:$G$345,7,0)</f>
        <v/>
      </c>
    </row>
    <row r="658" spans="1:21" ht="15" hidden="1" customHeight="1" thickTop="1" thickBot="1">
      <c r="A658" s="321" t="s">
        <v>2137</v>
      </c>
      <c r="B658" s="322" t="s">
        <v>299</v>
      </c>
      <c r="C658" s="322" t="s">
        <v>22</v>
      </c>
      <c r="D658" s="322" t="s">
        <v>174</v>
      </c>
      <c r="E658" s="323">
        <v>99365057</v>
      </c>
      <c r="F658" s="323">
        <v>100000000</v>
      </c>
      <c r="G658" s="314">
        <v>1.591E-3</v>
      </c>
      <c r="H658" s="324">
        <v>3.24</v>
      </c>
      <c r="I658" s="322" t="s">
        <v>1306</v>
      </c>
      <c r="J658" s="322">
        <v>70</v>
      </c>
      <c r="K658" s="322">
        <v>0.19</v>
      </c>
      <c r="L658" s="322">
        <v>99.365056999999993</v>
      </c>
      <c r="M658" s="322" t="s">
        <v>9</v>
      </c>
      <c r="N658" s="322" t="s">
        <v>374</v>
      </c>
      <c r="O658" s="322" t="s">
        <v>8</v>
      </c>
      <c r="P658" s="322" t="s">
        <v>375</v>
      </c>
      <c r="Q658" s="322" t="s">
        <v>60</v>
      </c>
      <c r="R658" s="322" t="s">
        <v>408</v>
      </c>
      <c r="S658" s="303">
        <f t="shared" si="11"/>
        <v>18879360.830000002</v>
      </c>
      <c r="T658" s="307">
        <f>+IFERROR(VLOOKUP(C658,'Tasas Diarias'!$B:$F,5,FALSE)*G658,0)</f>
        <v>0</v>
      </c>
      <c r="U658" s="311" t="str">
        <f>+VLOOKUP(C658,Spreads!$A$2:$G$345,7,0)</f>
        <v/>
      </c>
    </row>
    <row r="659" spans="1:21" ht="15" hidden="1" customHeight="1" thickTop="1" thickBot="1">
      <c r="A659" s="321" t="s">
        <v>2137</v>
      </c>
      <c r="B659" s="322" t="s">
        <v>299</v>
      </c>
      <c r="C659" s="322" t="s">
        <v>22</v>
      </c>
      <c r="D659" s="322" t="s">
        <v>164</v>
      </c>
      <c r="E659" s="323">
        <v>497141437</v>
      </c>
      <c r="F659" s="323">
        <v>500000000</v>
      </c>
      <c r="G659" s="314">
        <v>7.9620000000000003E-3</v>
      </c>
      <c r="H659" s="324">
        <v>2.76</v>
      </c>
      <c r="I659" s="322" t="s">
        <v>1225</v>
      </c>
      <c r="J659" s="322">
        <v>74</v>
      </c>
      <c r="K659" s="322">
        <v>0.21</v>
      </c>
      <c r="L659" s="322">
        <v>99.428286999999997</v>
      </c>
      <c r="M659" s="322" t="s">
        <v>9</v>
      </c>
      <c r="N659" s="322" t="s">
        <v>374</v>
      </c>
      <c r="O659" s="322" t="s">
        <v>8</v>
      </c>
      <c r="P659" s="322" t="s">
        <v>375</v>
      </c>
      <c r="Q659" s="322" t="s">
        <v>61</v>
      </c>
      <c r="R659" s="322" t="s">
        <v>384</v>
      </c>
      <c r="S659" s="303">
        <f t="shared" si="11"/>
        <v>104399701.77</v>
      </c>
      <c r="T659" s="307">
        <f>+IFERROR(VLOOKUP(C659,'Tasas Diarias'!$B:$F,5,FALSE)*G659,0)</f>
        <v>0</v>
      </c>
      <c r="U659" s="311" t="str">
        <f>+VLOOKUP(C659,Spreads!$A$2:$G$345,7,0)</f>
        <v/>
      </c>
    </row>
    <row r="660" spans="1:21" ht="15" hidden="1" customHeight="1" thickTop="1" thickBot="1">
      <c r="A660" s="317" t="s">
        <v>2137</v>
      </c>
      <c r="B660" s="318" t="s">
        <v>299</v>
      </c>
      <c r="C660" s="318" t="s">
        <v>22</v>
      </c>
      <c r="D660" s="318" t="s">
        <v>23</v>
      </c>
      <c r="E660" s="319">
        <v>213836978</v>
      </c>
      <c r="F660" s="319">
        <v>215120000</v>
      </c>
      <c r="G660" s="314">
        <v>3.424E-3</v>
      </c>
      <c r="H660" s="320">
        <v>2.88</v>
      </c>
      <c r="I660" s="318" t="s">
        <v>1225</v>
      </c>
      <c r="J660" s="318">
        <v>74</v>
      </c>
      <c r="K660" s="318">
        <v>0.21</v>
      </c>
      <c r="L660" s="318">
        <v>99.403577999999996</v>
      </c>
      <c r="M660" s="318" t="s">
        <v>9</v>
      </c>
      <c r="N660" s="318" t="s">
        <v>374</v>
      </c>
      <c r="O660" s="318" t="s">
        <v>8</v>
      </c>
      <c r="P660" s="318" t="s">
        <v>375</v>
      </c>
      <c r="Q660" s="318" t="s">
        <v>67</v>
      </c>
      <c r="R660" s="318" t="s">
        <v>376</v>
      </c>
      <c r="S660" s="303">
        <f t="shared" si="11"/>
        <v>44905765.379999995</v>
      </c>
      <c r="T660" s="307">
        <f>+IFERROR(VLOOKUP(C660,'Tasas Diarias'!$B:$F,5,FALSE)*G660,0)</f>
        <v>0</v>
      </c>
      <c r="U660" s="311" t="str">
        <f>+VLOOKUP(C660,Spreads!$A$2:$G$345,7,0)</f>
        <v/>
      </c>
    </row>
    <row r="661" spans="1:21" ht="15" hidden="1" customHeight="1" thickTop="1" thickBot="1">
      <c r="A661" s="327" t="s">
        <v>2137</v>
      </c>
      <c r="B661" s="328" t="s">
        <v>299</v>
      </c>
      <c r="C661" s="328" t="s">
        <v>22</v>
      </c>
      <c r="D661" s="328" t="s">
        <v>72</v>
      </c>
      <c r="E661" s="328">
        <v>253002921</v>
      </c>
      <c r="F661" s="331">
        <v>254878400</v>
      </c>
      <c r="G661" s="328">
        <v>4.052E-3</v>
      </c>
      <c r="H661" s="329">
        <v>3.36</v>
      </c>
      <c r="I661" s="328" t="s">
        <v>1225</v>
      </c>
      <c r="J661" s="328">
        <v>74</v>
      </c>
      <c r="K661" s="328">
        <v>0.21</v>
      </c>
      <c r="L661" s="328">
        <v>99.264167</v>
      </c>
      <c r="M661" s="328" t="s">
        <v>9</v>
      </c>
      <c r="N661" s="328" t="s">
        <v>374</v>
      </c>
      <c r="O661" s="328" t="s">
        <v>8</v>
      </c>
      <c r="P661" s="328" t="s">
        <v>296</v>
      </c>
      <c r="Q661" s="328" t="s">
        <v>325</v>
      </c>
      <c r="R661" s="328" t="s">
        <v>393</v>
      </c>
      <c r="S661" s="303">
        <f t="shared" si="11"/>
        <v>53130613.409999996</v>
      </c>
      <c r="T661" s="307">
        <f>+IFERROR(VLOOKUP(C661,'Tasas Diarias'!$B:$F,5,FALSE)*G661,0)</f>
        <v>0</v>
      </c>
      <c r="U661" s="311" t="str">
        <f>+VLOOKUP(C661,Spreads!$A$2:$G$345,7,0)</f>
        <v/>
      </c>
    </row>
    <row r="662" spans="1:21" ht="15" hidden="1" customHeight="1" thickTop="1" thickBot="1">
      <c r="A662" s="317" t="s">
        <v>2137</v>
      </c>
      <c r="B662" s="318" t="s">
        <v>299</v>
      </c>
      <c r="C662" s="318" t="s">
        <v>22</v>
      </c>
      <c r="D662" s="318" t="s">
        <v>55</v>
      </c>
      <c r="E662" s="319">
        <v>107157058</v>
      </c>
      <c r="F662" s="319">
        <v>107800000</v>
      </c>
      <c r="G662" s="314">
        <v>1.7160000000000001E-3</v>
      </c>
      <c r="H662" s="320">
        <v>2.88</v>
      </c>
      <c r="I662" s="318" t="s">
        <v>1225</v>
      </c>
      <c r="J662" s="318">
        <v>74</v>
      </c>
      <c r="K662" s="318">
        <v>0.21</v>
      </c>
      <c r="L662" s="318">
        <v>99.403577999999996</v>
      </c>
      <c r="M662" s="318" t="s">
        <v>9</v>
      </c>
      <c r="N662" s="318" t="s">
        <v>374</v>
      </c>
      <c r="O662" s="318" t="s">
        <v>8</v>
      </c>
      <c r="P662" s="318" t="s">
        <v>375</v>
      </c>
      <c r="Q662" s="318" t="s">
        <v>55</v>
      </c>
      <c r="R662" s="318" t="s">
        <v>386</v>
      </c>
      <c r="S662" s="303">
        <f t="shared" si="11"/>
        <v>22502982.18</v>
      </c>
      <c r="T662" s="307">
        <f>+IFERROR(VLOOKUP(C662,'Tasas Diarias'!$B:$F,5,FALSE)*G662,0)</f>
        <v>0</v>
      </c>
      <c r="U662" s="311" t="str">
        <f>+VLOOKUP(C662,Spreads!$A$2:$G$345,7,0)</f>
        <v/>
      </c>
    </row>
    <row r="663" spans="1:21" ht="15" hidden="1" customHeight="1" thickTop="1" thickBot="1">
      <c r="A663" s="317" t="s">
        <v>2137</v>
      </c>
      <c r="B663" s="318" t="s">
        <v>299</v>
      </c>
      <c r="C663" s="318" t="s">
        <v>22</v>
      </c>
      <c r="D663" s="318" t="s">
        <v>55</v>
      </c>
      <c r="E663" s="319">
        <v>99251643</v>
      </c>
      <c r="F663" s="319">
        <v>100000000</v>
      </c>
      <c r="G663" s="314">
        <v>1.5889999999999999E-3</v>
      </c>
      <c r="H663" s="320">
        <v>3.48</v>
      </c>
      <c r="I663" s="318" t="s">
        <v>1264</v>
      </c>
      <c r="J663" s="318">
        <v>77</v>
      </c>
      <c r="K663" s="318">
        <v>0.21</v>
      </c>
      <c r="L663" s="318">
        <v>99.251643000000001</v>
      </c>
      <c r="M663" s="318" t="s">
        <v>9</v>
      </c>
      <c r="N663" s="318" t="s">
        <v>374</v>
      </c>
      <c r="O663" s="318" t="s">
        <v>8</v>
      </c>
      <c r="P663" s="318" t="s">
        <v>375</v>
      </c>
      <c r="Q663" s="318" t="s">
        <v>55</v>
      </c>
      <c r="R663" s="318" t="s">
        <v>386</v>
      </c>
      <c r="S663" s="303">
        <f t="shared" si="11"/>
        <v>20842845.029999997</v>
      </c>
      <c r="T663" s="307">
        <f>+IFERROR(VLOOKUP(C663,'Tasas Diarias'!$B:$F,5,FALSE)*G663,0)</f>
        <v>0</v>
      </c>
      <c r="U663" s="311" t="str">
        <f>+VLOOKUP(C663,Spreads!$A$2:$G$345,7,0)</f>
        <v/>
      </c>
    </row>
    <row r="664" spans="1:21" ht="15" hidden="1" customHeight="1" thickTop="1" thickBot="1">
      <c r="A664" s="317" t="s">
        <v>2137</v>
      </c>
      <c r="B664" s="318" t="s">
        <v>299</v>
      </c>
      <c r="C664" s="318" t="s">
        <v>22</v>
      </c>
      <c r="D664" s="318" t="s">
        <v>164</v>
      </c>
      <c r="E664" s="319">
        <v>99405555</v>
      </c>
      <c r="F664" s="319">
        <v>100000000</v>
      </c>
      <c r="G664" s="314">
        <v>1.5920000000000001E-3</v>
      </c>
      <c r="H664" s="320">
        <v>2.76</v>
      </c>
      <c r="I664" s="318" t="s">
        <v>1264</v>
      </c>
      <c r="J664" s="318">
        <v>77</v>
      </c>
      <c r="K664" s="318">
        <v>0.21</v>
      </c>
      <c r="L664" s="318">
        <v>99.405555000000007</v>
      </c>
      <c r="M664" s="318" t="s">
        <v>9</v>
      </c>
      <c r="N664" s="318" t="s">
        <v>374</v>
      </c>
      <c r="O664" s="318" t="s">
        <v>8</v>
      </c>
      <c r="P664" s="318" t="s">
        <v>375</v>
      </c>
      <c r="Q664" s="318" t="s">
        <v>61</v>
      </c>
      <c r="R664" s="318" t="s">
        <v>384</v>
      </c>
      <c r="S664" s="303">
        <f t="shared" si="11"/>
        <v>20875166.550000001</v>
      </c>
      <c r="T664" s="307">
        <f>+IFERROR(VLOOKUP(C664,'Tasas Diarias'!$B:$F,5,FALSE)*G664,0)</f>
        <v>0</v>
      </c>
      <c r="U664" s="311" t="str">
        <f>+VLOOKUP(C664,Spreads!$A$2:$G$345,7,0)</f>
        <v/>
      </c>
    </row>
    <row r="665" spans="1:21" ht="15" hidden="1" customHeight="1" thickTop="1" thickBot="1">
      <c r="A665" s="327" t="s">
        <v>2137</v>
      </c>
      <c r="B665" s="328" t="s">
        <v>299</v>
      </c>
      <c r="C665" s="328" t="s">
        <v>22</v>
      </c>
      <c r="D665" s="328" t="s">
        <v>70</v>
      </c>
      <c r="E665" s="328">
        <v>298115907</v>
      </c>
      <c r="F665" s="328">
        <v>300000000</v>
      </c>
      <c r="G665" s="328">
        <v>4.7739999999999996E-3</v>
      </c>
      <c r="H665" s="329">
        <v>2.88</v>
      </c>
      <c r="I665" s="328" t="s">
        <v>1289</v>
      </c>
      <c r="J665" s="328">
        <v>78</v>
      </c>
      <c r="K665" s="328">
        <v>0.22</v>
      </c>
      <c r="L665" s="328">
        <v>99.371969000000007</v>
      </c>
      <c r="M665" s="328" t="s">
        <v>9</v>
      </c>
      <c r="N665" s="328" t="s">
        <v>374</v>
      </c>
      <c r="O665" s="328" t="s">
        <v>8</v>
      </c>
      <c r="P665" s="328" t="s">
        <v>375</v>
      </c>
      <c r="Q665" s="328" t="s">
        <v>70</v>
      </c>
      <c r="R665" s="328" t="s">
        <v>383</v>
      </c>
      <c r="S665" s="303">
        <f t="shared" si="11"/>
        <v>65585499.539999999</v>
      </c>
      <c r="T665" s="307">
        <f>+IFERROR(VLOOKUP(C665,'Tasas Diarias'!$B:$F,5,FALSE)*G665,0)</f>
        <v>0</v>
      </c>
      <c r="U665" s="311" t="str">
        <f>+VLOOKUP(C665,Spreads!$A$2:$G$345,7,0)</f>
        <v/>
      </c>
    </row>
    <row r="666" spans="1:21" ht="15" hidden="1" customHeight="1" thickTop="1" thickBot="1">
      <c r="A666" s="317" t="s">
        <v>2137</v>
      </c>
      <c r="B666" s="318" t="s">
        <v>299</v>
      </c>
      <c r="C666" s="318" t="s">
        <v>22</v>
      </c>
      <c r="D666" s="318" t="s">
        <v>55</v>
      </c>
      <c r="E666" s="319">
        <v>149057954</v>
      </c>
      <c r="F666" s="319">
        <v>150000000</v>
      </c>
      <c r="G666" s="314">
        <v>2.3869999999999998E-3</v>
      </c>
      <c r="H666" s="320">
        <v>2.88</v>
      </c>
      <c r="I666" s="318" t="s">
        <v>1289</v>
      </c>
      <c r="J666" s="318">
        <v>78</v>
      </c>
      <c r="K666" s="318">
        <v>0.22</v>
      </c>
      <c r="L666" s="318">
        <v>99.371969000000007</v>
      </c>
      <c r="M666" s="318" t="s">
        <v>9</v>
      </c>
      <c r="N666" s="318" t="s">
        <v>374</v>
      </c>
      <c r="O666" s="318" t="s">
        <v>8</v>
      </c>
      <c r="P666" s="318" t="s">
        <v>375</v>
      </c>
      <c r="Q666" s="318" t="s">
        <v>55</v>
      </c>
      <c r="R666" s="318" t="s">
        <v>386</v>
      </c>
      <c r="S666" s="303">
        <f t="shared" si="11"/>
        <v>32792749.879999999</v>
      </c>
      <c r="T666" s="307">
        <f>+IFERROR(VLOOKUP(C666,'Tasas Diarias'!$B:$F,5,FALSE)*G666,0)</f>
        <v>0</v>
      </c>
      <c r="U666" s="311" t="str">
        <f>+VLOOKUP(C666,Spreads!$A$2:$G$345,7,0)</f>
        <v/>
      </c>
    </row>
    <row r="667" spans="1:21" ht="15" hidden="1" customHeight="1" thickTop="1" thickBot="1">
      <c r="A667" s="321" t="s">
        <v>2137</v>
      </c>
      <c r="B667" s="322" t="s">
        <v>299</v>
      </c>
      <c r="C667" s="322" t="s">
        <v>22</v>
      </c>
      <c r="D667" s="322" t="s">
        <v>55</v>
      </c>
      <c r="E667" s="323">
        <v>298125783</v>
      </c>
      <c r="F667" s="323">
        <v>300000000</v>
      </c>
      <c r="G667" s="314">
        <v>4.7739999999999996E-3</v>
      </c>
      <c r="H667" s="324">
        <v>2.76</v>
      </c>
      <c r="I667" s="322" t="s">
        <v>2148</v>
      </c>
      <c r="J667" s="322">
        <v>81</v>
      </c>
      <c r="K667" s="322">
        <v>0.22</v>
      </c>
      <c r="L667" s="322">
        <v>99.375260999999995</v>
      </c>
      <c r="M667" s="322" t="s">
        <v>9</v>
      </c>
      <c r="N667" s="322" t="s">
        <v>374</v>
      </c>
      <c r="O667" s="322" t="s">
        <v>8</v>
      </c>
      <c r="P667" s="322" t="s">
        <v>375</v>
      </c>
      <c r="Q667" s="322" t="s">
        <v>55</v>
      </c>
      <c r="R667" s="322" t="s">
        <v>386</v>
      </c>
      <c r="S667" s="303">
        <f t="shared" si="11"/>
        <v>65587672.259999998</v>
      </c>
      <c r="T667" s="307">
        <f>+IFERROR(VLOOKUP(C667,'Tasas Diarias'!$B:$F,5,FALSE)*G667,0)</f>
        <v>0</v>
      </c>
      <c r="U667" s="311" t="str">
        <f>+VLOOKUP(C667,Spreads!$A$2:$G$345,7,0)</f>
        <v/>
      </c>
    </row>
    <row r="668" spans="1:21" ht="15" hidden="1" customHeight="1" thickTop="1" thickBot="1">
      <c r="A668" s="321" t="s">
        <v>2137</v>
      </c>
      <c r="B668" s="322" t="s">
        <v>299</v>
      </c>
      <c r="C668" s="322" t="s">
        <v>22</v>
      </c>
      <c r="D668" s="322" t="s">
        <v>167</v>
      </c>
      <c r="E668" s="323">
        <v>29788995</v>
      </c>
      <c r="F668" s="323">
        <v>30000000</v>
      </c>
      <c r="G668" s="314">
        <v>4.7699999999999999E-4</v>
      </c>
      <c r="H668" s="324">
        <v>3</v>
      </c>
      <c r="I668" s="322" t="s">
        <v>1604</v>
      </c>
      <c r="J668" s="322">
        <v>84</v>
      </c>
      <c r="K668" s="322">
        <v>0.23</v>
      </c>
      <c r="L668" s="322">
        <v>99.29665</v>
      </c>
      <c r="M668" s="322" t="s">
        <v>9</v>
      </c>
      <c r="N668" s="322" t="s">
        <v>374</v>
      </c>
      <c r="O668" s="322" t="s">
        <v>8</v>
      </c>
      <c r="P668" s="322" t="s">
        <v>375</v>
      </c>
      <c r="Q668" s="322" t="s">
        <v>77</v>
      </c>
      <c r="R668" s="322" t="s">
        <v>400</v>
      </c>
      <c r="S668" s="303">
        <f t="shared" si="11"/>
        <v>6851468.8500000006</v>
      </c>
      <c r="T668" s="307">
        <f>+IFERROR(VLOOKUP(C668,'Tasas Diarias'!$B:$F,5,FALSE)*G668,0)</f>
        <v>0</v>
      </c>
      <c r="U668" s="311" t="str">
        <f>+VLOOKUP(C668,Spreads!$A$2:$G$345,7,0)</f>
        <v/>
      </c>
    </row>
    <row r="669" spans="1:21" ht="15.75" hidden="1" thickTop="1">
      <c r="A669" s="321" t="s">
        <v>2137</v>
      </c>
      <c r="B669" s="322" t="s">
        <v>299</v>
      </c>
      <c r="C669" s="322" t="s">
        <v>22</v>
      </c>
      <c r="D669" s="322" t="s">
        <v>23</v>
      </c>
      <c r="E669" s="323">
        <v>297973779</v>
      </c>
      <c r="F669" s="323">
        <v>300000000</v>
      </c>
      <c r="G669" s="314">
        <v>4.7720000000000002E-3</v>
      </c>
      <c r="H669" s="324">
        <v>2.88</v>
      </c>
      <c r="I669" s="322" t="s">
        <v>1604</v>
      </c>
      <c r="J669" s="322">
        <v>84</v>
      </c>
      <c r="K669" s="322">
        <v>0.23</v>
      </c>
      <c r="L669" s="322">
        <v>99.324592999999993</v>
      </c>
      <c r="M669" s="322" t="s">
        <v>9</v>
      </c>
      <c r="N669" s="322" t="s">
        <v>374</v>
      </c>
      <c r="O669" s="322" t="s">
        <v>8</v>
      </c>
      <c r="P669" s="322" t="s">
        <v>375</v>
      </c>
      <c r="Q669" s="322" t="s">
        <v>67</v>
      </c>
      <c r="R669" s="322" t="s">
        <v>376</v>
      </c>
      <c r="S669" s="303">
        <f t="shared" si="11"/>
        <v>68533969.170000002</v>
      </c>
      <c r="T669" s="307">
        <f>+IFERROR(VLOOKUP(C669,'Tasas Diarias'!$B:$F,5,FALSE)*G669,0)</f>
        <v>0</v>
      </c>
      <c r="U669" s="311" t="str">
        <f>+VLOOKUP(C669,Spreads!$A$2:$G$345,7,0)</f>
        <v/>
      </c>
    </row>
    <row r="670" spans="1:21" ht="15" hidden="1" customHeight="1" thickTop="1" thickBot="1">
      <c r="A670" s="321" t="s">
        <v>2137</v>
      </c>
      <c r="B670" s="322" t="s">
        <v>299</v>
      </c>
      <c r="C670" s="322" t="s">
        <v>22</v>
      </c>
      <c r="D670" s="322" t="s">
        <v>305</v>
      </c>
      <c r="E670" s="323">
        <v>298012258</v>
      </c>
      <c r="F670" s="323">
        <v>300000000</v>
      </c>
      <c r="G670" s="314">
        <v>4.7720000000000002E-3</v>
      </c>
      <c r="H670" s="324">
        <v>2.76</v>
      </c>
      <c r="I670" s="322" t="s">
        <v>1938</v>
      </c>
      <c r="J670" s="322">
        <v>86</v>
      </c>
      <c r="K670" s="322">
        <v>0.24</v>
      </c>
      <c r="L670" s="322">
        <v>99.337418999999997</v>
      </c>
      <c r="M670" s="322" t="s">
        <v>9</v>
      </c>
      <c r="N670" s="322" t="s">
        <v>374</v>
      </c>
      <c r="O670" s="322" t="s">
        <v>8</v>
      </c>
      <c r="P670" s="322" t="s">
        <v>375</v>
      </c>
      <c r="Q670" s="322" t="s">
        <v>326</v>
      </c>
      <c r="R670" s="322" t="s">
        <v>387</v>
      </c>
      <c r="S670" s="303">
        <f t="shared" si="11"/>
        <v>71522941.920000002</v>
      </c>
      <c r="T670" s="307">
        <f>+IFERROR(VLOOKUP(C670,'Tasas Diarias'!$B:$F,5,FALSE)*G670,0)</f>
        <v>0</v>
      </c>
      <c r="U670" s="311" t="str">
        <f>+VLOOKUP(C670,Spreads!$A$2:$G$345,7,0)</f>
        <v/>
      </c>
    </row>
    <row r="671" spans="1:21" ht="15" hidden="1" customHeight="1" thickTop="1" thickBot="1">
      <c r="A671" s="321" t="s">
        <v>2137</v>
      </c>
      <c r="B671" s="322" t="s">
        <v>299</v>
      </c>
      <c r="C671" s="322" t="s">
        <v>22</v>
      </c>
      <c r="D671" s="322" t="s">
        <v>305</v>
      </c>
      <c r="E671" s="323">
        <v>397319418</v>
      </c>
      <c r="F671" s="323">
        <v>400000000</v>
      </c>
      <c r="G671" s="314">
        <v>6.3629999999999997E-3</v>
      </c>
      <c r="H671" s="324">
        <v>2.76</v>
      </c>
      <c r="I671" s="322" t="s">
        <v>1900</v>
      </c>
      <c r="J671" s="322">
        <v>87</v>
      </c>
      <c r="K671" s="322">
        <v>0.24</v>
      </c>
      <c r="L671" s="322">
        <v>99.329853999999997</v>
      </c>
      <c r="M671" s="322" t="s">
        <v>9</v>
      </c>
      <c r="N671" s="322" t="s">
        <v>374</v>
      </c>
      <c r="O671" s="322" t="s">
        <v>8</v>
      </c>
      <c r="P671" s="322" t="s">
        <v>375</v>
      </c>
      <c r="Q671" s="322" t="s">
        <v>326</v>
      </c>
      <c r="R671" s="322" t="s">
        <v>387</v>
      </c>
      <c r="S671" s="303">
        <f t="shared" si="11"/>
        <v>95356660.319999993</v>
      </c>
      <c r="T671" s="307">
        <f>+IFERROR(VLOOKUP(C671,'Tasas Diarias'!$B:$F,5,FALSE)*G671,0)</f>
        <v>0</v>
      </c>
      <c r="U671" s="311" t="str">
        <f>+VLOOKUP(C671,Spreads!$A$2:$G$345,7,0)</f>
        <v/>
      </c>
    </row>
    <row r="672" spans="1:21" ht="15" hidden="1" customHeight="1" thickTop="1" thickBot="1">
      <c r="A672" s="317" t="s">
        <v>2137</v>
      </c>
      <c r="B672" s="318" t="s">
        <v>299</v>
      </c>
      <c r="C672" s="318" t="s">
        <v>22</v>
      </c>
      <c r="D672" s="318" t="s">
        <v>305</v>
      </c>
      <c r="E672" s="319">
        <v>148904066</v>
      </c>
      <c r="F672" s="319">
        <v>150000000</v>
      </c>
      <c r="G672" s="314">
        <v>2.3839999999999998E-3</v>
      </c>
      <c r="H672" s="320">
        <v>2.88</v>
      </c>
      <c r="I672" s="318" t="s">
        <v>1472</v>
      </c>
      <c r="J672" s="318">
        <v>91</v>
      </c>
      <c r="K672" s="318">
        <v>0.25</v>
      </c>
      <c r="L672" s="318">
        <v>99.269377000000006</v>
      </c>
      <c r="M672" s="318" t="s">
        <v>9</v>
      </c>
      <c r="N672" s="318" t="s">
        <v>374</v>
      </c>
      <c r="O672" s="318" t="s">
        <v>8</v>
      </c>
      <c r="P672" s="318" t="s">
        <v>375</v>
      </c>
      <c r="Q672" s="318" t="s">
        <v>326</v>
      </c>
      <c r="R672" s="318" t="s">
        <v>387</v>
      </c>
      <c r="S672" s="303">
        <f t="shared" si="11"/>
        <v>37226016.5</v>
      </c>
      <c r="T672" s="307">
        <f>+IFERROR(VLOOKUP(C672,'Tasas Diarias'!$B:$F,5,FALSE)*G672,0)</f>
        <v>0</v>
      </c>
      <c r="U672" s="311" t="str">
        <f>+VLOOKUP(C672,Spreads!$A$2:$G$345,7,0)</f>
        <v/>
      </c>
    </row>
    <row r="673" spans="1:21" ht="15" hidden="1" customHeight="1" thickTop="1" thickBot="1">
      <c r="A673" s="321" t="s">
        <v>2137</v>
      </c>
      <c r="B673" s="322" t="s">
        <v>299</v>
      </c>
      <c r="C673" s="322" t="s">
        <v>22</v>
      </c>
      <c r="D673" s="322" t="s">
        <v>23</v>
      </c>
      <c r="E673" s="323">
        <v>248153736</v>
      </c>
      <c r="F673" s="323">
        <v>250000000</v>
      </c>
      <c r="G673" s="314">
        <v>3.9740000000000001E-3</v>
      </c>
      <c r="H673" s="324">
        <v>2.88</v>
      </c>
      <c r="I673" s="322" t="s">
        <v>1309</v>
      </c>
      <c r="J673" s="322">
        <v>92</v>
      </c>
      <c r="K673" s="322">
        <v>0.25</v>
      </c>
      <c r="L673" s="322">
        <v>99.261493999999999</v>
      </c>
      <c r="M673" s="322" t="s">
        <v>9</v>
      </c>
      <c r="N673" s="322" t="s">
        <v>374</v>
      </c>
      <c r="O673" s="322" t="s">
        <v>8</v>
      </c>
      <c r="P673" s="322" t="s">
        <v>375</v>
      </c>
      <c r="Q673" s="322" t="s">
        <v>67</v>
      </c>
      <c r="R673" s="322" t="s">
        <v>376</v>
      </c>
      <c r="S673" s="303">
        <f t="shared" si="11"/>
        <v>62038434</v>
      </c>
      <c r="T673" s="307">
        <f>+IFERROR(VLOOKUP(C673,'Tasas Diarias'!$B:$F,5,FALSE)*G673,0)</f>
        <v>0</v>
      </c>
      <c r="U673" s="311" t="str">
        <f>+VLOOKUP(C673,Spreads!$A$2:$G$345,7,0)</f>
        <v/>
      </c>
    </row>
    <row r="674" spans="1:21" ht="15" hidden="1" customHeight="1" thickTop="1" thickBot="1">
      <c r="A674" s="321" t="s">
        <v>2137</v>
      </c>
      <c r="B674" s="322" t="s">
        <v>299</v>
      </c>
      <c r="C674" s="322" t="s">
        <v>22</v>
      </c>
      <c r="D674" s="322" t="s">
        <v>174</v>
      </c>
      <c r="E674" s="323">
        <v>247958475</v>
      </c>
      <c r="F674" s="323">
        <v>250000000</v>
      </c>
      <c r="G674" s="314">
        <v>3.9709999999999997E-3</v>
      </c>
      <c r="H674" s="324">
        <v>3.12</v>
      </c>
      <c r="I674" s="322" t="s">
        <v>1565</v>
      </c>
      <c r="J674" s="322">
        <v>94</v>
      </c>
      <c r="K674" s="322">
        <v>0.26</v>
      </c>
      <c r="L674" s="322">
        <v>99.183390000000003</v>
      </c>
      <c r="M674" s="322" t="s">
        <v>9</v>
      </c>
      <c r="N674" s="322" t="s">
        <v>374</v>
      </c>
      <c r="O674" s="322" t="s">
        <v>8</v>
      </c>
      <c r="P674" s="322" t="s">
        <v>375</v>
      </c>
      <c r="Q674" s="322" t="s">
        <v>60</v>
      </c>
      <c r="R674" s="322" t="s">
        <v>408</v>
      </c>
      <c r="S674" s="303">
        <f t="shared" si="11"/>
        <v>64469203.5</v>
      </c>
      <c r="T674" s="307">
        <f>+IFERROR(VLOOKUP(C674,'Tasas Diarias'!$B:$F,5,FALSE)*G674,0)</f>
        <v>0</v>
      </c>
      <c r="U674" s="311" t="str">
        <f>+VLOOKUP(C674,Spreads!$A$2:$G$345,7,0)</f>
        <v/>
      </c>
    </row>
    <row r="675" spans="1:21" ht="15" hidden="1" customHeight="1" thickTop="1" thickBot="1">
      <c r="A675" s="321" t="s">
        <v>2137</v>
      </c>
      <c r="B675" s="322" t="s">
        <v>299</v>
      </c>
      <c r="C675" s="322" t="s">
        <v>22</v>
      </c>
      <c r="D675" s="322" t="s">
        <v>305</v>
      </c>
      <c r="E675" s="323">
        <v>1230256369</v>
      </c>
      <c r="F675" s="323">
        <v>1240000000</v>
      </c>
      <c r="G675" s="314">
        <v>1.9702999999999998E-2</v>
      </c>
      <c r="H675" s="324">
        <v>2.88</v>
      </c>
      <c r="I675" s="322" t="s">
        <v>1578</v>
      </c>
      <c r="J675" s="322">
        <v>98</v>
      </c>
      <c r="K675" s="322">
        <v>0.27</v>
      </c>
      <c r="L675" s="322">
        <v>99.214223000000004</v>
      </c>
      <c r="M675" s="322" t="s">
        <v>9</v>
      </c>
      <c r="N675" s="322" t="s">
        <v>374</v>
      </c>
      <c r="O675" s="322" t="s">
        <v>8</v>
      </c>
      <c r="P675" s="322" t="s">
        <v>375</v>
      </c>
      <c r="Q675" s="322" t="s">
        <v>326</v>
      </c>
      <c r="R675" s="322" t="s">
        <v>387</v>
      </c>
      <c r="S675" s="303">
        <f t="shared" si="11"/>
        <v>332169219.63</v>
      </c>
      <c r="T675" s="307">
        <f>+IFERROR(VLOOKUP(C675,'Tasas Diarias'!$B:$F,5,FALSE)*G675,0)</f>
        <v>0</v>
      </c>
      <c r="U675" s="311" t="str">
        <f>+VLOOKUP(C675,Spreads!$A$2:$G$345,7,0)</f>
        <v/>
      </c>
    </row>
    <row r="676" spans="1:21" ht="15" hidden="1" customHeight="1" thickTop="1" thickBot="1">
      <c r="A676" s="321" t="s">
        <v>2137</v>
      </c>
      <c r="B676" s="322" t="s">
        <v>299</v>
      </c>
      <c r="C676" s="322" t="s">
        <v>22</v>
      </c>
      <c r="D676" s="322" t="s">
        <v>55</v>
      </c>
      <c r="E676" s="323">
        <v>15245258</v>
      </c>
      <c r="F676" s="323">
        <v>15366000</v>
      </c>
      <c r="G676" s="314">
        <v>2.4399999999999999E-4</v>
      </c>
      <c r="H676" s="324">
        <v>2.88</v>
      </c>
      <c r="I676" s="322" t="s">
        <v>1578</v>
      </c>
      <c r="J676" s="322">
        <v>98</v>
      </c>
      <c r="K676" s="322">
        <v>0.27</v>
      </c>
      <c r="L676" s="322">
        <v>99.214225999999996</v>
      </c>
      <c r="M676" s="322" t="s">
        <v>9</v>
      </c>
      <c r="N676" s="322" t="s">
        <v>374</v>
      </c>
      <c r="O676" s="322" t="s">
        <v>8</v>
      </c>
      <c r="P676" s="322" t="s">
        <v>375</v>
      </c>
      <c r="Q676" s="322" t="s">
        <v>55</v>
      </c>
      <c r="R676" s="322" t="s">
        <v>386</v>
      </c>
      <c r="S676" s="303">
        <f t="shared" si="11"/>
        <v>4116219.66</v>
      </c>
      <c r="T676" s="307">
        <f>+IFERROR(VLOOKUP(C676,'Tasas Diarias'!$B:$F,5,FALSE)*G676,0)</f>
        <v>0</v>
      </c>
      <c r="U676" s="311" t="str">
        <f>+VLOOKUP(C676,Spreads!$A$2:$G$345,7,0)</f>
        <v/>
      </c>
    </row>
    <row r="677" spans="1:21" ht="15" hidden="1" customHeight="1" thickTop="1" thickBot="1">
      <c r="A677" s="321" t="s">
        <v>2137</v>
      </c>
      <c r="B677" s="322" t="s">
        <v>299</v>
      </c>
      <c r="C677" s="322" t="s">
        <v>22</v>
      </c>
      <c r="D677" s="322" t="s">
        <v>164</v>
      </c>
      <c r="E677" s="323">
        <v>198412698</v>
      </c>
      <c r="F677" s="323">
        <v>200000000</v>
      </c>
      <c r="G677" s="314">
        <v>3.1770000000000001E-3</v>
      </c>
      <c r="H677" s="324">
        <v>2.88</v>
      </c>
      <c r="I677" s="322" t="s">
        <v>1481</v>
      </c>
      <c r="J677" s="322">
        <v>99</v>
      </c>
      <c r="K677" s="322">
        <v>0.27</v>
      </c>
      <c r="L677" s="322">
        <v>99.206349000000003</v>
      </c>
      <c r="M677" s="322" t="s">
        <v>9</v>
      </c>
      <c r="N677" s="322" t="s">
        <v>374</v>
      </c>
      <c r="O677" s="322" t="s">
        <v>8</v>
      </c>
      <c r="P677" s="322" t="s">
        <v>375</v>
      </c>
      <c r="Q677" s="322" t="s">
        <v>61</v>
      </c>
      <c r="R677" s="322" t="s">
        <v>384</v>
      </c>
      <c r="S677" s="303">
        <f t="shared" si="11"/>
        <v>53571428.460000001</v>
      </c>
      <c r="T677" s="307">
        <f>+IFERROR(VLOOKUP(C677,'Tasas Diarias'!$B:$F,5,FALSE)*G677,0)</f>
        <v>0</v>
      </c>
      <c r="U677" s="311" t="str">
        <f>+VLOOKUP(C677,Spreads!$A$2:$G$345,7,0)</f>
        <v/>
      </c>
    </row>
    <row r="678" spans="1:21" ht="15" hidden="1" customHeight="1" thickTop="1" thickBot="1">
      <c r="A678" s="317" t="s">
        <v>2137</v>
      </c>
      <c r="B678" s="318" t="s">
        <v>299</v>
      </c>
      <c r="C678" s="318" t="s">
        <v>22</v>
      </c>
      <c r="D678" s="318" t="s">
        <v>169</v>
      </c>
      <c r="E678" s="319">
        <v>49516553</v>
      </c>
      <c r="F678" s="319">
        <v>50000000</v>
      </c>
      <c r="G678" s="314">
        <v>7.9299999999999998E-4</v>
      </c>
      <c r="H678" s="320">
        <v>3.48</v>
      </c>
      <c r="I678" s="318" t="s">
        <v>1351</v>
      </c>
      <c r="J678" s="318">
        <v>100</v>
      </c>
      <c r="K678" s="318">
        <v>0.28000000000000003</v>
      </c>
      <c r="L678" s="318">
        <v>99.033106000000004</v>
      </c>
      <c r="M678" s="318" t="s">
        <v>9</v>
      </c>
      <c r="N678" s="318" t="s">
        <v>374</v>
      </c>
      <c r="O678" s="318" t="s">
        <v>8</v>
      </c>
      <c r="P678" s="318" t="s">
        <v>375</v>
      </c>
      <c r="Q678" s="318" t="s">
        <v>51</v>
      </c>
      <c r="R678" s="318" t="s">
        <v>385</v>
      </c>
      <c r="S678" s="303">
        <f t="shared" si="11"/>
        <v>13864634.840000002</v>
      </c>
      <c r="T678" s="307">
        <f>+IFERROR(VLOOKUP(C678,'Tasas Diarias'!$B:$F,5,FALSE)*G678,0)</f>
        <v>0</v>
      </c>
      <c r="U678" s="311" t="str">
        <f>+VLOOKUP(C678,Spreads!$A$2:$G$345,7,0)</f>
        <v/>
      </c>
    </row>
    <row r="679" spans="1:21" ht="15" hidden="1" customHeight="1" thickTop="1" thickBot="1">
      <c r="A679" s="321" t="s">
        <v>2137</v>
      </c>
      <c r="B679" s="322" t="s">
        <v>299</v>
      </c>
      <c r="C679" s="322" t="s">
        <v>22</v>
      </c>
      <c r="D679" s="322" t="s">
        <v>23</v>
      </c>
      <c r="E679" s="323">
        <v>99023627</v>
      </c>
      <c r="F679" s="323">
        <v>100000000</v>
      </c>
      <c r="G679" s="314">
        <v>1.585E-3</v>
      </c>
      <c r="H679" s="324">
        <v>3.48</v>
      </c>
      <c r="I679" s="322" t="s">
        <v>1226</v>
      </c>
      <c r="J679" s="322">
        <v>101</v>
      </c>
      <c r="K679" s="322">
        <v>0.28000000000000003</v>
      </c>
      <c r="L679" s="322">
        <v>99.023627000000005</v>
      </c>
      <c r="M679" s="322" t="s">
        <v>9</v>
      </c>
      <c r="N679" s="322" t="s">
        <v>374</v>
      </c>
      <c r="O679" s="322" t="s">
        <v>8</v>
      </c>
      <c r="P679" s="322" t="s">
        <v>375</v>
      </c>
      <c r="Q679" s="322" t="s">
        <v>67</v>
      </c>
      <c r="R679" s="322" t="s">
        <v>376</v>
      </c>
      <c r="S679" s="303">
        <f t="shared" si="11"/>
        <v>27726615.560000002</v>
      </c>
      <c r="T679" s="307">
        <f>+IFERROR(VLOOKUP(C679,'Tasas Diarias'!$B:$F,5,FALSE)*G679,0)</f>
        <v>0</v>
      </c>
      <c r="U679" s="311" t="str">
        <f>+VLOOKUP(C679,Spreads!$A$2:$G$345,7,0)</f>
        <v/>
      </c>
    </row>
    <row r="680" spans="1:21" ht="15" hidden="1" customHeight="1" thickTop="1" thickBot="1">
      <c r="A680" s="317" t="s">
        <v>2137</v>
      </c>
      <c r="B680" s="318" t="s">
        <v>299</v>
      </c>
      <c r="C680" s="318" t="s">
        <v>22</v>
      </c>
      <c r="D680" s="318" t="s">
        <v>70</v>
      </c>
      <c r="E680" s="319">
        <v>991906047</v>
      </c>
      <c r="F680" s="319">
        <v>1000000000</v>
      </c>
      <c r="G680" s="314">
        <v>1.5886000000000001E-2</v>
      </c>
      <c r="H680" s="320">
        <v>2.88</v>
      </c>
      <c r="I680" s="318" t="s">
        <v>1226</v>
      </c>
      <c r="J680" s="318">
        <v>101</v>
      </c>
      <c r="K680" s="318">
        <v>0.28000000000000003</v>
      </c>
      <c r="L680" s="318">
        <v>99.190603999999993</v>
      </c>
      <c r="M680" s="318" t="s">
        <v>9</v>
      </c>
      <c r="N680" s="318" t="s">
        <v>374</v>
      </c>
      <c r="O680" s="318" t="s">
        <v>8</v>
      </c>
      <c r="P680" s="318" t="s">
        <v>375</v>
      </c>
      <c r="Q680" s="318" t="s">
        <v>70</v>
      </c>
      <c r="R680" s="318" t="s">
        <v>383</v>
      </c>
      <c r="S680" s="303">
        <f t="shared" si="11"/>
        <v>277733693.16000003</v>
      </c>
      <c r="T680" s="307">
        <f>+IFERROR(VLOOKUP(C680,'Tasas Diarias'!$B:$F,5,FALSE)*G680,0)</f>
        <v>0</v>
      </c>
      <c r="U680" s="311" t="str">
        <f>+VLOOKUP(C680,Spreads!$A$2:$G$345,7,0)</f>
        <v/>
      </c>
    </row>
    <row r="681" spans="1:21" ht="15" hidden="1" customHeight="1" thickTop="1" thickBot="1">
      <c r="A681" s="317" t="s">
        <v>2137</v>
      </c>
      <c r="B681" s="318" t="s">
        <v>299</v>
      </c>
      <c r="C681" s="318" t="s">
        <v>22</v>
      </c>
      <c r="D681" s="318" t="s">
        <v>165</v>
      </c>
      <c r="E681" s="319">
        <v>198365469</v>
      </c>
      <c r="F681" s="319">
        <v>200000000</v>
      </c>
      <c r="G681" s="314">
        <v>3.1770000000000001E-3</v>
      </c>
      <c r="H681" s="320">
        <v>2.88</v>
      </c>
      <c r="I681" s="318" t="s">
        <v>1827</v>
      </c>
      <c r="J681" s="318">
        <v>102</v>
      </c>
      <c r="K681" s="318">
        <v>0.28000000000000003</v>
      </c>
      <c r="L681" s="318">
        <v>99.182733999999996</v>
      </c>
      <c r="M681" s="318" t="s">
        <v>9</v>
      </c>
      <c r="N681" s="318" t="s">
        <v>374</v>
      </c>
      <c r="O681" s="318" t="s">
        <v>8</v>
      </c>
      <c r="P681" s="318" t="s">
        <v>375</v>
      </c>
      <c r="Q681" s="318" t="s">
        <v>74</v>
      </c>
      <c r="R681" s="318" t="s">
        <v>380</v>
      </c>
      <c r="S681" s="303">
        <f t="shared" si="11"/>
        <v>55542331.320000008</v>
      </c>
      <c r="T681" s="307">
        <f>+IFERROR(VLOOKUP(C681,'Tasas Diarias'!$B:$F,5,FALSE)*G681,0)</f>
        <v>0</v>
      </c>
      <c r="U681" s="311" t="str">
        <f>+VLOOKUP(C681,Spreads!$A$2:$G$345,7,0)</f>
        <v/>
      </c>
    </row>
    <row r="682" spans="1:21" ht="15" hidden="1" customHeight="1" thickTop="1" thickBot="1">
      <c r="A682" s="317" t="s">
        <v>2137</v>
      </c>
      <c r="B682" s="318" t="s">
        <v>299</v>
      </c>
      <c r="C682" s="318" t="s">
        <v>22</v>
      </c>
      <c r="D682" s="318" t="s">
        <v>55</v>
      </c>
      <c r="E682" s="319">
        <v>595299121</v>
      </c>
      <c r="F682" s="319">
        <v>600000000</v>
      </c>
      <c r="G682" s="314">
        <v>9.5340000000000008E-3</v>
      </c>
      <c r="H682" s="320">
        <v>2.76</v>
      </c>
      <c r="I682" s="318" t="s">
        <v>1827</v>
      </c>
      <c r="J682" s="318">
        <v>102</v>
      </c>
      <c r="K682" s="318">
        <v>0.28000000000000003</v>
      </c>
      <c r="L682" s="318">
        <v>99.216520000000003</v>
      </c>
      <c r="M682" s="318" t="s">
        <v>9</v>
      </c>
      <c r="N682" s="318" t="s">
        <v>374</v>
      </c>
      <c r="O682" s="318" t="s">
        <v>8</v>
      </c>
      <c r="P682" s="318" t="s">
        <v>375</v>
      </c>
      <c r="Q682" s="318" t="s">
        <v>55</v>
      </c>
      <c r="R682" s="318" t="s">
        <v>386</v>
      </c>
      <c r="S682" s="303">
        <f t="shared" si="11"/>
        <v>166683753.88000003</v>
      </c>
      <c r="T682" s="307">
        <f>+IFERROR(VLOOKUP(C682,'Tasas Diarias'!$B:$F,5,FALSE)*G682,0)</f>
        <v>0</v>
      </c>
      <c r="U682" s="311" t="str">
        <f>+VLOOKUP(C682,Spreads!$A$2:$G$345,7,0)</f>
        <v/>
      </c>
    </row>
    <row r="683" spans="1:21" ht="15" hidden="1" customHeight="1" thickTop="1" thickBot="1">
      <c r="A683" s="317" t="s">
        <v>2137</v>
      </c>
      <c r="B683" s="318" t="s">
        <v>299</v>
      </c>
      <c r="C683" s="318" t="s">
        <v>22</v>
      </c>
      <c r="D683" s="318" t="s">
        <v>165</v>
      </c>
      <c r="E683" s="319">
        <v>49571701</v>
      </c>
      <c r="F683" s="319">
        <v>50000000</v>
      </c>
      <c r="G683" s="314">
        <v>7.9299999999999998E-4</v>
      </c>
      <c r="H683" s="320">
        <v>2.88</v>
      </c>
      <c r="I683" s="318" t="s">
        <v>1451</v>
      </c>
      <c r="J683" s="318">
        <v>107</v>
      </c>
      <c r="K683" s="318">
        <v>0.3</v>
      </c>
      <c r="L683" s="318">
        <v>99.143401999999995</v>
      </c>
      <c r="M683" s="318" t="s">
        <v>9</v>
      </c>
      <c r="N683" s="318" t="s">
        <v>374</v>
      </c>
      <c r="O683" s="318" t="s">
        <v>8</v>
      </c>
      <c r="P683" s="318" t="s">
        <v>375</v>
      </c>
      <c r="Q683" s="318" t="s">
        <v>74</v>
      </c>
      <c r="R683" s="318" t="s">
        <v>380</v>
      </c>
      <c r="S683" s="303">
        <f t="shared" si="11"/>
        <v>14871510.299999999</v>
      </c>
      <c r="T683" s="307">
        <f>+IFERROR(VLOOKUP(C683,'Tasas Diarias'!$B:$F,5,FALSE)*G683,0)</f>
        <v>0</v>
      </c>
      <c r="U683" s="311" t="str">
        <f>+VLOOKUP(C683,Spreads!$A$2:$G$345,7,0)</f>
        <v/>
      </c>
    </row>
    <row r="684" spans="1:21" ht="15" hidden="1" customHeight="1" thickTop="1" thickBot="1">
      <c r="A684" s="321" t="s">
        <v>2137</v>
      </c>
      <c r="B684" s="322" t="s">
        <v>299</v>
      </c>
      <c r="C684" s="322" t="s">
        <v>22</v>
      </c>
      <c r="D684" s="322" t="s">
        <v>174</v>
      </c>
      <c r="E684" s="323">
        <v>263780631</v>
      </c>
      <c r="F684" s="323">
        <v>266560000</v>
      </c>
      <c r="G684" s="314">
        <v>4.2240000000000003E-3</v>
      </c>
      <c r="H684" s="322">
        <v>3.48</v>
      </c>
      <c r="I684" s="322" t="s">
        <v>1308</v>
      </c>
      <c r="J684" s="322">
        <v>108</v>
      </c>
      <c r="K684" s="322">
        <v>0.3</v>
      </c>
      <c r="L684" s="322">
        <v>98.957318999999998</v>
      </c>
      <c r="M684" s="322" t="s">
        <v>9</v>
      </c>
      <c r="N684" s="322" t="s">
        <v>374</v>
      </c>
      <c r="O684" s="322" t="s">
        <v>8</v>
      </c>
      <c r="P684" s="322" t="s">
        <v>375</v>
      </c>
      <c r="Q684" s="322" t="s">
        <v>60</v>
      </c>
      <c r="R684" s="322" t="s">
        <v>408</v>
      </c>
      <c r="S684" s="303">
        <f t="shared" si="11"/>
        <v>79134189.299999997</v>
      </c>
      <c r="T684" s="307">
        <f>+IFERROR(VLOOKUP(C684,'Tasas Diarias'!$B:$F,5,FALSE)*G684,0)</f>
        <v>0</v>
      </c>
      <c r="U684" s="311" t="str">
        <f>+VLOOKUP(C684,Spreads!$A$2:$G$345,7,0)</f>
        <v/>
      </c>
    </row>
    <row r="685" spans="1:21" ht="15" hidden="1" customHeight="1" thickTop="1" thickBot="1">
      <c r="A685" s="317" t="s">
        <v>2137</v>
      </c>
      <c r="B685" s="318" t="s">
        <v>299</v>
      </c>
      <c r="C685" s="318" t="s">
        <v>22</v>
      </c>
      <c r="D685" s="318" t="s">
        <v>55</v>
      </c>
      <c r="E685" s="319">
        <v>44610992</v>
      </c>
      <c r="F685" s="319">
        <v>45000000</v>
      </c>
      <c r="G685" s="314">
        <v>7.1400000000000001E-4</v>
      </c>
      <c r="H685" s="346">
        <v>2.88</v>
      </c>
      <c r="I685" s="347" t="s">
        <v>1308</v>
      </c>
      <c r="J685" s="318">
        <v>108</v>
      </c>
      <c r="K685" s="318">
        <v>0.3</v>
      </c>
      <c r="L685" s="318">
        <v>99.135536999999999</v>
      </c>
      <c r="M685" s="318" t="s">
        <v>9</v>
      </c>
      <c r="N685" s="318" t="s">
        <v>374</v>
      </c>
      <c r="O685" s="318" t="s">
        <v>8</v>
      </c>
      <c r="P685" s="318" t="s">
        <v>375</v>
      </c>
      <c r="Q685" s="318" t="s">
        <v>55</v>
      </c>
      <c r="R685" s="318" t="s">
        <v>386</v>
      </c>
      <c r="S685" s="303">
        <f t="shared" si="11"/>
        <v>13383297.6</v>
      </c>
      <c r="T685" s="307">
        <f>+IFERROR(VLOOKUP(C685,'Tasas Diarias'!$B:$F,5,FALSE)*G685,0)</f>
        <v>0</v>
      </c>
      <c r="U685" s="311" t="str">
        <f>+VLOOKUP(C685,Spreads!$A$2:$G$345,7,0)</f>
        <v/>
      </c>
    </row>
    <row r="686" spans="1:21" ht="15.75" hidden="1" thickTop="1">
      <c r="A686" s="317" t="s">
        <v>2137</v>
      </c>
      <c r="B686" s="318" t="s">
        <v>299</v>
      </c>
      <c r="C686" s="318" t="s">
        <v>22</v>
      </c>
      <c r="D686" s="318" t="s">
        <v>55</v>
      </c>
      <c r="E686" s="319">
        <v>99163719</v>
      </c>
      <c r="F686" s="319">
        <v>100000000</v>
      </c>
      <c r="G686" s="314">
        <v>1.588E-3</v>
      </c>
      <c r="H686" s="320">
        <v>2.76</v>
      </c>
      <c r="I686" s="318" t="s">
        <v>1312</v>
      </c>
      <c r="J686" s="318">
        <v>109</v>
      </c>
      <c r="K686" s="318">
        <v>0.3</v>
      </c>
      <c r="L686" s="318">
        <v>99.163719</v>
      </c>
      <c r="M686" s="318" t="s">
        <v>9</v>
      </c>
      <c r="N686" s="318" t="s">
        <v>374</v>
      </c>
      <c r="O686" s="318" t="s">
        <v>8</v>
      </c>
      <c r="P686" s="318" t="s">
        <v>375</v>
      </c>
      <c r="Q686" s="318" t="s">
        <v>55</v>
      </c>
      <c r="R686" s="318" t="s">
        <v>386</v>
      </c>
      <c r="S686" s="303">
        <f t="shared" si="11"/>
        <v>29749115.699999999</v>
      </c>
      <c r="T686" s="307">
        <f>+IFERROR(VLOOKUP(C686,'Tasas Diarias'!$B:$F,5,FALSE)*G686,0)</f>
        <v>0</v>
      </c>
      <c r="U686" s="311" t="str">
        <f>+VLOOKUP(C686,Spreads!$A$2:$G$345,7,0)</f>
        <v/>
      </c>
    </row>
    <row r="687" spans="1:21" ht="15" hidden="1" customHeight="1" thickTop="1" thickBot="1">
      <c r="A687" s="327" t="s">
        <v>2137</v>
      </c>
      <c r="B687" s="328" t="s">
        <v>299</v>
      </c>
      <c r="C687" s="328" t="s">
        <v>22</v>
      </c>
      <c r="D687" s="328" t="s">
        <v>72</v>
      </c>
      <c r="E687" s="328">
        <v>99050764</v>
      </c>
      <c r="F687" s="328">
        <v>100000000</v>
      </c>
      <c r="G687" s="328">
        <v>1.586E-3</v>
      </c>
      <c r="H687" s="329">
        <v>3</v>
      </c>
      <c r="I687" s="328" t="s">
        <v>1438</v>
      </c>
      <c r="J687" s="328">
        <v>114</v>
      </c>
      <c r="K687" s="328">
        <v>0.32</v>
      </c>
      <c r="L687" s="328">
        <v>99.050764000000001</v>
      </c>
      <c r="M687" s="328" t="s">
        <v>9</v>
      </c>
      <c r="N687" s="328" t="s">
        <v>374</v>
      </c>
      <c r="O687" s="328" t="s">
        <v>8</v>
      </c>
      <c r="P687" s="328" t="s">
        <v>296</v>
      </c>
      <c r="Q687" s="328" t="s">
        <v>325</v>
      </c>
      <c r="R687" s="328" t="s">
        <v>393</v>
      </c>
      <c r="S687" s="303">
        <f t="shared" si="11"/>
        <v>31696244.48</v>
      </c>
      <c r="T687" s="307">
        <f>+IFERROR(VLOOKUP(C687,'Tasas Diarias'!$B:$F,5,FALSE)*G687,0)</f>
        <v>0</v>
      </c>
      <c r="U687" s="311" t="str">
        <f>+VLOOKUP(C687,Spreads!$A$2:$G$345,7,0)</f>
        <v/>
      </c>
    </row>
    <row r="688" spans="1:21" ht="15" hidden="1" customHeight="1" thickTop="1" thickBot="1">
      <c r="A688" s="317" t="s">
        <v>2137</v>
      </c>
      <c r="B688" s="318" t="s">
        <v>299</v>
      </c>
      <c r="C688" s="318" t="s">
        <v>22</v>
      </c>
      <c r="D688" s="318" t="s">
        <v>305</v>
      </c>
      <c r="E688" s="319">
        <v>198176774</v>
      </c>
      <c r="F688" s="319">
        <v>200000000</v>
      </c>
      <c r="G688" s="314">
        <v>3.1740000000000002E-3</v>
      </c>
      <c r="H688" s="320">
        <v>2.88</v>
      </c>
      <c r="I688" s="318" t="s">
        <v>1438</v>
      </c>
      <c r="J688" s="318">
        <v>114</v>
      </c>
      <c r="K688" s="318">
        <v>0.32</v>
      </c>
      <c r="L688" s="318">
        <v>99.088386999999997</v>
      </c>
      <c r="M688" s="318" t="s">
        <v>9</v>
      </c>
      <c r="N688" s="318" t="s">
        <v>374</v>
      </c>
      <c r="O688" s="318" t="s">
        <v>8</v>
      </c>
      <c r="P688" s="318" t="s">
        <v>375</v>
      </c>
      <c r="Q688" s="318" t="s">
        <v>326</v>
      </c>
      <c r="R688" s="318" t="s">
        <v>387</v>
      </c>
      <c r="S688" s="303">
        <f t="shared" si="11"/>
        <v>63416567.68</v>
      </c>
      <c r="T688" s="307">
        <f>+IFERROR(VLOOKUP(C688,'Tasas Diarias'!$B:$F,5,FALSE)*G688,0)</f>
        <v>0</v>
      </c>
      <c r="U688" s="311" t="str">
        <f>+VLOOKUP(C688,Spreads!$A$2:$G$345,7,0)</f>
        <v/>
      </c>
    </row>
    <row r="689" spans="1:21" ht="15" hidden="1" customHeight="1" thickTop="1" thickBot="1">
      <c r="A689" s="317" t="s">
        <v>2137</v>
      </c>
      <c r="B689" s="318" t="s">
        <v>299</v>
      </c>
      <c r="C689" s="318" t="s">
        <v>22</v>
      </c>
      <c r="D689" s="318" t="s">
        <v>305</v>
      </c>
      <c r="E689" s="319">
        <v>49517207</v>
      </c>
      <c r="F689" s="319">
        <v>50000000</v>
      </c>
      <c r="G689" s="314">
        <v>7.9299999999999998E-4</v>
      </c>
      <c r="H689" s="339">
        <v>3</v>
      </c>
      <c r="I689" s="318" t="s">
        <v>1447</v>
      </c>
      <c r="J689" s="318">
        <v>116</v>
      </c>
      <c r="K689" s="318">
        <v>0.32</v>
      </c>
      <c r="L689" s="318">
        <v>99.034413999999998</v>
      </c>
      <c r="M689" s="318" t="s">
        <v>9</v>
      </c>
      <c r="N689" s="318" t="s">
        <v>374</v>
      </c>
      <c r="O689" s="318" t="s">
        <v>8</v>
      </c>
      <c r="P689" s="318" t="s">
        <v>375</v>
      </c>
      <c r="Q689" s="318" t="s">
        <v>326</v>
      </c>
      <c r="R689" s="318" t="s">
        <v>387</v>
      </c>
      <c r="S689" s="303">
        <f t="shared" si="11"/>
        <v>15845506.24</v>
      </c>
      <c r="T689" s="307">
        <f>+IFERROR(VLOOKUP(C689,'Tasas Diarias'!$B:$F,5,FALSE)*G689,0)</f>
        <v>0</v>
      </c>
      <c r="U689" s="311" t="str">
        <f>+VLOOKUP(C689,Spreads!$A$2:$G$345,7,0)</f>
        <v/>
      </c>
    </row>
    <row r="690" spans="1:21" ht="15" hidden="1" customHeight="1" thickTop="1" thickBot="1">
      <c r="A690" s="327" t="s">
        <v>2137</v>
      </c>
      <c r="B690" s="328" t="s">
        <v>299</v>
      </c>
      <c r="C690" s="328" t="s">
        <v>22</v>
      </c>
      <c r="D690" s="328" t="s">
        <v>164</v>
      </c>
      <c r="E690" s="328">
        <v>198145359</v>
      </c>
      <c r="F690" s="328">
        <v>200000000</v>
      </c>
      <c r="G690" s="328">
        <v>3.173E-3</v>
      </c>
      <c r="H690" s="329">
        <v>2.88</v>
      </c>
      <c r="I690" s="328" t="s">
        <v>1447</v>
      </c>
      <c r="J690" s="328">
        <v>116</v>
      </c>
      <c r="K690" s="328">
        <v>0.32</v>
      </c>
      <c r="L690" s="328">
        <v>99.072678999999994</v>
      </c>
      <c r="M690" s="328" t="s">
        <v>9</v>
      </c>
      <c r="N690" s="328" t="s">
        <v>374</v>
      </c>
      <c r="O690" s="328" t="s">
        <v>8</v>
      </c>
      <c r="P690" s="328" t="s">
        <v>375</v>
      </c>
      <c r="Q690" s="328" t="s">
        <v>61</v>
      </c>
      <c r="R690" s="328" t="s">
        <v>384</v>
      </c>
      <c r="S690" s="303">
        <f t="shared" si="11"/>
        <v>63406514.880000003</v>
      </c>
      <c r="T690" s="307">
        <f>+IFERROR(VLOOKUP(C690,'Tasas Diarias'!$B:$F,5,FALSE)*G690,0)</f>
        <v>0</v>
      </c>
      <c r="U690" s="311" t="str">
        <f>+VLOOKUP(C690,Spreads!$A$2:$G$345,7,0)</f>
        <v/>
      </c>
    </row>
    <row r="691" spans="1:21" ht="15" hidden="1" customHeight="1" thickTop="1" thickBot="1">
      <c r="A691" s="317" t="s">
        <v>2137</v>
      </c>
      <c r="B691" s="318" t="s">
        <v>299</v>
      </c>
      <c r="C691" s="318" t="s">
        <v>22</v>
      </c>
      <c r="D691" s="318" t="s">
        <v>174</v>
      </c>
      <c r="E691" s="319">
        <v>197980667</v>
      </c>
      <c r="F691" s="319">
        <v>200000000</v>
      </c>
      <c r="G691" s="314">
        <v>3.1700000000000001E-3</v>
      </c>
      <c r="H691" s="320">
        <v>3.06</v>
      </c>
      <c r="I691" s="318" t="s">
        <v>1432</v>
      </c>
      <c r="J691" s="318">
        <v>119</v>
      </c>
      <c r="K691" s="318">
        <v>0.33</v>
      </c>
      <c r="L691" s="318">
        <v>98.990333000000007</v>
      </c>
      <c r="M691" s="318" t="s">
        <v>9</v>
      </c>
      <c r="N691" s="318" t="s">
        <v>374</v>
      </c>
      <c r="O691" s="318" t="s">
        <v>8</v>
      </c>
      <c r="P691" s="318" t="s">
        <v>375</v>
      </c>
      <c r="Q691" s="318" t="s">
        <v>60</v>
      </c>
      <c r="R691" s="318" t="s">
        <v>408</v>
      </c>
      <c r="S691" s="303">
        <f t="shared" si="11"/>
        <v>65333620.109999999</v>
      </c>
      <c r="T691" s="307">
        <f>+IFERROR(VLOOKUP(C691,'Tasas Diarias'!$B:$F,5,FALSE)*G691,0)</f>
        <v>0</v>
      </c>
      <c r="U691" s="311" t="str">
        <f>+VLOOKUP(C691,Spreads!$A$2:$G$345,7,0)</f>
        <v/>
      </c>
    </row>
    <row r="692" spans="1:21" ht="15" hidden="1" customHeight="1" thickTop="1" thickBot="1">
      <c r="A692" s="327" t="s">
        <v>2137</v>
      </c>
      <c r="B692" s="328" t="s">
        <v>299</v>
      </c>
      <c r="C692" s="328" t="s">
        <v>22</v>
      </c>
      <c r="D692" s="328" t="s">
        <v>23</v>
      </c>
      <c r="E692" s="328">
        <v>395726343</v>
      </c>
      <c r="F692" s="328">
        <v>400000000</v>
      </c>
      <c r="G692" s="328">
        <v>6.3369999999999998E-3</v>
      </c>
      <c r="H692" s="329">
        <v>3.12</v>
      </c>
      <c r="I692" s="328" t="s">
        <v>1432</v>
      </c>
      <c r="J692" s="328">
        <v>119</v>
      </c>
      <c r="K692" s="328">
        <v>0.33</v>
      </c>
      <c r="L692" s="328">
        <v>98.931584999999998</v>
      </c>
      <c r="M692" s="328" t="s">
        <v>9</v>
      </c>
      <c r="N692" s="328" t="s">
        <v>374</v>
      </c>
      <c r="O692" s="328" t="s">
        <v>8</v>
      </c>
      <c r="P692" s="328" t="s">
        <v>375</v>
      </c>
      <c r="Q692" s="328" t="s">
        <v>67</v>
      </c>
      <c r="R692" s="328" t="s">
        <v>376</v>
      </c>
      <c r="S692" s="303">
        <f t="shared" si="11"/>
        <v>130589693.19000001</v>
      </c>
      <c r="T692" s="307">
        <f>+IFERROR(VLOOKUP(C692,'Tasas Diarias'!$B:$F,5,FALSE)*G692,0)</f>
        <v>0</v>
      </c>
      <c r="U692" s="311" t="str">
        <f>+VLOOKUP(C692,Spreads!$A$2:$G$345,7,0)</f>
        <v/>
      </c>
    </row>
    <row r="693" spans="1:21" ht="15" hidden="1" customHeight="1" thickTop="1" thickBot="1">
      <c r="A693" s="317" t="s">
        <v>2137</v>
      </c>
      <c r="B693" s="318" t="s">
        <v>299</v>
      </c>
      <c r="C693" s="318" t="s">
        <v>22</v>
      </c>
      <c r="D693" s="318" t="s">
        <v>179</v>
      </c>
      <c r="E693" s="319">
        <v>49520640</v>
      </c>
      <c r="F693" s="319">
        <v>50000000</v>
      </c>
      <c r="G693" s="314">
        <v>7.9299999999999998E-4</v>
      </c>
      <c r="H693" s="320">
        <v>2.88</v>
      </c>
      <c r="I693" s="318" t="s">
        <v>1435</v>
      </c>
      <c r="J693" s="318">
        <v>120</v>
      </c>
      <c r="K693" s="318">
        <v>0.33</v>
      </c>
      <c r="L693" s="318">
        <v>99.04128</v>
      </c>
      <c r="M693" s="318" t="s">
        <v>9</v>
      </c>
      <c r="N693" s="318" t="s">
        <v>374</v>
      </c>
      <c r="O693" s="318" t="s">
        <v>8</v>
      </c>
      <c r="P693" s="318" t="s">
        <v>7</v>
      </c>
      <c r="Q693" s="318" t="s">
        <v>28</v>
      </c>
      <c r="R693" s="318" t="s">
        <v>388</v>
      </c>
      <c r="S693" s="303">
        <f t="shared" si="11"/>
        <v>16341811.200000001</v>
      </c>
      <c r="T693" s="307">
        <f>+IFERROR(VLOOKUP(C693,'Tasas Diarias'!$B:$F,5,FALSE)*G693,0)</f>
        <v>0</v>
      </c>
      <c r="U693" s="311" t="str">
        <f>+VLOOKUP(C693,Spreads!$A$2:$G$345,7,0)</f>
        <v/>
      </c>
    </row>
    <row r="694" spans="1:21" ht="15" hidden="1" customHeight="1" thickTop="1" thickBot="1">
      <c r="A694" s="317" t="s">
        <v>2137</v>
      </c>
      <c r="B694" s="318" t="s">
        <v>299</v>
      </c>
      <c r="C694" s="318" t="s">
        <v>22</v>
      </c>
      <c r="D694" s="318" t="s">
        <v>165</v>
      </c>
      <c r="E694" s="319">
        <v>99041280</v>
      </c>
      <c r="F694" s="319">
        <v>100000000</v>
      </c>
      <c r="G694" s="314">
        <v>1.586E-3</v>
      </c>
      <c r="H694" s="320">
        <v>2.88</v>
      </c>
      <c r="I694" s="318" t="s">
        <v>1435</v>
      </c>
      <c r="J694" s="318">
        <v>120</v>
      </c>
      <c r="K694" s="318">
        <v>0.33</v>
      </c>
      <c r="L694" s="318">
        <v>99.04128</v>
      </c>
      <c r="M694" s="318" t="s">
        <v>9</v>
      </c>
      <c r="N694" s="318" t="s">
        <v>374</v>
      </c>
      <c r="O694" s="318" t="s">
        <v>8</v>
      </c>
      <c r="P694" s="318" t="s">
        <v>375</v>
      </c>
      <c r="Q694" s="318" t="s">
        <v>74</v>
      </c>
      <c r="R694" s="318" t="s">
        <v>380</v>
      </c>
      <c r="S694" s="303">
        <f t="shared" si="11"/>
        <v>32683622.400000002</v>
      </c>
      <c r="T694" s="307">
        <f>+IFERROR(VLOOKUP(C694,'Tasas Diarias'!$B:$F,5,FALSE)*G694,0)</f>
        <v>0</v>
      </c>
      <c r="U694" s="311" t="str">
        <f>+VLOOKUP(C694,Spreads!$A$2:$G$345,7,0)</f>
        <v/>
      </c>
    </row>
    <row r="695" spans="1:21" ht="15" hidden="1" customHeight="1" thickTop="1" thickBot="1">
      <c r="A695" s="321" t="s">
        <v>2137</v>
      </c>
      <c r="B695" s="322" t="s">
        <v>299</v>
      </c>
      <c r="C695" s="322" t="s">
        <v>22</v>
      </c>
      <c r="D695" s="322" t="s">
        <v>23</v>
      </c>
      <c r="E695" s="323">
        <v>890829059</v>
      </c>
      <c r="F695" s="323">
        <v>900000000</v>
      </c>
      <c r="G695" s="314">
        <v>1.4267E-2</v>
      </c>
      <c r="H695" s="324">
        <v>3.18</v>
      </c>
      <c r="I695" s="322" t="s">
        <v>1433</v>
      </c>
      <c r="J695" s="322">
        <v>122</v>
      </c>
      <c r="K695" s="322">
        <v>0.34</v>
      </c>
      <c r="L695" s="322">
        <v>98.981005999999994</v>
      </c>
      <c r="M695" s="322" t="s">
        <v>9</v>
      </c>
      <c r="N695" s="322" t="s">
        <v>374</v>
      </c>
      <c r="O695" s="322" t="s">
        <v>8</v>
      </c>
      <c r="P695" s="322" t="s">
        <v>375</v>
      </c>
      <c r="Q695" s="322" t="s">
        <v>67</v>
      </c>
      <c r="R695" s="322" t="s">
        <v>376</v>
      </c>
      <c r="S695" s="303">
        <f t="shared" si="11"/>
        <v>302881880.06</v>
      </c>
      <c r="T695" s="307">
        <f>+IFERROR(VLOOKUP(C695,'Tasas Diarias'!$B:$F,5,FALSE)*G695,0)</f>
        <v>0</v>
      </c>
      <c r="U695" s="311" t="str">
        <f>+VLOOKUP(C695,Spreads!$A$2:$G$345,7,0)</f>
        <v/>
      </c>
    </row>
    <row r="696" spans="1:21" ht="15" hidden="1" customHeight="1" thickTop="1" thickBot="1">
      <c r="A696" s="321" t="s">
        <v>2137</v>
      </c>
      <c r="B696" s="322" t="s">
        <v>299</v>
      </c>
      <c r="C696" s="322" t="s">
        <v>22</v>
      </c>
      <c r="D696" s="322" t="s">
        <v>1838</v>
      </c>
      <c r="E696" s="323">
        <v>158428390</v>
      </c>
      <c r="F696" s="323">
        <v>160000000</v>
      </c>
      <c r="G696" s="314">
        <v>2.5370000000000002E-3</v>
      </c>
      <c r="H696" s="324">
        <v>2.88</v>
      </c>
      <c r="I696" s="322" t="s">
        <v>1605</v>
      </c>
      <c r="J696" s="322">
        <v>123</v>
      </c>
      <c r="K696" s="322">
        <v>0.34</v>
      </c>
      <c r="L696" s="322">
        <v>99.017742999999996</v>
      </c>
      <c r="M696" s="322" t="s">
        <v>9</v>
      </c>
      <c r="N696" s="322" t="s">
        <v>374</v>
      </c>
      <c r="O696" s="322" t="s">
        <v>8</v>
      </c>
      <c r="P696" s="322" t="s">
        <v>375</v>
      </c>
      <c r="Q696" s="322" t="s">
        <v>326</v>
      </c>
      <c r="R696" s="322" t="s">
        <v>1839</v>
      </c>
      <c r="S696" s="303">
        <f t="shared" si="11"/>
        <v>53865652.600000001</v>
      </c>
      <c r="T696" s="307">
        <f>+IFERROR(VLOOKUP(C696,'Tasas Diarias'!$B:$F,5,FALSE)*G696,0)</f>
        <v>0</v>
      </c>
      <c r="U696" s="311" t="str">
        <f>+VLOOKUP(C696,Spreads!$A$2:$G$345,7,0)</f>
        <v/>
      </c>
    </row>
    <row r="697" spans="1:21" ht="15" hidden="1" customHeight="1" thickTop="1" thickBot="1">
      <c r="A697" s="327" t="s">
        <v>2137</v>
      </c>
      <c r="B697" s="328" t="s">
        <v>299</v>
      </c>
      <c r="C697" s="328" t="s">
        <v>22</v>
      </c>
      <c r="D697" s="328" t="s">
        <v>305</v>
      </c>
      <c r="E697" s="328">
        <v>74232926</v>
      </c>
      <c r="F697" s="328">
        <v>75000000</v>
      </c>
      <c r="G697" s="328">
        <v>1.188E-3</v>
      </c>
      <c r="H697" s="329">
        <v>3</v>
      </c>
      <c r="I697" s="328" t="s">
        <v>1605</v>
      </c>
      <c r="J697" s="328">
        <v>123</v>
      </c>
      <c r="K697" s="328">
        <v>0.34</v>
      </c>
      <c r="L697" s="328">
        <v>98.977233999999996</v>
      </c>
      <c r="M697" s="328" t="s">
        <v>9</v>
      </c>
      <c r="N697" s="328" t="s">
        <v>374</v>
      </c>
      <c r="O697" s="328" t="s">
        <v>8</v>
      </c>
      <c r="P697" s="328" t="s">
        <v>375</v>
      </c>
      <c r="Q697" s="328" t="s">
        <v>326</v>
      </c>
      <c r="R697" s="328" t="s">
        <v>387</v>
      </c>
      <c r="S697" s="303">
        <f t="shared" si="11"/>
        <v>25239194.840000004</v>
      </c>
      <c r="T697" s="307">
        <f>+IFERROR(VLOOKUP(C697,'Tasas Diarias'!$B:$F,5,FALSE)*G697,0)</f>
        <v>0</v>
      </c>
      <c r="U697" s="311" t="str">
        <f>+VLOOKUP(C697,Spreads!$A$2:$G$345,7,0)</f>
        <v/>
      </c>
    </row>
    <row r="698" spans="1:21" ht="15" hidden="1" customHeight="1" thickTop="1" thickBot="1">
      <c r="A698" s="317" t="s">
        <v>2137</v>
      </c>
      <c r="B698" s="318" t="s">
        <v>299</v>
      </c>
      <c r="C698" s="318" t="s">
        <v>22</v>
      </c>
      <c r="D698" s="318" t="s">
        <v>72</v>
      </c>
      <c r="E698" s="319">
        <v>494471805</v>
      </c>
      <c r="F698" s="319">
        <v>500000000</v>
      </c>
      <c r="G698" s="314">
        <v>7.9190000000000007E-3</v>
      </c>
      <c r="H698" s="339">
        <v>3.12</v>
      </c>
      <c r="I698" s="318" t="s">
        <v>1474</v>
      </c>
      <c r="J698" s="318">
        <v>128</v>
      </c>
      <c r="K698" s="318">
        <v>0.35</v>
      </c>
      <c r="L698" s="318">
        <v>98.894361000000004</v>
      </c>
      <c r="M698" s="318" t="s">
        <v>9</v>
      </c>
      <c r="N698" s="318" t="s">
        <v>374</v>
      </c>
      <c r="O698" s="318" t="s">
        <v>8</v>
      </c>
      <c r="P698" s="318" t="s">
        <v>296</v>
      </c>
      <c r="Q698" s="318" t="s">
        <v>325</v>
      </c>
      <c r="R698" s="318" t="s">
        <v>393</v>
      </c>
      <c r="S698" s="303">
        <f t="shared" si="11"/>
        <v>173065131.75</v>
      </c>
      <c r="T698" s="307">
        <f>+IFERROR(VLOOKUP(C698,'Tasas Diarias'!$B:$F,5,FALSE)*G698,0)</f>
        <v>0</v>
      </c>
      <c r="U698" s="311" t="str">
        <f>+VLOOKUP(C698,Spreads!$A$2:$G$345,7,0)</f>
        <v/>
      </c>
    </row>
    <row r="699" spans="1:21" ht="15" hidden="1" customHeight="1" thickTop="1" thickBot="1">
      <c r="A699" s="317" t="s">
        <v>2137</v>
      </c>
      <c r="B699" s="318" t="s">
        <v>299</v>
      </c>
      <c r="C699" s="318" t="s">
        <v>22</v>
      </c>
      <c r="D699" s="318" t="s">
        <v>23</v>
      </c>
      <c r="E699" s="319">
        <v>57028776</v>
      </c>
      <c r="F699" s="319">
        <v>57621875</v>
      </c>
      <c r="G699" s="314">
        <v>9.1299999999999997E-4</v>
      </c>
      <c r="H699" s="320">
        <v>2.88</v>
      </c>
      <c r="I699" s="318" t="s">
        <v>1852</v>
      </c>
      <c r="J699" s="318">
        <v>129</v>
      </c>
      <c r="K699" s="318">
        <v>0.36</v>
      </c>
      <c r="L699" s="318">
        <v>98.970704999999995</v>
      </c>
      <c r="M699" s="318" t="s">
        <v>9</v>
      </c>
      <c r="N699" s="318" t="s">
        <v>374</v>
      </c>
      <c r="O699" s="318" t="s">
        <v>8</v>
      </c>
      <c r="P699" s="318" t="s">
        <v>375</v>
      </c>
      <c r="Q699" s="318" t="s">
        <v>67</v>
      </c>
      <c r="R699" s="318" t="s">
        <v>376</v>
      </c>
      <c r="S699" s="303">
        <f t="shared" si="11"/>
        <v>20530359.359999999</v>
      </c>
      <c r="T699" s="307">
        <f>+IFERROR(VLOOKUP(C699,'Tasas Diarias'!$B:$F,5,FALSE)*G699,0)</f>
        <v>0</v>
      </c>
      <c r="U699" s="311" t="str">
        <f>+VLOOKUP(C699,Spreads!$A$2:$G$345,7,0)</f>
        <v/>
      </c>
    </row>
    <row r="700" spans="1:21" ht="15" hidden="1" customHeight="1" thickTop="1" thickBot="1">
      <c r="A700" s="321" t="s">
        <v>2137</v>
      </c>
      <c r="B700" s="322" t="s">
        <v>299</v>
      </c>
      <c r="C700" s="322" t="s">
        <v>22</v>
      </c>
      <c r="D700" s="322" t="s">
        <v>1430</v>
      </c>
      <c r="E700" s="323">
        <v>197703998</v>
      </c>
      <c r="F700" s="323">
        <v>200000000</v>
      </c>
      <c r="G700" s="314">
        <v>3.166E-3</v>
      </c>
      <c r="H700" s="324">
        <v>3.12</v>
      </c>
      <c r="I700" s="322" t="s">
        <v>1542</v>
      </c>
      <c r="J700" s="322">
        <v>133</v>
      </c>
      <c r="K700" s="322">
        <v>0.37</v>
      </c>
      <c r="L700" s="322">
        <v>98.851999000000006</v>
      </c>
      <c r="M700" s="322" t="s">
        <v>9</v>
      </c>
      <c r="N700" s="322" t="s">
        <v>374</v>
      </c>
      <c r="O700" s="322" t="s">
        <v>8</v>
      </c>
      <c r="P700" s="322" t="s">
        <v>375</v>
      </c>
      <c r="Q700" s="322" t="s">
        <v>1430</v>
      </c>
      <c r="R700" s="322" t="s">
        <v>1431</v>
      </c>
      <c r="S700" s="303">
        <f t="shared" si="11"/>
        <v>73150479.260000005</v>
      </c>
      <c r="T700" s="307">
        <f>+IFERROR(VLOOKUP(C700,'Tasas Diarias'!$B:$F,5,FALSE)*G700,0)</f>
        <v>0</v>
      </c>
      <c r="U700" s="311" t="str">
        <f>+VLOOKUP(C700,Spreads!$A$2:$G$345,7,0)</f>
        <v/>
      </c>
    </row>
    <row r="701" spans="1:21" ht="15" hidden="1" customHeight="1" thickTop="1" thickBot="1">
      <c r="A701" s="317" t="s">
        <v>2137</v>
      </c>
      <c r="B701" s="318" t="s">
        <v>299</v>
      </c>
      <c r="C701" s="318" t="s">
        <v>22</v>
      </c>
      <c r="D701" s="318" t="s">
        <v>72</v>
      </c>
      <c r="E701" s="319">
        <v>123564998</v>
      </c>
      <c r="F701" s="319">
        <v>125000000</v>
      </c>
      <c r="G701" s="314">
        <v>1.9789999999999999E-3</v>
      </c>
      <c r="H701" s="320">
        <v>3.12</v>
      </c>
      <c r="I701" s="318" t="s">
        <v>1542</v>
      </c>
      <c r="J701" s="318">
        <v>133</v>
      </c>
      <c r="K701" s="318">
        <v>0.37</v>
      </c>
      <c r="L701" s="318">
        <v>98.851997999999995</v>
      </c>
      <c r="M701" s="318" t="s">
        <v>9</v>
      </c>
      <c r="N701" s="318" t="s">
        <v>374</v>
      </c>
      <c r="O701" s="318" t="s">
        <v>8</v>
      </c>
      <c r="P701" s="318" t="s">
        <v>296</v>
      </c>
      <c r="Q701" s="318" t="s">
        <v>325</v>
      </c>
      <c r="R701" s="318" t="s">
        <v>393</v>
      </c>
      <c r="S701" s="303">
        <f t="shared" si="11"/>
        <v>45719049.259999998</v>
      </c>
      <c r="T701" s="307">
        <f>+IFERROR(VLOOKUP(C701,'Tasas Diarias'!$B:$F,5,FALSE)*G701,0)</f>
        <v>0</v>
      </c>
      <c r="U701" s="311" t="str">
        <f>+VLOOKUP(C701,Spreads!$A$2:$G$345,7,0)</f>
        <v/>
      </c>
    </row>
    <row r="702" spans="1:21" ht="15" hidden="1" customHeight="1" thickTop="1" thickBot="1">
      <c r="A702" s="321" t="s">
        <v>2137</v>
      </c>
      <c r="B702" s="322" t="s">
        <v>299</v>
      </c>
      <c r="C702" s="322" t="s">
        <v>22</v>
      </c>
      <c r="D702" s="322" t="s">
        <v>171</v>
      </c>
      <c r="E702" s="323">
        <v>494193230</v>
      </c>
      <c r="F702" s="323">
        <v>500000000</v>
      </c>
      <c r="G702" s="314">
        <v>7.9150000000000002E-3</v>
      </c>
      <c r="H702" s="324">
        <v>3</v>
      </c>
      <c r="I702" s="322" t="s">
        <v>441</v>
      </c>
      <c r="J702" s="322">
        <v>140</v>
      </c>
      <c r="K702" s="322">
        <v>0.39</v>
      </c>
      <c r="L702" s="322">
        <v>98.838645999999997</v>
      </c>
      <c r="M702" s="322" t="s">
        <v>9</v>
      </c>
      <c r="N702" s="322" t="s">
        <v>374</v>
      </c>
      <c r="O702" s="322" t="s">
        <v>8</v>
      </c>
      <c r="P702" s="322" t="s">
        <v>375</v>
      </c>
      <c r="Q702" s="322" t="s">
        <v>88</v>
      </c>
      <c r="R702" s="322" t="s">
        <v>381</v>
      </c>
      <c r="S702" s="303">
        <f t="shared" si="11"/>
        <v>192735359.70000002</v>
      </c>
      <c r="T702" s="307">
        <f>+IFERROR(VLOOKUP(C702,'Tasas Diarias'!$B:$F,5,FALSE)*G702,0)</f>
        <v>0</v>
      </c>
      <c r="U702" s="311" t="str">
        <f>+VLOOKUP(C702,Spreads!$A$2:$G$345,7,0)</f>
        <v/>
      </c>
    </row>
    <row r="703" spans="1:21" ht="15" hidden="1" customHeight="1" thickTop="1" thickBot="1">
      <c r="A703" s="321" t="s">
        <v>2137</v>
      </c>
      <c r="B703" s="322" t="s">
        <v>299</v>
      </c>
      <c r="C703" s="322" t="s">
        <v>22</v>
      </c>
      <c r="D703" s="322" t="s">
        <v>171</v>
      </c>
      <c r="E703" s="323">
        <v>29604874</v>
      </c>
      <c r="F703" s="323">
        <v>30000000</v>
      </c>
      <c r="G703" s="314">
        <v>4.7399999999999997E-4</v>
      </c>
      <c r="H703" s="324">
        <v>3.36</v>
      </c>
      <c r="I703" s="322" t="s">
        <v>1452</v>
      </c>
      <c r="J703" s="322">
        <v>142</v>
      </c>
      <c r="K703" s="322">
        <v>0.39</v>
      </c>
      <c r="L703" s="322">
        <v>98.682912999999999</v>
      </c>
      <c r="M703" s="322" t="s">
        <v>9</v>
      </c>
      <c r="N703" s="322" t="s">
        <v>374</v>
      </c>
      <c r="O703" s="322" t="s">
        <v>8</v>
      </c>
      <c r="P703" s="322" t="s">
        <v>375</v>
      </c>
      <c r="Q703" s="322" t="s">
        <v>88</v>
      </c>
      <c r="R703" s="322" t="s">
        <v>381</v>
      </c>
      <c r="S703" s="303">
        <f t="shared" si="11"/>
        <v>11545900.860000001</v>
      </c>
      <c r="T703" s="307">
        <f>+IFERROR(VLOOKUP(C703,'Tasas Diarias'!$B:$F,5,FALSE)*G703,0)</f>
        <v>0</v>
      </c>
      <c r="U703" s="311" t="str">
        <f>+VLOOKUP(C703,Spreads!$A$2:$G$345,7,0)</f>
        <v/>
      </c>
    </row>
    <row r="704" spans="1:21" ht="15" hidden="1" customHeight="1" thickTop="1" thickBot="1">
      <c r="A704" s="327" t="s">
        <v>2137</v>
      </c>
      <c r="B704" s="328" t="s">
        <v>299</v>
      </c>
      <c r="C704" s="328" t="s">
        <v>22</v>
      </c>
      <c r="D704" s="328" t="s">
        <v>174</v>
      </c>
      <c r="E704" s="328">
        <v>148138394</v>
      </c>
      <c r="F704" s="328">
        <v>150000000</v>
      </c>
      <c r="G704" s="328">
        <v>2.372E-3</v>
      </c>
      <c r="H704" s="329">
        <v>3.12</v>
      </c>
      <c r="I704" s="328" t="s">
        <v>1426</v>
      </c>
      <c r="J704" s="328">
        <v>144</v>
      </c>
      <c r="K704" s="328">
        <v>0.4</v>
      </c>
      <c r="L704" s="328">
        <v>98.758928999999995</v>
      </c>
      <c r="M704" s="328" t="s">
        <v>9</v>
      </c>
      <c r="N704" s="328" t="s">
        <v>374</v>
      </c>
      <c r="O704" s="328" t="s">
        <v>8</v>
      </c>
      <c r="P704" s="328" t="s">
        <v>375</v>
      </c>
      <c r="Q704" s="328" t="s">
        <v>60</v>
      </c>
      <c r="R704" s="328" t="s">
        <v>408</v>
      </c>
      <c r="S704" s="303">
        <f t="shared" si="11"/>
        <v>59255357.600000001</v>
      </c>
      <c r="T704" s="307">
        <f>+IFERROR(VLOOKUP(C704,'Tasas Diarias'!$B:$F,5,FALSE)*G704,0)</f>
        <v>0</v>
      </c>
      <c r="U704" s="311" t="str">
        <f>+VLOOKUP(C704,Spreads!$A$2:$G$345,7,0)</f>
        <v/>
      </c>
    </row>
    <row r="705" spans="1:21" ht="15" hidden="1" customHeight="1" thickTop="1" thickBot="1">
      <c r="A705" s="317" t="s">
        <v>2137</v>
      </c>
      <c r="B705" s="318" t="s">
        <v>299</v>
      </c>
      <c r="C705" s="318" t="s">
        <v>22</v>
      </c>
      <c r="D705" s="318" t="s">
        <v>72</v>
      </c>
      <c r="E705" s="319">
        <v>197353490</v>
      </c>
      <c r="F705" s="319">
        <v>200000000</v>
      </c>
      <c r="G705" s="314">
        <v>3.16E-3</v>
      </c>
      <c r="H705" s="318">
        <v>3.24</v>
      </c>
      <c r="I705" s="318" t="s">
        <v>1557</v>
      </c>
      <c r="J705" s="318">
        <v>148</v>
      </c>
      <c r="K705" s="318">
        <v>0.41</v>
      </c>
      <c r="L705" s="318">
        <v>98.676744999999997</v>
      </c>
      <c r="M705" s="318" t="s">
        <v>9</v>
      </c>
      <c r="N705" s="318" t="s">
        <v>374</v>
      </c>
      <c r="O705" s="318" t="s">
        <v>8</v>
      </c>
      <c r="P705" s="318" t="s">
        <v>296</v>
      </c>
      <c r="Q705" s="318" t="s">
        <v>325</v>
      </c>
      <c r="R705" s="318" t="s">
        <v>393</v>
      </c>
      <c r="S705" s="303">
        <f t="shared" si="11"/>
        <v>80914930.899999991</v>
      </c>
      <c r="T705" s="307">
        <f>+IFERROR(VLOOKUP(C705,'Tasas Diarias'!$B:$F,5,FALSE)*G705,0)</f>
        <v>0</v>
      </c>
      <c r="U705" s="311" t="str">
        <f>+VLOOKUP(C705,Spreads!$A$2:$G$345,7,0)</f>
        <v/>
      </c>
    </row>
    <row r="706" spans="1:21" ht="15" hidden="1" customHeight="1" thickTop="1" thickBot="1">
      <c r="A706" s="321" t="s">
        <v>2137</v>
      </c>
      <c r="B706" s="322" t="s">
        <v>299</v>
      </c>
      <c r="C706" s="322" t="s">
        <v>22</v>
      </c>
      <c r="D706" s="322" t="s">
        <v>305</v>
      </c>
      <c r="E706" s="323">
        <v>889328063</v>
      </c>
      <c r="F706" s="323">
        <v>900000000</v>
      </c>
      <c r="G706" s="314">
        <v>1.4243E-2</v>
      </c>
      <c r="H706" s="324">
        <v>2.88</v>
      </c>
      <c r="I706" s="322" t="s">
        <v>1892</v>
      </c>
      <c r="J706" s="322">
        <v>149</v>
      </c>
      <c r="K706" s="322">
        <v>0.41</v>
      </c>
      <c r="L706" s="322">
        <v>98.814228999999997</v>
      </c>
      <c r="M706" s="322" t="s">
        <v>9</v>
      </c>
      <c r="N706" s="322" t="s">
        <v>374</v>
      </c>
      <c r="O706" s="322" t="s">
        <v>8</v>
      </c>
      <c r="P706" s="322" t="s">
        <v>375</v>
      </c>
      <c r="Q706" s="322" t="s">
        <v>326</v>
      </c>
      <c r="R706" s="322" t="s">
        <v>387</v>
      </c>
      <c r="S706" s="303">
        <f t="shared" si="11"/>
        <v>364624505.82999998</v>
      </c>
      <c r="T706" s="307">
        <f>+IFERROR(VLOOKUP(C706,'Tasas Diarias'!$B:$F,5,FALSE)*G706,0)</f>
        <v>0</v>
      </c>
      <c r="U706" s="311" t="str">
        <f>+VLOOKUP(C706,Spreads!$A$2:$G$345,7,0)</f>
        <v/>
      </c>
    </row>
    <row r="707" spans="1:21" ht="15" hidden="1" customHeight="1" thickTop="1" thickBot="1">
      <c r="A707" s="317" t="s">
        <v>2137</v>
      </c>
      <c r="B707" s="318" t="s">
        <v>299</v>
      </c>
      <c r="C707" s="318" t="s">
        <v>22</v>
      </c>
      <c r="D707" s="318" t="s">
        <v>174</v>
      </c>
      <c r="E707" s="319">
        <v>295947492</v>
      </c>
      <c r="F707" s="319">
        <v>300000000</v>
      </c>
      <c r="G707" s="314">
        <v>4.7390000000000002E-3</v>
      </c>
      <c r="H707" s="320">
        <v>3.12</v>
      </c>
      <c r="I707" s="318" t="s">
        <v>1840</v>
      </c>
      <c r="J707" s="318">
        <v>157</v>
      </c>
      <c r="K707" s="318">
        <v>0.43</v>
      </c>
      <c r="L707" s="318">
        <v>98.649163999999999</v>
      </c>
      <c r="M707" s="318" t="s">
        <v>9</v>
      </c>
      <c r="N707" s="318" t="s">
        <v>374</v>
      </c>
      <c r="O707" s="318" t="s">
        <v>8</v>
      </c>
      <c r="P707" s="318" t="s">
        <v>375</v>
      </c>
      <c r="Q707" s="318" t="s">
        <v>60</v>
      </c>
      <c r="R707" s="318" t="s">
        <v>408</v>
      </c>
      <c r="S707" s="303">
        <f t="shared" ref="S707:S770" si="12">+IFERROR(E707*K707,0)</f>
        <v>127257421.56</v>
      </c>
      <c r="T707" s="307">
        <f>+IFERROR(VLOOKUP(C707,'Tasas Diarias'!$B:$F,5,FALSE)*G707,0)</f>
        <v>0</v>
      </c>
      <c r="U707" s="311" t="str">
        <f>+VLOOKUP(C707,Spreads!$A$2:$G$345,7,0)</f>
        <v/>
      </c>
    </row>
    <row r="708" spans="1:21" ht="15" hidden="1" customHeight="1" thickTop="1" thickBot="1">
      <c r="A708" s="321" t="s">
        <v>2137</v>
      </c>
      <c r="B708" s="322" t="s">
        <v>299</v>
      </c>
      <c r="C708" s="322" t="s">
        <v>22</v>
      </c>
      <c r="D708" s="322" t="s">
        <v>23</v>
      </c>
      <c r="E708" s="323">
        <v>296076980</v>
      </c>
      <c r="F708" s="323">
        <v>300000000</v>
      </c>
      <c r="G708" s="314">
        <v>4.7410000000000004E-3</v>
      </c>
      <c r="H708" s="324">
        <v>3</v>
      </c>
      <c r="I708" s="322" t="s">
        <v>1571</v>
      </c>
      <c r="J708" s="322">
        <v>158</v>
      </c>
      <c r="K708" s="322">
        <v>0.44</v>
      </c>
      <c r="L708" s="322">
        <v>98.692325999999994</v>
      </c>
      <c r="M708" s="322" t="s">
        <v>9</v>
      </c>
      <c r="N708" s="322" t="s">
        <v>374</v>
      </c>
      <c r="O708" s="322" t="s">
        <v>8</v>
      </c>
      <c r="P708" s="322" t="s">
        <v>375</v>
      </c>
      <c r="Q708" s="322" t="s">
        <v>67</v>
      </c>
      <c r="R708" s="322" t="s">
        <v>376</v>
      </c>
      <c r="S708" s="303">
        <f t="shared" si="12"/>
        <v>130273871.2</v>
      </c>
      <c r="T708" s="307">
        <f>+IFERROR(VLOOKUP(C708,'Tasas Diarias'!$B:$F,5,FALSE)*G708,0)</f>
        <v>0</v>
      </c>
      <c r="U708" s="311" t="str">
        <f>+VLOOKUP(C708,Spreads!$A$2:$G$345,7,0)</f>
        <v/>
      </c>
    </row>
    <row r="709" spans="1:21" ht="15" hidden="1" customHeight="1" thickTop="1" thickBot="1">
      <c r="A709" s="317" t="s">
        <v>2137</v>
      </c>
      <c r="B709" s="318" t="s">
        <v>299</v>
      </c>
      <c r="C709" s="318" t="s">
        <v>22</v>
      </c>
      <c r="D709" s="318" t="s">
        <v>174</v>
      </c>
      <c r="E709" s="319">
        <v>394251809</v>
      </c>
      <c r="F709" s="319">
        <v>400000000</v>
      </c>
      <c r="G709" s="314">
        <v>6.3140000000000002E-3</v>
      </c>
      <c r="H709" s="320">
        <v>3.24</v>
      </c>
      <c r="I709" s="318" t="s">
        <v>1454</v>
      </c>
      <c r="J709" s="318">
        <v>161</v>
      </c>
      <c r="K709" s="318">
        <v>0.44</v>
      </c>
      <c r="L709" s="318">
        <v>98.562951999999996</v>
      </c>
      <c r="M709" s="318" t="s">
        <v>9</v>
      </c>
      <c r="N709" s="318" t="s">
        <v>374</v>
      </c>
      <c r="O709" s="318" t="s">
        <v>8</v>
      </c>
      <c r="P709" s="318" t="s">
        <v>375</v>
      </c>
      <c r="Q709" s="318" t="s">
        <v>60</v>
      </c>
      <c r="R709" s="318" t="s">
        <v>408</v>
      </c>
      <c r="S709" s="303">
        <f t="shared" si="12"/>
        <v>173470795.96000001</v>
      </c>
      <c r="T709" s="307">
        <f>+IFERROR(VLOOKUP(C709,'Tasas Diarias'!$B:$F,5,FALSE)*G709,0)</f>
        <v>0</v>
      </c>
      <c r="U709" s="311" t="str">
        <f>+VLOOKUP(C709,Spreads!$A$2:$G$345,7,0)</f>
        <v/>
      </c>
    </row>
    <row r="710" spans="1:21" ht="15" hidden="1" customHeight="1" thickTop="1" thickBot="1">
      <c r="A710" s="321" t="s">
        <v>2137</v>
      </c>
      <c r="B710" s="322" t="s">
        <v>299</v>
      </c>
      <c r="C710" s="322" t="s">
        <v>22</v>
      </c>
      <c r="D710" s="322" t="s">
        <v>171</v>
      </c>
      <c r="E710" s="323">
        <v>492992927</v>
      </c>
      <c r="F710" s="323">
        <v>500000000</v>
      </c>
      <c r="G710" s="314">
        <v>7.8949999999999992E-3</v>
      </c>
      <c r="H710" s="324">
        <v>3.12</v>
      </c>
      <c r="I710" s="322" t="s">
        <v>2089</v>
      </c>
      <c r="J710" s="322">
        <v>163</v>
      </c>
      <c r="K710" s="322">
        <v>0.45</v>
      </c>
      <c r="L710" s="322">
        <v>98.598585</v>
      </c>
      <c r="M710" s="322" t="s">
        <v>9</v>
      </c>
      <c r="N710" s="322" t="s">
        <v>374</v>
      </c>
      <c r="O710" s="322" t="s">
        <v>8</v>
      </c>
      <c r="P710" s="322" t="s">
        <v>375</v>
      </c>
      <c r="Q710" s="322" t="s">
        <v>88</v>
      </c>
      <c r="R710" s="322" t="s">
        <v>381</v>
      </c>
      <c r="S710" s="303">
        <f t="shared" si="12"/>
        <v>221846817.15000001</v>
      </c>
      <c r="T710" s="307">
        <f>+IFERROR(VLOOKUP(C710,'Tasas Diarias'!$B:$F,5,FALSE)*G710,0)</f>
        <v>0</v>
      </c>
      <c r="U710" s="311" t="str">
        <f>+VLOOKUP(C710,Spreads!$A$2:$G$345,7,0)</f>
        <v/>
      </c>
    </row>
    <row r="711" spans="1:21" ht="15" hidden="1" customHeight="1" thickTop="1" thickBot="1">
      <c r="A711" s="317" t="s">
        <v>2137</v>
      </c>
      <c r="B711" s="318" t="s">
        <v>299</v>
      </c>
      <c r="C711" s="318" t="s">
        <v>22</v>
      </c>
      <c r="D711" s="318" t="s">
        <v>174</v>
      </c>
      <c r="E711" s="319">
        <v>197100174</v>
      </c>
      <c r="F711" s="319">
        <v>200000000</v>
      </c>
      <c r="G711" s="314">
        <v>3.156E-3</v>
      </c>
      <c r="H711" s="320">
        <v>3.18</v>
      </c>
      <c r="I711" s="318" t="s">
        <v>1831</v>
      </c>
      <c r="J711" s="318">
        <v>164</v>
      </c>
      <c r="K711" s="318">
        <v>0.45</v>
      </c>
      <c r="L711" s="318">
        <v>98.550087000000005</v>
      </c>
      <c r="M711" s="318" t="s">
        <v>9</v>
      </c>
      <c r="N711" s="318" t="s">
        <v>374</v>
      </c>
      <c r="O711" s="318" t="s">
        <v>8</v>
      </c>
      <c r="P711" s="318" t="s">
        <v>375</v>
      </c>
      <c r="Q711" s="318" t="s">
        <v>60</v>
      </c>
      <c r="R711" s="318" t="s">
        <v>408</v>
      </c>
      <c r="S711" s="303">
        <f t="shared" si="12"/>
        <v>88695078.299999997</v>
      </c>
      <c r="T711" s="307">
        <f>+IFERROR(VLOOKUP(C711,'Tasas Diarias'!$B:$F,5,FALSE)*G711,0)</f>
        <v>0</v>
      </c>
      <c r="U711" s="311" t="str">
        <f>+VLOOKUP(C711,Spreads!$A$2:$G$345,7,0)</f>
        <v/>
      </c>
    </row>
    <row r="712" spans="1:21" ht="15" hidden="1" customHeight="1" thickTop="1" thickBot="1">
      <c r="A712" s="321" t="s">
        <v>2137</v>
      </c>
      <c r="B712" s="322" t="s">
        <v>299</v>
      </c>
      <c r="C712" s="322" t="s">
        <v>22</v>
      </c>
      <c r="D712" s="322" t="s">
        <v>174</v>
      </c>
      <c r="E712" s="323">
        <v>197055984</v>
      </c>
      <c r="F712" s="323">
        <v>200000000</v>
      </c>
      <c r="G712" s="314">
        <v>3.156E-3</v>
      </c>
      <c r="H712" s="322">
        <v>3.24</v>
      </c>
      <c r="I712" s="322" t="s">
        <v>1584</v>
      </c>
      <c r="J712" s="322">
        <v>165</v>
      </c>
      <c r="K712" s="322">
        <v>0.45</v>
      </c>
      <c r="L712" s="322">
        <v>98.527991999999998</v>
      </c>
      <c r="M712" s="322" t="s">
        <v>9</v>
      </c>
      <c r="N712" s="322" t="s">
        <v>374</v>
      </c>
      <c r="O712" s="322" t="s">
        <v>8</v>
      </c>
      <c r="P712" s="322" t="s">
        <v>375</v>
      </c>
      <c r="Q712" s="322" t="s">
        <v>60</v>
      </c>
      <c r="R712" s="322" t="s">
        <v>408</v>
      </c>
      <c r="S712" s="303">
        <f t="shared" si="12"/>
        <v>88675192.799999997</v>
      </c>
      <c r="T712" s="307">
        <f>+IFERROR(VLOOKUP(C712,'Tasas Diarias'!$B:$F,5,FALSE)*G712,0)</f>
        <v>0</v>
      </c>
      <c r="U712" s="311" t="str">
        <f>+VLOOKUP(C712,Spreads!$A$2:$G$345,7,0)</f>
        <v/>
      </c>
    </row>
    <row r="713" spans="1:21" ht="15" hidden="1" customHeight="1" thickTop="1" thickBot="1">
      <c r="A713" s="321" t="s">
        <v>2137</v>
      </c>
      <c r="B713" s="322" t="s">
        <v>299</v>
      </c>
      <c r="C713" s="322" t="s">
        <v>22</v>
      </c>
      <c r="D713" s="322" t="s">
        <v>23</v>
      </c>
      <c r="E713" s="323">
        <v>98635542</v>
      </c>
      <c r="F713" s="323">
        <v>100000000</v>
      </c>
      <c r="G713" s="314">
        <v>1.5790000000000001E-3</v>
      </c>
      <c r="H713" s="324">
        <v>3</v>
      </c>
      <c r="I713" s="322" t="s">
        <v>1584</v>
      </c>
      <c r="J713" s="322">
        <v>165</v>
      </c>
      <c r="K713" s="322">
        <v>0.45</v>
      </c>
      <c r="L713" s="322">
        <v>98.635542000000001</v>
      </c>
      <c r="M713" s="322" t="s">
        <v>9</v>
      </c>
      <c r="N713" s="322" t="s">
        <v>374</v>
      </c>
      <c r="O713" s="322" t="s">
        <v>8</v>
      </c>
      <c r="P713" s="322" t="s">
        <v>375</v>
      </c>
      <c r="Q713" s="322" t="s">
        <v>67</v>
      </c>
      <c r="R713" s="322" t="s">
        <v>376</v>
      </c>
      <c r="S713" s="303">
        <f t="shared" si="12"/>
        <v>44385993.899999999</v>
      </c>
      <c r="T713" s="307">
        <f>+IFERROR(VLOOKUP(C713,'Tasas Diarias'!$B:$F,5,FALSE)*G713,0)</f>
        <v>0</v>
      </c>
      <c r="U713" s="311" t="str">
        <f>+VLOOKUP(C713,Spreads!$A$2:$G$345,7,0)</f>
        <v/>
      </c>
    </row>
    <row r="714" spans="1:21" ht="15" hidden="1" customHeight="1" thickTop="1" thickBot="1">
      <c r="A714" s="317" t="s">
        <v>2137</v>
      </c>
      <c r="B714" s="318" t="s">
        <v>299</v>
      </c>
      <c r="C714" s="318" t="s">
        <v>22</v>
      </c>
      <c r="D714" s="318" t="s">
        <v>165</v>
      </c>
      <c r="E714" s="319">
        <v>160468190</v>
      </c>
      <c r="F714" s="319">
        <v>162688000</v>
      </c>
      <c r="G714" s="314">
        <v>2.5699999999999998E-3</v>
      </c>
      <c r="H714" s="320">
        <v>3</v>
      </c>
      <c r="I714" s="318" t="s">
        <v>1584</v>
      </c>
      <c r="J714" s="318">
        <v>165</v>
      </c>
      <c r="K714" s="318">
        <v>0.45</v>
      </c>
      <c r="L714" s="318">
        <v>98.635541000000003</v>
      </c>
      <c r="M714" s="318" t="s">
        <v>9</v>
      </c>
      <c r="N714" s="318" t="s">
        <v>374</v>
      </c>
      <c r="O714" s="318" t="s">
        <v>8</v>
      </c>
      <c r="P714" s="318" t="s">
        <v>375</v>
      </c>
      <c r="Q714" s="318" t="s">
        <v>74</v>
      </c>
      <c r="R714" s="318" t="s">
        <v>380</v>
      </c>
      <c r="S714" s="303">
        <f t="shared" si="12"/>
        <v>72210685.5</v>
      </c>
      <c r="T714" s="307">
        <f>+IFERROR(VLOOKUP(C714,'Tasas Diarias'!$B:$F,5,FALSE)*G714,0)</f>
        <v>0</v>
      </c>
      <c r="U714" s="311" t="str">
        <f>+VLOOKUP(C714,Spreads!$A$2:$G$345,7,0)</f>
        <v/>
      </c>
    </row>
    <row r="715" spans="1:21" ht="15" hidden="1" customHeight="1" thickTop="1" thickBot="1">
      <c r="A715" s="321" t="s">
        <v>2137</v>
      </c>
      <c r="B715" s="322" t="s">
        <v>299</v>
      </c>
      <c r="C715" s="322" t="s">
        <v>22</v>
      </c>
      <c r="D715" s="322" t="s">
        <v>174</v>
      </c>
      <c r="E715" s="323">
        <v>394124912</v>
      </c>
      <c r="F715" s="323">
        <v>400000000</v>
      </c>
      <c r="G715" s="314">
        <v>6.3119999999999999E-3</v>
      </c>
      <c r="H715" s="324">
        <v>3.12</v>
      </c>
      <c r="I715" s="322" t="s">
        <v>1526</v>
      </c>
      <c r="J715" s="322">
        <v>171</v>
      </c>
      <c r="K715" s="322">
        <v>0.47</v>
      </c>
      <c r="L715" s="322">
        <v>98.531227999999999</v>
      </c>
      <c r="M715" s="322" t="s">
        <v>9</v>
      </c>
      <c r="N715" s="322" t="s">
        <v>374</v>
      </c>
      <c r="O715" s="322" t="s">
        <v>8</v>
      </c>
      <c r="P715" s="322" t="s">
        <v>375</v>
      </c>
      <c r="Q715" s="322" t="s">
        <v>60</v>
      </c>
      <c r="R715" s="322" t="s">
        <v>408</v>
      </c>
      <c r="S715" s="303">
        <f t="shared" si="12"/>
        <v>185238708.63999999</v>
      </c>
      <c r="T715" s="307">
        <f>+IFERROR(VLOOKUP(C715,'Tasas Diarias'!$B:$F,5,FALSE)*G715,0)</f>
        <v>0</v>
      </c>
      <c r="U715" s="311" t="str">
        <f>+VLOOKUP(C715,Spreads!$A$2:$G$345,7,0)</f>
        <v/>
      </c>
    </row>
    <row r="716" spans="1:21" ht="15" hidden="1" customHeight="1" thickTop="1" thickBot="1">
      <c r="A716" s="321" t="s">
        <v>2137</v>
      </c>
      <c r="B716" s="322" t="s">
        <v>299</v>
      </c>
      <c r="C716" s="322" t="s">
        <v>22</v>
      </c>
      <c r="D716" s="322" t="s">
        <v>169</v>
      </c>
      <c r="E716" s="323">
        <v>492772668</v>
      </c>
      <c r="F716" s="323">
        <v>500000000</v>
      </c>
      <c r="G716" s="314">
        <v>7.8919999999999997E-3</v>
      </c>
      <c r="H716" s="324">
        <v>3</v>
      </c>
      <c r="I716" s="322" t="s">
        <v>1828</v>
      </c>
      <c r="J716" s="322">
        <v>175</v>
      </c>
      <c r="K716" s="322">
        <v>0.48</v>
      </c>
      <c r="L716" s="322">
        <v>98.554533000000006</v>
      </c>
      <c r="M716" s="322" t="s">
        <v>9</v>
      </c>
      <c r="N716" s="322" t="s">
        <v>374</v>
      </c>
      <c r="O716" s="322" t="s">
        <v>8</v>
      </c>
      <c r="P716" s="322" t="s">
        <v>375</v>
      </c>
      <c r="Q716" s="322" t="s">
        <v>51</v>
      </c>
      <c r="R716" s="322" t="s">
        <v>385</v>
      </c>
      <c r="S716" s="303">
        <f t="shared" si="12"/>
        <v>236530880.63999999</v>
      </c>
      <c r="T716" s="307">
        <f>+IFERROR(VLOOKUP(C716,'Tasas Diarias'!$B:$F,5,FALSE)*G716,0)</f>
        <v>0</v>
      </c>
      <c r="U716" s="311" t="str">
        <f>+VLOOKUP(C716,Spreads!$A$2:$G$345,7,0)</f>
        <v/>
      </c>
    </row>
    <row r="717" spans="1:21" ht="15" hidden="1" customHeight="1" thickTop="1" thickBot="1">
      <c r="A717" s="317" t="s">
        <v>2137</v>
      </c>
      <c r="B717" s="318" t="s">
        <v>299</v>
      </c>
      <c r="C717" s="318" t="s">
        <v>22</v>
      </c>
      <c r="D717" s="318" t="s">
        <v>165</v>
      </c>
      <c r="E717" s="319">
        <v>246204350</v>
      </c>
      <c r="F717" s="319">
        <v>250000000</v>
      </c>
      <c r="G717" s="314">
        <v>3.9430000000000003E-3</v>
      </c>
      <c r="H717" s="320">
        <v>3</v>
      </c>
      <c r="I717" s="318" t="s">
        <v>2138</v>
      </c>
      <c r="J717" s="318">
        <v>184</v>
      </c>
      <c r="K717" s="318">
        <v>0.51</v>
      </c>
      <c r="L717" s="318">
        <v>98.481740000000002</v>
      </c>
      <c r="M717" s="318" t="s">
        <v>9</v>
      </c>
      <c r="N717" s="318" t="s">
        <v>374</v>
      </c>
      <c r="O717" s="318" t="s">
        <v>8</v>
      </c>
      <c r="P717" s="318" t="s">
        <v>375</v>
      </c>
      <c r="Q717" s="318" t="s">
        <v>74</v>
      </c>
      <c r="R717" s="318" t="s">
        <v>380</v>
      </c>
      <c r="S717" s="303">
        <f t="shared" si="12"/>
        <v>125564218.5</v>
      </c>
      <c r="T717" s="307">
        <f>+IFERROR(VLOOKUP(C717,'Tasas Diarias'!$B:$F,5,FALSE)*G717,0)</f>
        <v>0</v>
      </c>
      <c r="U717" s="311" t="str">
        <f>+VLOOKUP(C717,Spreads!$A$2:$G$345,7,0)</f>
        <v/>
      </c>
    </row>
    <row r="718" spans="1:21" ht="15" hidden="1" customHeight="1" thickTop="1" thickBot="1">
      <c r="A718" s="327" t="s">
        <v>2137</v>
      </c>
      <c r="B718" s="328" t="s">
        <v>299</v>
      </c>
      <c r="C718" s="328" t="s">
        <v>22</v>
      </c>
      <c r="D718" s="328" t="s">
        <v>305</v>
      </c>
      <c r="E718" s="328">
        <v>49181618</v>
      </c>
      <c r="F718" s="328">
        <v>50000000</v>
      </c>
      <c r="G718" s="328">
        <v>7.8700000000000005E-4</v>
      </c>
      <c r="H718" s="329">
        <v>3.12</v>
      </c>
      <c r="I718" s="328" t="s">
        <v>1829</v>
      </c>
      <c r="J718" s="328">
        <v>191</v>
      </c>
      <c r="K718" s="328">
        <v>0.53</v>
      </c>
      <c r="L718" s="328">
        <v>98.363236000000001</v>
      </c>
      <c r="M718" s="328" t="s">
        <v>9</v>
      </c>
      <c r="N718" s="328" t="s">
        <v>374</v>
      </c>
      <c r="O718" s="328" t="s">
        <v>8</v>
      </c>
      <c r="P718" s="328" t="s">
        <v>375</v>
      </c>
      <c r="Q718" s="328" t="s">
        <v>326</v>
      </c>
      <c r="R718" s="328" t="s">
        <v>387</v>
      </c>
      <c r="S718" s="303">
        <f t="shared" si="12"/>
        <v>26066257.540000003</v>
      </c>
      <c r="T718" s="307">
        <f>+IFERROR(VLOOKUP(C718,'Tasas Diarias'!$B:$F,5,FALSE)*G718,0)</f>
        <v>0</v>
      </c>
      <c r="U718" s="311" t="str">
        <f>+VLOOKUP(C718,Spreads!$A$2:$G$345,7,0)</f>
        <v/>
      </c>
    </row>
    <row r="719" spans="1:21" ht="15" hidden="1" customHeight="1" thickTop="1" thickBot="1">
      <c r="A719" s="321" t="s">
        <v>2137</v>
      </c>
      <c r="B719" s="322" t="s">
        <v>299</v>
      </c>
      <c r="C719" s="322" t="s">
        <v>22</v>
      </c>
      <c r="D719" s="348" t="s">
        <v>55</v>
      </c>
      <c r="E719" s="323">
        <v>196834249</v>
      </c>
      <c r="F719" s="323">
        <v>200000000</v>
      </c>
      <c r="G719" s="314">
        <v>3.1519999999999999E-3</v>
      </c>
      <c r="H719" s="324">
        <v>3</v>
      </c>
      <c r="I719" s="322" t="s">
        <v>1939</v>
      </c>
      <c r="J719" s="322">
        <v>192</v>
      </c>
      <c r="K719" s="322">
        <v>0.53</v>
      </c>
      <c r="L719" s="322">
        <v>98.417124000000001</v>
      </c>
      <c r="M719" s="322" t="s">
        <v>9</v>
      </c>
      <c r="N719" s="322" t="s">
        <v>374</v>
      </c>
      <c r="O719" s="322" t="s">
        <v>8</v>
      </c>
      <c r="P719" s="322" t="s">
        <v>375</v>
      </c>
      <c r="Q719" s="322" t="s">
        <v>55</v>
      </c>
      <c r="R719" s="322" t="s">
        <v>386</v>
      </c>
      <c r="S719" s="303">
        <f t="shared" si="12"/>
        <v>104322151.97</v>
      </c>
      <c r="T719" s="307">
        <f>+IFERROR(VLOOKUP(C719,'Tasas Diarias'!$B:$F,5,FALSE)*G719,0)</f>
        <v>0</v>
      </c>
      <c r="U719" s="311" t="str">
        <f>+VLOOKUP(C719,Spreads!$A$2:$G$345,7,0)</f>
        <v/>
      </c>
    </row>
    <row r="720" spans="1:21" ht="15" hidden="1" customHeight="1" thickTop="1" thickBot="1">
      <c r="A720" s="317" t="s">
        <v>2137</v>
      </c>
      <c r="B720" s="318" t="s">
        <v>299</v>
      </c>
      <c r="C720" s="318" t="s">
        <v>22</v>
      </c>
      <c r="D720" s="318" t="s">
        <v>305</v>
      </c>
      <c r="E720" s="319">
        <v>294963982</v>
      </c>
      <c r="F720" s="319">
        <v>300000000</v>
      </c>
      <c r="G720" s="314">
        <v>4.7239999999999999E-3</v>
      </c>
      <c r="H720" s="320">
        <v>3.12</v>
      </c>
      <c r="I720" s="318" t="s">
        <v>1872</v>
      </c>
      <c r="J720" s="318">
        <v>196</v>
      </c>
      <c r="K720" s="318">
        <v>0.54</v>
      </c>
      <c r="L720" s="318">
        <v>98.321326999999997</v>
      </c>
      <c r="M720" s="318" t="s">
        <v>9</v>
      </c>
      <c r="N720" s="318" t="s">
        <v>374</v>
      </c>
      <c r="O720" s="318" t="s">
        <v>8</v>
      </c>
      <c r="P720" s="318" t="s">
        <v>375</v>
      </c>
      <c r="Q720" s="318" t="s">
        <v>326</v>
      </c>
      <c r="R720" s="318" t="s">
        <v>387</v>
      </c>
      <c r="S720" s="303">
        <f t="shared" si="12"/>
        <v>159280550.28</v>
      </c>
      <c r="T720" s="307">
        <f>+IFERROR(VLOOKUP(C720,'Tasas Diarias'!$B:$F,5,FALSE)*G720,0)</f>
        <v>0</v>
      </c>
      <c r="U720" s="311" t="str">
        <f>+VLOOKUP(C720,Spreads!$A$2:$G$345,7,0)</f>
        <v/>
      </c>
    </row>
    <row r="721" spans="1:21" ht="15" hidden="1" customHeight="1" thickTop="1" thickBot="1">
      <c r="A721" s="317" t="s">
        <v>2137</v>
      </c>
      <c r="B721" s="318" t="s">
        <v>299</v>
      </c>
      <c r="C721" s="318" t="s">
        <v>22</v>
      </c>
      <c r="D721" s="318" t="s">
        <v>164</v>
      </c>
      <c r="E721" s="319">
        <v>491521259</v>
      </c>
      <c r="F721" s="319">
        <v>500000000</v>
      </c>
      <c r="G721" s="314">
        <v>7.8720000000000005E-3</v>
      </c>
      <c r="H721" s="320">
        <v>3</v>
      </c>
      <c r="I721" s="318" t="s">
        <v>1834</v>
      </c>
      <c r="J721" s="318">
        <v>206</v>
      </c>
      <c r="K721" s="318">
        <v>0.56999999999999995</v>
      </c>
      <c r="L721" s="318">
        <v>98.304250999999994</v>
      </c>
      <c r="M721" s="318" t="s">
        <v>9</v>
      </c>
      <c r="N721" s="318" t="s">
        <v>374</v>
      </c>
      <c r="O721" s="318" t="s">
        <v>8</v>
      </c>
      <c r="P721" s="318" t="s">
        <v>375</v>
      </c>
      <c r="Q721" s="318" t="s">
        <v>61</v>
      </c>
      <c r="R721" s="318" t="s">
        <v>384</v>
      </c>
      <c r="S721" s="303">
        <f t="shared" si="12"/>
        <v>280167117.63</v>
      </c>
      <c r="T721" s="307">
        <f>+IFERROR(VLOOKUP(C721,'Tasas Diarias'!$B:$F,5,FALSE)*G721,0)</f>
        <v>0</v>
      </c>
      <c r="U721" s="311" t="str">
        <f>+VLOOKUP(C721,Spreads!$A$2:$G$345,7,0)</f>
        <v/>
      </c>
    </row>
    <row r="722" spans="1:21" ht="15" hidden="1" customHeight="1" thickTop="1" thickBot="1">
      <c r="A722" s="327" t="s">
        <v>2137</v>
      </c>
      <c r="B722" s="328" t="s">
        <v>299</v>
      </c>
      <c r="C722" s="328" t="s">
        <v>22</v>
      </c>
      <c r="D722" s="328" t="s">
        <v>171</v>
      </c>
      <c r="E722" s="328">
        <v>392783262</v>
      </c>
      <c r="F722" s="328">
        <v>400000000</v>
      </c>
      <c r="G722" s="328">
        <v>6.2899999999999996E-3</v>
      </c>
      <c r="H722" s="329">
        <v>3.12</v>
      </c>
      <c r="I722" s="328" t="s">
        <v>1830</v>
      </c>
      <c r="J722" s="328">
        <v>211</v>
      </c>
      <c r="K722" s="328">
        <v>0.57999999999999996</v>
      </c>
      <c r="L722" s="328">
        <v>98.195814999999996</v>
      </c>
      <c r="M722" s="328" t="s">
        <v>9</v>
      </c>
      <c r="N722" s="328" t="s">
        <v>374</v>
      </c>
      <c r="O722" s="328" t="s">
        <v>8</v>
      </c>
      <c r="P722" s="328" t="s">
        <v>375</v>
      </c>
      <c r="Q722" s="328" t="s">
        <v>88</v>
      </c>
      <c r="R722" s="328" t="s">
        <v>381</v>
      </c>
      <c r="S722" s="303">
        <f t="shared" si="12"/>
        <v>227814291.95999998</v>
      </c>
      <c r="T722" s="307">
        <f>+IFERROR(VLOOKUP(C722,'Tasas Diarias'!$B:$F,5,FALSE)*G722,0)</f>
        <v>0</v>
      </c>
      <c r="U722" s="311" t="str">
        <f>+VLOOKUP(C722,Spreads!$A$2:$G$345,7,0)</f>
        <v/>
      </c>
    </row>
    <row r="723" spans="1:21" ht="15" hidden="1" customHeight="1" thickTop="1" thickBot="1">
      <c r="A723" s="317" t="s">
        <v>2137</v>
      </c>
      <c r="B723" s="318" t="s">
        <v>299</v>
      </c>
      <c r="C723" s="318" t="s">
        <v>22</v>
      </c>
      <c r="D723" s="318" t="s">
        <v>72</v>
      </c>
      <c r="E723" s="319">
        <v>294227261</v>
      </c>
      <c r="F723" s="319">
        <v>300000000</v>
      </c>
      <c r="G723" s="314">
        <v>4.712E-3</v>
      </c>
      <c r="H723" s="320">
        <v>3.24</v>
      </c>
      <c r="I723" s="318" t="s">
        <v>1877</v>
      </c>
      <c r="J723" s="318">
        <v>217</v>
      </c>
      <c r="K723" s="318">
        <v>0.6</v>
      </c>
      <c r="L723" s="318">
        <v>98.075753000000006</v>
      </c>
      <c r="M723" s="318" t="s">
        <v>9</v>
      </c>
      <c r="N723" s="318" t="s">
        <v>374</v>
      </c>
      <c r="O723" s="318" t="s">
        <v>8</v>
      </c>
      <c r="P723" s="318" t="s">
        <v>296</v>
      </c>
      <c r="Q723" s="318" t="s">
        <v>325</v>
      </c>
      <c r="R723" s="318" t="s">
        <v>393</v>
      </c>
      <c r="S723" s="303">
        <f t="shared" si="12"/>
        <v>176536356.59999999</v>
      </c>
      <c r="T723" s="307">
        <f>+IFERROR(VLOOKUP(C723,'Tasas Diarias'!$B:$F,5,FALSE)*G723,0)</f>
        <v>0</v>
      </c>
      <c r="U723" s="311" t="str">
        <f>+VLOOKUP(C723,Spreads!$A$2:$G$345,7,0)</f>
        <v/>
      </c>
    </row>
    <row r="724" spans="1:21" ht="15" hidden="1" customHeight="1" thickTop="1" thickBot="1">
      <c r="A724" s="317" t="s">
        <v>2137</v>
      </c>
      <c r="B724" s="318" t="s">
        <v>299</v>
      </c>
      <c r="C724" s="318" t="s">
        <v>22</v>
      </c>
      <c r="D724" s="318" t="s">
        <v>165</v>
      </c>
      <c r="E724" s="319">
        <v>55205589</v>
      </c>
      <c r="F724" s="319">
        <v>56291667</v>
      </c>
      <c r="G724" s="314">
        <v>8.8400000000000002E-4</v>
      </c>
      <c r="H724" s="320">
        <v>3.12</v>
      </c>
      <c r="I724" s="318" t="s">
        <v>1841</v>
      </c>
      <c r="J724" s="318">
        <v>226</v>
      </c>
      <c r="K724" s="318">
        <v>0.62</v>
      </c>
      <c r="L724" s="318">
        <v>98.070622999999998</v>
      </c>
      <c r="M724" s="318" t="s">
        <v>9</v>
      </c>
      <c r="N724" s="318" t="s">
        <v>374</v>
      </c>
      <c r="O724" s="318" t="s">
        <v>8</v>
      </c>
      <c r="P724" s="318" t="s">
        <v>375</v>
      </c>
      <c r="Q724" s="318" t="s">
        <v>74</v>
      </c>
      <c r="R724" s="318" t="s">
        <v>380</v>
      </c>
      <c r="S724" s="303">
        <f t="shared" si="12"/>
        <v>34227465.18</v>
      </c>
      <c r="T724" s="307">
        <f>+IFERROR(VLOOKUP(C724,'Tasas Diarias'!$B:$F,5,FALSE)*G724,0)</f>
        <v>0</v>
      </c>
      <c r="U724" s="311" t="str">
        <f>+VLOOKUP(C724,Spreads!$A$2:$G$345,7,0)</f>
        <v/>
      </c>
    </row>
    <row r="725" spans="1:21" ht="15" hidden="1" customHeight="1" thickTop="1" thickBot="1">
      <c r="A725" s="321" t="s">
        <v>2137</v>
      </c>
      <c r="B725" s="322" t="s">
        <v>299</v>
      </c>
      <c r="C725" s="322" t="s">
        <v>22</v>
      </c>
      <c r="D725" s="322" t="s">
        <v>72</v>
      </c>
      <c r="E725" s="323">
        <v>48994630</v>
      </c>
      <c r="F725" s="323">
        <v>50000000</v>
      </c>
      <c r="G725" s="314">
        <v>7.8399999999999997E-4</v>
      </c>
      <c r="H725" s="324">
        <v>3.24</v>
      </c>
      <c r="I725" s="322" t="s">
        <v>1940</v>
      </c>
      <c r="J725" s="322">
        <v>227</v>
      </c>
      <c r="K725" s="322">
        <v>0.62</v>
      </c>
      <c r="L725" s="322">
        <v>97.989260000000002</v>
      </c>
      <c r="M725" s="322" t="s">
        <v>9</v>
      </c>
      <c r="N725" s="322" t="s">
        <v>374</v>
      </c>
      <c r="O725" s="322" t="s">
        <v>8</v>
      </c>
      <c r="P725" s="322" t="s">
        <v>296</v>
      </c>
      <c r="Q725" s="322" t="s">
        <v>325</v>
      </c>
      <c r="R725" s="322" t="s">
        <v>393</v>
      </c>
      <c r="S725" s="303">
        <f t="shared" si="12"/>
        <v>30376670.600000001</v>
      </c>
      <c r="T725" s="307">
        <f>+IFERROR(VLOOKUP(C725,'Tasas Diarias'!$B:$F,5,FALSE)*G725,0)</f>
        <v>0</v>
      </c>
      <c r="U725" s="311" t="str">
        <f>+VLOOKUP(C725,Spreads!$A$2:$G$345,7,0)</f>
        <v/>
      </c>
    </row>
    <row r="726" spans="1:21" ht="15" hidden="1" customHeight="1" thickTop="1" thickBot="1">
      <c r="A726" s="327" t="s">
        <v>2137</v>
      </c>
      <c r="B726" s="328" t="s">
        <v>299</v>
      </c>
      <c r="C726" s="328" t="s">
        <v>22</v>
      </c>
      <c r="D726" s="328" t="s">
        <v>305</v>
      </c>
      <c r="E726" s="328">
        <v>19610791</v>
      </c>
      <c r="F726" s="349">
        <v>20000000</v>
      </c>
      <c r="G726" s="328">
        <v>3.1399999999999999E-4</v>
      </c>
      <c r="H726" s="329">
        <v>3.12</v>
      </c>
      <c r="I726" s="328" t="s">
        <v>1592</v>
      </c>
      <c r="J726" s="328">
        <v>228</v>
      </c>
      <c r="K726" s="328">
        <v>0.63</v>
      </c>
      <c r="L726" s="328">
        <v>98.053955000000002</v>
      </c>
      <c r="M726" s="328" t="s">
        <v>9</v>
      </c>
      <c r="N726" s="328" t="s">
        <v>374</v>
      </c>
      <c r="O726" s="328" t="s">
        <v>8</v>
      </c>
      <c r="P726" s="328" t="s">
        <v>375</v>
      </c>
      <c r="Q726" s="328" t="s">
        <v>326</v>
      </c>
      <c r="R726" s="328" t="s">
        <v>387</v>
      </c>
      <c r="S726" s="303">
        <f t="shared" si="12"/>
        <v>12354798.33</v>
      </c>
      <c r="T726" s="307">
        <f>+IFERROR(VLOOKUP(C726,'Tasas Diarias'!$B:$F,5,FALSE)*G726,0)</f>
        <v>0</v>
      </c>
      <c r="U726" s="311" t="str">
        <f>+VLOOKUP(C726,Spreads!$A$2:$G$345,7,0)</f>
        <v/>
      </c>
    </row>
    <row r="727" spans="1:21" ht="15" hidden="1" customHeight="1" thickTop="1" thickBot="1">
      <c r="A727" s="321" t="s">
        <v>2137</v>
      </c>
      <c r="B727" s="322" t="s">
        <v>299</v>
      </c>
      <c r="C727" s="322" t="s">
        <v>22</v>
      </c>
      <c r="D727" s="322" t="s">
        <v>305</v>
      </c>
      <c r="E727" s="323">
        <v>686202750</v>
      </c>
      <c r="F727" s="323">
        <v>700000000</v>
      </c>
      <c r="G727" s="314">
        <v>1.099E-2</v>
      </c>
      <c r="H727" s="324">
        <v>3.12</v>
      </c>
      <c r="I727" s="322" t="s">
        <v>1590</v>
      </c>
      <c r="J727" s="322">
        <v>231</v>
      </c>
      <c r="K727" s="322">
        <v>0.64</v>
      </c>
      <c r="L727" s="322">
        <v>98.028964000000002</v>
      </c>
      <c r="M727" s="322" t="s">
        <v>9</v>
      </c>
      <c r="N727" s="322" t="s">
        <v>374</v>
      </c>
      <c r="O727" s="322" t="s">
        <v>8</v>
      </c>
      <c r="P727" s="322" t="s">
        <v>375</v>
      </c>
      <c r="Q727" s="322" t="s">
        <v>326</v>
      </c>
      <c r="R727" s="322" t="s">
        <v>387</v>
      </c>
      <c r="S727" s="303">
        <f t="shared" si="12"/>
        <v>439169760</v>
      </c>
      <c r="T727" s="307">
        <f>+IFERROR(VLOOKUP(C727,'Tasas Diarias'!$B:$F,5,FALSE)*G727,0)</f>
        <v>0</v>
      </c>
      <c r="U727" s="311" t="str">
        <f>+VLOOKUP(C727,Spreads!$A$2:$G$345,7,0)</f>
        <v/>
      </c>
    </row>
    <row r="728" spans="1:21" ht="15" hidden="1" customHeight="1" thickTop="1" thickBot="1">
      <c r="A728" s="317" t="s">
        <v>2137</v>
      </c>
      <c r="B728" s="318" t="s">
        <v>299</v>
      </c>
      <c r="C728" s="318" t="s">
        <v>22</v>
      </c>
      <c r="D728" s="318" t="s">
        <v>1430</v>
      </c>
      <c r="E728" s="319">
        <v>108885801</v>
      </c>
      <c r="F728" s="319">
        <v>111000000</v>
      </c>
      <c r="G728" s="314">
        <v>1.743E-3</v>
      </c>
      <c r="H728" s="320">
        <v>3</v>
      </c>
      <c r="I728" s="318" t="s">
        <v>1835</v>
      </c>
      <c r="J728" s="318">
        <v>232</v>
      </c>
      <c r="K728" s="318">
        <v>0.64</v>
      </c>
      <c r="L728" s="318">
        <v>98.095315999999997</v>
      </c>
      <c r="M728" s="318" t="s">
        <v>9</v>
      </c>
      <c r="N728" s="318" t="s">
        <v>374</v>
      </c>
      <c r="O728" s="318" t="s">
        <v>8</v>
      </c>
      <c r="P728" s="318" t="s">
        <v>375</v>
      </c>
      <c r="Q728" s="318" t="s">
        <v>1430</v>
      </c>
      <c r="R728" s="318" t="s">
        <v>1431</v>
      </c>
      <c r="S728" s="303">
        <f t="shared" si="12"/>
        <v>69686912.640000001</v>
      </c>
      <c r="T728" s="307">
        <f>+IFERROR(VLOOKUP(C728,'Tasas Diarias'!$B:$F,5,FALSE)*G728,0)</f>
        <v>0</v>
      </c>
      <c r="U728" s="311" t="str">
        <f>+VLOOKUP(C728,Spreads!$A$2:$G$345,7,0)</f>
        <v/>
      </c>
    </row>
    <row r="729" spans="1:21" ht="15" hidden="1" customHeight="1" thickTop="1" thickBot="1">
      <c r="A729" s="321" t="s">
        <v>2137</v>
      </c>
      <c r="B729" s="322" t="s">
        <v>299</v>
      </c>
      <c r="C729" s="322" t="s">
        <v>22</v>
      </c>
      <c r="D729" s="322" t="s">
        <v>174</v>
      </c>
      <c r="E729" s="323">
        <v>390701309</v>
      </c>
      <c r="F729" s="323">
        <v>400000000</v>
      </c>
      <c r="G729" s="314">
        <v>6.2570000000000004E-3</v>
      </c>
      <c r="H729" s="324">
        <v>3.36</v>
      </c>
      <c r="I729" s="322" t="s">
        <v>457</v>
      </c>
      <c r="J729" s="322">
        <v>254</v>
      </c>
      <c r="K729" s="322">
        <v>0.7</v>
      </c>
      <c r="L729" s="322">
        <v>97.675326999999996</v>
      </c>
      <c r="M729" s="322" t="s">
        <v>9</v>
      </c>
      <c r="N729" s="322" t="s">
        <v>374</v>
      </c>
      <c r="O729" s="322" t="s">
        <v>8</v>
      </c>
      <c r="P729" s="322" t="s">
        <v>375</v>
      </c>
      <c r="Q729" s="322" t="s">
        <v>60</v>
      </c>
      <c r="R729" s="322" t="s">
        <v>408</v>
      </c>
      <c r="S729" s="303">
        <f t="shared" si="12"/>
        <v>273490916.30000001</v>
      </c>
      <c r="T729" s="307">
        <f>+IFERROR(VLOOKUP(C729,'Tasas Diarias'!$B:$F,5,FALSE)*G729,0)</f>
        <v>0</v>
      </c>
      <c r="U729" s="311" t="str">
        <f>+VLOOKUP(C729,Spreads!$A$2:$G$345,7,0)</f>
        <v/>
      </c>
    </row>
    <row r="730" spans="1:21" ht="15" hidden="1" customHeight="1" thickTop="1" thickBot="1">
      <c r="A730" s="317" t="s">
        <v>2137</v>
      </c>
      <c r="B730" s="318" t="s">
        <v>299</v>
      </c>
      <c r="C730" s="318" t="s">
        <v>22</v>
      </c>
      <c r="D730" s="318" t="s">
        <v>305</v>
      </c>
      <c r="E730" s="319">
        <v>97796323</v>
      </c>
      <c r="F730" s="319">
        <v>100000000</v>
      </c>
      <c r="G730" s="314">
        <v>1.5659999999999999E-3</v>
      </c>
      <c r="H730" s="320">
        <v>3.12</v>
      </c>
      <c r="I730" s="318" t="s">
        <v>1606</v>
      </c>
      <c r="J730" s="318">
        <v>259</v>
      </c>
      <c r="K730" s="318">
        <v>0.71</v>
      </c>
      <c r="L730" s="318">
        <v>97.796323000000001</v>
      </c>
      <c r="M730" s="318" t="s">
        <v>9</v>
      </c>
      <c r="N730" s="318" t="s">
        <v>374</v>
      </c>
      <c r="O730" s="318" t="s">
        <v>8</v>
      </c>
      <c r="P730" s="318" t="s">
        <v>375</v>
      </c>
      <c r="Q730" s="318" t="s">
        <v>326</v>
      </c>
      <c r="R730" s="318" t="s">
        <v>387</v>
      </c>
      <c r="S730" s="303">
        <f t="shared" si="12"/>
        <v>69435389.329999998</v>
      </c>
      <c r="T730" s="307">
        <f>+IFERROR(VLOOKUP(C730,'Tasas Diarias'!$B:$F,5,FALSE)*G730,0)</f>
        <v>0</v>
      </c>
      <c r="U730" s="311" t="str">
        <f>+VLOOKUP(C730,Spreads!$A$2:$G$345,7,0)</f>
        <v/>
      </c>
    </row>
    <row r="731" spans="1:21" ht="15" hidden="1" customHeight="1" thickTop="1" thickBot="1">
      <c r="A731" s="317" t="s">
        <v>2137</v>
      </c>
      <c r="B731" s="318" t="s">
        <v>299</v>
      </c>
      <c r="C731" s="318" t="s">
        <v>22</v>
      </c>
      <c r="D731" s="318" t="s">
        <v>169</v>
      </c>
      <c r="E731" s="319">
        <v>781906680</v>
      </c>
      <c r="F731" s="319">
        <v>800000000</v>
      </c>
      <c r="G731" s="314">
        <v>1.2522999999999999E-2</v>
      </c>
      <c r="H731" s="320">
        <v>3.12</v>
      </c>
      <c r="I731" s="318" t="s">
        <v>1917</v>
      </c>
      <c r="J731" s="318">
        <v>266</v>
      </c>
      <c r="K731" s="318">
        <v>0.73</v>
      </c>
      <c r="L731" s="318">
        <v>97.738335000000006</v>
      </c>
      <c r="M731" s="318" t="s">
        <v>9</v>
      </c>
      <c r="N731" s="318" t="s">
        <v>374</v>
      </c>
      <c r="O731" s="318" t="s">
        <v>8</v>
      </c>
      <c r="P731" s="318" t="s">
        <v>375</v>
      </c>
      <c r="Q731" s="318" t="s">
        <v>51</v>
      </c>
      <c r="R731" s="318" t="s">
        <v>385</v>
      </c>
      <c r="S731" s="303">
        <f t="shared" si="12"/>
        <v>570791876.39999998</v>
      </c>
      <c r="T731" s="307">
        <f>+IFERROR(VLOOKUP(C731,'Tasas Diarias'!$B:$F,5,FALSE)*G731,0)</f>
        <v>0</v>
      </c>
      <c r="U731" s="311" t="str">
        <f>+VLOOKUP(C731,Spreads!$A$2:$G$345,7,0)</f>
        <v/>
      </c>
    </row>
    <row r="732" spans="1:21" ht="15" hidden="1" customHeight="1" thickTop="1" thickBot="1">
      <c r="A732" s="321" t="s">
        <v>2137</v>
      </c>
      <c r="B732" s="322" t="s">
        <v>299</v>
      </c>
      <c r="C732" s="322" t="s">
        <v>22</v>
      </c>
      <c r="D732" s="322" t="s">
        <v>305</v>
      </c>
      <c r="E732" s="323">
        <v>586281024</v>
      </c>
      <c r="F732" s="323">
        <v>600000000</v>
      </c>
      <c r="G732" s="314">
        <v>9.3889999999999998E-3</v>
      </c>
      <c r="H732" s="324">
        <v>3.12</v>
      </c>
      <c r="I732" s="322" t="s">
        <v>1591</v>
      </c>
      <c r="J732" s="322">
        <v>269</v>
      </c>
      <c r="K732" s="322">
        <v>0.74</v>
      </c>
      <c r="L732" s="322">
        <v>97.713504</v>
      </c>
      <c r="M732" s="322" t="s">
        <v>9</v>
      </c>
      <c r="N732" s="322" t="s">
        <v>374</v>
      </c>
      <c r="O732" s="322" t="s">
        <v>8</v>
      </c>
      <c r="P732" s="322" t="s">
        <v>375</v>
      </c>
      <c r="Q732" s="322" t="s">
        <v>326</v>
      </c>
      <c r="R732" s="322" t="s">
        <v>387</v>
      </c>
      <c r="S732" s="303">
        <f t="shared" si="12"/>
        <v>433847957.75999999</v>
      </c>
      <c r="T732" s="307">
        <f>+IFERROR(VLOOKUP(C732,'Tasas Diarias'!$B:$F,5,FALSE)*G732,0)</f>
        <v>0</v>
      </c>
      <c r="U732" s="311" t="str">
        <f>+VLOOKUP(C732,Spreads!$A$2:$G$345,7,0)</f>
        <v/>
      </c>
    </row>
    <row r="733" spans="1:21" ht="15" hidden="1" customHeight="1" thickTop="1" thickBot="1">
      <c r="A733" s="317" t="s">
        <v>2137</v>
      </c>
      <c r="B733" s="318" t="s">
        <v>299</v>
      </c>
      <c r="C733" s="318" t="s">
        <v>22</v>
      </c>
      <c r="D733" s="318" t="s">
        <v>169</v>
      </c>
      <c r="E733" s="319">
        <v>973754082</v>
      </c>
      <c r="F733" s="319">
        <v>1000000000</v>
      </c>
      <c r="G733" s="314">
        <v>1.5594999999999999E-2</v>
      </c>
      <c r="H733" s="320">
        <v>3.12</v>
      </c>
      <c r="I733" s="318" t="s">
        <v>1873</v>
      </c>
      <c r="J733" s="318">
        <v>310</v>
      </c>
      <c r="K733" s="318">
        <v>0.85</v>
      </c>
      <c r="L733" s="318">
        <v>97.375407999999993</v>
      </c>
      <c r="M733" s="318" t="s">
        <v>9</v>
      </c>
      <c r="N733" s="318" t="s">
        <v>374</v>
      </c>
      <c r="O733" s="318" t="s">
        <v>8</v>
      </c>
      <c r="P733" s="318" t="s">
        <v>375</v>
      </c>
      <c r="Q733" s="318" t="s">
        <v>51</v>
      </c>
      <c r="R733" s="318" t="s">
        <v>385</v>
      </c>
      <c r="S733" s="303">
        <f t="shared" si="12"/>
        <v>827690969.69999993</v>
      </c>
      <c r="T733" s="307">
        <f>+IFERROR(VLOOKUP(C733,'Tasas Diarias'!$B:$F,5,FALSE)*G733,0)</f>
        <v>0</v>
      </c>
      <c r="U733" s="311" t="str">
        <f>+VLOOKUP(C733,Spreads!$A$2:$G$345,7,0)</f>
        <v/>
      </c>
    </row>
    <row r="734" spans="1:21" ht="15" hidden="1" customHeight="1" thickTop="1" thickBot="1">
      <c r="A734" s="321" t="s">
        <v>2137</v>
      </c>
      <c r="B734" s="322" t="s">
        <v>299</v>
      </c>
      <c r="C734" s="322" t="s">
        <v>22</v>
      </c>
      <c r="D734" s="322" t="s">
        <v>23</v>
      </c>
      <c r="E734" s="323">
        <v>408528519</v>
      </c>
      <c r="F734" s="323">
        <v>420000000</v>
      </c>
      <c r="G734" s="314">
        <v>6.5430000000000002E-3</v>
      </c>
      <c r="H734" s="324">
        <v>3.12</v>
      </c>
      <c r="I734" s="322" t="s">
        <v>1941</v>
      </c>
      <c r="J734" s="322">
        <v>323</v>
      </c>
      <c r="K734" s="322">
        <v>0.89</v>
      </c>
      <c r="L734" s="322">
        <v>97.268694999999994</v>
      </c>
      <c r="M734" s="322" t="s">
        <v>9</v>
      </c>
      <c r="N734" s="322" t="s">
        <v>374</v>
      </c>
      <c r="O734" s="322" t="s">
        <v>8</v>
      </c>
      <c r="P734" s="322" t="s">
        <v>375</v>
      </c>
      <c r="Q734" s="322" t="s">
        <v>67</v>
      </c>
      <c r="R734" s="322" t="s">
        <v>376</v>
      </c>
      <c r="S734" s="303">
        <f t="shared" si="12"/>
        <v>363590381.91000003</v>
      </c>
      <c r="T734" s="307">
        <f>+IFERROR(VLOOKUP(C734,'Tasas Diarias'!$B:$F,5,FALSE)*G734,0)</f>
        <v>0</v>
      </c>
      <c r="U734" s="311" t="str">
        <f>+VLOOKUP(C734,Spreads!$A$2:$G$345,7,0)</f>
        <v/>
      </c>
    </row>
    <row r="735" spans="1:21" ht="15" hidden="1" customHeight="1" thickTop="1" thickBot="1">
      <c r="A735" s="317" t="s">
        <v>2137</v>
      </c>
      <c r="B735" s="318" t="s">
        <v>299</v>
      </c>
      <c r="C735" s="318" t="s">
        <v>22</v>
      </c>
      <c r="D735" s="318" t="s">
        <v>23</v>
      </c>
      <c r="E735" s="319">
        <v>388779815</v>
      </c>
      <c r="F735" s="319">
        <v>400000000</v>
      </c>
      <c r="G735" s="314">
        <v>6.2259999999999998E-3</v>
      </c>
      <c r="H735" s="320">
        <v>3.12</v>
      </c>
      <c r="I735" s="318" t="s">
        <v>2090</v>
      </c>
      <c r="J735" s="318">
        <v>332</v>
      </c>
      <c r="K735" s="318">
        <v>0.91</v>
      </c>
      <c r="L735" s="318">
        <v>97.194952999999998</v>
      </c>
      <c r="M735" s="318" t="s">
        <v>9</v>
      </c>
      <c r="N735" s="318" t="s">
        <v>374</v>
      </c>
      <c r="O735" s="318" t="s">
        <v>8</v>
      </c>
      <c r="P735" s="318" t="s">
        <v>375</v>
      </c>
      <c r="Q735" s="318" t="s">
        <v>67</v>
      </c>
      <c r="R735" s="318" t="s">
        <v>376</v>
      </c>
      <c r="S735" s="303">
        <f t="shared" si="12"/>
        <v>353789631.65000004</v>
      </c>
      <c r="T735" s="307">
        <f>+IFERROR(VLOOKUP(C735,'Tasas Diarias'!$B:$F,5,FALSE)*G735,0)</f>
        <v>0</v>
      </c>
      <c r="U735" s="311" t="str">
        <f>+VLOOKUP(C735,Spreads!$A$2:$G$345,7,0)</f>
        <v/>
      </c>
    </row>
    <row r="736" spans="1:21" ht="15" hidden="1" customHeight="1" thickTop="1" thickBot="1">
      <c r="A736" s="321" t="s">
        <v>2137</v>
      </c>
      <c r="B736" s="322" t="s">
        <v>299</v>
      </c>
      <c r="C736" s="322" t="s">
        <v>22</v>
      </c>
      <c r="D736" s="322" t="s">
        <v>23</v>
      </c>
      <c r="E736" s="323">
        <v>145584424</v>
      </c>
      <c r="F736" s="323">
        <v>150000000</v>
      </c>
      <c r="G736" s="314">
        <v>2.3310000000000002E-3</v>
      </c>
      <c r="H736" s="324">
        <v>3.24</v>
      </c>
      <c r="I736" s="322" t="s">
        <v>1879</v>
      </c>
      <c r="J736" s="322">
        <v>336</v>
      </c>
      <c r="K736" s="322">
        <v>0.92</v>
      </c>
      <c r="L736" s="322">
        <v>97.056281999999996</v>
      </c>
      <c r="M736" s="322" t="s">
        <v>9</v>
      </c>
      <c r="N736" s="322" t="s">
        <v>374</v>
      </c>
      <c r="O736" s="322" t="s">
        <v>8</v>
      </c>
      <c r="P736" s="322" t="s">
        <v>375</v>
      </c>
      <c r="Q736" s="322" t="s">
        <v>67</v>
      </c>
      <c r="R736" s="322" t="s">
        <v>376</v>
      </c>
      <c r="S736" s="303">
        <f t="shared" si="12"/>
        <v>133937670.08000001</v>
      </c>
      <c r="T736" s="307">
        <f>+IFERROR(VLOOKUP(C736,'Tasas Diarias'!$B:$F,5,FALSE)*G736,0)</f>
        <v>0</v>
      </c>
      <c r="U736" s="311" t="str">
        <f>+VLOOKUP(C736,Spreads!$A$2:$G$345,7,0)</f>
        <v/>
      </c>
    </row>
    <row r="737" spans="1:21" ht="15" hidden="1" customHeight="1" thickTop="1" thickBot="1">
      <c r="A737" s="321" t="s">
        <v>2137</v>
      </c>
      <c r="B737" s="322" t="s">
        <v>300</v>
      </c>
      <c r="C737" s="322" t="s">
        <v>49</v>
      </c>
      <c r="D737" s="322" t="s">
        <v>171</v>
      </c>
      <c r="E737" s="323">
        <v>399984.45</v>
      </c>
      <c r="F737" s="323">
        <v>400000</v>
      </c>
      <c r="G737" s="314">
        <v>1.0309E-2</v>
      </c>
      <c r="H737" s="324">
        <v>1.4</v>
      </c>
      <c r="I737" s="322" t="s">
        <v>1530</v>
      </c>
      <c r="J737" s="322">
        <v>0</v>
      </c>
      <c r="K737" s="322">
        <v>0</v>
      </c>
      <c r="L737" s="322"/>
      <c r="M737" s="322" t="s">
        <v>369</v>
      </c>
      <c r="N737" s="322" t="s">
        <v>374</v>
      </c>
      <c r="O737" s="322" t="s">
        <v>8</v>
      </c>
      <c r="P737" s="322" t="s">
        <v>375</v>
      </c>
      <c r="Q737" s="322" t="s">
        <v>88</v>
      </c>
      <c r="R737" s="322" t="s">
        <v>381</v>
      </c>
      <c r="S737" s="303">
        <f t="shared" si="12"/>
        <v>0</v>
      </c>
      <c r="T737" s="307">
        <f>+IFERROR(VLOOKUP(C737,'Tasas Diarias'!$B:$F,5,FALSE)*G737,0)</f>
        <v>0</v>
      </c>
      <c r="U737" s="311" t="str">
        <f>+VLOOKUP(C737,Spreads!$A$2:$G$345,7,0)</f>
        <v/>
      </c>
    </row>
    <row r="738" spans="1:21" ht="15" hidden="1" customHeight="1" thickTop="1" thickBot="1">
      <c r="A738" s="327" t="s">
        <v>2137</v>
      </c>
      <c r="B738" s="328" t="s">
        <v>300</v>
      </c>
      <c r="C738" s="328" t="s">
        <v>22</v>
      </c>
      <c r="D738" s="328" t="s">
        <v>164</v>
      </c>
      <c r="E738" s="328">
        <v>1589183.2694000001</v>
      </c>
      <c r="F738" s="328">
        <v>1000000000</v>
      </c>
      <c r="G738" s="328">
        <v>4.0960999999999997E-2</v>
      </c>
      <c r="H738" s="329">
        <v>2.52</v>
      </c>
      <c r="I738" s="328" t="s">
        <v>1530</v>
      </c>
      <c r="J738" s="328">
        <v>0</v>
      </c>
      <c r="K738" s="328">
        <v>0</v>
      </c>
      <c r="L738" s="328">
        <v>0.158918</v>
      </c>
      <c r="M738" s="328" t="s">
        <v>9</v>
      </c>
      <c r="N738" s="328" t="s">
        <v>374</v>
      </c>
      <c r="O738" s="328" t="s">
        <v>8</v>
      </c>
      <c r="P738" s="328" t="s">
        <v>375</v>
      </c>
      <c r="Q738" s="328" t="s">
        <v>61</v>
      </c>
      <c r="R738" s="328" t="s">
        <v>384</v>
      </c>
      <c r="S738" s="303">
        <f t="shared" si="12"/>
        <v>0</v>
      </c>
      <c r="T738" s="307">
        <f>+IFERROR(VLOOKUP(C738,'Tasas Diarias'!$B:$F,5,FALSE)*G738,0)</f>
        <v>0</v>
      </c>
      <c r="U738" s="311" t="str">
        <f>+VLOOKUP(C738,Spreads!$A$2:$G$345,7,0)</f>
        <v/>
      </c>
    </row>
    <row r="739" spans="1:21" ht="15" hidden="1" customHeight="1" thickTop="1" thickBot="1">
      <c r="A739" s="317" t="s">
        <v>2137</v>
      </c>
      <c r="B739" s="318" t="s">
        <v>300</v>
      </c>
      <c r="C739" s="318" t="s">
        <v>49</v>
      </c>
      <c r="D739" s="318" t="s">
        <v>1561</v>
      </c>
      <c r="E739" s="319">
        <v>500666.61</v>
      </c>
      <c r="F739" s="319">
        <v>500708.33</v>
      </c>
      <c r="G739" s="314">
        <v>1.2904000000000001E-2</v>
      </c>
      <c r="H739" s="320">
        <v>1.5</v>
      </c>
      <c r="I739" s="318" t="s">
        <v>1601</v>
      </c>
      <c r="J739" s="318">
        <v>1</v>
      </c>
      <c r="K739" s="318">
        <v>0.01</v>
      </c>
      <c r="L739" s="318"/>
      <c r="M739" s="318" t="s">
        <v>369</v>
      </c>
      <c r="N739" s="318" t="s">
        <v>374</v>
      </c>
      <c r="O739" s="318" t="s">
        <v>378</v>
      </c>
      <c r="P739" s="318" t="s">
        <v>379</v>
      </c>
      <c r="Q739" s="318" t="s">
        <v>1564</v>
      </c>
      <c r="R739" s="318" t="s">
        <v>1562</v>
      </c>
      <c r="S739" s="303">
        <f t="shared" si="12"/>
        <v>5006.6661000000004</v>
      </c>
      <c r="T739" s="307">
        <f>+IFERROR(VLOOKUP(C739,'Tasas Diarias'!$B:$F,5,FALSE)*G739,0)</f>
        <v>0</v>
      </c>
      <c r="U739" s="311" t="str">
        <f>+VLOOKUP(C739,Spreads!$A$2:$G$345,7,0)</f>
        <v/>
      </c>
    </row>
    <row r="740" spans="1:21" ht="15" hidden="1" customHeight="1" thickTop="1" thickBot="1">
      <c r="A740" s="317" t="s">
        <v>2137</v>
      </c>
      <c r="B740" s="318" t="s">
        <v>300</v>
      </c>
      <c r="C740" s="318" t="s">
        <v>49</v>
      </c>
      <c r="D740" s="318" t="s">
        <v>171</v>
      </c>
      <c r="E740" s="319">
        <v>99989.17</v>
      </c>
      <c r="F740" s="319">
        <v>100000</v>
      </c>
      <c r="G740" s="314">
        <v>2.5769999999999999E-3</v>
      </c>
      <c r="H740" s="320">
        <v>1.3</v>
      </c>
      <c r="I740" s="318" t="s">
        <v>1555</v>
      </c>
      <c r="J740" s="318">
        <v>2</v>
      </c>
      <c r="K740" s="318">
        <v>0.01</v>
      </c>
      <c r="L740" s="318"/>
      <c r="M740" s="318" t="s">
        <v>369</v>
      </c>
      <c r="N740" s="318" t="s">
        <v>374</v>
      </c>
      <c r="O740" s="318" t="s">
        <v>8</v>
      </c>
      <c r="P740" s="318" t="s">
        <v>375</v>
      </c>
      <c r="Q740" s="318" t="s">
        <v>88</v>
      </c>
      <c r="R740" s="318" t="s">
        <v>381</v>
      </c>
      <c r="S740" s="303">
        <f t="shared" si="12"/>
        <v>999.89170000000001</v>
      </c>
      <c r="T740" s="307">
        <f>+IFERROR(VLOOKUP(C740,'Tasas Diarias'!$B:$F,5,FALSE)*G740,0)</f>
        <v>0</v>
      </c>
      <c r="U740" s="311" t="str">
        <f>+VLOOKUP(C740,Spreads!$A$2:$G$345,7,0)</f>
        <v/>
      </c>
    </row>
    <row r="741" spans="1:21" ht="15" hidden="1" customHeight="1" thickTop="1" thickBot="1">
      <c r="A741" s="321" t="s">
        <v>2137</v>
      </c>
      <c r="B741" s="322" t="s">
        <v>300</v>
      </c>
      <c r="C741" s="322" t="s">
        <v>49</v>
      </c>
      <c r="D741" s="322" t="s">
        <v>54</v>
      </c>
      <c r="E741" s="323">
        <v>99987.92</v>
      </c>
      <c r="F741" s="323">
        <v>100000</v>
      </c>
      <c r="G741" s="314">
        <v>2.5769999999999999E-3</v>
      </c>
      <c r="H741" s="324">
        <v>1.45</v>
      </c>
      <c r="I741" s="322" t="s">
        <v>1555</v>
      </c>
      <c r="J741" s="322">
        <v>2</v>
      </c>
      <c r="K741" s="322">
        <v>0.01</v>
      </c>
      <c r="L741" s="322"/>
      <c r="M741" s="322" t="s">
        <v>369</v>
      </c>
      <c r="N741" s="322" t="s">
        <v>374</v>
      </c>
      <c r="O741" s="322" t="s">
        <v>8</v>
      </c>
      <c r="P741" s="322" t="s">
        <v>375</v>
      </c>
      <c r="Q741" s="322" t="s">
        <v>390</v>
      </c>
      <c r="R741" s="322" t="s">
        <v>391</v>
      </c>
      <c r="S741" s="303">
        <f t="shared" si="12"/>
        <v>999.87919999999997</v>
      </c>
      <c r="T741" s="307">
        <f>+IFERROR(VLOOKUP(C741,'Tasas Diarias'!$B:$F,5,FALSE)*G741,0)</f>
        <v>0</v>
      </c>
      <c r="U741" s="311" t="str">
        <f>+VLOOKUP(C741,Spreads!$A$2:$G$345,7,0)</f>
        <v/>
      </c>
    </row>
    <row r="742" spans="1:21" ht="15" hidden="1" customHeight="1" thickTop="1" thickBot="1">
      <c r="A742" s="327" t="s">
        <v>2137</v>
      </c>
      <c r="B742" s="328" t="s">
        <v>300</v>
      </c>
      <c r="C742" s="328" t="s">
        <v>49</v>
      </c>
      <c r="D742" s="328" t="s">
        <v>1561</v>
      </c>
      <c r="E742" s="328">
        <v>899812.54</v>
      </c>
      <c r="F742" s="328">
        <v>900000</v>
      </c>
      <c r="G742" s="328">
        <v>2.3192999999999998E-2</v>
      </c>
      <c r="H742" s="329">
        <v>1.5</v>
      </c>
      <c r="I742" s="328" t="s">
        <v>1414</v>
      </c>
      <c r="J742" s="328">
        <v>4</v>
      </c>
      <c r="K742" s="328">
        <v>0.01</v>
      </c>
      <c r="L742" s="328"/>
      <c r="M742" s="328" t="s">
        <v>369</v>
      </c>
      <c r="N742" s="328" t="s">
        <v>374</v>
      </c>
      <c r="O742" s="328" t="s">
        <v>378</v>
      </c>
      <c r="P742" s="328" t="s">
        <v>379</v>
      </c>
      <c r="Q742" s="328" t="s">
        <v>1564</v>
      </c>
      <c r="R742" s="328" t="s">
        <v>1562</v>
      </c>
      <c r="S742" s="303">
        <f t="shared" si="12"/>
        <v>8998.1254000000008</v>
      </c>
      <c r="T742" s="307">
        <f>+IFERROR(VLOOKUP(C742,'Tasas Diarias'!$B:$F,5,FALSE)*G742,0)</f>
        <v>0</v>
      </c>
      <c r="U742" s="311" t="str">
        <f>+VLOOKUP(C742,Spreads!$A$2:$G$345,7,0)</f>
        <v/>
      </c>
    </row>
    <row r="743" spans="1:21" ht="15" hidden="1" customHeight="1" thickTop="1" thickBot="1">
      <c r="A743" s="321" t="s">
        <v>2137</v>
      </c>
      <c r="B743" s="322" t="s">
        <v>300</v>
      </c>
      <c r="C743" s="322" t="s">
        <v>49</v>
      </c>
      <c r="D743" s="322" t="s">
        <v>54</v>
      </c>
      <c r="E743" s="323">
        <v>1000083.32</v>
      </c>
      <c r="F743" s="323">
        <v>1000416.68</v>
      </c>
      <c r="G743" s="314">
        <v>2.5777000000000001E-2</v>
      </c>
      <c r="H743" s="322">
        <v>1.5</v>
      </c>
      <c r="I743" s="322" t="s">
        <v>2149</v>
      </c>
      <c r="J743" s="322">
        <v>7</v>
      </c>
      <c r="K743" s="322">
        <v>0.02</v>
      </c>
      <c r="L743" s="322"/>
      <c r="M743" s="322" t="s">
        <v>369</v>
      </c>
      <c r="N743" s="322" t="s">
        <v>374</v>
      </c>
      <c r="O743" s="322" t="s">
        <v>8</v>
      </c>
      <c r="P743" s="322" t="s">
        <v>375</v>
      </c>
      <c r="Q743" s="322" t="s">
        <v>390</v>
      </c>
      <c r="R743" s="322" t="s">
        <v>391</v>
      </c>
      <c r="S743" s="303">
        <f t="shared" si="12"/>
        <v>20001.666399999998</v>
      </c>
      <c r="T743" s="307">
        <f>+IFERROR(VLOOKUP(C743,'Tasas Diarias'!$B:$F,5,FALSE)*G743,0)</f>
        <v>0</v>
      </c>
      <c r="U743" s="311" t="str">
        <f>+VLOOKUP(C743,Spreads!$A$2:$G$345,7,0)</f>
        <v/>
      </c>
    </row>
    <row r="744" spans="1:21" ht="15" hidden="1" customHeight="1" thickTop="1" thickBot="1">
      <c r="A744" s="321" t="s">
        <v>2137</v>
      </c>
      <c r="B744" s="322" t="s">
        <v>300</v>
      </c>
      <c r="C744" s="322" t="s">
        <v>49</v>
      </c>
      <c r="D744" s="322" t="s">
        <v>54</v>
      </c>
      <c r="E744" s="323">
        <v>899554.72</v>
      </c>
      <c r="F744" s="323">
        <v>900000</v>
      </c>
      <c r="G744" s="314">
        <v>2.3185999999999998E-2</v>
      </c>
      <c r="H744" s="322">
        <v>1.98</v>
      </c>
      <c r="I744" s="322" t="s">
        <v>1915</v>
      </c>
      <c r="J744" s="322">
        <v>8</v>
      </c>
      <c r="K744" s="322">
        <v>0.02</v>
      </c>
      <c r="L744" s="322"/>
      <c r="M744" s="322" t="s">
        <v>369</v>
      </c>
      <c r="N744" s="322" t="s">
        <v>374</v>
      </c>
      <c r="O744" s="322" t="s">
        <v>8</v>
      </c>
      <c r="P744" s="322" t="s">
        <v>375</v>
      </c>
      <c r="Q744" s="322" t="s">
        <v>390</v>
      </c>
      <c r="R744" s="322" t="s">
        <v>391</v>
      </c>
      <c r="S744" s="303">
        <f t="shared" si="12"/>
        <v>17991.094399999998</v>
      </c>
      <c r="T744" s="307">
        <f>+IFERROR(VLOOKUP(C744,'Tasas Diarias'!$B:$F,5,FALSE)*G744,0)</f>
        <v>0</v>
      </c>
      <c r="U744" s="311" t="str">
        <f>+VLOOKUP(C744,Spreads!$A$2:$G$345,7,0)</f>
        <v/>
      </c>
    </row>
    <row r="745" spans="1:21" ht="15" hidden="1" customHeight="1" thickTop="1" thickBot="1">
      <c r="A745" s="321" t="s">
        <v>2137</v>
      </c>
      <c r="B745" s="322" t="s">
        <v>300</v>
      </c>
      <c r="C745" s="322" t="s">
        <v>49</v>
      </c>
      <c r="D745" s="322" t="s">
        <v>167</v>
      </c>
      <c r="E745" s="323">
        <v>499819.51</v>
      </c>
      <c r="F745" s="323">
        <v>500000</v>
      </c>
      <c r="G745" s="314">
        <v>1.2883E-2</v>
      </c>
      <c r="H745" s="324">
        <v>1.3</v>
      </c>
      <c r="I745" s="322" t="s">
        <v>1552</v>
      </c>
      <c r="J745" s="322">
        <v>9</v>
      </c>
      <c r="K745" s="322">
        <v>0.03</v>
      </c>
      <c r="L745" s="322"/>
      <c r="M745" s="322" t="s">
        <v>369</v>
      </c>
      <c r="N745" s="322" t="s">
        <v>374</v>
      </c>
      <c r="O745" s="322" t="s">
        <v>8</v>
      </c>
      <c r="P745" s="322" t="s">
        <v>375</v>
      </c>
      <c r="Q745" s="322" t="s">
        <v>77</v>
      </c>
      <c r="R745" s="322" t="s">
        <v>400</v>
      </c>
      <c r="S745" s="303">
        <f t="shared" si="12"/>
        <v>14994.585299999999</v>
      </c>
      <c r="T745" s="307">
        <f>+IFERROR(VLOOKUP(C745,'Tasas Diarias'!$B:$F,5,FALSE)*G745,0)</f>
        <v>0</v>
      </c>
      <c r="U745" s="311" t="str">
        <f>+VLOOKUP(C745,Spreads!$A$2:$G$345,7,0)</f>
        <v/>
      </c>
    </row>
    <row r="746" spans="1:21" ht="15" hidden="1" customHeight="1" thickTop="1" thickBot="1">
      <c r="A746" s="321" t="s">
        <v>2137</v>
      </c>
      <c r="B746" s="322" t="s">
        <v>300</v>
      </c>
      <c r="C746" s="322" t="s">
        <v>49</v>
      </c>
      <c r="D746" s="322" t="s">
        <v>171</v>
      </c>
      <c r="E746" s="323">
        <v>2998584</v>
      </c>
      <c r="F746" s="323">
        <v>3000000</v>
      </c>
      <c r="G746" s="314">
        <v>7.7288999999999997E-2</v>
      </c>
      <c r="H746" s="324">
        <v>1.7</v>
      </c>
      <c r="I746" s="322" t="s">
        <v>1552</v>
      </c>
      <c r="J746" s="322">
        <v>9</v>
      </c>
      <c r="K746" s="322">
        <v>0.03</v>
      </c>
      <c r="L746" s="322"/>
      <c r="M746" s="322" t="s">
        <v>369</v>
      </c>
      <c r="N746" s="322" t="s">
        <v>374</v>
      </c>
      <c r="O746" s="322" t="s">
        <v>8</v>
      </c>
      <c r="P746" s="322" t="s">
        <v>375</v>
      </c>
      <c r="Q746" s="322" t="s">
        <v>88</v>
      </c>
      <c r="R746" s="322" t="s">
        <v>381</v>
      </c>
      <c r="S746" s="303">
        <f t="shared" si="12"/>
        <v>89957.51999999999</v>
      </c>
      <c r="T746" s="307">
        <f>+IFERROR(VLOOKUP(C746,'Tasas Diarias'!$B:$F,5,FALSE)*G746,0)</f>
        <v>0</v>
      </c>
      <c r="U746" s="311" t="str">
        <f>+VLOOKUP(C746,Spreads!$A$2:$G$345,7,0)</f>
        <v/>
      </c>
    </row>
    <row r="747" spans="1:21" ht="15" hidden="1" customHeight="1" thickTop="1" thickBot="1">
      <c r="A747" s="317" t="s">
        <v>2137</v>
      </c>
      <c r="B747" s="318" t="s">
        <v>300</v>
      </c>
      <c r="C747" s="318" t="s">
        <v>22</v>
      </c>
      <c r="D747" s="318" t="s">
        <v>23</v>
      </c>
      <c r="E747" s="319">
        <v>1429212.1628</v>
      </c>
      <c r="F747" s="319">
        <v>900000000</v>
      </c>
      <c r="G747" s="314">
        <v>3.6838000000000003E-2</v>
      </c>
      <c r="H747" s="320">
        <v>2.64</v>
      </c>
      <c r="I747" s="318" t="s">
        <v>2091</v>
      </c>
      <c r="J747" s="318">
        <v>10</v>
      </c>
      <c r="K747" s="318">
        <v>0.03</v>
      </c>
      <c r="L747" s="318">
        <v>0.158801</v>
      </c>
      <c r="M747" s="318" t="s">
        <v>9</v>
      </c>
      <c r="N747" s="318" t="s">
        <v>374</v>
      </c>
      <c r="O747" s="318" t="s">
        <v>8</v>
      </c>
      <c r="P747" s="318" t="s">
        <v>375</v>
      </c>
      <c r="Q747" s="318" t="s">
        <v>67</v>
      </c>
      <c r="R747" s="318" t="s">
        <v>376</v>
      </c>
      <c r="S747" s="303">
        <f t="shared" si="12"/>
        <v>42876.364884000002</v>
      </c>
      <c r="T747" s="307">
        <f>+IFERROR(VLOOKUP(C747,'Tasas Diarias'!$B:$F,5,FALSE)*G747,0)</f>
        <v>0</v>
      </c>
      <c r="U747" s="311" t="str">
        <f>+VLOOKUP(C747,Spreads!$A$2:$G$345,7,0)</f>
        <v/>
      </c>
    </row>
    <row r="748" spans="1:21" ht="15" hidden="1" customHeight="1" thickTop="1" thickBot="1">
      <c r="A748" s="321" t="s">
        <v>2137</v>
      </c>
      <c r="B748" s="322" t="s">
        <v>300</v>
      </c>
      <c r="C748" s="322" t="s">
        <v>22</v>
      </c>
      <c r="D748" s="322" t="s">
        <v>70</v>
      </c>
      <c r="E748" s="323">
        <v>3969901.5638000001</v>
      </c>
      <c r="F748" s="323">
        <v>2500000000</v>
      </c>
      <c r="G748" s="314">
        <v>0.102325</v>
      </c>
      <c r="H748" s="324">
        <v>2.52</v>
      </c>
      <c r="I748" s="322" t="s">
        <v>818</v>
      </c>
      <c r="J748" s="322">
        <v>11</v>
      </c>
      <c r="K748" s="322">
        <v>0.03</v>
      </c>
      <c r="L748" s="322">
        <v>0.15879599999999999</v>
      </c>
      <c r="M748" s="322" t="s">
        <v>9</v>
      </c>
      <c r="N748" s="322" t="s">
        <v>374</v>
      </c>
      <c r="O748" s="322" t="s">
        <v>8</v>
      </c>
      <c r="P748" s="322" t="s">
        <v>375</v>
      </c>
      <c r="Q748" s="322" t="s">
        <v>70</v>
      </c>
      <c r="R748" s="322" t="s">
        <v>383</v>
      </c>
      <c r="S748" s="303">
        <f t="shared" si="12"/>
        <v>119097.04691400001</v>
      </c>
      <c r="T748" s="307">
        <f>+IFERROR(VLOOKUP(C748,'Tasas Diarias'!$B:$F,5,FALSE)*G748,0)</f>
        <v>0</v>
      </c>
      <c r="U748" s="311" t="str">
        <f>+VLOOKUP(C748,Spreads!$A$2:$G$345,7,0)</f>
        <v/>
      </c>
    </row>
    <row r="749" spans="1:21" ht="15" hidden="1" customHeight="1" thickTop="1" thickBot="1">
      <c r="A749" s="317" t="s">
        <v>2137</v>
      </c>
      <c r="B749" s="318" t="s">
        <v>300</v>
      </c>
      <c r="C749" s="318" t="s">
        <v>22</v>
      </c>
      <c r="D749" s="318" t="s">
        <v>169</v>
      </c>
      <c r="E749" s="319">
        <v>1154897.9369999999</v>
      </c>
      <c r="F749" s="319">
        <v>727472672</v>
      </c>
      <c r="G749" s="314">
        <v>2.9766999999999998E-2</v>
      </c>
      <c r="H749" s="320">
        <v>2.64</v>
      </c>
      <c r="I749" s="318" t="s">
        <v>1602</v>
      </c>
      <c r="J749" s="318">
        <v>14</v>
      </c>
      <c r="K749" s="318">
        <v>0.04</v>
      </c>
      <c r="L749" s="318">
        <v>0.15875400000000001</v>
      </c>
      <c r="M749" s="318" t="s">
        <v>9</v>
      </c>
      <c r="N749" s="318" t="s">
        <v>374</v>
      </c>
      <c r="O749" s="318" t="s">
        <v>8</v>
      </c>
      <c r="P749" s="318" t="s">
        <v>375</v>
      </c>
      <c r="Q749" s="318" t="s">
        <v>51</v>
      </c>
      <c r="R749" s="318" t="s">
        <v>385</v>
      </c>
      <c r="S749" s="303">
        <f t="shared" si="12"/>
        <v>46195.917479999996</v>
      </c>
      <c r="T749" s="307">
        <f>+IFERROR(VLOOKUP(C749,'Tasas Diarias'!$B:$F,5,FALSE)*G749,0)</f>
        <v>0</v>
      </c>
      <c r="U749" s="311" t="str">
        <f>+VLOOKUP(C749,Spreads!$A$2:$G$345,7,0)</f>
        <v/>
      </c>
    </row>
    <row r="750" spans="1:21" ht="15" hidden="1" customHeight="1" thickTop="1" thickBot="1">
      <c r="A750" s="321" t="s">
        <v>2137</v>
      </c>
      <c r="B750" s="322" t="s">
        <v>300</v>
      </c>
      <c r="C750" s="322" t="s">
        <v>22</v>
      </c>
      <c r="D750" s="322" t="s">
        <v>23</v>
      </c>
      <c r="E750" s="323">
        <v>2857329.8993000002</v>
      </c>
      <c r="F750" s="323">
        <v>1800000000</v>
      </c>
      <c r="G750" s="314">
        <v>7.3648000000000005E-2</v>
      </c>
      <c r="H750" s="322">
        <v>2.52</v>
      </c>
      <c r="I750" s="322" t="s">
        <v>1936</v>
      </c>
      <c r="J750" s="322">
        <v>16</v>
      </c>
      <c r="K750" s="322">
        <v>0.05</v>
      </c>
      <c r="L750" s="322">
        <v>0.15873999999999999</v>
      </c>
      <c r="M750" s="322" t="s">
        <v>9</v>
      </c>
      <c r="N750" s="322" t="s">
        <v>374</v>
      </c>
      <c r="O750" s="322" t="s">
        <v>8</v>
      </c>
      <c r="P750" s="322" t="s">
        <v>375</v>
      </c>
      <c r="Q750" s="322" t="s">
        <v>67</v>
      </c>
      <c r="R750" s="322" t="s">
        <v>376</v>
      </c>
      <c r="S750" s="303">
        <f t="shared" si="12"/>
        <v>142866.49496500002</v>
      </c>
      <c r="T750" s="307">
        <f>+IFERROR(VLOOKUP(C750,'Tasas Diarias'!$B:$F,5,FALSE)*G750,0)</f>
        <v>0</v>
      </c>
      <c r="U750" s="311" t="str">
        <f>+VLOOKUP(C750,Spreads!$A$2:$G$345,7,0)</f>
        <v/>
      </c>
    </row>
    <row r="751" spans="1:21" ht="15" hidden="1" customHeight="1" thickTop="1" thickBot="1">
      <c r="A751" s="321" t="s">
        <v>2137</v>
      </c>
      <c r="B751" s="322" t="s">
        <v>300</v>
      </c>
      <c r="C751" s="322" t="s">
        <v>22</v>
      </c>
      <c r="D751" s="322" t="s">
        <v>164</v>
      </c>
      <c r="E751" s="323">
        <v>873073.02489999996</v>
      </c>
      <c r="F751" s="323">
        <v>550000000</v>
      </c>
      <c r="G751" s="314">
        <v>2.2502999999999999E-2</v>
      </c>
      <c r="H751" s="324">
        <v>2.52</v>
      </c>
      <c r="I751" s="322" t="s">
        <v>1936</v>
      </c>
      <c r="J751" s="322">
        <v>16</v>
      </c>
      <c r="K751" s="322">
        <v>0.05</v>
      </c>
      <c r="L751" s="322">
        <v>0.15873999999999999</v>
      </c>
      <c r="M751" s="322" t="s">
        <v>9</v>
      </c>
      <c r="N751" s="322" t="s">
        <v>374</v>
      </c>
      <c r="O751" s="322" t="s">
        <v>8</v>
      </c>
      <c r="P751" s="322" t="s">
        <v>375</v>
      </c>
      <c r="Q751" s="322" t="s">
        <v>61</v>
      </c>
      <c r="R751" s="322" t="s">
        <v>384</v>
      </c>
      <c r="S751" s="303">
        <f t="shared" si="12"/>
        <v>43653.651245000001</v>
      </c>
      <c r="T751" s="307">
        <f>+IFERROR(VLOOKUP(C751,'Tasas Diarias'!$B:$F,5,FALSE)*G751,0)</f>
        <v>0</v>
      </c>
      <c r="U751" s="311" t="str">
        <f>+VLOOKUP(C751,Spreads!$A$2:$G$345,7,0)</f>
        <v/>
      </c>
    </row>
    <row r="752" spans="1:21" ht="15" hidden="1" customHeight="1" thickTop="1" thickBot="1">
      <c r="A752" s="317" t="s">
        <v>2137</v>
      </c>
      <c r="B752" s="318" t="s">
        <v>300</v>
      </c>
      <c r="C752" s="318" t="s">
        <v>49</v>
      </c>
      <c r="D752" s="318" t="s">
        <v>164</v>
      </c>
      <c r="E752" s="319">
        <v>1798920.65</v>
      </c>
      <c r="F752" s="319">
        <v>1800000</v>
      </c>
      <c r="G752" s="314">
        <v>4.6366999999999998E-2</v>
      </c>
      <c r="H752" s="320">
        <v>1.2</v>
      </c>
      <c r="I752" s="318" t="s">
        <v>1320</v>
      </c>
      <c r="J752" s="318">
        <v>17</v>
      </c>
      <c r="K752" s="318">
        <v>0.05</v>
      </c>
      <c r="L752" s="318"/>
      <c r="M752" s="318" t="s">
        <v>369</v>
      </c>
      <c r="N752" s="318" t="s">
        <v>374</v>
      </c>
      <c r="O752" s="318" t="s">
        <v>8</v>
      </c>
      <c r="P752" s="318" t="s">
        <v>375</v>
      </c>
      <c r="Q752" s="318" t="s">
        <v>61</v>
      </c>
      <c r="R752" s="318" t="s">
        <v>384</v>
      </c>
      <c r="S752" s="303">
        <f t="shared" si="12"/>
        <v>89946.032500000001</v>
      </c>
      <c r="T752" s="307">
        <f>+IFERROR(VLOOKUP(C752,'Tasas Diarias'!$B:$F,5,FALSE)*G752,0)</f>
        <v>0</v>
      </c>
      <c r="U752" s="311" t="str">
        <f>+VLOOKUP(C752,Spreads!$A$2:$G$345,7,0)</f>
        <v/>
      </c>
    </row>
    <row r="753" spans="1:21" ht="15" hidden="1" customHeight="1" thickTop="1" thickBot="1">
      <c r="A753" s="321" t="s">
        <v>2137</v>
      </c>
      <c r="B753" s="322" t="s">
        <v>300</v>
      </c>
      <c r="C753" s="322" t="s">
        <v>49</v>
      </c>
      <c r="D753" s="322" t="s">
        <v>169</v>
      </c>
      <c r="E753" s="323">
        <v>999375.39</v>
      </c>
      <c r="F753" s="323">
        <v>1000000</v>
      </c>
      <c r="G753" s="314">
        <v>2.5759000000000001E-2</v>
      </c>
      <c r="H753" s="322">
        <v>1.25</v>
      </c>
      <c r="I753" s="322" t="s">
        <v>1320</v>
      </c>
      <c r="J753" s="322">
        <v>17</v>
      </c>
      <c r="K753" s="322">
        <v>0.05</v>
      </c>
      <c r="L753" s="322"/>
      <c r="M753" s="322" t="s">
        <v>369</v>
      </c>
      <c r="N753" s="322" t="s">
        <v>374</v>
      </c>
      <c r="O753" s="322" t="s">
        <v>8</v>
      </c>
      <c r="P753" s="322" t="s">
        <v>375</v>
      </c>
      <c r="Q753" s="322" t="s">
        <v>51</v>
      </c>
      <c r="R753" s="322" t="s">
        <v>385</v>
      </c>
      <c r="S753" s="303">
        <f t="shared" si="12"/>
        <v>49968.769500000002</v>
      </c>
      <c r="T753" s="307">
        <f>+IFERROR(VLOOKUP(C753,'Tasas Diarias'!$B:$F,5,FALSE)*G753,0)</f>
        <v>0</v>
      </c>
      <c r="U753" s="311" t="str">
        <f>+VLOOKUP(C753,Spreads!$A$2:$G$345,7,0)</f>
        <v/>
      </c>
    </row>
    <row r="754" spans="1:21" ht="15" hidden="1" customHeight="1" thickTop="1" thickBot="1">
      <c r="A754" s="321" t="s">
        <v>2137</v>
      </c>
      <c r="B754" s="322" t="s">
        <v>300</v>
      </c>
      <c r="C754" s="322" t="s">
        <v>49</v>
      </c>
      <c r="D754" s="322" t="s">
        <v>178</v>
      </c>
      <c r="E754" s="323">
        <v>299670.36</v>
      </c>
      <c r="F754" s="323">
        <v>300000</v>
      </c>
      <c r="G754" s="314">
        <v>7.724E-3</v>
      </c>
      <c r="H754" s="324">
        <v>2.2000000000000002</v>
      </c>
      <c r="I754" s="322" t="s">
        <v>1320</v>
      </c>
      <c r="J754" s="322">
        <v>17</v>
      </c>
      <c r="K754" s="322">
        <v>0.05</v>
      </c>
      <c r="L754" s="322"/>
      <c r="M754" s="322" t="s">
        <v>369</v>
      </c>
      <c r="N754" s="322" t="s">
        <v>374</v>
      </c>
      <c r="O754" s="322" t="s">
        <v>8</v>
      </c>
      <c r="P754" s="322" t="s">
        <v>417</v>
      </c>
      <c r="Q754" s="322" t="s">
        <v>68</v>
      </c>
      <c r="R754" s="322" t="s">
        <v>1893</v>
      </c>
      <c r="S754" s="303">
        <f t="shared" si="12"/>
        <v>14983.518</v>
      </c>
      <c r="T754" s="307">
        <f>+IFERROR(VLOOKUP(C754,'Tasas Diarias'!$B:$F,5,FALSE)*G754,0)</f>
        <v>0</v>
      </c>
      <c r="U754" s="311" t="str">
        <f>+VLOOKUP(C754,Spreads!$A$2:$G$345,7,0)</f>
        <v/>
      </c>
    </row>
    <row r="755" spans="1:21" ht="15" hidden="1" customHeight="1" thickTop="1" thickBot="1">
      <c r="A755" s="327" t="s">
        <v>2137</v>
      </c>
      <c r="B755" s="328" t="s">
        <v>300</v>
      </c>
      <c r="C755" s="328" t="s">
        <v>49</v>
      </c>
      <c r="D755" s="328" t="s">
        <v>1561</v>
      </c>
      <c r="E755" s="330">
        <v>1500686.87</v>
      </c>
      <c r="F755" s="331">
        <v>1502062.5</v>
      </c>
      <c r="G755" s="332">
        <v>3.8679999999999999E-2</v>
      </c>
      <c r="H755" s="329">
        <v>1.5</v>
      </c>
      <c r="I755" s="328" t="s">
        <v>2126</v>
      </c>
      <c r="J755" s="328">
        <v>21</v>
      </c>
      <c r="K755" s="328">
        <v>0.06</v>
      </c>
      <c r="L755" s="328"/>
      <c r="M755" s="328" t="s">
        <v>369</v>
      </c>
      <c r="N755" s="328" t="s">
        <v>374</v>
      </c>
      <c r="O755" s="328" t="s">
        <v>378</v>
      </c>
      <c r="P755" s="328" t="s">
        <v>379</v>
      </c>
      <c r="Q755" s="328" t="s">
        <v>1564</v>
      </c>
      <c r="R755" s="328" t="s">
        <v>1562</v>
      </c>
      <c r="S755" s="303">
        <f t="shared" si="12"/>
        <v>90041.212200000009</v>
      </c>
      <c r="T755" s="307">
        <f>+IFERROR(VLOOKUP(C755,'Tasas Diarias'!$B:$F,5,FALSE)*G755,0)</f>
        <v>0</v>
      </c>
      <c r="U755" s="311" t="str">
        <f>+VLOOKUP(C755,Spreads!$A$2:$G$345,7,0)</f>
        <v/>
      </c>
    </row>
    <row r="756" spans="1:21" ht="15" hidden="1" customHeight="1" thickTop="1" thickBot="1">
      <c r="A756" s="317" t="s">
        <v>2137</v>
      </c>
      <c r="B756" s="318" t="s">
        <v>300</v>
      </c>
      <c r="C756" s="318" t="s">
        <v>49</v>
      </c>
      <c r="D756" s="318" t="s">
        <v>1561</v>
      </c>
      <c r="E756" s="319">
        <v>1003065.83</v>
      </c>
      <c r="F756" s="319">
        <v>1004250</v>
      </c>
      <c r="G756" s="314">
        <v>2.5853999999999999E-2</v>
      </c>
      <c r="H756" s="320">
        <v>1.7</v>
      </c>
      <c r="I756" s="318" t="s">
        <v>1874</v>
      </c>
      <c r="J756" s="318">
        <v>24</v>
      </c>
      <c r="K756" s="318">
        <v>7.0000000000000007E-2</v>
      </c>
      <c r="L756" s="318"/>
      <c r="M756" s="318" t="s">
        <v>369</v>
      </c>
      <c r="N756" s="318" t="s">
        <v>374</v>
      </c>
      <c r="O756" s="318" t="s">
        <v>378</v>
      </c>
      <c r="P756" s="318" t="s">
        <v>379</v>
      </c>
      <c r="Q756" s="318" t="s">
        <v>1564</v>
      </c>
      <c r="R756" s="318" t="s">
        <v>1562</v>
      </c>
      <c r="S756" s="303">
        <f t="shared" si="12"/>
        <v>70214.608099999998</v>
      </c>
      <c r="T756" s="307">
        <f>+IFERROR(VLOOKUP(C756,'Tasas Diarias'!$B:$F,5,FALSE)*G756,0)</f>
        <v>0</v>
      </c>
      <c r="U756" s="311" t="str">
        <f>+VLOOKUP(C756,Spreads!$A$2:$G$345,7,0)</f>
        <v/>
      </c>
    </row>
    <row r="757" spans="1:21" ht="15" hidden="1" customHeight="1" thickTop="1" thickBot="1">
      <c r="A757" s="317" t="s">
        <v>2137</v>
      </c>
      <c r="B757" s="318" t="s">
        <v>300</v>
      </c>
      <c r="C757" s="318" t="s">
        <v>22</v>
      </c>
      <c r="D757" s="318" t="s">
        <v>55</v>
      </c>
      <c r="E757" s="319">
        <v>1913041.649</v>
      </c>
      <c r="F757" s="319">
        <v>1206000000</v>
      </c>
      <c r="G757" s="314">
        <v>4.9308999999999999E-2</v>
      </c>
      <c r="H757" s="318">
        <v>2.64</v>
      </c>
      <c r="I757" s="318" t="s">
        <v>2092</v>
      </c>
      <c r="J757" s="318">
        <v>25</v>
      </c>
      <c r="K757" s="318">
        <v>7.0000000000000007E-2</v>
      </c>
      <c r="L757" s="318">
        <v>0.15862699999999999</v>
      </c>
      <c r="M757" s="318" t="s">
        <v>9</v>
      </c>
      <c r="N757" s="318" t="s">
        <v>374</v>
      </c>
      <c r="O757" s="318" t="s">
        <v>8</v>
      </c>
      <c r="P757" s="318" t="s">
        <v>375</v>
      </c>
      <c r="Q757" s="318" t="s">
        <v>55</v>
      </c>
      <c r="R757" s="318" t="s">
        <v>386</v>
      </c>
      <c r="S757" s="303">
        <f t="shared" si="12"/>
        <v>133912.91543000002</v>
      </c>
      <c r="T757" s="307">
        <f>+IFERROR(VLOOKUP(C757,'Tasas Diarias'!$B:$F,5,FALSE)*G757,0)</f>
        <v>0</v>
      </c>
      <c r="U757" s="311" t="str">
        <f>+VLOOKUP(C757,Spreads!$A$2:$G$345,7,0)</f>
        <v/>
      </c>
    </row>
    <row r="758" spans="1:21" ht="15" hidden="1" customHeight="1" thickTop="1" thickBot="1">
      <c r="A758" s="321" t="s">
        <v>2137</v>
      </c>
      <c r="B758" s="322" t="s">
        <v>300</v>
      </c>
      <c r="C758" s="322" t="s">
        <v>49</v>
      </c>
      <c r="D758" s="322" t="s">
        <v>70</v>
      </c>
      <c r="E758" s="323">
        <v>500058.53</v>
      </c>
      <c r="F758" s="323">
        <v>500639.85</v>
      </c>
      <c r="G758" s="314">
        <v>1.2888999999999999E-2</v>
      </c>
      <c r="H758" s="322">
        <v>1.35</v>
      </c>
      <c r="I758" s="322" t="s">
        <v>2150</v>
      </c>
      <c r="J758" s="322">
        <v>30</v>
      </c>
      <c r="K758" s="322">
        <v>0.08</v>
      </c>
      <c r="L758" s="322"/>
      <c r="M758" s="322" t="s">
        <v>369</v>
      </c>
      <c r="N758" s="322" t="s">
        <v>374</v>
      </c>
      <c r="O758" s="322" t="s">
        <v>8</v>
      </c>
      <c r="P758" s="322" t="s">
        <v>375</v>
      </c>
      <c r="Q758" s="322" t="s">
        <v>70</v>
      </c>
      <c r="R758" s="322" t="s">
        <v>383</v>
      </c>
      <c r="S758" s="303">
        <f t="shared" si="12"/>
        <v>40004.682400000005</v>
      </c>
      <c r="T758" s="307">
        <f>+IFERROR(VLOOKUP(C758,'Tasas Diarias'!$B:$F,5,FALSE)*G758,0)</f>
        <v>0</v>
      </c>
      <c r="U758" s="311" t="str">
        <f>+VLOOKUP(C758,Spreads!$A$2:$G$345,7,0)</f>
        <v/>
      </c>
    </row>
    <row r="759" spans="1:21" ht="15" hidden="1" customHeight="1" thickTop="1" thickBot="1">
      <c r="A759" s="327" t="s">
        <v>2137</v>
      </c>
      <c r="B759" s="328" t="s">
        <v>300</v>
      </c>
      <c r="C759" s="328" t="s">
        <v>22</v>
      </c>
      <c r="D759" s="328" t="s">
        <v>165</v>
      </c>
      <c r="E759" s="330">
        <v>4118620.7719999999</v>
      </c>
      <c r="F759" s="343">
        <v>2600000000</v>
      </c>
      <c r="G759" s="332">
        <v>0.106159</v>
      </c>
      <c r="H759" s="329">
        <v>2.7</v>
      </c>
      <c r="I759" s="328" t="s">
        <v>1603</v>
      </c>
      <c r="J759" s="328">
        <v>43</v>
      </c>
      <c r="K759" s="328">
        <v>0.12</v>
      </c>
      <c r="L759" s="328">
        <v>0.15840799999999999</v>
      </c>
      <c r="M759" s="328" t="s">
        <v>9</v>
      </c>
      <c r="N759" s="328" t="s">
        <v>374</v>
      </c>
      <c r="O759" s="328" t="s">
        <v>8</v>
      </c>
      <c r="P759" s="328" t="s">
        <v>375</v>
      </c>
      <c r="Q759" s="328" t="s">
        <v>74</v>
      </c>
      <c r="R759" s="328" t="s">
        <v>380</v>
      </c>
      <c r="S759" s="303">
        <f t="shared" si="12"/>
        <v>494234.49263999995</v>
      </c>
      <c r="T759" s="307">
        <f>+IFERROR(VLOOKUP(C759,'Tasas Diarias'!$B:$F,5,FALSE)*G759,0)</f>
        <v>0</v>
      </c>
      <c r="U759" s="311" t="str">
        <f>+VLOOKUP(C759,Spreads!$A$2:$G$345,7,0)</f>
        <v/>
      </c>
    </row>
    <row r="760" spans="1:21" ht="15" hidden="1" customHeight="1" thickTop="1" thickBot="1">
      <c r="A760" s="321" t="s">
        <v>2137</v>
      </c>
      <c r="B760" s="322" t="s">
        <v>300</v>
      </c>
      <c r="C760" s="322" t="s">
        <v>22</v>
      </c>
      <c r="D760" s="322" t="s">
        <v>54</v>
      </c>
      <c r="E760" s="323">
        <v>1267346.3056000001</v>
      </c>
      <c r="F760" s="323">
        <v>800000000</v>
      </c>
      <c r="G760" s="314">
        <v>3.2666000000000001E-2</v>
      </c>
      <c r="H760" s="322">
        <v>2.64</v>
      </c>
      <c r="I760" s="322" t="s">
        <v>1603</v>
      </c>
      <c r="J760" s="322">
        <v>43</v>
      </c>
      <c r="K760" s="322">
        <v>0.12</v>
      </c>
      <c r="L760" s="322">
        <v>0.158418</v>
      </c>
      <c r="M760" s="322" t="s">
        <v>9</v>
      </c>
      <c r="N760" s="322" t="s">
        <v>374</v>
      </c>
      <c r="O760" s="322" t="s">
        <v>8</v>
      </c>
      <c r="P760" s="322" t="s">
        <v>375</v>
      </c>
      <c r="Q760" s="322" t="s">
        <v>390</v>
      </c>
      <c r="R760" s="322" t="s">
        <v>391</v>
      </c>
      <c r="S760" s="303">
        <f t="shared" si="12"/>
        <v>152081.55667200001</v>
      </c>
      <c r="T760" s="307">
        <f>+IFERROR(VLOOKUP(C760,'Tasas Diarias'!$B:$F,5,FALSE)*G760,0)</f>
        <v>0</v>
      </c>
      <c r="U760" s="311" t="str">
        <f>+VLOOKUP(C760,Spreads!$A$2:$G$345,7,0)</f>
        <v/>
      </c>
    </row>
    <row r="761" spans="1:21" ht="15" hidden="1" customHeight="1" thickTop="1" thickBot="1">
      <c r="A761" s="321" t="s">
        <v>2137</v>
      </c>
      <c r="B761" s="322" t="s">
        <v>300</v>
      </c>
      <c r="C761" s="322" t="s">
        <v>22</v>
      </c>
      <c r="D761" s="322" t="s">
        <v>179</v>
      </c>
      <c r="E761" s="323">
        <v>3168134.1809</v>
      </c>
      <c r="F761" s="323">
        <v>2000000000</v>
      </c>
      <c r="G761" s="314">
        <v>8.1658999999999995E-2</v>
      </c>
      <c r="H761" s="324">
        <v>2.64</v>
      </c>
      <c r="I761" s="322" t="s">
        <v>1441</v>
      </c>
      <c r="J761" s="322">
        <v>44</v>
      </c>
      <c r="K761" s="322">
        <v>0.12</v>
      </c>
      <c r="L761" s="322">
        <v>0.15840599999999999</v>
      </c>
      <c r="M761" s="322" t="s">
        <v>9</v>
      </c>
      <c r="N761" s="322" t="s">
        <v>374</v>
      </c>
      <c r="O761" s="322" t="s">
        <v>8</v>
      </c>
      <c r="P761" s="322" t="s">
        <v>7</v>
      </c>
      <c r="Q761" s="322" t="s">
        <v>28</v>
      </c>
      <c r="R761" s="322" t="s">
        <v>388</v>
      </c>
      <c r="S761" s="303">
        <f t="shared" si="12"/>
        <v>380176.101708</v>
      </c>
      <c r="T761" s="307">
        <f>+IFERROR(VLOOKUP(C761,'Tasas Diarias'!$B:$F,5,FALSE)*G761,0)</f>
        <v>0</v>
      </c>
      <c r="U761" s="311" t="str">
        <f>+VLOOKUP(C761,Spreads!$A$2:$G$345,7,0)</f>
        <v/>
      </c>
    </row>
    <row r="762" spans="1:21" ht="15" hidden="1" customHeight="1" thickTop="1" thickBot="1">
      <c r="A762" s="317" t="s">
        <v>2137</v>
      </c>
      <c r="B762" s="318" t="s">
        <v>300</v>
      </c>
      <c r="C762" s="318" t="s">
        <v>22</v>
      </c>
      <c r="D762" s="318" t="s">
        <v>179</v>
      </c>
      <c r="E762" s="319">
        <v>1266580.3848999999</v>
      </c>
      <c r="F762" s="319">
        <v>800000000</v>
      </c>
      <c r="G762" s="314">
        <v>3.2646000000000001E-2</v>
      </c>
      <c r="H762" s="320">
        <v>2.76</v>
      </c>
      <c r="I762" s="318" t="s">
        <v>1305</v>
      </c>
      <c r="J762" s="318">
        <v>49</v>
      </c>
      <c r="K762" s="318">
        <v>0.14000000000000001</v>
      </c>
      <c r="L762" s="318">
        <v>0.15832199999999999</v>
      </c>
      <c r="M762" s="318" t="s">
        <v>9</v>
      </c>
      <c r="N762" s="318" t="s">
        <v>374</v>
      </c>
      <c r="O762" s="318" t="s">
        <v>8</v>
      </c>
      <c r="P762" s="318" t="s">
        <v>7</v>
      </c>
      <c r="Q762" s="318" t="s">
        <v>28</v>
      </c>
      <c r="R762" s="318" t="s">
        <v>388</v>
      </c>
      <c r="S762" s="303">
        <f t="shared" si="12"/>
        <v>177321.25388600002</v>
      </c>
      <c r="T762" s="307">
        <f>+IFERROR(VLOOKUP(C762,'Tasas Diarias'!$B:$F,5,FALSE)*G762,0)</f>
        <v>0</v>
      </c>
      <c r="U762" s="311" t="str">
        <f>+VLOOKUP(C762,Spreads!$A$2:$G$345,7,0)</f>
        <v/>
      </c>
    </row>
    <row r="763" spans="1:21" ht="15" hidden="1" customHeight="1" thickTop="1" thickBot="1">
      <c r="A763" s="321" t="s">
        <v>2137</v>
      </c>
      <c r="B763" s="322" t="s">
        <v>300</v>
      </c>
      <c r="C763" s="322" t="s">
        <v>49</v>
      </c>
      <c r="D763" s="322" t="s">
        <v>54</v>
      </c>
      <c r="E763" s="323">
        <v>897942.22</v>
      </c>
      <c r="F763" s="323">
        <v>900000</v>
      </c>
      <c r="G763" s="314">
        <v>2.3144000000000001E-2</v>
      </c>
      <c r="H763" s="324">
        <v>1.65</v>
      </c>
      <c r="I763" s="322" t="s">
        <v>1305</v>
      </c>
      <c r="J763" s="322">
        <v>49</v>
      </c>
      <c r="K763" s="322">
        <v>0.14000000000000001</v>
      </c>
      <c r="L763" s="322"/>
      <c r="M763" s="322" t="s">
        <v>369</v>
      </c>
      <c r="N763" s="322" t="s">
        <v>374</v>
      </c>
      <c r="O763" s="322" t="s">
        <v>8</v>
      </c>
      <c r="P763" s="322" t="s">
        <v>375</v>
      </c>
      <c r="Q763" s="322" t="s">
        <v>390</v>
      </c>
      <c r="R763" s="322" t="s">
        <v>391</v>
      </c>
      <c r="S763" s="303">
        <f t="shared" si="12"/>
        <v>125711.91080000001</v>
      </c>
      <c r="T763" s="307">
        <f>+IFERROR(VLOOKUP(C763,'Tasas Diarias'!$B:$F,5,FALSE)*G763,0)</f>
        <v>0</v>
      </c>
      <c r="U763" s="311" t="str">
        <f>+VLOOKUP(C763,Spreads!$A$2:$G$345,7,0)</f>
        <v/>
      </c>
    </row>
    <row r="764" spans="1:21" ht="15" hidden="1" customHeight="1" thickTop="1" thickBot="1">
      <c r="A764" s="321" t="s">
        <v>2137</v>
      </c>
      <c r="B764" s="322" t="s">
        <v>300</v>
      </c>
      <c r="C764" s="322" t="s">
        <v>22</v>
      </c>
      <c r="D764" s="322" t="s">
        <v>165</v>
      </c>
      <c r="E764" s="323">
        <v>791129.36690000002</v>
      </c>
      <c r="F764" s="323">
        <v>500000000</v>
      </c>
      <c r="G764" s="314">
        <v>2.0390999999999999E-2</v>
      </c>
      <c r="H764" s="324">
        <v>2.76</v>
      </c>
      <c r="I764" s="322" t="s">
        <v>1299</v>
      </c>
      <c r="J764" s="322">
        <v>57</v>
      </c>
      <c r="K764" s="322">
        <v>0.16</v>
      </c>
      <c r="L764" s="322">
        <v>0.158225</v>
      </c>
      <c r="M764" s="322" t="s">
        <v>9</v>
      </c>
      <c r="N764" s="322" t="s">
        <v>374</v>
      </c>
      <c r="O764" s="322" t="s">
        <v>8</v>
      </c>
      <c r="P764" s="322" t="s">
        <v>375</v>
      </c>
      <c r="Q764" s="322" t="s">
        <v>74</v>
      </c>
      <c r="R764" s="322" t="s">
        <v>380</v>
      </c>
      <c r="S764" s="303">
        <f t="shared" si="12"/>
        <v>126580.69870400001</v>
      </c>
      <c r="T764" s="307">
        <f>+IFERROR(VLOOKUP(C764,'Tasas Diarias'!$B:$F,5,FALSE)*G764,0)</f>
        <v>0</v>
      </c>
      <c r="U764" s="311" t="str">
        <f>+VLOOKUP(C764,Spreads!$A$2:$G$345,7,0)</f>
        <v/>
      </c>
    </row>
    <row r="765" spans="1:21" ht="15" hidden="1" customHeight="1" thickTop="1" thickBot="1">
      <c r="A765" s="321" t="s">
        <v>2137</v>
      </c>
      <c r="B765" s="322" t="s">
        <v>297</v>
      </c>
      <c r="C765" s="322" t="s">
        <v>22</v>
      </c>
      <c r="D765" s="322" t="s">
        <v>55</v>
      </c>
      <c r="E765" s="323">
        <v>402704683</v>
      </c>
      <c r="F765" s="323">
        <v>403000000</v>
      </c>
      <c r="G765" s="314">
        <v>4.2867000000000002E-2</v>
      </c>
      <c r="H765" s="324">
        <v>2.64</v>
      </c>
      <c r="I765" s="322" t="s">
        <v>1552</v>
      </c>
      <c r="J765" s="322">
        <v>9</v>
      </c>
      <c r="K765" s="322">
        <v>0.03</v>
      </c>
      <c r="L765" s="322">
        <v>99.926720000000003</v>
      </c>
      <c r="M765" s="322" t="s">
        <v>9</v>
      </c>
      <c r="N765" s="322" t="s">
        <v>374</v>
      </c>
      <c r="O765" s="322" t="s">
        <v>8</v>
      </c>
      <c r="P765" s="322" t="s">
        <v>375</v>
      </c>
      <c r="Q765" s="322" t="s">
        <v>55</v>
      </c>
      <c r="R765" s="322" t="s">
        <v>386</v>
      </c>
      <c r="S765" s="303">
        <f t="shared" si="12"/>
        <v>12081140.49</v>
      </c>
      <c r="T765" s="307">
        <f>+IFERROR(VLOOKUP(C765,'Tasas Diarias'!$B:$F,5,FALSE)*G765,0)</f>
        <v>0</v>
      </c>
      <c r="U765" s="311" t="str">
        <f>+VLOOKUP(C765,Spreads!$A$2:$G$345,7,0)</f>
        <v/>
      </c>
    </row>
    <row r="766" spans="1:21" ht="15" hidden="1" customHeight="1" thickTop="1" thickBot="1">
      <c r="A766" s="317" t="s">
        <v>2137</v>
      </c>
      <c r="B766" s="318" t="s">
        <v>297</v>
      </c>
      <c r="C766" s="318" t="s">
        <v>22</v>
      </c>
      <c r="D766" s="318" t="s">
        <v>55</v>
      </c>
      <c r="E766" s="319">
        <v>49717604</v>
      </c>
      <c r="F766" s="319">
        <v>50000000</v>
      </c>
      <c r="G766" s="314">
        <v>5.2919999999999998E-3</v>
      </c>
      <c r="H766" s="320">
        <v>2.88</v>
      </c>
      <c r="I766" s="318" t="s">
        <v>1306</v>
      </c>
      <c r="J766" s="318">
        <v>70</v>
      </c>
      <c r="K766" s="318">
        <v>0.19</v>
      </c>
      <c r="L766" s="318">
        <v>99.435208000000003</v>
      </c>
      <c r="M766" s="318" t="s">
        <v>9</v>
      </c>
      <c r="N766" s="318" t="s">
        <v>374</v>
      </c>
      <c r="O766" s="318" t="s">
        <v>8</v>
      </c>
      <c r="P766" s="318" t="s">
        <v>375</v>
      </c>
      <c r="Q766" s="318" t="s">
        <v>55</v>
      </c>
      <c r="R766" s="318" t="s">
        <v>386</v>
      </c>
      <c r="S766" s="303">
        <f t="shared" si="12"/>
        <v>9446344.7599999998</v>
      </c>
      <c r="T766" s="307">
        <f>+IFERROR(VLOOKUP(C766,'Tasas Diarias'!$B:$F,5,FALSE)*G766,0)</f>
        <v>0</v>
      </c>
      <c r="U766" s="311" t="str">
        <f>+VLOOKUP(C766,Spreads!$A$2:$G$345,7,0)</f>
        <v/>
      </c>
    </row>
    <row r="767" spans="1:21" ht="15" hidden="1" customHeight="1" thickTop="1" thickBot="1">
      <c r="A767" s="321" t="s">
        <v>2137</v>
      </c>
      <c r="B767" s="322" t="s">
        <v>297</v>
      </c>
      <c r="C767" s="322" t="s">
        <v>49</v>
      </c>
      <c r="D767" s="322" t="s">
        <v>164</v>
      </c>
      <c r="E767" s="323">
        <v>132965862</v>
      </c>
      <c r="F767" s="323">
        <v>5000</v>
      </c>
      <c r="G767" s="314">
        <v>1.4154E-2</v>
      </c>
      <c r="H767" s="324">
        <v>1.36</v>
      </c>
      <c r="I767" s="322" t="s">
        <v>1289</v>
      </c>
      <c r="J767" s="322">
        <v>78</v>
      </c>
      <c r="K767" s="322">
        <v>0.22</v>
      </c>
      <c r="L767" s="322"/>
      <c r="M767" s="322" t="s">
        <v>6</v>
      </c>
      <c r="N767" s="322" t="s">
        <v>374</v>
      </c>
      <c r="O767" s="322" t="s">
        <v>8</v>
      </c>
      <c r="P767" s="322" t="s">
        <v>375</v>
      </c>
      <c r="Q767" s="322" t="s">
        <v>61</v>
      </c>
      <c r="R767" s="322" t="s">
        <v>384</v>
      </c>
      <c r="S767" s="303">
        <f t="shared" si="12"/>
        <v>29252489.640000001</v>
      </c>
      <c r="T767" s="307">
        <f>+IFERROR(VLOOKUP(C767,'Tasas Diarias'!$B:$F,5,FALSE)*G767,0)</f>
        <v>0</v>
      </c>
      <c r="U767" s="311" t="str">
        <f>+VLOOKUP(C767,Spreads!$A$2:$G$345,7,0)</f>
        <v/>
      </c>
    </row>
    <row r="768" spans="1:21" ht="15" hidden="1" customHeight="1" thickTop="1" thickBot="1">
      <c r="A768" s="317" t="s">
        <v>2137</v>
      </c>
      <c r="B768" s="318" t="s">
        <v>297</v>
      </c>
      <c r="C768" s="318" t="s">
        <v>22</v>
      </c>
      <c r="D768" s="318" t="s">
        <v>54</v>
      </c>
      <c r="E768" s="319">
        <v>347839914</v>
      </c>
      <c r="F768" s="319">
        <v>350000000</v>
      </c>
      <c r="G768" s="314">
        <v>3.7026999999999997E-2</v>
      </c>
      <c r="H768" s="320">
        <v>2.76</v>
      </c>
      <c r="I768" s="318" t="s">
        <v>1488</v>
      </c>
      <c r="J768" s="318">
        <v>80</v>
      </c>
      <c r="K768" s="318">
        <v>0.22</v>
      </c>
      <c r="L768" s="318">
        <v>99.382831999999993</v>
      </c>
      <c r="M768" s="318" t="s">
        <v>9</v>
      </c>
      <c r="N768" s="318" t="s">
        <v>374</v>
      </c>
      <c r="O768" s="318" t="s">
        <v>8</v>
      </c>
      <c r="P768" s="318" t="s">
        <v>375</v>
      </c>
      <c r="Q768" s="318" t="s">
        <v>390</v>
      </c>
      <c r="R768" s="318" t="s">
        <v>391</v>
      </c>
      <c r="S768" s="303">
        <f t="shared" si="12"/>
        <v>76524781.079999998</v>
      </c>
      <c r="T768" s="307">
        <f>+IFERROR(VLOOKUP(C768,'Tasas Diarias'!$B:$F,5,FALSE)*G768,0)</f>
        <v>0</v>
      </c>
      <c r="U768" s="311" t="str">
        <f>+VLOOKUP(C768,Spreads!$A$2:$G$345,7,0)</f>
        <v/>
      </c>
    </row>
    <row r="769" spans="1:21" ht="15" hidden="1" customHeight="1" thickTop="1" thickBot="1">
      <c r="A769" s="321" t="s">
        <v>2137</v>
      </c>
      <c r="B769" s="322" t="s">
        <v>297</v>
      </c>
      <c r="C769" s="322" t="s">
        <v>22</v>
      </c>
      <c r="D769" s="322" t="s">
        <v>72</v>
      </c>
      <c r="E769" s="323">
        <v>99050764</v>
      </c>
      <c r="F769" s="323">
        <v>100000000</v>
      </c>
      <c r="G769" s="314">
        <v>1.0543E-2</v>
      </c>
      <c r="H769" s="324">
        <v>3</v>
      </c>
      <c r="I769" s="322" t="s">
        <v>1438</v>
      </c>
      <c r="J769" s="322">
        <v>114</v>
      </c>
      <c r="K769" s="322">
        <v>0.32</v>
      </c>
      <c r="L769" s="322">
        <v>99.050764000000001</v>
      </c>
      <c r="M769" s="322" t="s">
        <v>9</v>
      </c>
      <c r="N769" s="322" t="s">
        <v>374</v>
      </c>
      <c r="O769" s="322" t="s">
        <v>8</v>
      </c>
      <c r="P769" s="322" t="s">
        <v>296</v>
      </c>
      <c r="Q769" s="322" t="s">
        <v>325</v>
      </c>
      <c r="R769" s="322" t="s">
        <v>393</v>
      </c>
      <c r="S769" s="303">
        <f t="shared" si="12"/>
        <v>31696244.48</v>
      </c>
      <c r="T769" s="307">
        <f>+IFERROR(VLOOKUP(C769,'Tasas Diarias'!$B:$F,5,FALSE)*G769,0)</f>
        <v>0</v>
      </c>
      <c r="U769" s="311" t="str">
        <f>+VLOOKUP(C769,Spreads!$A$2:$G$345,7,0)</f>
        <v/>
      </c>
    </row>
    <row r="770" spans="1:21" ht="15" hidden="1" customHeight="1" thickTop="1" thickBot="1">
      <c r="A770" s="317" t="s">
        <v>2137</v>
      </c>
      <c r="B770" s="318" t="s">
        <v>297</v>
      </c>
      <c r="C770" s="318" t="s">
        <v>22</v>
      </c>
      <c r="D770" s="318" t="s">
        <v>70</v>
      </c>
      <c r="E770" s="319">
        <v>198145359</v>
      </c>
      <c r="F770" s="319">
        <v>200000000</v>
      </c>
      <c r="G770" s="314">
        <v>2.1092E-2</v>
      </c>
      <c r="H770" s="320">
        <v>2.88</v>
      </c>
      <c r="I770" s="318" t="s">
        <v>1447</v>
      </c>
      <c r="J770" s="318">
        <v>116</v>
      </c>
      <c r="K770" s="318">
        <v>0.32</v>
      </c>
      <c r="L770" s="318">
        <v>99.072678999999994</v>
      </c>
      <c r="M770" s="318" t="s">
        <v>9</v>
      </c>
      <c r="N770" s="318" t="s">
        <v>374</v>
      </c>
      <c r="O770" s="318" t="s">
        <v>8</v>
      </c>
      <c r="P770" s="318" t="s">
        <v>375</v>
      </c>
      <c r="Q770" s="318" t="s">
        <v>70</v>
      </c>
      <c r="R770" s="318" t="s">
        <v>383</v>
      </c>
      <c r="S770" s="303">
        <f t="shared" si="12"/>
        <v>63406514.880000003</v>
      </c>
      <c r="T770" s="307">
        <f>+IFERROR(VLOOKUP(C770,'Tasas Diarias'!$B:$F,5,FALSE)*G770,0)</f>
        <v>0</v>
      </c>
      <c r="U770" s="311" t="str">
        <f>+VLOOKUP(C770,Spreads!$A$2:$G$345,7,0)</f>
        <v/>
      </c>
    </row>
    <row r="771" spans="1:21" ht="15" hidden="1" customHeight="1" thickTop="1" thickBot="1">
      <c r="A771" s="317" t="s">
        <v>2137</v>
      </c>
      <c r="B771" s="318" t="s">
        <v>297</v>
      </c>
      <c r="C771" s="318" t="s">
        <v>22</v>
      </c>
      <c r="D771" s="318" t="s">
        <v>164</v>
      </c>
      <c r="E771" s="319">
        <v>99072680</v>
      </c>
      <c r="F771" s="319">
        <v>100000000</v>
      </c>
      <c r="G771" s="314">
        <v>1.0546E-2</v>
      </c>
      <c r="H771" s="318">
        <v>2.88</v>
      </c>
      <c r="I771" s="318" t="s">
        <v>1447</v>
      </c>
      <c r="J771" s="318">
        <v>116</v>
      </c>
      <c r="K771" s="318">
        <v>0.32</v>
      </c>
      <c r="L771" s="318">
        <v>99.072680000000005</v>
      </c>
      <c r="M771" s="318" t="s">
        <v>9</v>
      </c>
      <c r="N771" s="318" t="s">
        <v>374</v>
      </c>
      <c r="O771" s="318" t="s">
        <v>8</v>
      </c>
      <c r="P771" s="318" t="s">
        <v>375</v>
      </c>
      <c r="Q771" s="318" t="s">
        <v>61</v>
      </c>
      <c r="R771" s="318" t="s">
        <v>384</v>
      </c>
      <c r="S771" s="303">
        <f t="shared" ref="S771:S834" si="13">+IFERROR(E771*K771,0)</f>
        <v>31703257.600000001</v>
      </c>
      <c r="T771" s="307">
        <f>+IFERROR(VLOOKUP(C771,'Tasas Diarias'!$B:$F,5,FALSE)*G771,0)</f>
        <v>0</v>
      </c>
      <c r="U771" s="311" t="str">
        <f>+VLOOKUP(C771,Spreads!$A$2:$G$345,7,0)</f>
        <v/>
      </c>
    </row>
    <row r="772" spans="1:21" ht="15" hidden="1" customHeight="1" thickTop="1" thickBot="1">
      <c r="A772" s="321" t="s">
        <v>2137</v>
      </c>
      <c r="B772" s="322" t="s">
        <v>297</v>
      </c>
      <c r="C772" s="322" t="s">
        <v>22</v>
      </c>
      <c r="D772" s="322" t="s">
        <v>174</v>
      </c>
      <c r="E772" s="323">
        <v>197941410</v>
      </c>
      <c r="F772" s="323">
        <v>200000000</v>
      </c>
      <c r="G772" s="314">
        <v>2.1069999999999998E-2</v>
      </c>
      <c r="H772" s="324">
        <v>3.12</v>
      </c>
      <c r="I772" s="322" t="s">
        <v>1432</v>
      </c>
      <c r="J772" s="322">
        <v>119</v>
      </c>
      <c r="K772" s="322">
        <v>0.33</v>
      </c>
      <c r="L772" s="322">
        <v>98.970704999999995</v>
      </c>
      <c r="M772" s="322" t="s">
        <v>9</v>
      </c>
      <c r="N772" s="322" t="s">
        <v>374</v>
      </c>
      <c r="O772" s="322" t="s">
        <v>8</v>
      </c>
      <c r="P772" s="322" t="s">
        <v>375</v>
      </c>
      <c r="Q772" s="322" t="s">
        <v>60</v>
      </c>
      <c r="R772" s="322" t="s">
        <v>408</v>
      </c>
      <c r="S772" s="303">
        <f t="shared" si="13"/>
        <v>65320665.300000004</v>
      </c>
      <c r="T772" s="307">
        <f>+IFERROR(VLOOKUP(C772,'Tasas Diarias'!$B:$F,5,FALSE)*G772,0)</f>
        <v>0</v>
      </c>
      <c r="U772" s="311" t="str">
        <f>+VLOOKUP(C772,Spreads!$A$2:$G$345,7,0)</f>
        <v/>
      </c>
    </row>
    <row r="773" spans="1:21" ht="15" hidden="1" customHeight="1" thickTop="1" thickBot="1">
      <c r="A773" s="321" t="s">
        <v>2137</v>
      </c>
      <c r="B773" s="322" t="s">
        <v>297</v>
      </c>
      <c r="C773" s="322" t="s">
        <v>22</v>
      </c>
      <c r="D773" s="322" t="s">
        <v>179</v>
      </c>
      <c r="E773" s="323">
        <v>247603201</v>
      </c>
      <c r="F773" s="323">
        <v>250000000</v>
      </c>
      <c r="G773" s="314">
        <v>2.6356999999999998E-2</v>
      </c>
      <c r="H773" s="324">
        <v>2.88</v>
      </c>
      <c r="I773" s="322" t="s">
        <v>1435</v>
      </c>
      <c r="J773" s="322">
        <v>120</v>
      </c>
      <c r="K773" s="322">
        <v>0.33</v>
      </c>
      <c r="L773" s="322">
        <v>99.04128</v>
      </c>
      <c r="M773" s="322" t="s">
        <v>9</v>
      </c>
      <c r="N773" s="322" t="s">
        <v>374</v>
      </c>
      <c r="O773" s="322" t="s">
        <v>8</v>
      </c>
      <c r="P773" s="322" t="s">
        <v>7</v>
      </c>
      <c r="Q773" s="322" t="s">
        <v>28</v>
      </c>
      <c r="R773" s="322" t="s">
        <v>388</v>
      </c>
      <c r="S773" s="303">
        <f t="shared" si="13"/>
        <v>81709056.329999998</v>
      </c>
      <c r="T773" s="307">
        <f>+IFERROR(VLOOKUP(C773,'Tasas Diarias'!$B:$F,5,FALSE)*G773,0)</f>
        <v>0</v>
      </c>
      <c r="U773" s="311" t="str">
        <f>+VLOOKUP(C773,Spreads!$A$2:$G$345,7,0)</f>
        <v/>
      </c>
    </row>
    <row r="774" spans="1:21" ht="15" hidden="1" customHeight="1" thickTop="1" thickBot="1">
      <c r="A774" s="317" t="s">
        <v>2137</v>
      </c>
      <c r="B774" s="318" t="s">
        <v>297</v>
      </c>
      <c r="C774" s="318" t="s">
        <v>22</v>
      </c>
      <c r="D774" s="318" t="s">
        <v>72</v>
      </c>
      <c r="E774" s="319">
        <v>197872867</v>
      </c>
      <c r="F774" s="319">
        <v>200000000</v>
      </c>
      <c r="G774" s="314">
        <v>2.1062999999999998E-2</v>
      </c>
      <c r="H774" s="318">
        <v>3</v>
      </c>
      <c r="I774" s="318" t="s">
        <v>1474</v>
      </c>
      <c r="J774" s="318">
        <v>128</v>
      </c>
      <c r="K774" s="318">
        <v>0.35</v>
      </c>
      <c r="L774" s="318">
        <v>98.936432999999994</v>
      </c>
      <c r="M774" s="318" t="s">
        <v>9</v>
      </c>
      <c r="N774" s="318" t="s">
        <v>374</v>
      </c>
      <c r="O774" s="318" t="s">
        <v>8</v>
      </c>
      <c r="P774" s="318" t="s">
        <v>296</v>
      </c>
      <c r="Q774" s="318" t="s">
        <v>325</v>
      </c>
      <c r="R774" s="318" t="s">
        <v>393</v>
      </c>
      <c r="S774" s="303">
        <f t="shared" si="13"/>
        <v>69255503.450000003</v>
      </c>
      <c r="T774" s="307">
        <f>+IFERROR(VLOOKUP(C774,'Tasas Diarias'!$B:$F,5,FALSE)*G774,0)</f>
        <v>0</v>
      </c>
      <c r="U774" s="311" t="str">
        <f>+VLOOKUP(C774,Spreads!$A$2:$G$345,7,0)</f>
        <v/>
      </c>
    </row>
    <row r="775" spans="1:21" ht="15" hidden="1" customHeight="1" thickTop="1" thickBot="1">
      <c r="A775" s="321" t="s">
        <v>2137</v>
      </c>
      <c r="B775" s="322" t="s">
        <v>297</v>
      </c>
      <c r="C775" s="322" t="s">
        <v>22</v>
      </c>
      <c r="D775" s="322" t="s">
        <v>174</v>
      </c>
      <c r="E775" s="323">
        <v>296276788</v>
      </c>
      <c r="F775" s="323">
        <v>300000000</v>
      </c>
      <c r="G775" s="314">
        <v>3.1537999999999997E-2</v>
      </c>
      <c r="H775" s="324">
        <v>3.12</v>
      </c>
      <c r="I775" s="322" t="s">
        <v>1426</v>
      </c>
      <c r="J775" s="322">
        <v>144</v>
      </c>
      <c r="K775" s="322">
        <v>0.4</v>
      </c>
      <c r="L775" s="322">
        <v>98.758928999999995</v>
      </c>
      <c r="M775" s="322" t="s">
        <v>9</v>
      </c>
      <c r="N775" s="322" t="s">
        <v>374</v>
      </c>
      <c r="O775" s="322" t="s">
        <v>8</v>
      </c>
      <c r="P775" s="322" t="s">
        <v>375</v>
      </c>
      <c r="Q775" s="322" t="s">
        <v>60</v>
      </c>
      <c r="R775" s="322" t="s">
        <v>408</v>
      </c>
      <c r="S775" s="303">
        <f t="shared" si="13"/>
        <v>118510715.2</v>
      </c>
      <c r="T775" s="307">
        <f>+IFERROR(VLOOKUP(C775,'Tasas Diarias'!$B:$F,5,FALSE)*G775,0)</f>
        <v>0</v>
      </c>
      <c r="U775" s="311" t="str">
        <f>+VLOOKUP(C775,Spreads!$A$2:$G$345,7,0)</f>
        <v/>
      </c>
    </row>
    <row r="776" spans="1:21" ht="15" hidden="1" customHeight="1" thickTop="1" thickBot="1">
      <c r="A776" s="321" t="s">
        <v>2137</v>
      </c>
      <c r="B776" s="322" t="s">
        <v>297</v>
      </c>
      <c r="C776" s="322" t="s">
        <v>22</v>
      </c>
      <c r="D776" s="322" t="s">
        <v>171</v>
      </c>
      <c r="E776" s="323">
        <v>195736851</v>
      </c>
      <c r="F776" s="323">
        <v>200000000</v>
      </c>
      <c r="G776" s="314">
        <v>2.0836E-2</v>
      </c>
      <c r="H776" s="324">
        <v>3.24</v>
      </c>
      <c r="I776" s="322" t="s">
        <v>1566</v>
      </c>
      <c r="J776" s="322">
        <v>241</v>
      </c>
      <c r="K776" s="322">
        <v>0.66</v>
      </c>
      <c r="L776" s="322">
        <v>97.868425000000002</v>
      </c>
      <c r="M776" s="322" t="s">
        <v>9</v>
      </c>
      <c r="N776" s="322" t="s">
        <v>374</v>
      </c>
      <c r="O776" s="322" t="s">
        <v>8</v>
      </c>
      <c r="P776" s="322" t="s">
        <v>375</v>
      </c>
      <c r="Q776" s="322" t="s">
        <v>88</v>
      </c>
      <c r="R776" s="322" t="s">
        <v>381</v>
      </c>
      <c r="S776" s="303">
        <f t="shared" si="13"/>
        <v>129186321.66000001</v>
      </c>
      <c r="T776" s="307">
        <f>+IFERROR(VLOOKUP(C776,'Tasas Diarias'!$B:$F,5,FALSE)*G776,0)</f>
        <v>0</v>
      </c>
      <c r="U776" s="311" t="str">
        <f>+VLOOKUP(C776,Spreads!$A$2:$G$345,7,0)</f>
        <v/>
      </c>
    </row>
    <row r="777" spans="1:21" ht="15" hidden="1" customHeight="1" thickTop="1" thickBot="1">
      <c r="A777" s="317" t="s">
        <v>2137</v>
      </c>
      <c r="B777" s="318" t="s">
        <v>297</v>
      </c>
      <c r="C777" s="318" t="s">
        <v>45</v>
      </c>
      <c r="D777" s="318" t="s">
        <v>116</v>
      </c>
      <c r="E777" s="319">
        <v>197214801</v>
      </c>
      <c r="F777" s="319">
        <v>7000</v>
      </c>
      <c r="G777" s="314">
        <v>2.0993000000000001E-2</v>
      </c>
      <c r="H777" s="320">
        <v>0.86</v>
      </c>
      <c r="I777" s="318" t="s">
        <v>493</v>
      </c>
      <c r="J777" s="318">
        <v>772</v>
      </c>
      <c r="K777" s="318">
        <v>2.04</v>
      </c>
      <c r="L777" s="318">
        <v>104.42</v>
      </c>
      <c r="M777" s="318" t="s">
        <v>6</v>
      </c>
      <c r="N777" s="318" t="s">
        <v>458</v>
      </c>
      <c r="O777" s="318" t="s">
        <v>378</v>
      </c>
      <c r="P777" s="318" t="s">
        <v>379</v>
      </c>
      <c r="Q777" s="318" t="s">
        <v>2139</v>
      </c>
      <c r="R777" s="318" t="s">
        <v>508</v>
      </c>
      <c r="S777" s="303">
        <f t="shared" si="13"/>
        <v>402318194.04000002</v>
      </c>
      <c r="T777" s="307">
        <f>+IFERROR(VLOOKUP(C777,'Tasas Diarias'!$B:$F,5,FALSE)*G777,0)</f>
        <v>0</v>
      </c>
      <c r="U777" s="311" t="str">
        <f>+VLOOKUP(C777,Spreads!$A$2:$G$345,7,0)</f>
        <v/>
      </c>
    </row>
    <row r="778" spans="1:21" ht="15" hidden="1" customHeight="1" thickTop="1" thickBot="1">
      <c r="A778" s="321" t="s">
        <v>2137</v>
      </c>
      <c r="B778" s="322" t="s">
        <v>297</v>
      </c>
      <c r="C778" s="322" t="s">
        <v>356</v>
      </c>
      <c r="D778" s="322" t="s">
        <v>115</v>
      </c>
      <c r="E778" s="323">
        <v>4066419248</v>
      </c>
      <c r="F778" s="323">
        <v>3930000000</v>
      </c>
      <c r="G778" s="314">
        <v>0.432869</v>
      </c>
      <c r="H778" s="324">
        <v>3.72</v>
      </c>
      <c r="I778" s="322" t="s">
        <v>507</v>
      </c>
      <c r="J778" s="322">
        <v>1197</v>
      </c>
      <c r="K778" s="322">
        <v>3.06</v>
      </c>
      <c r="L778" s="322">
        <v>102.48</v>
      </c>
      <c r="M778" s="322" t="s">
        <v>9</v>
      </c>
      <c r="N778" s="322" t="s">
        <v>458</v>
      </c>
      <c r="O778" s="322" t="s">
        <v>378</v>
      </c>
      <c r="P778" s="322" t="s">
        <v>379</v>
      </c>
      <c r="Q778" s="322" t="s">
        <v>2139</v>
      </c>
      <c r="R778" s="322" t="s">
        <v>885</v>
      </c>
      <c r="S778" s="303">
        <f t="shared" si="13"/>
        <v>12443242898.880001</v>
      </c>
      <c r="T778" s="307">
        <f>+IFERROR(VLOOKUP(C778,'Tasas Diarias'!$B:$F,5,FALSE)*G778,0)</f>
        <v>-1.3496323967197095E-4</v>
      </c>
      <c r="U778" s="311" t="str">
        <f>+VLOOKUP(C778,Spreads!$A$2:$G$345,7,0)</f>
        <v/>
      </c>
    </row>
    <row r="779" spans="1:21" ht="15" hidden="1" customHeight="1" thickTop="1" thickBot="1">
      <c r="A779" s="327" t="s">
        <v>2137</v>
      </c>
      <c r="B779" s="328" t="s">
        <v>297</v>
      </c>
      <c r="C779" s="328" t="s">
        <v>159</v>
      </c>
      <c r="D779" s="328" t="s">
        <v>116</v>
      </c>
      <c r="E779" s="328">
        <v>946020053</v>
      </c>
      <c r="F779" s="328">
        <v>35000</v>
      </c>
      <c r="G779" s="332">
        <v>0.100703</v>
      </c>
      <c r="H779" s="329">
        <v>1.19</v>
      </c>
      <c r="I779" s="328" t="s">
        <v>507</v>
      </c>
      <c r="J779" s="328">
        <v>1197</v>
      </c>
      <c r="K779" s="328">
        <v>3.2</v>
      </c>
      <c r="L779" s="328">
        <v>101</v>
      </c>
      <c r="M779" s="328" t="s">
        <v>6</v>
      </c>
      <c r="N779" s="328" t="s">
        <v>458</v>
      </c>
      <c r="O779" s="328" t="s">
        <v>378</v>
      </c>
      <c r="P779" s="328" t="s">
        <v>379</v>
      </c>
      <c r="Q779" s="328" t="s">
        <v>2139</v>
      </c>
      <c r="R779" s="328" t="s">
        <v>508</v>
      </c>
      <c r="S779" s="303">
        <f t="shared" si="13"/>
        <v>3027264169.6000004</v>
      </c>
      <c r="T779" s="307">
        <f>+IFERROR(VLOOKUP(C779,'Tasas Diarias'!$B:$F,5,FALSE)*G779,0)</f>
        <v>0</v>
      </c>
      <c r="U779" s="311" t="str">
        <f>+VLOOKUP(C779,Spreads!$A$2:$G$345,7,0)</f>
        <v/>
      </c>
    </row>
    <row r="780" spans="1:21" ht="15" hidden="1" customHeight="1" thickTop="1" thickBot="1">
      <c r="A780" s="327" t="s">
        <v>2137</v>
      </c>
      <c r="B780" s="328" t="s">
        <v>297</v>
      </c>
      <c r="C780" s="328" t="s">
        <v>13</v>
      </c>
      <c r="D780" s="328" t="s">
        <v>1492</v>
      </c>
      <c r="E780" s="328">
        <v>570670799</v>
      </c>
      <c r="F780" s="328">
        <v>520000000</v>
      </c>
      <c r="G780" s="332">
        <v>6.0747000000000002E-2</v>
      </c>
      <c r="H780" s="329">
        <v>3.88</v>
      </c>
      <c r="I780" s="328" t="s">
        <v>632</v>
      </c>
      <c r="J780" s="328">
        <v>1562</v>
      </c>
      <c r="K780" s="328">
        <v>3.81</v>
      </c>
      <c r="L780" s="328">
        <v>108.34</v>
      </c>
      <c r="M780" s="328" t="s">
        <v>9</v>
      </c>
      <c r="N780" s="328" t="s">
        <v>458</v>
      </c>
      <c r="O780" s="328" t="s">
        <v>378</v>
      </c>
      <c r="P780" s="328" t="s">
        <v>379</v>
      </c>
      <c r="Q780" s="328" t="s">
        <v>59</v>
      </c>
      <c r="R780" s="328" t="s">
        <v>1493</v>
      </c>
      <c r="S780" s="303">
        <f t="shared" si="13"/>
        <v>2174255744.1900001</v>
      </c>
      <c r="T780" s="307">
        <f>+IFERROR(VLOOKUP(C780,'Tasas Diarias'!$B:$F,5,FALSE)*G780,0)</f>
        <v>0</v>
      </c>
      <c r="U780" s="311" t="str">
        <f>+VLOOKUP(C780,Spreads!$A$2:$G$345,7,0)</f>
        <v/>
      </c>
    </row>
    <row r="781" spans="1:21" ht="15" hidden="1" customHeight="1" thickTop="1" thickBot="1">
      <c r="A781" s="321" t="s">
        <v>2137</v>
      </c>
      <c r="B781" s="322" t="s">
        <v>297</v>
      </c>
      <c r="C781" s="322" t="s">
        <v>19</v>
      </c>
      <c r="D781" s="322" t="s">
        <v>116</v>
      </c>
      <c r="E781" s="323">
        <v>629818669</v>
      </c>
      <c r="F781" s="323">
        <v>24000</v>
      </c>
      <c r="G781" s="314">
        <v>6.7044000000000006E-2</v>
      </c>
      <c r="H781" s="324">
        <v>1.76</v>
      </c>
      <c r="I781" s="322" t="s">
        <v>770</v>
      </c>
      <c r="J781" s="322">
        <v>3023</v>
      </c>
      <c r="K781" s="322">
        <v>7.79</v>
      </c>
      <c r="L781" s="322">
        <v>98.07</v>
      </c>
      <c r="M781" s="322" t="s">
        <v>6</v>
      </c>
      <c r="N781" s="322" t="s">
        <v>458</v>
      </c>
      <c r="O781" s="322" t="s">
        <v>378</v>
      </c>
      <c r="P781" s="322" t="s">
        <v>379</v>
      </c>
      <c r="Q781" s="322" t="s">
        <v>2139</v>
      </c>
      <c r="R781" s="322" t="s">
        <v>508</v>
      </c>
      <c r="S781" s="303">
        <f t="shared" si="13"/>
        <v>4906287431.5100002</v>
      </c>
      <c r="T781" s="307">
        <f>+IFERROR(VLOOKUP(C781,'Tasas Diarias'!$B:$F,5,FALSE)*G781,0)</f>
        <v>1.5781399614121073E-4</v>
      </c>
      <c r="U781" s="311" t="str">
        <f>+VLOOKUP(C781,Spreads!$A$2:$G$345,7,0)</f>
        <v/>
      </c>
    </row>
    <row r="782" spans="1:21" ht="15" hidden="1" customHeight="1" thickTop="1" thickBot="1">
      <c r="A782" s="317" t="s">
        <v>2137</v>
      </c>
      <c r="B782" s="318" t="s">
        <v>297</v>
      </c>
      <c r="C782" s="318" t="s">
        <v>227</v>
      </c>
      <c r="D782" s="318" t="s">
        <v>115</v>
      </c>
      <c r="E782" s="319">
        <v>347911927</v>
      </c>
      <c r="F782" s="319">
        <v>340000000</v>
      </c>
      <c r="G782" s="314">
        <v>3.7034999999999998E-2</v>
      </c>
      <c r="H782" s="320">
        <v>4.95</v>
      </c>
      <c r="I782" s="318" t="s">
        <v>957</v>
      </c>
      <c r="J782" s="318">
        <v>6310</v>
      </c>
      <c r="K782" s="318">
        <v>11.69</v>
      </c>
      <c r="L782" s="318">
        <v>101.24</v>
      </c>
      <c r="M782" s="318" t="s">
        <v>9</v>
      </c>
      <c r="N782" s="318" t="s">
        <v>458</v>
      </c>
      <c r="O782" s="318" t="s">
        <v>378</v>
      </c>
      <c r="P782" s="318" t="s">
        <v>379</v>
      </c>
      <c r="Q782" s="318" t="s">
        <v>2139</v>
      </c>
      <c r="R782" s="318" t="s">
        <v>885</v>
      </c>
      <c r="S782" s="303">
        <f t="shared" si="13"/>
        <v>4067090426.6299996</v>
      </c>
      <c r="T782" s="307">
        <f>+IFERROR(VLOOKUP(C782,'Tasas Diarias'!$B:$F,5,FALSE)*G782,0)</f>
        <v>-8.7171280172369919E-5</v>
      </c>
      <c r="U782" s="311" t="str">
        <f>+VLOOKUP(C782,Spreads!$A$2:$G$345,7,0)</f>
        <v/>
      </c>
    </row>
    <row r="783" spans="1:21" ht="15" hidden="1" customHeight="1" thickTop="1" thickBot="1">
      <c r="A783" s="317" t="s">
        <v>2137</v>
      </c>
      <c r="B783" s="318" t="s">
        <v>297</v>
      </c>
      <c r="C783" s="318" t="s">
        <v>208</v>
      </c>
      <c r="D783" s="318" t="s">
        <v>116</v>
      </c>
      <c r="E783" s="319">
        <v>171124536</v>
      </c>
      <c r="F783" s="319">
        <v>6500</v>
      </c>
      <c r="G783" s="314">
        <v>1.8216E-2</v>
      </c>
      <c r="H783" s="320">
        <v>2.13</v>
      </c>
      <c r="I783" s="318" t="s">
        <v>957</v>
      </c>
      <c r="J783" s="318">
        <v>6310</v>
      </c>
      <c r="K783" s="318">
        <v>14.61</v>
      </c>
      <c r="L783" s="318">
        <v>98.28</v>
      </c>
      <c r="M783" s="318" t="s">
        <v>6</v>
      </c>
      <c r="N783" s="318" t="s">
        <v>458</v>
      </c>
      <c r="O783" s="318" t="s">
        <v>378</v>
      </c>
      <c r="P783" s="318" t="s">
        <v>379</v>
      </c>
      <c r="Q783" s="318" t="s">
        <v>2139</v>
      </c>
      <c r="R783" s="318" t="s">
        <v>508</v>
      </c>
      <c r="S783" s="303">
        <f t="shared" si="13"/>
        <v>2500129470.96</v>
      </c>
      <c r="T783" s="307">
        <f>+IFERROR(VLOOKUP(C783,'Tasas Diarias'!$B:$F,5,FALSE)*G783,0)</f>
        <v>0</v>
      </c>
      <c r="U783" s="311" t="str">
        <f>+VLOOKUP(C783,Spreads!$A$2:$G$345,7,0)</f>
        <v/>
      </c>
    </row>
    <row r="784" spans="1:21" ht="15" hidden="1" customHeight="1" thickTop="1" thickBot="1">
      <c r="A784" s="321" t="s">
        <v>2137</v>
      </c>
      <c r="B784" s="322" t="s">
        <v>353</v>
      </c>
      <c r="C784" s="322" t="s">
        <v>2151</v>
      </c>
      <c r="D784" s="322" t="s">
        <v>2152</v>
      </c>
      <c r="E784" s="323">
        <v>63168863</v>
      </c>
      <c r="F784" s="323">
        <v>1795171</v>
      </c>
      <c r="G784" s="314">
        <v>2.9710000000000001E-3</v>
      </c>
      <c r="H784" s="322">
        <v>0</v>
      </c>
      <c r="I784" s="322" t="s">
        <v>2150</v>
      </c>
      <c r="J784" s="322">
        <v>30</v>
      </c>
      <c r="K784" s="322">
        <v>0</v>
      </c>
      <c r="L784" s="322">
        <v>97.772199999999998</v>
      </c>
      <c r="M784" s="322" t="s">
        <v>2153</v>
      </c>
      <c r="N784" s="322" t="s">
        <v>458</v>
      </c>
      <c r="O784" s="322" t="s">
        <v>378</v>
      </c>
      <c r="P784" s="322" t="s">
        <v>379</v>
      </c>
      <c r="Q784" s="322" t="s">
        <v>2154</v>
      </c>
      <c r="R784" s="322" t="s">
        <v>2155</v>
      </c>
      <c r="S784" s="303">
        <f t="shared" si="13"/>
        <v>0</v>
      </c>
      <c r="T784" s="307">
        <f>+IFERROR(VLOOKUP(C784,'Tasas Diarias'!$B:$F,5,FALSE)*G784,0)</f>
        <v>0</v>
      </c>
      <c r="U784" s="311" t="e">
        <f>+VLOOKUP(C784,Spreads!$A$2:$G$345,7,0)</f>
        <v>#N/A</v>
      </c>
    </row>
    <row r="785" spans="1:21" ht="15" hidden="1" customHeight="1" thickTop="1" thickBot="1">
      <c r="A785" s="321" t="s">
        <v>2137</v>
      </c>
      <c r="B785" s="322" t="s">
        <v>353</v>
      </c>
      <c r="C785" s="322" t="s">
        <v>22</v>
      </c>
      <c r="D785" s="322" t="s">
        <v>23</v>
      </c>
      <c r="E785" s="323">
        <v>5911450</v>
      </c>
      <c r="F785" s="323">
        <v>5934564</v>
      </c>
      <c r="G785" s="314">
        <v>2.7799999999999998E-4</v>
      </c>
      <c r="H785" s="324">
        <v>2.76</v>
      </c>
      <c r="I785" s="322" t="s">
        <v>1543</v>
      </c>
      <c r="J785" s="322">
        <v>50</v>
      </c>
      <c r="K785" s="322">
        <v>0.14000000000000001</v>
      </c>
      <c r="L785" s="322">
        <v>99.610517999999999</v>
      </c>
      <c r="M785" s="322" t="s">
        <v>9</v>
      </c>
      <c r="N785" s="322" t="s">
        <v>374</v>
      </c>
      <c r="O785" s="322" t="s">
        <v>8</v>
      </c>
      <c r="P785" s="322" t="s">
        <v>375</v>
      </c>
      <c r="Q785" s="322" t="s">
        <v>67</v>
      </c>
      <c r="R785" s="322" t="s">
        <v>376</v>
      </c>
      <c r="S785" s="303">
        <f t="shared" si="13"/>
        <v>827603.00000000012</v>
      </c>
      <c r="T785" s="307">
        <f>+IFERROR(VLOOKUP(C785,'Tasas Diarias'!$B:$F,5,FALSE)*G785,0)</f>
        <v>0</v>
      </c>
      <c r="U785" s="311" t="str">
        <f>+VLOOKUP(C785,Spreads!$A$2:$G$345,7,0)</f>
        <v/>
      </c>
    </row>
    <row r="786" spans="1:21" ht="15" hidden="1" customHeight="1" thickTop="1" thickBot="1">
      <c r="A786" s="317" t="s">
        <v>2137</v>
      </c>
      <c r="B786" s="318" t="s">
        <v>353</v>
      </c>
      <c r="C786" s="318" t="s">
        <v>22</v>
      </c>
      <c r="D786" s="318" t="s">
        <v>55</v>
      </c>
      <c r="E786" s="319">
        <v>19852299</v>
      </c>
      <c r="F786" s="319">
        <v>20000000</v>
      </c>
      <c r="G786" s="314">
        <v>9.3300000000000002E-4</v>
      </c>
      <c r="H786" s="320">
        <v>2.88</v>
      </c>
      <c r="I786" s="318" t="s">
        <v>1309</v>
      </c>
      <c r="J786" s="318">
        <v>92</v>
      </c>
      <c r="K786" s="318">
        <v>0.25</v>
      </c>
      <c r="L786" s="318">
        <v>99.261494999999996</v>
      </c>
      <c r="M786" s="318" t="s">
        <v>9</v>
      </c>
      <c r="N786" s="318" t="s">
        <v>374</v>
      </c>
      <c r="O786" s="318" t="s">
        <v>8</v>
      </c>
      <c r="P786" s="318" t="s">
        <v>375</v>
      </c>
      <c r="Q786" s="318" t="s">
        <v>55</v>
      </c>
      <c r="R786" s="318" t="s">
        <v>386</v>
      </c>
      <c r="S786" s="303">
        <f t="shared" si="13"/>
        <v>4963074.75</v>
      </c>
      <c r="T786" s="307">
        <f>+IFERROR(VLOOKUP(C786,'Tasas Diarias'!$B:$F,5,FALSE)*G786,0)</f>
        <v>0</v>
      </c>
      <c r="U786" s="311" t="str">
        <f>+VLOOKUP(C786,Spreads!$A$2:$G$345,7,0)</f>
        <v/>
      </c>
    </row>
    <row r="787" spans="1:21" ht="15" hidden="1" customHeight="1" thickTop="1" thickBot="1">
      <c r="A787" s="317" t="s">
        <v>2137</v>
      </c>
      <c r="B787" s="318" t="s">
        <v>353</v>
      </c>
      <c r="C787" s="318" t="s">
        <v>22</v>
      </c>
      <c r="D787" s="318" t="s">
        <v>23</v>
      </c>
      <c r="E787" s="319">
        <v>11063688</v>
      </c>
      <c r="F787" s="319">
        <v>11178750</v>
      </c>
      <c r="G787" s="314">
        <v>5.1999999999999995E-4</v>
      </c>
      <c r="H787" s="320">
        <v>2.88</v>
      </c>
      <c r="I787" s="318" t="s">
        <v>1852</v>
      </c>
      <c r="J787" s="318">
        <v>129</v>
      </c>
      <c r="K787" s="318">
        <v>0.36</v>
      </c>
      <c r="L787" s="318">
        <v>98.970707000000004</v>
      </c>
      <c r="M787" s="318" t="s">
        <v>9</v>
      </c>
      <c r="N787" s="318" t="s">
        <v>374</v>
      </c>
      <c r="O787" s="318" t="s">
        <v>8</v>
      </c>
      <c r="P787" s="318" t="s">
        <v>375</v>
      </c>
      <c r="Q787" s="318" t="s">
        <v>67</v>
      </c>
      <c r="R787" s="318" t="s">
        <v>376</v>
      </c>
      <c r="S787" s="303">
        <f t="shared" si="13"/>
        <v>3982927.6799999997</v>
      </c>
      <c r="T787" s="307">
        <f>+IFERROR(VLOOKUP(C787,'Tasas Diarias'!$B:$F,5,FALSE)*G787,0)</f>
        <v>0</v>
      </c>
      <c r="U787" s="311" t="str">
        <f>+VLOOKUP(C787,Spreads!$A$2:$G$345,7,0)</f>
        <v/>
      </c>
    </row>
    <row r="788" spans="1:21" ht="15" hidden="1" customHeight="1" thickTop="1" thickBot="1">
      <c r="A788" s="317" t="s">
        <v>2137</v>
      </c>
      <c r="B788" s="318" t="s">
        <v>353</v>
      </c>
      <c r="C788" s="318" t="s">
        <v>45</v>
      </c>
      <c r="D788" s="318" t="s">
        <v>116</v>
      </c>
      <c r="E788" s="319">
        <v>718425347</v>
      </c>
      <c r="F788" s="319">
        <v>25500</v>
      </c>
      <c r="G788" s="314">
        <v>3.3792000000000003E-2</v>
      </c>
      <c r="H788" s="320">
        <v>0.86</v>
      </c>
      <c r="I788" s="318" t="s">
        <v>493</v>
      </c>
      <c r="J788" s="318">
        <v>772</v>
      </c>
      <c r="K788" s="318">
        <v>2.04</v>
      </c>
      <c r="L788" s="318">
        <v>104.42</v>
      </c>
      <c r="M788" s="318" t="s">
        <v>6</v>
      </c>
      <c r="N788" s="318" t="s">
        <v>458</v>
      </c>
      <c r="O788" s="318" t="s">
        <v>378</v>
      </c>
      <c r="P788" s="318" t="s">
        <v>379</v>
      </c>
      <c r="Q788" s="318" t="s">
        <v>2139</v>
      </c>
      <c r="R788" s="318" t="s">
        <v>508</v>
      </c>
      <c r="S788" s="303">
        <f t="shared" si="13"/>
        <v>1465587707.8800001</v>
      </c>
      <c r="T788" s="307">
        <f>+IFERROR(VLOOKUP(C788,'Tasas Diarias'!$B:$F,5,FALSE)*G788,0)</f>
        <v>0</v>
      </c>
      <c r="U788" s="311" t="str">
        <f>+VLOOKUP(C788,Spreads!$A$2:$G$345,7,0)</f>
        <v/>
      </c>
    </row>
    <row r="789" spans="1:21" ht="15" hidden="1" customHeight="1" thickTop="1" thickBot="1">
      <c r="A789" s="317" t="s">
        <v>2137</v>
      </c>
      <c r="B789" s="318" t="s">
        <v>353</v>
      </c>
      <c r="C789" s="318" t="s">
        <v>979</v>
      </c>
      <c r="D789" s="318" t="s">
        <v>177</v>
      </c>
      <c r="E789" s="319">
        <v>90114129</v>
      </c>
      <c r="F789" s="319">
        <v>20000</v>
      </c>
      <c r="G789" s="314">
        <v>4.2379999999999996E-3</v>
      </c>
      <c r="H789" s="320">
        <v>5.23</v>
      </c>
      <c r="I789" s="318" t="s">
        <v>980</v>
      </c>
      <c r="J789" s="318">
        <v>1831</v>
      </c>
      <c r="K789" s="318">
        <v>2.2000000000000002</v>
      </c>
      <c r="L789" s="318">
        <v>102.22</v>
      </c>
      <c r="M789" s="318" t="s">
        <v>6</v>
      </c>
      <c r="N789" s="318" t="s">
        <v>368</v>
      </c>
      <c r="O789" s="318" t="s">
        <v>8</v>
      </c>
      <c r="P789" s="318" t="s">
        <v>25</v>
      </c>
      <c r="Q789" s="318" t="s">
        <v>330</v>
      </c>
      <c r="R789" s="318" t="s">
        <v>981</v>
      </c>
      <c r="S789" s="303">
        <f t="shared" si="13"/>
        <v>198251083.80000001</v>
      </c>
      <c r="T789" s="307">
        <f>+IFERROR(VLOOKUP(C789,'Tasas Diarias'!$B:$F,5,FALSE)*G789,0)</f>
        <v>9.5385128515462913E-7</v>
      </c>
      <c r="U789" s="311" t="str">
        <f ca="1">+VLOOKUP(C789,Spreads!$A$2:$G$345,7,0)</f>
        <v/>
      </c>
    </row>
    <row r="790" spans="1:21" ht="15" hidden="1" customHeight="1" thickTop="1" thickBot="1">
      <c r="A790" s="317" t="s">
        <v>2137</v>
      </c>
      <c r="B790" s="318" t="s">
        <v>353</v>
      </c>
      <c r="C790" s="318" t="s">
        <v>982</v>
      </c>
      <c r="D790" s="318" t="s">
        <v>287</v>
      </c>
      <c r="E790" s="319">
        <v>12353</v>
      </c>
      <c r="F790" s="319">
        <v>0.48</v>
      </c>
      <c r="G790" s="314">
        <v>0</v>
      </c>
      <c r="H790" s="320">
        <v>1.58</v>
      </c>
      <c r="I790" s="318" t="s">
        <v>591</v>
      </c>
      <c r="J790" s="318">
        <v>832</v>
      </c>
      <c r="K790" s="318">
        <v>2.2799999999999998</v>
      </c>
      <c r="L790" s="318">
        <v>1.57</v>
      </c>
      <c r="M790" s="318" t="s">
        <v>6</v>
      </c>
      <c r="N790" s="318" t="s">
        <v>458</v>
      </c>
      <c r="O790" s="318" t="s">
        <v>378</v>
      </c>
      <c r="P790" s="318" t="s">
        <v>379</v>
      </c>
      <c r="Q790" s="318" t="s">
        <v>59</v>
      </c>
      <c r="R790" s="318" t="s">
        <v>983</v>
      </c>
      <c r="S790" s="303">
        <f t="shared" si="13"/>
        <v>28164.839999999997</v>
      </c>
      <c r="T790" s="307">
        <f>+IFERROR(VLOOKUP(C790,'Tasas Diarias'!$B:$F,5,FALSE)*G790,0)</f>
        <v>0</v>
      </c>
      <c r="U790" s="311" t="e">
        <f>+VLOOKUP(C790,Spreads!$A$2:$G$345,7,0)</f>
        <v>#N/A</v>
      </c>
    </row>
    <row r="791" spans="1:21" ht="15" hidden="1" customHeight="1" thickTop="1" thickBot="1">
      <c r="A791" s="317" t="s">
        <v>2137</v>
      </c>
      <c r="B791" s="318" t="s">
        <v>353</v>
      </c>
      <c r="C791" s="318" t="s">
        <v>614</v>
      </c>
      <c r="D791" s="318" t="s">
        <v>30</v>
      </c>
      <c r="E791" s="319">
        <v>438497516</v>
      </c>
      <c r="F791" s="319">
        <v>430000000</v>
      </c>
      <c r="G791" s="314">
        <v>2.0625000000000001E-2</v>
      </c>
      <c r="H791" s="320">
        <v>0</v>
      </c>
      <c r="I791" s="318" t="s">
        <v>615</v>
      </c>
      <c r="J791" s="318">
        <v>1037</v>
      </c>
      <c r="K791" s="318">
        <v>2.61</v>
      </c>
      <c r="L791" s="318">
        <v>100.947</v>
      </c>
      <c r="M791" s="318" t="s">
        <v>9</v>
      </c>
      <c r="N791" s="318" t="s">
        <v>368</v>
      </c>
      <c r="O791" s="318" t="s">
        <v>8</v>
      </c>
      <c r="P791" s="318" t="s">
        <v>379</v>
      </c>
      <c r="Q791" s="318" t="s">
        <v>61</v>
      </c>
      <c r="R791" s="318" t="s">
        <v>394</v>
      </c>
      <c r="S791" s="303">
        <f t="shared" si="13"/>
        <v>1144478516.76</v>
      </c>
      <c r="T791" s="307">
        <f>+IFERROR(VLOOKUP(C791,'Tasas Diarias'!$B:$F,5,FALSE)*G791,0)</f>
        <v>0</v>
      </c>
      <c r="U791" s="311" t="e">
        <f>+VLOOKUP(C791,Spreads!$A$2:$G$345,7,0)</f>
        <v>#N/A</v>
      </c>
    </row>
    <row r="792" spans="1:21" ht="15" hidden="1" customHeight="1" thickTop="1" thickBot="1">
      <c r="A792" s="317" t="s">
        <v>2137</v>
      </c>
      <c r="B792" s="318" t="s">
        <v>353</v>
      </c>
      <c r="C792" s="318" t="s">
        <v>356</v>
      </c>
      <c r="D792" s="318" t="s">
        <v>115</v>
      </c>
      <c r="E792" s="319">
        <v>10352861791</v>
      </c>
      <c r="F792" s="319">
        <v>10005000000</v>
      </c>
      <c r="G792" s="314">
        <v>0.48696200000000001</v>
      </c>
      <c r="H792" s="320">
        <v>3.72</v>
      </c>
      <c r="I792" s="318" t="s">
        <v>507</v>
      </c>
      <c r="J792" s="318">
        <v>1197</v>
      </c>
      <c r="K792" s="318">
        <v>3.06</v>
      </c>
      <c r="L792" s="318">
        <v>102.48</v>
      </c>
      <c r="M792" s="318" t="s">
        <v>9</v>
      </c>
      <c r="N792" s="318" t="s">
        <v>458</v>
      </c>
      <c r="O792" s="318" t="s">
        <v>378</v>
      </c>
      <c r="P792" s="318" t="s">
        <v>379</v>
      </c>
      <c r="Q792" s="318" t="s">
        <v>2139</v>
      </c>
      <c r="R792" s="318" t="s">
        <v>885</v>
      </c>
      <c r="S792" s="303">
        <f t="shared" si="13"/>
        <v>31679757080.459999</v>
      </c>
      <c r="T792" s="307">
        <f>+IFERROR(VLOOKUP(C792,'Tasas Diarias'!$B:$F,5,FALSE)*G792,0)</f>
        <v>-1.5182877294780251E-4</v>
      </c>
      <c r="U792" s="311" t="str">
        <f>+VLOOKUP(C792,Spreads!$A$2:$G$345,7,0)</f>
        <v/>
      </c>
    </row>
    <row r="793" spans="1:21" ht="15" hidden="1" customHeight="1" thickTop="1" thickBot="1">
      <c r="A793" s="317" t="s">
        <v>2137</v>
      </c>
      <c r="B793" s="318" t="s">
        <v>353</v>
      </c>
      <c r="C793" s="318" t="s">
        <v>159</v>
      </c>
      <c r="D793" s="318" t="s">
        <v>116</v>
      </c>
      <c r="E793" s="319">
        <v>3784080214</v>
      </c>
      <c r="F793" s="319">
        <v>140000</v>
      </c>
      <c r="G793" s="314">
        <v>0.17799000000000001</v>
      </c>
      <c r="H793" s="318">
        <v>1.19</v>
      </c>
      <c r="I793" s="318" t="s">
        <v>507</v>
      </c>
      <c r="J793" s="318">
        <v>1197</v>
      </c>
      <c r="K793" s="318">
        <v>3.2</v>
      </c>
      <c r="L793" s="318">
        <v>101</v>
      </c>
      <c r="M793" s="318" t="s">
        <v>6</v>
      </c>
      <c r="N793" s="318" t="s">
        <v>458</v>
      </c>
      <c r="O793" s="318" t="s">
        <v>378</v>
      </c>
      <c r="P793" s="318" t="s">
        <v>379</v>
      </c>
      <c r="Q793" s="318" t="s">
        <v>2139</v>
      </c>
      <c r="R793" s="318" t="s">
        <v>508</v>
      </c>
      <c r="S793" s="303">
        <f t="shared" si="13"/>
        <v>12109056684.800001</v>
      </c>
      <c r="T793" s="307">
        <f>+IFERROR(VLOOKUP(C793,'Tasas Diarias'!$B:$F,5,FALSE)*G793,0)</f>
        <v>0</v>
      </c>
      <c r="U793" s="311" t="str">
        <f>+VLOOKUP(C793,Spreads!$A$2:$G$345,7,0)</f>
        <v/>
      </c>
    </row>
    <row r="794" spans="1:21" ht="15" hidden="1" customHeight="1" thickTop="1" thickBot="1">
      <c r="A794" s="321" t="s">
        <v>2137</v>
      </c>
      <c r="B794" s="322" t="s">
        <v>353</v>
      </c>
      <c r="C794" s="322" t="s">
        <v>984</v>
      </c>
      <c r="D794" s="322" t="s">
        <v>180</v>
      </c>
      <c r="E794" s="323">
        <v>71546019</v>
      </c>
      <c r="F794" s="323">
        <v>6000</v>
      </c>
      <c r="G794" s="314">
        <v>3.3649999999999999E-3</v>
      </c>
      <c r="H794" s="324">
        <v>2.63</v>
      </c>
      <c r="I794" s="322" t="s">
        <v>985</v>
      </c>
      <c r="J794" s="322">
        <v>2754</v>
      </c>
      <c r="K794" s="322">
        <v>3.66</v>
      </c>
      <c r="L794" s="322">
        <v>99.54</v>
      </c>
      <c r="M794" s="322" t="s">
        <v>6</v>
      </c>
      <c r="N794" s="322" t="s">
        <v>458</v>
      </c>
      <c r="O794" s="322" t="s">
        <v>378</v>
      </c>
      <c r="P794" s="322" t="s">
        <v>379</v>
      </c>
      <c r="Q794" s="322" t="s">
        <v>65</v>
      </c>
      <c r="R794" s="322" t="s">
        <v>986</v>
      </c>
      <c r="S794" s="303">
        <f t="shared" si="13"/>
        <v>261858429.54000002</v>
      </c>
      <c r="T794" s="307">
        <f>+IFERROR(VLOOKUP(C794,'Tasas Diarias'!$B:$F,5,FALSE)*G794,0)</f>
        <v>2.5000342068991704E-6</v>
      </c>
      <c r="U794" s="311" t="e">
        <f>+VLOOKUP(C794,Spreads!$A$2:$G$345,7,0)</f>
        <v>#N/A</v>
      </c>
    </row>
    <row r="795" spans="1:21" ht="15" hidden="1" customHeight="1" thickTop="1" thickBot="1">
      <c r="A795" s="317" t="s">
        <v>2137</v>
      </c>
      <c r="B795" s="318" t="s">
        <v>353</v>
      </c>
      <c r="C795" s="318" t="s">
        <v>987</v>
      </c>
      <c r="D795" s="318" t="s">
        <v>180</v>
      </c>
      <c r="E795" s="319">
        <v>2333139</v>
      </c>
      <c r="F795" s="319">
        <v>127</v>
      </c>
      <c r="G795" s="314">
        <v>1.0900000000000001E-4</v>
      </c>
      <c r="H795" s="320">
        <v>2.65</v>
      </c>
      <c r="I795" s="318" t="s">
        <v>988</v>
      </c>
      <c r="J795" s="318">
        <v>2846</v>
      </c>
      <c r="K795" s="318">
        <v>3.78</v>
      </c>
      <c r="L795" s="318">
        <v>98.53</v>
      </c>
      <c r="M795" s="318" t="s">
        <v>6</v>
      </c>
      <c r="N795" s="318" t="s">
        <v>458</v>
      </c>
      <c r="O795" s="318" t="s">
        <v>378</v>
      </c>
      <c r="P795" s="318" t="s">
        <v>379</v>
      </c>
      <c r="Q795" s="318" t="s">
        <v>65</v>
      </c>
      <c r="R795" s="318" t="s">
        <v>986</v>
      </c>
      <c r="S795" s="303">
        <f t="shared" si="13"/>
        <v>8819265.4199999999</v>
      </c>
      <c r="T795" s="307">
        <f>+IFERROR(VLOOKUP(C795,'Tasas Diarias'!$B:$F,5,FALSE)*G795,0)</f>
        <v>8.3493855453887988E-8</v>
      </c>
      <c r="U795" s="311" t="e">
        <f>+VLOOKUP(C795,Spreads!$A$2:$G$345,7,0)</f>
        <v>#N/A</v>
      </c>
    </row>
    <row r="796" spans="1:21" ht="15" hidden="1" customHeight="1" thickTop="1" thickBot="1">
      <c r="A796" s="317" t="s">
        <v>2137</v>
      </c>
      <c r="B796" s="318" t="s">
        <v>353</v>
      </c>
      <c r="C796" s="318" t="s">
        <v>13</v>
      </c>
      <c r="D796" s="318" t="s">
        <v>1492</v>
      </c>
      <c r="E796" s="319">
        <v>1953450044</v>
      </c>
      <c r="F796" s="319">
        <v>1780000000</v>
      </c>
      <c r="G796" s="314">
        <v>9.1883000000000006E-2</v>
      </c>
      <c r="H796" s="320">
        <v>3.88</v>
      </c>
      <c r="I796" s="318" t="s">
        <v>632</v>
      </c>
      <c r="J796" s="318">
        <v>1562</v>
      </c>
      <c r="K796" s="318">
        <v>3.81</v>
      </c>
      <c r="L796" s="318">
        <v>108.34</v>
      </c>
      <c r="M796" s="318" t="s">
        <v>9</v>
      </c>
      <c r="N796" s="318" t="s">
        <v>458</v>
      </c>
      <c r="O796" s="318" t="s">
        <v>378</v>
      </c>
      <c r="P796" s="318" t="s">
        <v>379</v>
      </c>
      <c r="Q796" s="318" t="s">
        <v>59</v>
      </c>
      <c r="R796" s="318" t="s">
        <v>1493</v>
      </c>
      <c r="S796" s="303">
        <f t="shared" si="13"/>
        <v>7442644667.6400003</v>
      </c>
      <c r="T796" s="307">
        <f>+IFERROR(VLOOKUP(C796,'Tasas Diarias'!$B:$F,5,FALSE)*G796,0)</f>
        <v>0</v>
      </c>
      <c r="U796" s="311" t="str">
        <f>+VLOOKUP(C796,Spreads!$A$2:$G$345,7,0)</f>
        <v/>
      </c>
    </row>
    <row r="797" spans="1:21" ht="15" hidden="1" customHeight="1" thickTop="1" thickBot="1">
      <c r="A797" s="321" t="s">
        <v>2137</v>
      </c>
      <c r="B797" s="322" t="s">
        <v>353</v>
      </c>
      <c r="C797" s="322" t="s">
        <v>989</v>
      </c>
      <c r="D797" s="322" t="s">
        <v>180</v>
      </c>
      <c r="E797" s="323">
        <v>6071901</v>
      </c>
      <c r="F797" s="323">
        <v>300</v>
      </c>
      <c r="G797" s="314">
        <v>2.8499999999999999E-4</v>
      </c>
      <c r="H797" s="324">
        <v>2.85</v>
      </c>
      <c r="I797" s="322" t="s">
        <v>990</v>
      </c>
      <c r="J797" s="322">
        <v>3942</v>
      </c>
      <c r="K797" s="322">
        <v>5.14</v>
      </c>
      <c r="L797" s="322">
        <v>98.26</v>
      </c>
      <c r="M797" s="322" t="s">
        <v>6</v>
      </c>
      <c r="N797" s="322" t="s">
        <v>458</v>
      </c>
      <c r="O797" s="322" t="s">
        <v>378</v>
      </c>
      <c r="P797" s="322" t="s">
        <v>379</v>
      </c>
      <c r="Q797" s="322" t="s">
        <v>65</v>
      </c>
      <c r="R797" s="322" t="s">
        <v>986</v>
      </c>
      <c r="S797" s="303">
        <f t="shared" si="13"/>
        <v>31209571.139999997</v>
      </c>
      <c r="T797" s="307">
        <f>+IFERROR(VLOOKUP(C797,'Tasas Diarias'!$B:$F,5,FALSE)*G797,0)</f>
        <v>2.9555512138052602E-7</v>
      </c>
      <c r="U797" s="311" t="e">
        <f>+VLOOKUP(C797,Spreads!$A$2:$G$345,7,0)</f>
        <v>#N/A</v>
      </c>
    </row>
    <row r="798" spans="1:21" ht="15" hidden="1" customHeight="1" thickTop="1" thickBot="1">
      <c r="A798" s="321" t="s">
        <v>2137</v>
      </c>
      <c r="B798" s="322" t="s">
        <v>353</v>
      </c>
      <c r="C798" s="322" t="s">
        <v>991</v>
      </c>
      <c r="D798" s="322" t="s">
        <v>180</v>
      </c>
      <c r="E798" s="323">
        <v>21348911</v>
      </c>
      <c r="F798" s="323">
        <v>1000</v>
      </c>
      <c r="G798" s="314">
        <v>1.0039999999999999E-3</v>
      </c>
      <c r="H798" s="324">
        <v>2.9</v>
      </c>
      <c r="I798" s="322" t="s">
        <v>992</v>
      </c>
      <c r="J798" s="322">
        <v>4215</v>
      </c>
      <c r="K798" s="322">
        <v>5.47</v>
      </c>
      <c r="L798" s="322">
        <v>97.88</v>
      </c>
      <c r="M798" s="322" t="s">
        <v>6</v>
      </c>
      <c r="N798" s="322" t="s">
        <v>458</v>
      </c>
      <c r="O798" s="322" t="s">
        <v>378</v>
      </c>
      <c r="P798" s="322" t="s">
        <v>379</v>
      </c>
      <c r="Q798" s="322" t="s">
        <v>65</v>
      </c>
      <c r="R798" s="322" t="s">
        <v>986</v>
      </c>
      <c r="S798" s="303">
        <f t="shared" si="13"/>
        <v>116778543.17</v>
      </c>
      <c r="T798" s="307">
        <f>+IFERROR(VLOOKUP(C798,'Tasas Diarias'!$B:$F,5,FALSE)*G798,0)</f>
        <v>1.1074159757986161E-6</v>
      </c>
      <c r="U798" s="311" t="e">
        <f>+VLOOKUP(C798,Spreads!$A$2:$G$345,7,0)</f>
        <v>#N/A</v>
      </c>
    </row>
    <row r="799" spans="1:21" ht="15" hidden="1" customHeight="1" thickTop="1" thickBot="1">
      <c r="A799" s="317" t="s">
        <v>2137</v>
      </c>
      <c r="B799" s="318" t="s">
        <v>353</v>
      </c>
      <c r="C799" s="318" t="s">
        <v>19</v>
      </c>
      <c r="D799" s="318" t="s">
        <v>116</v>
      </c>
      <c r="E799" s="319">
        <v>2243729006</v>
      </c>
      <c r="F799" s="319">
        <v>85500</v>
      </c>
      <c r="G799" s="314">
        <v>0.10553700000000001</v>
      </c>
      <c r="H799" s="320">
        <v>1.76</v>
      </c>
      <c r="I799" s="318" t="s">
        <v>770</v>
      </c>
      <c r="J799" s="318">
        <v>3023</v>
      </c>
      <c r="K799" s="318">
        <v>7.79</v>
      </c>
      <c r="L799" s="318">
        <v>98.07</v>
      </c>
      <c r="M799" s="318" t="s">
        <v>6</v>
      </c>
      <c r="N799" s="318" t="s">
        <v>458</v>
      </c>
      <c r="O799" s="318" t="s">
        <v>378</v>
      </c>
      <c r="P799" s="318" t="s">
        <v>379</v>
      </c>
      <c r="Q799" s="318" t="s">
        <v>2139</v>
      </c>
      <c r="R799" s="318" t="s">
        <v>508</v>
      </c>
      <c r="S799" s="303">
        <f t="shared" si="13"/>
        <v>17478648956.740002</v>
      </c>
      <c r="T799" s="307">
        <f>+IFERROR(VLOOKUP(C799,'Tasas Diarias'!$B:$F,5,FALSE)*G799,0)</f>
        <v>2.4842216620062877E-4</v>
      </c>
      <c r="U799" s="311" t="str">
        <f>+VLOOKUP(C799,Spreads!$A$2:$G$345,7,0)</f>
        <v/>
      </c>
    </row>
    <row r="800" spans="1:21" ht="15" hidden="1" customHeight="1" thickTop="1" thickBot="1">
      <c r="A800" s="317" t="s">
        <v>2137</v>
      </c>
      <c r="B800" s="318" t="s">
        <v>353</v>
      </c>
      <c r="C800" s="318" t="s">
        <v>27</v>
      </c>
      <c r="D800" s="318" t="s">
        <v>15</v>
      </c>
      <c r="E800" s="319">
        <v>29477201</v>
      </c>
      <c r="F800" s="319">
        <v>1000</v>
      </c>
      <c r="G800" s="314">
        <v>1.3860000000000001E-3</v>
      </c>
      <c r="H800" s="320">
        <v>2.65</v>
      </c>
      <c r="I800" s="318" t="s">
        <v>954</v>
      </c>
      <c r="J800" s="318">
        <v>6385</v>
      </c>
      <c r="K800" s="318">
        <v>9.07</v>
      </c>
      <c r="L800" s="318">
        <v>110.47</v>
      </c>
      <c r="M800" s="318" t="s">
        <v>6</v>
      </c>
      <c r="N800" s="318" t="s">
        <v>368</v>
      </c>
      <c r="O800" s="318" t="s">
        <v>8</v>
      </c>
      <c r="P800" s="318" t="s">
        <v>7</v>
      </c>
      <c r="Q800" s="318" t="s">
        <v>28</v>
      </c>
      <c r="R800" s="318" t="s">
        <v>603</v>
      </c>
      <c r="S800" s="303">
        <f t="shared" si="13"/>
        <v>267358213.07000002</v>
      </c>
      <c r="T800" s="307">
        <f>+IFERROR(VLOOKUP(C800,'Tasas Diarias'!$B:$F,5,FALSE)*G800,0)</f>
        <v>1.2441469235134275E-6</v>
      </c>
      <c r="U800" s="311" t="str">
        <f ca="1">+VLOOKUP(C800,Spreads!$A$2:$G$345,7,0)</f>
        <v/>
      </c>
    </row>
    <row r="801" spans="1:21" ht="15" hidden="1" customHeight="1" thickTop="1" thickBot="1">
      <c r="A801" s="327" t="s">
        <v>2137</v>
      </c>
      <c r="B801" s="328" t="s">
        <v>353</v>
      </c>
      <c r="C801" s="328" t="s">
        <v>227</v>
      </c>
      <c r="D801" s="328" t="s">
        <v>115</v>
      </c>
      <c r="E801" s="328">
        <v>1079550246</v>
      </c>
      <c r="F801" s="328">
        <v>1055000000</v>
      </c>
      <c r="G801" s="328">
        <v>5.0777999999999997E-2</v>
      </c>
      <c r="H801" s="329">
        <v>4.95</v>
      </c>
      <c r="I801" s="328" t="s">
        <v>957</v>
      </c>
      <c r="J801" s="328">
        <v>6310</v>
      </c>
      <c r="K801" s="328">
        <v>11.69</v>
      </c>
      <c r="L801" s="328">
        <v>101.24</v>
      </c>
      <c r="M801" s="328" t="s">
        <v>9</v>
      </c>
      <c r="N801" s="328" t="s">
        <v>458</v>
      </c>
      <c r="O801" s="328" t="s">
        <v>378</v>
      </c>
      <c r="P801" s="328" t="s">
        <v>379</v>
      </c>
      <c r="Q801" s="328" t="s">
        <v>2139</v>
      </c>
      <c r="R801" s="328" t="s">
        <v>885</v>
      </c>
      <c r="S801" s="303">
        <f t="shared" si="13"/>
        <v>12619942375.74</v>
      </c>
      <c r="T801" s="307">
        <f>+IFERROR(VLOOKUP(C801,'Tasas Diarias'!$B:$F,5,FALSE)*G801,0)</f>
        <v>-1.1951892168469284E-4</v>
      </c>
      <c r="U801" s="311" t="str">
        <f>+VLOOKUP(C801,Spreads!$A$2:$G$345,7,0)</f>
        <v/>
      </c>
    </row>
    <row r="802" spans="1:21" ht="15" hidden="1" customHeight="1" thickTop="1" thickBot="1">
      <c r="A802" s="317" t="s">
        <v>2137</v>
      </c>
      <c r="B802" s="318" t="s">
        <v>353</v>
      </c>
      <c r="C802" s="318" t="s">
        <v>208</v>
      </c>
      <c r="D802" s="318" t="s">
        <v>116</v>
      </c>
      <c r="E802" s="319">
        <v>368575922</v>
      </c>
      <c r="F802" s="319">
        <v>14000</v>
      </c>
      <c r="G802" s="314">
        <v>1.7336000000000001E-2</v>
      </c>
      <c r="H802" s="320">
        <v>2.13</v>
      </c>
      <c r="I802" s="318" t="s">
        <v>957</v>
      </c>
      <c r="J802" s="318">
        <v>6310</v>
      </c>
      <c r="K802" s="318">
        <v>14.61</v>
      </c>
      <c r="L802" s="318">
        <v>98.28</v>
      </c>
      <c r="M802" s="318" t="s">
        <v>6</v>
      </c>
      <c r="N802" s="318" t="s">
        <v>458</v>
      </c>
      <c r="O802" s="318" t="s">
        <v>378</v>
      </c>
      <c r="P802" s="318" t="s">
        <v>379</v>
      </c>
      <c r="Q802" s="318" t="s">
        <v>2139</v>
      </c>
      <c r="R802" s="318" t="s">
        <v>508</v>
      </c>
      <c r="S802" s="303">
        <f t="shared" si="13"/>
        <v>5384894220.4200001</v>
      </c>
      <c r="T802" s="307">
        <f>+IFERROR(VLOOKUP(C802,'Tasas Diarias'!$B:$F,5,FALSE)*G802,0)</f>
        <v>0</v>
      </c>
      <c r="U802" s="311" t="str">
        <f>+VLOOKUP(C802,Spreads!$A$2:$G$345,7,0)</f>
        <v/>
      </c>
    </row>
    <row r="803" spans="1:21" ht="15" hidden="1" customHeight="1" thickTop="1" thickBot="1">
      <c r="A803" s="317" t="s">
        <v>2137</v>
      </c>
      <c r="B803" s="318" t="s">
        <v>298</v>
      </c>
      <c r="C803" s="318" t="s">
        <v>791</v>
      </c>
      <c r="D803" s="318" t="s">
        <v>792</v>
      </c>
      <c r="E803" s="319">
        <v>29771924.901700001</v>
      </c>
      <c r="F803" s="319">
        <v>29550766.9617979</v>
      </c>
      <c r="G803" s="314">
        <v>3.39E-4</v>
      </c>
      <c r="H803" s="318">
        <v>0</v>
      </c>
      <c r="I803" s="318"/>
      <c r="J803" s="318">
        <v>-43057</v>
      </c>
      <c r="K803" s="318">
        <v>0</v>
      </c>
      <c r="L803" s="318">
        <v>1.007484</v>
      </c>
      <c r="M803" s="318" t="s">
        <v>9</v>
      </c>
      <c r="N803" s="318" t="s">
        <v>793</v>
      </c>
      <c r="O803" s="318" t="s">
        <v>8</v>
      </c>
      <c r="P803" s="318" t="s">
        <v>794</v>
      </c>
      <c r="Q803" s="318" t="s">
        <v>795</v>
      </c>
      <c r="R803" s="318" t="s">
        <v>796</v>
      </c>
      <c r="S803" s="303">
        <f t="shared" si="13"/>
        <v>0</v>
      </c>
      <c r="T803" s="307">
        <f>+IFERROR(VLOOKUP(C803,'Tasas Diarias'!$B:$F,5,FALSE)*G803,0)</f>
        <v>0</v>
      </c>
      <c r="U803" s="311" t="e">
        <f>+VLOOKUP(C803,Spreads!$A$2:$G$345,7,0)</f>
        <v>#N/A</v>
      </c>
    </row>
    <row r="804" spans="1:21" ht="15" hidden="1" customHeight="1" thickTop="1" thickBot="1">
      <c r="A804" s="317" t="s">
        <v>2137</v>
      </c>
      <c r="B804" s="318" t="s">
        <v>298</v>
      </c>
      <c r="C804" s="318" t="s">
        <v>797</v>
      </c>
      <c r="D804" s="318" t="s">
        <v>798</v>
      </c>
      <c r="E804" s="319">
        <v>20553020.845899999</v>
      </c>
      <c r="F804" s="319">
        <v>20528079.229659963</v>
      </c>
      <c r="G804" s="314">
        <v>2.34E-4</v>
      </c>
      <c r="H804" s="318">
        <v>0</v>
      </c>
      <c r="I804" s="318"/>
      <c r="J804" s="318">
        <v>-43057</v>
      </c>
      <c r="K804" s="318">
        <v>0</v>
      </c>
      <c r="L804" s="318">
        <v>1.001215</v>
      </c>
      <c r="M804" s="318" t="s">
        <v>9</v>
      </c>
      <c r="N804" s="318" t="s">
        <v>793</v>
      </c>
      <c r="O804" s="318" t="s">
        <v>8</v>
      </c>
      <c r="P804" s="318" t="s">
        <v>29</v>
      </c>
      <c r="Q804" s="318" t="s">
        <v>64</v>
      </c>
      <c r="R804" s="318" t="s">
        <v>799</v>
      </c>
      <c r="S804" s="303">
        <f t="shared" si="13"/>
        <v>0</v>
      </c>
      <c r="T804" s="307">
        <f>+IFERROR(VLOOKUP(C804,'Tasas Diarias'!$B:$F,5,FALSE)*G804,0)</f>
        <v>0</v>
      </c>
      <c r="U804" s="311" t="e">
        <f>+VLOOKUP(C804,Spreads!$A$2:$G$345,7,0)</f>
        <v>#N/A</v>
      </c>
    </row>
    <row r="805" spans="1:21" ht="15" hidden="1" customHeight="1" thickTop="1" thickBot="1">
      <c r="A805" s="321" t="s">
        <v>2137</v>
      </c>
      <c r="B805" s="322" t="s">
        <v>298</v>
      </c>
      <c r="C805" s="322" t="s">
        <v>1921</v>
      </c>
      <c r="D805" s="322" t="s">
        <v>1922</v>
      </c>
      <c r="E805" s="323">
        <v>26935339.038400002</v>
      </c>
      <c r="F805" s="323">
        <v>26727.90640818638</v>
      </c>
      <c r="G805" s="314">
        <v>3.0699999999999998E-4</v>
      </c>
      <c r="H805" s="324">
        <v>0</v>
      </c>
      <c r="I805" s="322" t="s">
        <v>1923</v>
      </c>
      <c r="J805" s="322">
        <v>1426</v>
      </c>
      <c r="K805" s="322">
        <v>0</v>
      </c>
      <c r="L805" s="322">
        <v>1007.7609</v>
      </c>
      <c r="M805" s="322" t="s">
        <v>9</v>
      </c>
      <c r="N805" s="322" t="s">
        <v>793</v>
      </c>
      <c r="O805" s="322" t="s">
        <v>8</v>
      </c>
      <c r="P805" s="322" t="s">
        <v>109</v>
      </c>
      <c r="Q805" s="322" t="s">
        <v>1924</v>
      </c>
      <c r="R805" s="322" t="s">
        <v>1925</v>
      </c>
      <c r="S805" s="303">
        <f t="shared" si="13"/>
        <v>0</v>
      </c>
      <c r="T805" s="307">
        <f>+IFERROR(VLOOKUP(C805,'Tasas Diarias'!$B:$F,5,FALSE)*G805,0)</f>
        <v>0</v>
      </c>
      <c r="U805" s="311" t="e">
        <f>+VLOOKUP(C805,Spreads!$A$2:$G$345,7,0)</f>
        <v>#N/A</v>
      </c>
    </row>
    <row r="806" spans="1:21" ht="15" hidden="1" customHeight="1" thickTop="1" thickBot="1">
      <c r="A806" s="321" t="s">
        <v>2137</v>
      </c>
      <c r="B806" s="322" t="s">
        <v>298</v>
      </c>
      <c r="C806" s="322" t="s">
        <v>22</v>
      </c>
      <c r="D806" s="322" t="s">
        <v>1230</v>
      </c>
      <c r="E806" s="323">
        <v>12306136.514799999</v>
      </c>
      <c r="F806" s="323">
        <v>12312941.87780186</v>
      </c>
      <c r="G806" s="314">
        <v>1.3999999999999999E-4</v>
      </c>
      <c r="H806" s="324">
        <v>6.6360000000000001</v>
      </c>
      <c r="I806" s="322" t="s">
        <v>1555</v>
      </c>
      <c r="J806" s="322">
        <v>2</v>
      </c>
      <c r="K806" s="322">
        <v>0.01</v>
      </c>
      <c r="L806" s="322">
        <v>99.944730000000007</v>
      </c>
      <c r="M806" s="322" t="s">
        <v>9</v>
      </c>
      <c r="N806" s="322" t="s">
        <v>377</v>
      </c>
      <c r="O806" s="322" t="s">
        <v>1182</v>
      </c>
      <c r="P806" s="322" t="s">
        <v>109</v>
      </c>
      <c r="Q806" s="322" t="s">
        <v>1231</v>
      </c>
      <c r="R806" s="322" t="s">
        <v>1317</v>
      </c>
      <c r="S806" s="303">
        <f t="shared" si="13"/>
        <v>123061.365148</v>
      </c>
      <c r="T806" s="307">
        <f>+IFERROR(VLOOKUP(C806,'Tasas Diarias'!$B:$F,5,FALSE)*G806,0)</f>
        <v>0</v>
      </c>
      <c r="U806" s="311" t="str">
        <f>+VLOOKUP(C806,Spreads!$A$2:$G$345,7,0)</f>
        <v/>
      </c>
    </row>
    <row r="807" spans="1:21" ht="15" hidden="1" customHeight="1" thickTop="1" thickBot="1">
      <c r="A807" s="321" t="s">
        <v>2137</v>
      </c>
      <c r="B807" s="322" t="s">
        <v>298</v>
      </c>
      <c r="C807" s="322" t="s">
        <v>22</v>
      </c>
      <c r="D807" s="322" t="s">
        <v>2109</v>
      </c>
      <c r="E807" s="323">
        <v>7024218.0107000005</v>
      </c>
      <c r="F807" s="323">
        <v>7027603.7696421379</v>
      </c>
      <c r="G807" s="314">
        <v>8.0000000000000007E-5</v>
      </c>
      <c r="H807" s="324">
        <v>5.7839999999999998</v>
      </c>
      <c r="I807" s="322" t="s">
        <v>1555</v>
      </c>
      <c r="J807" s="322">
        <v>2</v>
      </c>
      <c r="K807" s="322">
        <v>0.01</v>
      </c>
      <c r="L807" s="322">
        <v>99.951822000000007</v>
      </c>
      <c r="M807" s="322" t="s">
        <v>9</v>
      </c>
      <c r="N807" s="322" t="s">
        <v>377</v>
      </c>
      <c r="O807" s="322" t="s">
        <v>8</v>
      </c>
      <c r="P807" s="322" t="s">
        <v>444</v>
      </c>
      <c r="Q807" s="322" t="s">
        <v>1466</v>
      </c>
      <c r="R807" s="322" t="s">
        <v>2111</v>
      </c>
      <c r="S807" s="303">
        <f t="shared" si="13"/>
        <v>70242.180107000007</v>
      </c>
      <c r="T807" s="307">
        <f>+IFERROR(VLOOKUP(C807,'Tasas Diarias'!$B:$F,5,FALSE)*G807,0)</f>
        <v>0</v>
      </c>
      <c r="U807" s="311" t="str">
        <f>+VLOOKUP(C807,Spreads!$A$2:$G$345,7,0)</f>
        <v/>
      </c>
    </row>
    <row r="808" spans="1:21" ht="15" hidden="1" customHeight="1" thickTop="1" thickBot="1">
      <c r="A808" s="321" t="s">
        <v>2137</v>
      </c>
      <c r="B808" s="322" t="s">
        <v>298</v>
      </c>
      <c r="C808" s="322" t="s">
        <v>22</v>
      </c>
      <c r="D808" s="322" t="s">
        <v>54</v>
      </c>
      <c r="E808" s="323">
        <v>8865195.9277999997</v>
      </c>
      <c r="F808" s="323">
        <v>8867678.1682568584</v>
      </c>
      <c r="G808" s="314">
        <v>1.01E-4</v>
      </c>
      <c r="H808" s="324">
        <v>2.52</v>
      </c>
      <c r="I808" s="322" t="s">
        <v>1916</v>
      </c>
      <c r="J808" s="322">
        <v>3</v>
      </c>
      <c r="K808" s="322">
        <v>0.01</v>
      </c>
      <c r="L808" s="322">
        <v>99.972008000000002</v>
      </c>
      <c r="M808" s="322" t="s">
        <v>9</v>
      </c>
      <c r="N808" s="322" t="s">
        <v>374</v>
      </c>
      <c r="O808" s="322" t="s">
        <v>8</v>
      </c>
      <c r="P808" s="322" t="s">
        <v>375</v>
      </c>
      <c r="Q808" s="322" t="s">
        <v>390</v>
      </c>
      <c r="R808" s="322" t="s">
        <v>391</v>
      </c>
      <c r="S808" s="303">
        <f t="shared" si="13"/>
        <v>88651.959277999995</v>
      </c>
      <c r="T808" s="307">
        <f>+IFERROR(VLOOKUP(C808,'Tasas Diarias'!$B:$F,5,FALSE)*G808,0)</f>
        <v>0</v>
      </c>
      <c r="U808" s="311" t="str">
        <f>+VLOOKUP(C808,Spreads!$A$2:$G$345,7,0)</f>
        <v/>
      </c>
    </row>
    <row r="809" spans="1:21" ht="15" hidden="1" customHeight="1" thickTop="1" thickBot="1">
      <c r="A809" s="321" t="s">
        <v>2137</v>
      </c>
      <c r="B809" s="322" t="s">
        <v>298</v>
      </c>
      <c r="C809" s="322" t="s">
        <v>22</v>
      </c>
      <c r="D809" s="322" t="s">
        <v>174</v>
      </c>
      <c r="E809" s="323">
        <v>886147.78249999997</v>
      </c>
      <c r="F809" s="323">
        <v>886457.9275551138</v>
      </c>
      <c r="G809" s="314">
        <v>1.0000000000000001E-5</v>
      </c>
      <c r="H809" s="350">
        <v>2.52</v>
      </c>
      <c r="I809" s="322" t="s">
        <v>1414</v>
      </c>
      <c r="J809" s="322">
        <v>4</v>
      </c>
      <c r="K809" s="322">
        <v>0.01</v>
      </c>
      <c r="L809" s="322">
        <v>99.965012999999999</v>
      </c>
      <c r="M809" s="322" t="s">
        <v>9</v>
      </c>
      <c r="N809" s="322" t="s">
        <v>374</v>
      </c>
      <c r="O809" s="322" t="s">
        <v>8</v>
      </c>
      <c r="P809" s="322" t="s">
        <v>375</v>
      </c>
      <c r="Q809" s="322" t="s">
        <v>60</v>
      </c>
      <c r="R809" s="322" t="s">
        <v>408</v>
      </c>
      <c r="S809" s="303">
        <f t="shared" si="13"/>
        <v>8861.4778249999999</v>
      </c>
      <c r="T809" s="307">
        <f>+IFERROR(VLOOKUP(C809,'Tasas Diarias'!$B:$F,5,FALSE)*G809,0)</f>
        <v>0</v>
      </c>
      <c r="U809" s="311" t="str">
        <f>+VLOOKUP(C809,Spreads!$A$2:$G$345,7,0)</f>
        <v/>
      </c>
    </row>
    <row r="810" spans="1:21" ht="15" hidden="1" customHeight="1" thickTop="1" thickBot="1">
      <c r="A810" s="321" t="s">
        <v>2137</v>
      </c>
      <c r="B810" s="322" t="s">
        <v>298</v>
      </c>
      <c r="C810" s="322" t="s">
        <v>22</v>
      </c>
      <c r="D810" s="322" t="s">
        <v>70</v>
      </c>
      <c r="E810" s="323">
        <v>6498623.6331000002</v>
      </c>
      <c r="F810" s="335">
        <v>6503172.6673805593</v>
      </c>
      <c r="G810" s="314">
        <v>7.3999999999999996E-5</v>
      </c>
      <c r="H810" s="324">
        <v>2.52</v>
      </c>
      <c r="I810" s="322" t="s">
        <v>1552</v>
      </c>
      <c r="J810" s="322">
        <v>9</v>
      </c>
      <c r="K810" s="322">
        <v>0.03</v>
      </c>
      <c r="L810" s="322">
        <v>99.930048999999997</v>
      </c>
      <c r="M810" s="322" t="s">
        <v>9</v>
      </c>
      <c r="N810" s="322" t="s">
        <v>374</v>
      </c>
      <c r="O810" s="322" t="s">
        <v>8</v>
      </c>
      <c r="P810" s="322" t="s">
        <v>375</v>
      </c>
      <c r="Q810" s="322" t="s">
        <v>70</v>
      </c>
      <c r="R810" s="322" t="s">
        <v>383</v>
      </c>
      <c r="S810" s="303">
        <f t="shared" si="13"/>
        <v>194958.70899300001</v>
      </c>
      <c r="T810" s="307">
        <f>+IFERROR(VLOOKUP(C810,'Tasas Diarias'!$B:$F,5,FALSE)*G810,0)</f>
        <v>0</v>
      </c>
      <c r="U810" s="311" t="str">
        <f>+VLOOKUP(C810,Spreads!$A$2:$G$345,7,0)</f>
        <v/>
      </c>
    </row>
    <row r="811" spans="1:21" ht="15" hidden="1" customHeight="1" thickTop="1" thickBot="1">
      <c r="A811" s="317" t="s">
        <v>2137</v>
      </c>
      <c r="B811" s="318" t="s">
        <v>298</v>
      </c>
      <c r="C811" s="318" t="s">
        <v>22</v>
      </c>
      <c r="D811" s="318" t="s">
        <v>55</v>
      </c>
      <c r="E811" s="319">
        <v>96166573.854499996</v>
      </c>
      <c r="F811" s="319">
        <v>96237096.398756996</v>
      </c>
      <c r="G811" s="314">
        <v>1.0950000000000001E-3</v>
      </c>
      <c r="H811" s="320">
        <v>2.64</v>
      </c>
      <c r="I811" s="318" t="s">
        <v>1552</v>
      </c>
      <c r="J811" s="318">
        <v>9</v>
      </c>
      <c r="K811" s="318">
        <v>0.03</v>
      </c>
      <c r="L811" s="318">
        <v>99.926720000000003</v>
      </c>
      <c r="M811" s="318" t="s">
        <v>9</v>
      </c>
      <c r="N811" s="318" t="s">
        <v>374</v>
      </c>
      <c r="O811" s="318" t="s">
        <v>8</v>
      </c>
      <c r="P811" s="318" t="s">
        <v>375</v>
      </c>
      <c r="Q811" s="318" t="s">
        <v>55</v>
      </c>
      <c r="R811" s="318" t="s">
        <v>386</v>
      </c>
      <c r="S811" s="303">
        <f t="shared" si="13"/>
        <v>2884997.2156349998</v>
      </c>
      <c r="T811" s="307">
        <f>+IFERROR(VLOOKUP(C811,'Tasas Diarias'!$B:$F,5,FALSE)*G811,0)</f>
        <v>0</v>
      </c>
      <c r="U811" s="311" t="str">
        <f>+VLOOKUP(C811,Spreads!$A$2:$G$345,7,0)</f>
        <v/>
      </c>
    </row>
    <row r="812" spans="1:21" ht="15" hidden="1" customHeight="1" thickTop="1" thickBot="1">
      <c r="A812" s="317" t="s">
        <v>2137</v>
      </c>
      <c r="B812" s="318" t="s">
        <v>298</v>
      </c>
      <c r="C812" s="318" t="s">
        <v>22</v>
      </c>
      <c r="D812" s="318" t="s">
        <v>2109</v>
      </c>
      <c r="E812" s="319">
        <v>2524805.9515999998</v>
      </c>
      <c r="F812" s="319">
        <v>2528896.1629910599</v>
      </c>
      <c r="G812" s="314">
        <v>2.9E-5</v>
      </c>
      <c r="H812" s="320">
        <v>5.8319999999999999</v>
      </c>
      <c r="I812" s="318" t="s">
        <v>1552</v>
      </c>
      <c r="J812" s="318">
        <v>9</v>
      </c>
      <c r="K812" s="318">
        <v>0.03</v>
      </c>
      <c r="L812" s="318">
        <v>99.838261000000003</v>
      </c>
      <c r="M812" s="318" t="s">
        <v>9</v>
      </c>
      <c r="N812" s="318" t="s">
        <v>377</v>
      </c>
      <c r="O812" s="318" t="s">
        <v>8</v>
      </c>
      <c r="P812" s="318" t="s">
        <v>444</v>
      </c>
      <c r="Q812" s="318" t="s">
        <v>1466</v>
      </c>
      <c r="R812" s="318" t="s">
        <v>2111</v>
      </c>
      <c r="S812" s="303">
        <f t="shared" si="13"/>
        <v>75744.178547999996</v>
      </c>
      <c r="T812" s="307">
        <f>+IFERROR(VLOOKUP(C812,'Tasas Diarias'!$B:$F,5,FALSE)*G812,0)</f>
        <v>0</v>
      </c>
      <c r="U812" s="311" t="str">
        <f>+VLOOKUP(C812,Spreads!$A$2:$G$345,7,0)</f>
        <v/>
      </c>
    </row>
    <row r="813" spans="1:21" ht="15" hidden="1" customHeight="1" thickTop="1" thickBot="1">
      <c r="A813" s="317" t="s">
        <v>2137</v>
      </c>
      <c r="B813" s="318" t="s">
        <v>298</v>
      </c>
      <c r="C813" s="318" t="s">
        <v>817</v>
      </c>
      <c r="D813" s="318" t="s">
        <v>39</v>
      </c>
      <c r="E813" s="319">
        <v>16805548.573899999</v>
      </c>
      <c r="F813" s="319">
        <v>16250370.430982791</v>
      </c>
      <c r="G813" s="314">
        <v>1.9100000000000001E-4</v>
      </c>
      <c r="H813" s="318">
        <v>5.17</v>
      </c>
      <c r="I813" s="318" t="s">
        <v>818</v>
      </c>
      <c r="J813" s="318">
        <v>11</v>
      </c>
      <c r="K813" s="318">
        <v>0.03</v>
      </c>
      <c r="L813" s="318">
        <v>100.05</v>
      </c>
      <c r="M813" s="318" t="s">
        <v>9</v>
      </c>
      <c r="N813" s="318" t="s">
        <v>368</v>
      </c>
      <c r="O813" s="318" t="s">
        <v>8</v>
      </c>
      <c r="P813" s="318" t="s">
        <v>801</v>
      </c>
      <c r="Q813" s="318" t="s">
        <v>69</v>
      </c>
      <c r="R813" s="318" t="s">
        <v>815</v>
      </c>
      <c r="S813" s="303">
        <f t="shared" si="13"/>
        <v>504166.45721699996</v>
      </c>
      <c r="T813" s="307">
        <f>+IFERROR(VLOOKUP(C813,'Tasas Diarias'!$B:$F,5,FALSE)*G813,0)</f>
        <v>3.3490410958904759E-9</v>
      </c>
      <c r="U813" s="311" t="str">
        <f ca="1">+VLOOKUP(C813,Spreads!$A$2:$G$345,7,0)</f>
        <v/>
      </c>
    </row>
    <row r="814" spans="1:21" ht="15" hidden="1" customHeight="1" thickTop="1" thickBot="1">
      <c r="A814" s="321" t="s">
        <v>2137</v>
      </c>
      <c r="B814" s="322" t="s">
        <v>298</v>
      </c>
      <c r="C814" s="322" t="s">
        <v>1255</v>
      </c>
      <c r="D814" s="322" t="s">
        <v>294</v>
      </c>
      <c r="E814" s="323">
        <v>2010254.1303999999</v>
      </c>
      <c r="F814" s="323"/>
      <c r="G814" s="314">
        <v>2.3E-5</v>
      </c>
      <c r="H814" s="324">
        <v>-0.08</v>
      </c>
      <c r="I814" s="322" t="s">
        <v>818</v>
      </c>
      <c r="J814" s="322">
        <v>11</v>
      </c>
      <c r="K814" s="322">
        <v>0.03</v>
      </c>
      <c r="L814" s="322">
        <v>100.12</v>
      </c>
      <c r="M814" s="322" t="s">
        <v>6</v>
      </c>
      <c r="N814" s="322" t="s">
        <v>368</v>
      </c>
      <c r="O814" s="322" t="s">
        <v>8</v>
      </c>
      <c r="P814" s="322" t="s">
        <v>379</v>
      </c>
      <c r="Q814" s="322" t="s">
        <v>74</v>
      </c>
      <c r="R814" s="322" t="s">
        <v>407</v>
      </c>
      <c r="S814" s="303">
        <f t="shared" si="13"/>
        <v>60307.623911999995</v>
      </c>
      <c r="T814" s="307">
        <f>+IFERROR(VLOOKUP(C814,'Tasas Diarias'!$B:$F,5,FALSE)*G814,0)</f>
        <v>0</v>
      </c>
      <c r="U814" s="311" t="str">
        <f ca="1">+VLOOKUP(C814,Spreads!$A$2:$G$345,7,0)</f>
        <v/>
      </c>
    </row>
    <row r="815" spans="1:21" ht="15" hidden="1" customHeight="1" thickTop="1" thickBot="1">
      <c r="A815" s="321" t="s">
        <v>2137</v>
      </c>
      <c r="B815" s="322" t="s">
        <v>298</v>
      </c>
      <c r="C815" s="322" t="s">
        <v>533</v>
      </c>
      <c r="D815" s="322" t="s">
        <v>534</v>
      </c>
      <c r="E815" s="323">
        <v>4407190.9296000004</v>
      </c>
      <c r="F815" s="323"/>
      <c r="G815" s="314">
        <v>5.0000000000000002E-5</v>
      </c>
      <c r="H815" s="324">
        <v>1.5</v>
      </c>
      <c r="I815" s="322" t="s">
        <v>535</v>
      </c>
      <c r="J815" s="322">
        <v>13</v>
      </c>
      <c r="K815" s="322">
        <v>0.04</v>
      </c>
      <c r="L815" s="322">
        <v>100.06</v>
      </c>
      <c r="M815" s="322" t="s">
        <v>6</v>
      </c>
      <c r="N815" s="322" t="s">
        <v>368</v>
      </c>
      <c r="O815" s="322" t="s">
        <v>429</v>
      </c>
      <c r="P815" s="322" t="s">
        <v>7</v>
      </c>
      <c r="Q815" s="322" t="s">
        <v>536</v>
      </c>
      <c r="R815" s="322" t="s">
        <v>537</v>
      </c>
      <c r="S815" s="303">
        <f t="shared" si="13"/>
        <v>176287.63718400002</v>
      </c>
      <c r="T815" s="307">
        <f>+IFERROR(VLOOKUP(C815,'Tasas Diarias'!$B:$F,5,FALSE)*G815,0)</f>
        <v>-3.9589041095890477E-8</v>
      </c>
      <c r="U815" s="311" t="str">
        <f ca="1">+VLOOKUP(C815,Spreads!$A$2:$G$345,7,0)</f>
        <v/>
      </c>
    </row>
    <row r="816" spans="1:21" ht="15" hidden="1" customHeight="1" thickTop="1" thickBot="1">
      <c r="A816" s="321" t="s">
        <v>2137</v>
      </c>
      <c r="B816" s="322" t="s">
        <v>298</v>
      </c>
      <c r="C816" s="322" t="s">
        <v>22</v>
      </c>
      <c r="D816" s="322" t="s">
        <v>1926</v>
      </c>
      <c r="E816" s="323">
        <v>4120385.4997</v>
      </c>
      <c r="F816" s="323">
        <v>4133482.8535176562</v>
      </c>
      <c r="G816" s="314">
        <v>4.6999999999999997E-5</v>
      </c>
      <c r="H816" s="324">
        <v>7.1520000000000001</v>
      </c>
      <c r="I816" s="322" t="s">
        <v>1098</v>
      </c>
      <c r="J816" s="322">
        <v>15</v>
      </c>
      <c r="K816" s="322">
        <v>0.04</v>
      </c>
      <c r="L816" s="322">
        <v>99.683139999999995</v>
      </c>
      <c r="M816" s="322" t="s">
        <v>9</v>
      </c>
      <c r="N816" s="322" t="s">
        <v>377</v>
      </c>
      <c r="O816" s="322" t="s">
        <v>421</v>
      </c>
      <c r="P816" s="322" t="s">
        <v>417</v>
      </c>
      <c r="Q816" s="322" t="s">
        <v>1927</v>
      </c>
      <c r="R816" s="322" t="s">
        <v>1928</v>
      </c>
      <c r="S816" s="303">
        <f t="shared" si="13"/>
        <v>164815.41998800001</v>
      </c>
      <c r="T816" s="307">
        <f>+IFERROR(VLOOKUP(C816,'Tasas Diarias'!$B:$F,5,FALSE)*G816,0)</f>
        <v>0</v>
      </c>
      <c r="U816" s="311" t="str">
        <f>+VLOOKUP(C816,Spreads!$A$2:$G$345,7,0)</f>
        <v/>
      </c>
    </row>
    <row r="817" spans="1:21" ht="15" hidden="1" customHeight="1" thickTop="1" thickBot="1">
      <c r="A817" s="317" t="s">
        <v>2137</v>
      </c>
      <c r="B817" s="318" t="s">
        <v>298</v>
      </c>
      <c r="C817" s="318" t="s">
        <v>22</v>
      </c>
      <c r="D817" s="318" t="s">
        <v>171</v>
      </c>
      <c r="E817" s="319">
        <v>589938.94330000004</v>
      </c>
      <c r="F817" s="340">
        <v>590631.13348488754</v>
      </c>
      <c r="G817" s="314">
        <v>6.9999999999999999E-6</v>
      </c>
      <c r="H817" s="320">
        <v>2.64</v>
      </c>
      <c r="I817" s="318" t="s">
        <v>1098</v>
      </c>
      <c r="J817" s="318">
        <v>15</v>
      </c>
      <c r="K817" s="318">
        <v>0.04</v>
      </c>
      <c r="L817" s="318">
        <v>99.882805000000005</v>
      </c>
      <c r="M817" s="318" t="s">
        <v>9</v>
      </c>
      <c r="N817" s="318" t="s">
        <v>374</v>
      </c>
      <c r="O817" s="318" t="s">
        <v>8</v>
      </c>
      <c r="P817" s="318" t="s">
        <v>375</v>
      </c>
      <c r="Q817" s="318" t="s">
        <v>88</v>
      </c>
      <c r="R817" s="318" t="s">
        <v>381</v>
      </c>
      <c r="S817" s="303">
        <f t="shared" si="13"/>
        <v>23597.557732000001</v>
      </c>
      <c r="T817" s="307">
        <f>+IFERROR(VLOOKUP(C817,'Tasas Diarias'!$B:$F,5,FALSE)*G817,0)</f>
        <v>0</v>
      </c>
      <c r="U817" s="311" t="str">
        <f>+VLOOKUP(C817,Spreads!$A$2:$G$345,7,0)</f>
        <v/>
      </c>
    </row>
    <row r="818" spans="1:21" ht="15" hidden="1" customHeight="1" thickTop="1" thickBot="1">
      <c r="A818" s="317" t="s">
        <v>2137</v>
      </c>
      <c r="B818" s="318" t="s">
        <v>298</v>
      </c>
      <c r="C818" s="318" t="s">
        <v>1097</v>
      </c>
      <c r="D818" s="318" t="s">
        <v>180</v>
      </c>
      <c r="E818" s="319">
        <v>1398844</v>
      </c>
      <c r="F818" s="340">
        <v>2051</v>
      </c>
      <c r="G818" s="314">
        <v>1.5E-5</v>
      </c>
      <c r="H818" s="320">
        <v>-2.78</v>
      </c>
      <c r="I818" s="318" t="s">
        <v>1098</v>
      </c>
      <c r="J818" s="318">
        <v>15</v>
      </c>
      <c r="K818" s="318">
        <v>0.04</v>
      </c>
      <c r="L818" s="318">
        <v>100.26</v>
      </c>
      <c r="M818" s="318" t="s">
        <v>6</v>
      </c>
      <c r="N818" s="318" t="s">
        <v>458</v>
      </c>
      <c r="O818" s="318" t="s">
        <v>378</v>
      </c>
      <c r="P818" s="318" t="s">
        <v>379</v>
      </c>
      <c r="Q818" s="318" t="s">
        <v>65</v>
      </c>
      <c r="R818" s="318" t="s">
        <v>986</v>
      </c>
      <c r="S818" s="303">
        <f t="shared" si="13"/>
        <v>55953.760000000002</v>
      </c>
      <c r="T818" s="307">
        <f>+IFERROR(VLOOKUP(C818,'Tasas Diarias'!$B:$F,5,FALSE)*G818,0)</f>
        <v>6.3616438356164177E-9</v>
      </c>
      <c r="U818" s="311" t="e">
        <f>+VLOOKUP(C818,Spreads!$A$2:$G$345,7,0)</f>
        <v>#N/A</v>
      </c>
    </row>
    <row r="819" spans="1:21" ht="15" hidden="1" customHeight="1" thickTop="1" thickBot="1">
      <c r="A819" s="317" t="s">
        <v>2137</v>
      </c>
      <c r="B819" s="318" t="s">
        <v>298</v>
      </c>
      <c r="C819" s="318" t="s">
        <v>22</v>
      </c>
      <c r="D819" s="318" t="s">
        <v>167</v>
      </c>
      <c r="E819" s="319">
        <v>29968034</v>
      </c>
      <c r="F819" s="319">
        <v>30000000</v>
      </c>
      <c r="G819" s="314">
        <v>3.4099999999999999E-4</v>
      </c>
      <c r="H819" s="320">
        <v>2.4</v>
      </c>
      <c r="I819" s="318" t="s">
        <v>1098</v>
      </c>
      <c r="J819" s="318">
        <v>15</v>
      </c>
      <c r="K819" s="318">
        <v>0.04</v>
      </c>
      <c r="L819" s="318">
        <v>99.893445999999997</v>
      </c>
      <c r="M819" s="318" t="s">
        <v>9</v>
      </c>
      <c r="N819" s="318" t="s">
        <v>374</v>
      </c>
      <c r="O819" s="318" t="s">
        <v>8</v>
      </c>
      <c r="P819" s="318" t="s">
        <v>375</v>
      </c>
      <c r="Q819" s="318" t="s">
        <v>77</v>
      </c>
      <c r="R819" s="318" t="s">
        <v>400</v>
      </c>
      <c r="S819" s="303">
        <f t="shared" si="13"/>
        <v>1198721.3600000001</v>
      </c>
      <c r="T819" s="307">
        <f>+IFERROR(VLOOKUP(C819,'Tasas Diarias'!$B:$F,5,FALSE)*G819,0)</f>
        <v>0</v>
      </c>
      <c r="U819" s="311" t="str">
        <f>+VLOOKUP(C819,Spreads!$A$2:$G$345,7,0)</f>
        <v/>
      </c>
    </row>
    <row r="820" spans="1:21" ht="15" hidden="1" customHeight="1" thickTop="1" thickBot="1">
      <c r="A820" s="317" t="s">
        <v>2137</v>
      </c>
      <c r="B820" s="318" t="s">
        <v>298</v>
      </c>
      <c r="C820" s="318" t="s">
        <v>22</v>
      </c>
      <c r="D820" s="318" t="s">
        <v>2109</v>
      </c>
      <c r="E820" s="319">
        <v>1742299.5066</v>
      </c>
      <c r="F820" s="319">
        <v>1747432.3093896627</v>
      </c>
      <c r="G820" s="314">
        <v>2.0000000000000002E-5</v>
      </c>
      <c r="H820" s="318">
        <v>5.8920000000000003</v>
      </c>
      <c r="I820" s="318" t="s">
        <v>1320</v>
      </c>
      <c r="J820" s="318">
        <v>17</v>
      </c>
      <c r="K820" s="318">
        <v>0.05</v>
      </c>
      <c r="L820" s="318">
        <v>99.706265999999999</v>
      </c>
      <c r="M820" s="318" t="s">
        <v>9</v>
      </c>
      <c r="N820" s="318" t="s">
        <v>377</v>
      </c>
      <c r="O820" s="318" t="s">
        <v>8</v>
      </c>
      <c r="P820" s="318" t="s">
        <v>444</v>
      </c>
      <c r="Q820" s="318" t="s">
        <v>1466</v>
      </c>
      <c r="R820" s="318" t="s">
        <v>2111</v>
      </c>
      <c r="S820" s="303">
        <f t="shared" si="13"/>
        <v>87114.975330000001</v>
      </c>
      <c r="T820" s="307">
        <f>+IFERROR(VLOOKUP(C820,'Tasas Diarias'!$B:$F,5,FALSE)*G820,0)</f>
        <v>0</v>
      </c>
      <c r="U820" s="311" t="str">
        <f>+VLOOKUP(C820,Spreads!$A$2:$G$345,7,0)</f>
        <v/>
      </c>
    </row>
    <row r="821" spans="1:21" ht="15" hidden="1" customHeight="1" thickTop="1" thickBot="1">
      <c r="A821" s="317" t="s">
        <v>2137</v>
      </c>
      <c r="B821" s="318" t="s">
        <v>298</v>
      </c>
      <c r="C821" s="318" t="s">
        <v>22</v>
      </c>
      <c r="D821" s="318" t="s">
        <v>1230</v>
      </c>
      <c r="E821" s="319">
        <v>25046319.573399998</v>
      </c>
      <c r="F821" s="319">
        <v>25159328.736653574</v>
      </c>
      <c r="G821" s="314">
        <v>2.8499999999999999E-4</v>
      </c>
      <c r="H821" s="320">
        <v>6.7679999999999998</v>
      </c>
      <c r="I821" s="318" t="s">
        <v>1568</v>
      </c>
      <c r="J821" s="318">
        <v>23</v>
      </c>
      <c r="K821" s="318">
        <v>7.0000000000000007E-2</v>
      </c>
      <c r="L821" s="318">
        <v>99.550826000000001</v>
      </c>
      <c r="M821" s="318" t="s">
        <v>9</v>
      </c>
      <c r="N821" s="318" t="s">
        <v>377</v>
      </c>
      <c r="O821" s="318" t="s">
        <v>1182</v>
      </c>
      <c r="P821" s="318" t="s">
        <v>109</v>
      </c>
      <c r="Q821" s="318" t="s">
        <v>1231</v>
      </c>
      <c r="R821" s="318" t="s">
        <v>1317</v>
      </c>
      <c r="S821" s="303">
        <f t="shared" si="13"/>
        <v>1753242.370138</v>
      </c>
      <c r="T821" s="307">
        <f>+IFERROR(VLOOKUP(C821,'Tasas Diarias'!$B:$F,5,FALSE)*G821,0)</f>
        <v>0</v>
      </c>
      <c r="U821" s="311" t="str">
        <f>+VLOOKUP(C821,Spreads!$A$2:$G$345,7,0)</f>
        <v/>
      </c>
    </row>
    <row r="822" spans="1:21" ht="15" hidden="1" customHeight="1" thickTop="1" thickBot="1">
      <c r="A822" s="317" t="s">
        <v>2137</v>
      </c>
      <c r="B822" s="318" t="s">
        <v>298</v>
      </c>
      <c r="C822" s="318" t="s">
        <v>2096</v>
      </c>
      <c r="D822" s="318" t="s">
        <v>2097</v>
      </c>
      <c r="E822" s="319">
        <v>596577068.81239998</v>
      </c>
      <c r="F822" s="319">
        <v>15000</v>
      </c>
      <c r="G822" s="314">
        <v>6.7910000000000002E-3</v>
      </c>
      <c r="H822" s="320">
        <v>-2.08</v>
      </c>
      <c r="I822" s="318" t="s">
        <v>2092</v>
      </c>
      <c r="J822" s="318">
        <v>25</v>
      </c>
      <c r="K822" s="318">
        <v>7.0000000000000007E-2</v>
      </c>
      <c r="L822" s="318">
        <v>100.43</v>
      </c>
      <c r="M822" s="318" t="s">
        <v>6</v>
      </c>
      <c r="N822" s="318" t="s">
        <v>368</v>
      </c>
      <c r="O822" s="318" t="s">
        <v>8</v>
      </c>
      <c r="P822" s="318" t="s">
        <v>417</v>
      </c>
      <c r="Q822" s="318" t="s">
        <v>2098</v>
      </c>
      <c r="R822" s="318" t="s">
        <v>2099</v>
      </c>
      <c r="S822" s="303">
        <f t="shared" si="13"/>
        <v>41760394.816868</v>
      </c>
      <c r="T822" s="307">
        <f>+IFERROR(VLOOKUP(C822,'Tasas Diarias'!$B:$F,5,FALSE)*G822,0)</f>
        <v>0</v>
      </c>
      <c r="U822" s="311" t="e">
        <f>+VLOOKUP(C822,Spreads!$A$2:$G$345,7,0)</f>
        <v>#N/A</v>
      </c>
    </row>
    <row r="823" spans="1:21" ht="15" hidden="1" customHeight="1" thickTop="1" thickBot="1">
      <c r="A823" s="321" t="s">
        <v>2137</v>
      </c>
      <c r="B823" s="322" t="s">
        <v>298</v>
      </c>
      <c r="C823" s="322" t="s">
        <v>22</v>
      </c>
      <c r="D823" s="322" t="s">
        <v>2106</v>
      </c>
      <c r="E823" s="323">
        <v>3075005.7958</v>
      </c>
      <c r="F823" s="335">
        <v>3090492.5630888948</v>
      </c>
      <c r="G823" s="314">
        <v>3.4999999999999997E-5</v>
      </c>
      <c r="H823" s="322">
        <v>6.2519999999999998</v>
      </c>
      <c r="I823" s="322" t="s">
        <v>2107</v>
      </c>
      <c r="J823" s="322">
        <v>28</v>
      </c>
      <c r="K823" s="322">
        <v>0.08</v>
      </c>
      <c r="L823" s="322">
        <v>99.498890000000003</v>
      </c>
      <c r="M823" s="322" t="s">
        <v>9</v>
      </c>
      <c r="N823" s="322" t="s">
        <v>377</v>
      </c>
      <c r="O823" s="322" t="s">
        <v>1348</v>
      </c>
      <c r="P823" s="322" t="s">
        <v>392</v>
      </c>
      <c r="Q823" s="322" t="s">
        <v>487</v>
      </c>
      <c r="R823" s="322" t="s">
        <v>2108</v>
      </c>
      <c r="S823" s="303">
        <f t="shared" si="13"/>
        <v>246000.46366400001</v>
      </c>
      <c r="T823" s="307">
        <f>+IFERROR(VLOOKUP(C823,'Tasas Diarias'!$B:$F,5,FALSE)*G823,0)</f>
        <v>0</v>
      </c>
      <c r="U823" s="311" t="str">
        <f>+VLOOKUP(C823,Spreads!$A$2:$G$345,7,0)</f>
        <v/>
      </c>
    </row>
    <row r="824" spans="1:21" ht="15" hidden="1" customHeight="1" thickTop="1" thickBot="1">
      <c r="A824" s="317" t="s">
        <v>2137</v>
      </c>
      <c r="B824" s="318" t="s">
        <v>298</v>
      </c>
      <c r="C824" s="318" t="s">
        <v>22</v>
      </c>
      <c r="D824" s="318" t="s">
        <v>2109</v>
      </c>
      <c r="E824" s="319">
        <v>275099.92210000003</v>
      </c>
      <c r="F824" s="319">
        <v>276600.88017019071</v>
      </c>
      <c r="G824" s="314">
        <v>3.0000000000000001E-6</v>
      </c>
      <c r="H824" s="318">
        <v>5.952</v>
      </c>
      <c r="I824" s="318" t="s">
        <v>2110</v>
      </c>
      <c r="J824" s="318">
        <v>32</v>
      </c>
      <c r="K824" s="318">
        <v>0.09</v>
      </c>
      <c r="L824" s="318">
        <v>99.457356000000004</v>
      </c>
      <c r="M824" s="318" t="s">
        <v>9</v>
      </c>
      <c r="N824" s="318" t="s">
        <v>377</v>
      </c>
      <c r="O824" s="318" t="s">
        <v>8</v>
      </c>
      <c r="P824" s="318" t="s">
        <v>444</v>
      </c>
      <c r="Q824" s="318" t="s">
        <v>1466</v>
      </c>
      <c r="R824" s="318" t="s">
        <v>2111</v>
      </c>
      <c r="S824" s="303">
        <f t="shared" si="13"/>
        <v>24758.992989000002</v>
      </c>
      <c r="T824" s="307">
        <f>+IFERROR(VLOOKUP(C824,'Tasas Diarias'!$B:$F,5,FALSE)*G824,0)</f>
        <v>0</v>
      </c>
      <c r="U824" s="311" t="str">
        <f>+VLOOKUP(C824,Spreads!$A$2:$G$345,7,0)</f>
        <v/>
      </c>
    </row>
    <row r="825" spans="1:21" ht="15" hidden="1" customHeight="1" thickTop="1" thickBot="1">
      <c r="A825" s="317" t="s">
        <v>2137</v>
      </c>
      <c r="B825" s="318" t="s">
        <v>298</v>
      </c>
      <c r="C825" s="318" t="s">
        <v>22</v>
      </c>
      <c r="D825" s="318" t="s">
        <v>2112</v>
      </c>
      <c r="E825" s="319">
        <v>892546.41390000004</v>
      </c>
      <c r="F825" s="319">
        <v>898990.61233880371</v>
      </c>
      <c r="G825" s="314">
        <v>1.0000000000000001E-5</v>
      </c>
      <c r="H825" s="320">
        <v>6.84</v>
      </c>
      <c r="I825" s="318" t="s">
        <v>1310</v>
      </c>
      <c r="J825" s="318">
        <v>37</v>
      </c>
      <c r="K825" s="318">
        <v>0.1</v>
      </c>
      <c r="L825" s="318">
        <v>99.283174000000002</v>
      </c>
      <c r="M825" s="318" t="s">
        <v>9</v>
      </c>
      <c r="N825" s="318" t="s">
        <v>377</v>
      </c>
      <c r="O825" s="318" t="s">
        <v>421</v>
      </c>
      <c r="P825" s="318" t="s">
        <v>802</v>
      </c>
      <c r="Q825" s="318" t="s">
        <v>2113</v>
      </c>
      <c r="R825" s="318" t="s">
        <v>2114</v>
      </c>
      <c r="S825" s="303">
        <f t="shared" si="13"/>
        <v>89254.641390000004</v>
      </c>
      <c r="T825" s="307">
        <f>+IFERROR(VLOOKUP(C825,'Tasas Diarias'!$B:$F,5,FALSE)*G825,0)</f>
        <v>0</v>
      </c>
      <c r="U825" s="311" t="str">
        <f>+VLOOKUP(C825,Spreads!$A$2:$G$345,7,0)</f>
        <v/>
      </c>
    </row>
    <row r="826" spans="1:21" ht="15" hidden="1" customHeight="1" thickTop="1" thickBot="1">
      <c r="A826" s="327" t="s">
        <v>2137</v>
      </c>
      <c r="B826" s="328" t="s">
        <v>298</v>
      </c>
      <c r="C826" s="328" t="s">
        <v>22</v>
      </c>
      <c r="D826" s="328" t="s">
        <v>2109</v>
      </c>
      <c r="E826" s="330">
        <v>1002586.3827</v>
      </c>
      <c r="F826" s="351">
        <v>1010152.5872307724</v>
      </c>
      <c r="G826" s="332">
        <v>1.1E-5</v>
      </c>
      <c r="H826" s="329">
        <v>6.7919999999999998</v>
      </c>
      <c r="I826" s="328" t="s">
        <v>2115</v>
      </c>
      <c r="J826" s="328">
        <v>39</v>
      </c>
      <c r="K826" s="328">
        <v>0.11</v>
      </c>
      <c r="L826" s="328">
        <v>99.250984000000003</v>
      </c>
      <c r="M826" s="328" t="s">
        <v>9</v>
      </c>
      <c r="N826" s="328" t="s">
        <v>377</v>
      </c>
      <c r="O826" s="328" t="s">
        <v>8</v>
      </c>
      <c r="P826" s="328" t="s">
        <v>444</v>
      </c>
      <c r="Q826" s="328" t="s">
        <v>1466</v>
      </c>
      <c r="R826" s="328" t="s">
        <v>2111</v>
      </c>
      <c r="S826" s="303">
        <f t="shared" si="13"/>
        <v>110284.50209699999</v>
      </c>
      <c r="T826" s="307">
        <f>+IFERROR(VLOOKUP(C826,'Tasas Diarias'!$B:$F,5,FALSE)*G826,0)</f>
        <v>0</v>
      </c>
      <c r="U826" s="311" t="str">
        <f>+VLOOKUP(C826,Spreads!$A$2:$G$345,7,0)</f>
        <v/>
      </c>
    </row>
    <row r="827" spans="1:21" ht="15" hidden="1" customHeight="1" thickTop="1" thickBot="1">
      <c r="A827" s="321" t="s">
        <v>2137</v>
      </c>
      <c r="B827" s="322" t="s">
        <v>298</v>
      </c>
      <c r="C827" s="322" t="s">
        <v>1099</v>
      </c>
      <c r="D827" s="322" t="s">
        <v>164</v>
      </c>
      <c r="E827" s="323">
        <v>157951</v>
      </c>
      <c r="F827" s="335">
        <v>260</v>
      </c>
      <c r="G827" s="314">
        <v>9.9999999999999995E-7</v>
      </c>
      <c r="H827" s="322">
        <v>0.87</v>
      </c>
      <c r="I827" s="322" t="s">
        <v>539</v>
      </c>
      <c r="J827" s="322">
        <v>42</v>
      </c>
      <c r="K827" s="322">
        <v>0.11</v>
      </c>
      <c r="L827" s="322">
        <v>100.6</v>
      </c>
      <c r="M827" s="322" t="s">
        <v>6</v>
      </c>
      <c r="N827" s="322" t="s">
        <v>1095</v>
      </c>
      <c r="O827" s="322" t="s">
        <v>8</v>
      </c>
      <c r="P827" s="322" t="s">
        <v>379</v>
      </c>
      <c r="Q827" s="322" t="s">
        <v>61</v>
      </c>
      <c r="R827" s="322" t="s">
        <v>1100</v>
      </c>
      <c r="S827" s="303">
        <f t="shared" si="13"/>
        <v>17374.61</v>
      </c>
      <c r="T827" s="307">
        <f>+IFERROR(VLOOKUP(C827,'Tasas Diarias'!$B:$F,5,FALSE)*G827,0)</f>
        <v>0</v>
      </c>
      <c r="U827" s="311" t="e">
        <f>+VLOOKUP(C827,Spreads!$A$2:$G$345,7,0)</f>
        <v>#N/A</v>
      </c>
    </row>
    <row r="828" spans="1:21" ht="15" hidden="1" customHeight="1" thickTop="1" thickBot="1">
      <c r="A828" s="321" t="s">
        <v>2137</v>
      </c>
      <c r="B828" s="322" t="s">
        <v>298</v>
      </c>
      <c r="C828" s="322" t="s">
        <v>538</v>
      </c>
      <c r="D828" s="322" t="s">
        <v>24</v>
      </c>
      <c r="E828" s="323">
        <v>19165425.5097</v>
      </c>
      <c r="F828" s="323"/>
      <c r="G828" s="314">
        <v>2.1800000000000001E-4</v>
      </c>
      <c r="H828" s="322">
        <v>0.66</v>
      </c>
      <c r="I828" s="322" t="s">
        <v>539</v>
      </c>
      <c r="J828" s="322">
        <v>42</v>
      </c>
      <c r="K828" s="322">
        <v>0.12</v>
      </c>
      <c r="L828" s="322">
        <v>100.26</v>
      </c>
      <c r="M828" s="322" t="s">
        <v>6</v>
      </c>
      <c r="N828" s="322" t="s">
        <v>368</v>
      </c>
      <c r="O828" s="322" t="s">
        <v>8</v>
      </c>
      <c r="P828" s="322" t="s">
        <v>392</v>
      </c>
      <c r="Q828" s="322" t="s">
        <v>51</v>
      </c>
      <c r="R828" s="322" t="s">
        <v>414</v>
      </c>
      <c r="S828" s="303">
        <f t="shared" si="13"/>
        <v>2299851.0611640001</v>
      </c>
      <c r="T828" s="307">
        <f>+IFERROR(VLOOKUP(C828,'Tasas Diarias'!$B:$F,5,FALSE)*G828,0)</f>
        <v>-3.7627397260273737E-9</v>
      </c>
      <c r="U828" s="311" t="str">
        <f ca="1">+VLOOKUP(C828,Spreads!$A$2:$G$345,7,0)</f>
        <v/>
      </c>
    </row>
    <row r="829" spans="1:21" ht="15" hidden="1" customHeight="1" thickTop="1" thickBot="1">
      <c r="A829" s="321" t="s">
        <v>2137</v>
      </c>
      <c r="B829" s="322" t="s">
        <v>298</v>
      </c>
      <c r="C829" s="322" t="s">
        <v>22</v>
      </c>
      <c r="D829" s="322" t="s">
        <v>55</v>
      </c>
      <c r="E829" s="323">
        <v>860983</v>
      </c>
      <c r="F829" s="323">
        <v>864019</v>
      </c>
      <c r="G829" s="314">
        <v>9.0000000000000002E-6</v>
      </c>
      <c r="H829" s="324">
        <v>2.76</v>
      </c>
      <c r="I829" s="322" t="s">
        <v>1514</v>
      </c>
      <c r="J829" s="322">
        <v>45</v>
      </c>
      <c r="K829" s="322">
        <v>0.13</v>
      </c>
      <c r="L829" s="322">
        <v>99.648617999999999</v>
      </c>
      <c r="M829" s="322" t="s">
        <v>9</v>
      </c>
      <c r="N829" s="322" t="s">
        <v>374</v>
      </c>
      <c r="O829" s="322" t="s">
        <v>8</v>
      </c>
      <c r="P829" s="322" t="s">
        <v>375</v>
      </c>
      <c r="Q829" s="322" t="s">
        <v>55</v>
      </c>
      <c r="R829" s="322" t="s">
        <v>386</v>
      </c>
      <c r="S829" s="303">
        <f t="shared" si="13"/>
        <v>111927.79000000001</v>
      </c>
      <c r="T829" s="307">
        <f>+IFERROR(VLOOKUP(C829,'Tasas Diarias'!$B:$F,5,FALSE)*G829,0)</f>
        <v>0</v>
      </c>
      <c r="U829" s="311" t="str">
        <f>+VLOOKUP(C829,Spreads!$A$2:$G$345,7,0)</f>
        <v/>
      </c>
    </row>
    <row r="830" spans="1:21" ht="15" hidden="1" customHeight="1" thickTop="1" thickBot="1">
      <c r="A830" s="321" t="s">
        <v>2137</v>
      </c>
      <c r="B830" s="322" t="s">
        <v>298</v>
      </c>
      <c r="C830" s="322" t="s">
        <v>22</v>
      </c>
      <c r="D830" s="322" t="s">
        <v>54</v>
      </c>
      <c r="E830" s="323">
        <v>2945356.9303000001</v>
      </c>
      <c r="F830" s="323">
        <v>2955970.0451420783</v>
      </c>
      <c r="G830" s="314">
        <v>3.4E-5</v>
      </c>
      <c r="H830" s="324">
        <v>2.76</v>
      </c>
      <c r="I830" s="322" t="s">
        <v>1560</v>
      </c>
      <c r="J830" s="322">
        <v>46</v>
      </c>
      <c r="K830" s="322">
        <v>0.13</v>
      </c>
      <c r="L830" s="322">
        <v>99.640960000000007</v>
      </c>
      <c r="M830" s="322" t="s">
        <v>9</v>
      </c>
      <c r="N830" s="322" t="s">
        <v>374</v>
      </c>
      <c r="O830" s="322" t="s">
        <v>8</v>
      </c>
      <c r="P830" s="322" t="s">
        <v>375</v>
      </c>
      <c r="Q830" s="322" t="s">
        <v>390</v>
      </c>
      <c r="R830" s="322" t="s">
        <v>391</v>
      </c>
      <c r="S830" s="303">
        <f t="shared" si="13"/>
        <v>382896.40093900001</v>
      </c>
      <c r="T830" s="307">
        <f>+IFERROR(VLOOKUP(C830,'Tasas Diarias'!$B:$F,5,FALSE)*G830,0)</f>
        <v>0</v>
      </c>
      <c r="U830" s="311" t="str">
        <f>+VLOOKUP(C830,Spreads!$A$2:$G$345,7,0)</f>
        <v/>
      </c>
    </row>
    <row r="831" spans="1:21" ht="15" hidden="1" customHeight="1" thickTop="1" thickBot="1">
      <c r="A831" s="321" t="s">
        <v>2137</v>
      </c>
      <c r="B831" s="322" t="s">
        <v>298</v>
      </c>
      <c r="C831" s="322" t="s">
        <v>22</v>
      </c>
      <c r="D831" s="322" t="s">
        <v>23</v>
      </c>
      <c r="E831" s="323">
        <v>2944737.2464999999</v>
      </c>
      <c r="F831" s="345">
        <v>2956025.4208024186</v>
      </c>
      <c r="G831" s="314">
        <v>3.4E-5</v>
      </c>
      <c r="H831" s="324">
        <v>2.76</v>
      </c>
      <c r="I831" s="322" t="s">
        <v>1305</v>
      </c>
      <c r="J831" s="322">
        <v>49</v>
      </c>
      <c r="K831" s="322">
        <v>0.14000000000000001</v>
      </c>
      <c r="L831" s="322">
        <v>99.618129999999994</v>
      </c>
      <c r="M831" s="322" t="s">
        <v>9</v>
      </c>
      <c r="N831" s="322" t="s">
        <v>374</v>
      </c>
      <c r="O831" s="322" t="s">
        <v>8</v>
      </c>
      <c r="P831" s="322" t="s">
        <v>375</v>
      </c>
      <c r="Q831" s="322" t="s">
        <v>67</v>
      </c>
      <c r="R831" s="322" t="s">
        <v>376</v>
      </c>
      <c r="S831" s="303">
        <f t="shared" si="13"/>
        <v>412263.21451000002</v>
      </c>
      <c r="T831" s="307">
        <f>+IFERROR(VLOOKUP(C831,'Tasas Diarias'!$B:$F,5,FALSE)*G831,0)</f>
        <v>0</v>
      </c>
      <c r="U831" s="311" t="str">
        <f>+VLOOKUP(C831,Spreads!$A$2:$G$345,7,0)</f>
        <v/>
      </c>
    </row>
    <row r="832" spans="1:21" ht="15" hidden="1" customHeight="1" thickTop="1" thickBot="1">
      <c r="A832" s="321" t="s">
        <v>2137</v>
      </c>
      <c r="B832" s="322" t="s">
        <v>298</v>
      </c>
      <c r="C832" s="322" t="s">
        <v>22</v>
      </c>
      <c r="D832" s="322" t="s">
        <v>23</v>
      </c>
      <c r="E832" s="323">
        <v>588699.57579999999</v>
      </c>
      <c r="F832" s="323">
        <v>591001.37841859588</v>
      </c>
      <c r="G832" s="314">
        <v>6.9999999999999999E-6</v>
      </c>
      <c r="H832" s="324">
        <v>2.76</v>
      </c>
      <c r="I832" s="322" t="s">
        <v>1543</v>
      </c>
      <c r="J832" s="322">
        <v>50</v>
      </c>
      <c r="K832" s="322">
        <v>0.14000000000000001</v>
      </c>
      <c r="L832" s="322">
        <v>99.610524999999996</v>
      </c>
      <c r="M832" s="322" t="s">
        <v>9</v>
      </c>
      <c r="N832" s="322" t="s">
        <v>374</v>
      </c>
      <c r="O832" s="322" t="s">
        <v>8</v>
      </c>
      <c r="P832" s="322" t="s">
        <v>375</v>
      </c>
      <c r="Q832" s="322" t="s">
        <v>67</v>
      </c>
      <c r="R832" s="322" t="s">
        <v>376</v>
      </c>
      <c r="S832" s="303">
        <f t="shared" si="13"/>
        <v>82417.940612000006</v>
      </c>
      <c r="T832" s="307">
        <f>+IFERROR(VLOOKUP(C832,'Tasas Diarias'!$B:$F,5,FALSE)*G832,0)</f>
        <v>0</v>
      </c>
      <c r="U832" s="311" t="str">
        <f>+VLOOKUP(C832,Spreads!$A$2:$G$345,7,0)</f>
        <v/>
      </c>
    </row>
    <row r="833" spans="1:21" ht="15" hidden="1" customHeight="1" thickTop="1" thickBot="1">
      <c r="A833" s="321" t="s">
        <v>2137</v>
      </c>
      <c r="B833" s="322" t="s">
        <v>298</v>
      </c>
      <c r="C833" s="322" t="s">
        <v>22</v>
      </c>
      <c r="D833" s="322" t="s">
        <v>54</v>
      </c>
      <c r="E833" s="323">
        <v>883049.36369999999</v>
      </c>
      <c r="F833" s="345">
        <v>886502.08542725956</v>
      </c>
      <c r="G833" s="314">
        <v>1.0000000000000001E-5</v>
      </c>
      <c r="H833" s="324">
        <v>2.76</v>
      </c>
      <c r="I833" s="322" t="s">
        <v>1543</v>
      </c>
      <c r="J833" s="322">
        <v>50</v>
      </c>
      <c r="K833" s="322">
        <v>0.14000000000000001</v>
      </c>
      <c r="L833" s="322">
        <v>99.610523000000001</v>
      </c>
      <c r="M833" s="322" t="s">
        <v>9</v>
      </c>
      <c r="N833" s="322" t="s">
        <v>374</v>
      </c>
      <c r="O833" s="322" t="s">
        <v>8</v>
      </c>
      <c r="P833" s="322" t="s">
        <v>375</v>
      </c>
      <c r="Q833" s="322" t="s">
        <v>390</v>
      </c>
      <c r="R833" s="322" t="s">
        <v>391</v>
      </c>
      <c r="S833" s="303">
        <f t="shared" si="13"/>
        <v>123626.91091800001</v>
      </c>
      <c r="T833" s="307">
        <f>+IFERROR(VLOOKUP(C833,'Tasas Diarias'!$B:$F,5,FALSE)*G833,0)</f>
        <v>0</v>
      </c>
      <c r="U833" s="311" t="str">
        <f>+VLOOKUP(C833,Spreads!$A$2:$G$345,7,0)</f>
        <v/>
      </c>
    </row>
    <row r="834" spans="1:21" ht="15" hidden="1" customHeight="1" thickTop="1" thickBot="1">
      <c r="A834" s="321" t="s">
        <v>2137</v>
      </c>
      <c r="B834" s="322" t="s">
        <v>298</v>
      </c>
      <c r="C834" s="322" t="s">
        <v>22</v>
      </c>
      <c r="D834" s="322" t="s">
        <v>70</v>
      </c>
      <c r="E834" s="323">
        <v>5888854.8092999998</v>
      </c>
      <c r="F834" s="323">
        <v>5911880.2230282445</v>
      </c>
      <c r="G834" s="314">
        <v>6.7000000000000002E-5</v>
      </c>
      <c r="H834" s="324">
        <v>2.76</v>
      </c>
      <c r="I834" s="322" t="s">
        <v>1543</v>
      </c>
      <c r="J834" s="322">
        <v>50</v>
      </c>
      <c r="K834" s="322">
        <v>0.14000000000000001</v>
      </c>
      <c r="L834" s="322">
        <v>99.610523000000001</v>
      </c>
      <c r="M834" s="322" t="s">
        <v>9</v>
      </c>
      <c r="N834" s="322" t="s">
        <v>374</v>
      </c>
      <c r="O834" s="322" t="s">
        <v>8</v>
      </c>
      <c r="P834" s="322" t="s">
        <v>375</v>
      </c>
      <c r="Q834" s="322" t="s">
        <v>70</v>
      </c>
      <c r="R834" s="322" t="s">
        <v>383</v>
      </c>
      <c r="S834" s="303">
        <f t="shared" si="13"/>
        <v>824439.67330200004</v>
      </c>
      <c r="T834" s="307">
        <f>+IFERROR(VLOOKUP(C834,'Tasas Diarias'!$B:$F,5,FALSE)*G834,0)</f>
        <v>0</v>
      </c>
      <c r="U834" s="311" t="str">
        <f>+VLOOKUP(C834,Spreads!$A$2:$G$345,7,0)</f>
        <v/>
      </c>
    </row>
    <row r="835" spans="1:21" ht="15" hidden="1" customHeight="1" thickTop="1" thickBot="1">
      <c r="A835" s="317" t="s">
        <v>2137</v>
      </c>
      <c r="B835" s="318" t="s">
        <v>298</v>
      </c>
      <c r="C835" s="318" t="s">
        <v>22</v>
      </c>
      <c r="D835" s="318" t="s">
        <v>55</v>
      </c>
      <c r="E835" s="319">
        <v>5888854.8092999998</v>
      </c>
      <c r="F835" s="319">
        <v>5911880.2230282445</v>
      </c>
      <c r="G835" s="314">
        <v>6.7000000000000002E-5</v>
      </c>
      <c r="H835" s="320">
        <v>2.76</v>
      </c>
      <c r="I835" s="318" t="s">
        <v>1543</v>
      </c>
      <c r="J835" s="318">
        <v>50</v>
      </c>
      <c r="K835" s="318">
        <v>0.14000000000000001</v>
      </c>
      <c r="L835" s="318">
        <v>99.610523000000001</v>
      </c>
      <c r="M835" s="318" t="s">
        <v>9</v>
      </c>
      <c r="N835" s="318" t="s">
        <v>374</v>
      </c>
      <c r="O835" s="318" t="s">
        <v>8</v>
      </c>
      <c r="P835" s="318" t="s">
        <v>375</v>
      </c>
      <c r="Q835" s="318" t="s">
        <v>55</v>
      </c>
      <c r="R835" s="318" t="s">
        <v>386</v>
      </c>
      <c r="S835" s="303">
        <f t="shared" ref="S835:S898" si="14">+IFERROR(E835*K835,0)</f>
        <v>824439.67330200004</v>
      </c>
      <c r="T835" s="307">
        <f>+IFERROR(VLOOKUP(C835,'Tasas Diarias'!$B:$F,5,FALSE)*G835,0)</f>
        <v>0</v>
      </c>
      <c r="U835" s="311" t="str">
        <f>+VLOOKUP(C835,Spreads!$A$2:$G$345,7,0)</f>
        <v/>
      </c>
    </row>
    <row r="836" spans="1:21" ht="15" hidden="1" customHeight="1" thickTop="1" thickBot="1">
      <c r="A836" s="317" t="s">
        <v>2137</v>
      </c>
      <c r="B836" s="318" t="s">
        <v>298</v>
      </c>
      <c r="C836" s="318" t="s">
        <v>22</v>
      </c>
      <c r="D836" s="318" t="s">
        <v>55</v>
      </c>
      <c r="E836" s="319">
        <v>1314531549</v>
      </c>
      <c r="F836" s="319">
        <v>1320000000</v>
      </c>
      <c r="G836" s="314">
        <v>1.4962E-2</v>
      </c>
      <c r="H836" s="320">
        <v>2.88</v>
      </c>
      <c r="I836" s="318" t="s">
        <v>1415</v>
      </c>
      <c r="J836" s="318">
        <v>51</v>
      </c>
      <c r="K836" s="318">
        <v>0.14000000000000001</v>
      </c>
      <c r="L836" s="318">
        <v>99.585723000000002</v>
      </c>
      <c r="M836" s="318" t="s">
        <v>9</v>
      </c>
      <c r="N836" s="318" t="s">
        <v>374</v>
      </c>
      <c r="O836" s="318" t="s">
        <v>8</v>
      </c>
      <c r="P836" s="318" t="s">
        <v>375</v>
      </c>
      <c r="Q836" s="318" t="s">
        <v>55</v>
      </c>
      <c r="R836" s="318" t="s">
        <v>386</v>
      </c>
      <c r="S836" s="303">
        <f t="shared" si="14"/>
        <v>184034416.86000001</v>
      </c>
      <c r="T836" s="307">
        <f>+IFERROR(VLOOKUP(C836,'Tasas Diarias'!$B:$F,5,FALSE)*G836,0)</f>
        <v>0</v>
      </c>
      <c r="U836" s="311" t="str">
        <f>+VLOOKUP(C836,Spreads!$A$2:$G$345,7,0)</f>
        <v/>
      </c>
    </row>
    <row r="837" spans="1:21" ht="15" hidden="1" customHeight="1" thickTop="1" thickBot="1">
      <c r="A837" s="317" t="s">
        <v>2137</v>
      </c>
      <c r="B837" s="318" t="s">
        <v>298</v>
      </c>
      <c r="C837" s="318" t="s">
        <v>22</v>
      </c>
      <c r="D837" s="318" t="s">
        <v>70</v>
      </c>
      <c r="E837" s="319">
        <v>1766718.4112</v>
      </c>
      <c r="F837" s="319">
        <v>1773455.5026000522</v>
      </c>
      <c r="G837" s="314">
        <v>2.0000000000000002E-5</v>
      </c>
      <c r="H837" s="318">
        <v>2.64</v>
      </c>
      <c r="I837" s="318" t="s">
        <v>1415</v>
      </c>
      <c r="J837" s="318">
        <v>51</v>
      </c>
      <c r="K837" s="318">
        <v>0.14000000000000001</v>
      </c>
      <c r="L837" s="318">
        <v>99.620114999999998</v>
      </c>
      <c r="M837" s="318" t="s">
        <v>9</v>
      </c>
      <c r="N837" s="318" t="s">
        <v>374</v>
      </c>
      <c r="O837" s="318" t="s">
        <v>8</v>
      </c>
      <c r="P837" s="318" t="s">
        <v>375</v>
      </c>
      <c r="Q837" s="318" t="s">
        <v>70</v>
      </c>
      <c r="R837" s="318" t="s">
        <v>383</v>
      </c>
      <c r="S837" s="303">
        <f t="shared" si="14"/>
        <v>247340.57756800001</v>
      </c>
      <c r="T837" s="307">
        <f>+IFERROR(VLOOKUP(C837,'Tasas Diarias'!$B:$F,5,FALSE)*G837,0)</f>
        <v>0</v>
      </c>
      <c r="U837" s="311" t="str">
        <f>+VLOOKUP(C837,Spreads!$A$2:$G$345,7,0)</f>
        <v/>
      </c>
    </row>
    <row r="838" spans="1:21" ht="15" hidden="1" customHeight="1" thickTop="1" thickBot="1">
      <c r="A838" s="317" t="s">
        <v>2137</v>
      </c>
      <c r="B838" s="318" t="s">
        <v>298</v>
      </c>
      <c r="C838" s="318" t="s">
        <v>22</v>
      </c>
      <c r="D838" s="318" t="s">
        <v>165</v>
      </c>
      <c r="E838" s="319">
        <v>5888235.1255000001</v>
      </c>
      <c r="F838" s="319">
        <v>5911709.5783902565</v>
      </c>
      <c r="G838" s="314">
        <v>6.7000000000000002E-5</v>
      </c>
      <c r="H838" s="320">
        <v>2.76</v>
      </c>
      <c r="I838" s="318" t="s">
        <v>1415</v>
      </c>
      <c r="J838" s="318">
        <v>51</v>
      </c>
      <c r="K838" s="318">
        <v>0.14000000000000001</v>
      </c>
      <c r="L838" s="318">
        <v>99.602915999999993</v>
      </c>
      <c r="M838" s="318" t="s">
        <v>9</v>
      </c>
      <c r="N838" s="318" t="s">
        <v>374</v>
      </c>
      <c r="O838" s="318" t="s">
        <v>8</v>
      </c>
      <c r="P838" s="318" t="s">
        <v>375</v>
      </c>
      <c r="Q838" s="318" t="s">
        <v>74</v>
      </c>
      <c r="R838" s="318" t="s">
        <v>380</v>
      </c>
      <c r="S838" s="303">
        <f t="shared" si="14"/>
        <v>824352.91757000005</v>
      </c>
      <c r="T838" s="307">
        <f>+IFERROR(VLOOKUP(C838,'Tasas Diarias'!$B:$F,5,FALSE)*G838,0)</f>
        <v>0</v>
      </c>
      <c r="U838" s="311" t="str">
        <f>+VLOOKUP(C838,Spreads!$A$2:$G$345,7,0)</f>
        <v/>
      </c>
    </row>
    <row r="839" spans="1:21" ht="15" hidden="1" customHeight="1" thickTop="1" thickBot="1">
      <c r="A839" s="317" t="s">
        <v>2137</v>
      </c>
      <c r="B839" s="318" t="s">
        <v>298</v>
      </c>
      <c r="C839" s="318" t="s">
        <v>22</v>
      </c>
      <c r="D839" s="318" t="s">
        <v>165</v>
      </c>
      <c r="E839" s="319">
        <v>25713158.103399999</v>
      </c>
      <c r="F839" s="319">
        <v>25817639.249518484</v>
      </c>
      <c r="G839" s="314">
        <v>2.9300000000000002E-4</v>
      </c>
      <c r="H839" s="320">
        <v>2.76</v>
      </c>
      <c r="I839" s="318" t="s">
        <v>1321</v>
      </c>
      <c r="J839" s="318">
        <v>52</v>
      </c>
      <c r="K839" s="318">
        <v>0.15</v>
      </c>
      <c r="L839" s="318">
        <v>99.595310999999995</v>
      </c>
      <c r="M839" s="318" t="s">
        <v>9</v>
      </c>
      <c r="N839" s="318" t="s">
        <v>374</v>
      </c>
      <c r="O839" s="318" t="s">
        <v>8</v>
      </c>
      <c r="P839" s="318" t="s">
        <v>375</v>
      </c>
      <c r="Q839" s="318" t="s">
        <v>74</v>
      </c>
      <c r="R839" s="318" t="s">
        <v>380</v>
      </c>
      <c r="S839" s="303">
        <f t="shared" si="14"/>
        <v>3856973.7155099995</v>
      </c>
      <c r="T839" s="307">
        <f>+IFERROR(VLOOKUP(C839,'Tasas Diarias'!$B:$F,5,FALSE)*G839,0)</f>
        <v>0</v>
      </c>
      <c r="U839" s="311" t="str">
        <f>+VLOOKUP(C839,Spreads!$A$2:$G$345,7,0)</f>
        <v/>
      </c>
    </row>
    <row r="840" spans="1:21" ht="15" hidden="1" customHeight="1" thickTop="1" thickBot="1">
      <c r="A840" s="321" t="s">
        <v>2137</v>
      </c>
      <c r="B840" s="322" t="s">
        <v>298</v>
      </c>
      <c r="C840" s="322" t="s">
        <v>22</v>
      </c>
      <c r="D840" s="322" t="s">
        <v>72</v>
      </c>
      <c r="E840" s="323">
        <v>880154</v>
      </c>
      <c r="F840" s="323">
        <v>884000</v>
      </c>
      <c r="G840" s="314">
        <v>1.0000000000000001E-5</v>
      </c>
      <c r="H840" s="324">
        <v>2.76</v>
      </c>
      <c r="I840" s="322" t="s">
        <v>1434</v>
      </c>
      <c r="J840" s="322">
        <v>56</v>
      </c>
      <c r="K840" s="322">
        <v>0.16</v>
      </c>
      <c r="L840" s="322">
        <v>99.564931999999999</v>
      </c>
      <c r="M840" s="322" t="s">
        <v>9</v>
      </c>
      <c r="N840" s="322" t="s">
        <v>374</v>
      </c>
      <c r="O840" s="322" t="s">
        <v>8</v>
      </c>
      <c r="P840" s="322" t="s">
        <v>296</v>
      </c>
      <c r="Q840" s="322" t="s">
        <v>325</v>
      </c>
      <c r="R840" s="322" t="s">
        <v>393</v>
      </c>
      <c r="S840" s="303">
        <f t="shared" si="14"/>
        <v>140824.64000000001</v>
      </c>
      <c r="T840" s="307">
        <f>+IFERROR(VLOOKUP(C840,'Tasas Diarias'!$B:$F,5,FALSE)*G840,0)</f>
        <v>0</v>
      </c>
      <c r="U840" s="311" t="str">
        <f>+VLOOKUP(C840,Spreads!$A$2:$G$345,7,0)</f>
        <v/>
      </c>
    </row>
    <row r="841" spans="1:21" ht="15" hidden="1" customHeight="1" thickTop="1" thickBot="1">
      <c r="A841" s="317" t="s">
        <v>2137</v>
      </c>
      <c r="B841" s="318" t="s">
        <v>298</v>
      </c>
      <c r="C841" s="318" t="s">
        <v>22</v>
      </c>
      <c r="D841" s="318" t="s">
        <v>164</v>
      </c>
      <c r="E841" s="319">
        <v>1417216.7683000001</v>
      </c>
      <c r="F841" s="319">
        <v>1423409.9966954216</v>
      </c>
      <c r="G841" s="314">
        <v>1.5999999999999999E-5</v>
      </c>
      <c r="H841" s="320">
        <v>2.76</v>
      </c>
      <c r="I841" s="318" t="s">
        <v>1434</v>
      </c>
      <c r="J841" s="318">
        <v>56</v>
      </c>
      <c r="K841" s="318">
        <v>0.16</v>
      </c>
      <c r="L841" s="318">
        <v>99.564902000000004</v>
      </c>
      <c r="M841" s="318" t="s">
        <v>9</v>
      </c>
      <c r="N841" s="318" t="s">
        <v>374</v>
      </c>
      <c r="O841" s="318" t="s">
        <v>8</v>
      </c>
      <c r="P841" s="318" t="s">
        <v>375</v>
      </c>
      <c r="Q841" s="318" t="s">
        <v>61</v>
      </c>
      <c r="R841" s="318" t="s">
        <v>384</v>
      </c>
      <c r="S841" s="303">
        <f t="shared" si="14"/>
        <v>226754.68292800002</v>
      </c>
      <c r="T841" s="307">
        <f>+IFERROR(VLOOKUP(C841,'Tasas Diarias'!$B:$F,5,FALSE)*G841,0)</f>
        <v>0</v>
      </c>
      <c r="U841" s="311" t="str">
        <f>+VLOOKUP(C841,Spreads!$A$2:$G$345,7,0)</f>
        <v/>
      </c>
    </row>
    <row r="842" spans="1:21" ht="15" hidden="1" customHeight="1" thickTop="1" thickBot="1">
      <c r="A842" s="321" t="s">
        <v>2137</v>
      </c>
      <c r="B842" s="322" t="s">
        <v>298</v>
      </c>
      <c r="C842" s="322" t="s">
        <v>49</v>
      </c>
      <c r="D842" s="322" t="s">
        <v>70</v>
      </c>
      <c r="E842" s="323">
        <v>345868290</v>
      </c>
      <c r="F842" s="323">
        <v>13000</v>
      </c>
      <c r="G842" s="314">
        <v>3.9360000000000003E-3</v>
      </c>
      <c r="H842" s="324">
        <v>1.57</v>
      </c>
      <c r="I842" s="322" t="s">
        <v>1299</v>
      </c>
      <c r="J842" s="322">
        <v>57</v>
      </c>
      <c r="K842" s="322">
        <v>0.16</v>
      </c>
      <c r="L842" s="322"/>
      <c r="M842" s="322" t="s">
        <v>6</v>
      </c>
      <c r="N842" s="322" t="s">
        <v>374</v>
      </c>
      <c r="O842" s="322" t="s">
        <v>8</v>
      </c>
      <c r="P842" s="322" t="s">
        <v>375</v>
      </c>
      <c r="Q842" s="322" t="s">
        <v>70</v>
      </c>
      <c r="R842" s="322" t="s">
        <v>383</v>
      </c>
      <c r="S842" s="303">
        <f t="shared" si="14"/>
        <v>55338926.399999999</v>
      </c>
      <c r="T842" s="307">
        <f>+IFERROR(VLOOKUP(C842,'Tasas Diarias'!$B:$F,5,FALSE)*G842,0)</f>
        <v>0</v>
      </c>
      <c r="U842" s="311" t="str">
        <f>+VLOOKUP(C842,Spreads!$A$2:$G$345,7,0)</f>
        <v/>
      </c>
    </row>
    <row r="843" spans="1:21" ht="15" hidden="1" customHeight="1" thickTop="1" thickBot="1">
      <c r="A843" s="327" t="s">
        <v>2137</v>
      </c>
      <c r="B843" s="328" t="s">
        <v>298</v>
      </c>
      <c r="C843" s="414" t="s">
        <v>22</v>
      </c>
      <c r="D843" s="328" t="s">
        <v>167</v>
      </c>
      <c r="E843" s="341">
        <v>125539548.37890001</v>
      </c>
      <c r="F843" s="352">
        <v>126155529.24311465</v>
      </c>
      <c r="G843" s="332">
        <v>1.4289999999999999E-3</v>
      </c>
      <c r="H843" s="329">
        <v>2.76</v>
      </c>
      <c r="I843" s="328" t="s">
        <v>2101</v>
      </c>
      <c r="J843" s="328">
        <v>63</v>
      </c>
      <c r="K843" s="328">
        <v>0.18</v>
      </c>
      <c r="L843" s="328">
        <v>99.511729000000003</v>
      </c>
      <c r="M843" s="328" t="s">
        <v>9</v>
      </c>
      <c r="N843" s="328" t="s">
        <v>374</v>
      </c>
      <c r="O843" s="328" t="s">
        <v>8</v>
      </c>
      <c r="P843" s="328" t="s">
        <v>375</v>
      </c>
      <c r="Q843" s="328" t="s">
        <v>77</v>
      </c>
      <c r="R843" s="328" t="s">
        <v>400</v>
      </c>
      <c r="S843" s="303">
        <f t="shared" si="14"/>
        <v>22597118.708202001</v>
      </c>
      <c r="T843" s="307">
        <f>+IFERROR(VLOOKUP(C843,'Tasas Diarias'!$B:$F,5,FALSE)*G843,0)</f>
        <v>0</v>
      </c>
      <c r="U843" s="311" t="str">
        <f>+VLOOKUP(C843,Spreads!$A$2:$G$345,7,0)</f>
        <v/>
      </c>
    </row>
    <row r="844" spans="1:21" ht="15" hidden="1" customHeight="1" thickTop="1" thickBot="1">
      <c r="A844" s="327" t="s">
        <v>2137</v>
      </c>
      <c r="B844" s="328" t="s">
        <v>298</v>
      </c>
      <c r="C844" s="414" t="s">
        <v>22</v>
      </c>
      <c r="D844" s="328" t="s">
        <v>169</v>
      </c>
      <c r="E844" s="330">
        <v>8823677.1155999992</v>
      </c>
      <c r="F844" s="343">
        <v>8867648.5034948848</v>
      </c>
      <c r="G844" s="314">
        <v>1E-4</v>
      </c>
      <c r="H844" s="329">
        <v>2.76</v>
      </c>
      <c r="I844" s="328" t="s">
        <v>1569</v>
      </c>
      <c r="J844" s="328">
        <v>64</v>
      </c>
      <c r="K844" s="328">
        <v>0.18</v>
      </c>
      <c r="L844" s="328">
        <v>99.504137</v>
      </c>
      <c r="M844" s="328" t="s">
        <v>9</v>
      </c>
      <c r="N844" s="328" t="s">
        <v>374</v>
      </c>
      <c r="O844" s="328" t="s">
        <v>8</v>
      </c>
      <c r="P844" s="328" t="s">
        <v>375</v>
      </c>
      <c r="Q844" s="328" t="s">
        <v>51</v>
      </c>
      <c r="R844" s="328" t="s">
        <v>385</v>
      </c>
      <c r="S844" s="303">
        <f t="shared" si="14"/>
        <v>1588261.8808079998</v>
      </c>
      <c r="T844" s="307">
        <f>+IFERROR(VLOOKUP(C844,'Tasas Diarias'!$B:$F,5,FALSE)*G844,0)</f>
        <v>0</v>
      </c>
      <c r="U844" s="311" t="str">
        <f>+VLOOKUP(C844,Spreads!$A$2:$G$345,7,0)</f>
        <v/>
      </c>
    </row>
    <row r="845" spans="1:21" ht="15" hidden="1" customHeight="1" thickTop="1" thickBot="1">
      <c r="A845" s="317" t="s">
        <v>2137</v>
      </c>
      <c r="B845" s="318" t="s">
        <v>298</v>
      </c>
      <c r="C845" s="318" t="s">
        <v>806</v>
      </c>
      <c r="D845" s="318" t="s">
        <v>2140</v>
      </c>
      <c r="E845" s="319">
        <v>5887138.3327000001</v>
      </c>
      <c r="F845" s="319">
        <v>8547182.9530608673</v>
      </c>
      <c r="G845" s="314">
        <v>6.7000000000000002E-5</v>
      </c>
      <c r="H845" s="320">
        <v>309.26</v>
      </c>
      <c r="I845" s="318" t="s">
        <v>2141</v>
      </c>
      <c r="J845" s="318">
        <v>68</v>
      </c>
      <c r="K845" s="318">
        <v>0.18</v>
      </c>
      <c r="L845" s="318">
        <v>78.16</v>
      </c>
      <c r="M845" s="318" t="s">
        <v>9</v>
      </c>
      <c r="N845" s="318" t="s">
        <v>368</v>
      </c>
      <c r="O845" s="318" t="s">
        <v>8</v>
      </c>
      <c r="P845" s="318" t="s">
        <v>2142</v>
      </c>
      <c r="Q845" s="318" t="s">
        <v>63</v>
      </c>
      <c r="R845" s="318" t="s">
        <v>2143</v>
      </c>
      <c r="S845" s="303">
        <f t="shared" si="14"/>
        <v>1059684.899886</v>
      </c>
      <c r="T845" s="307">
        <f>+IFERROR(VLOOKUP(C845,'Tasas Diarias'!$B:$F,5,FALSE)*G845,0)</f>
        <v>0</v>
      </c>
      <c r="U845" s="311" t="str">
        <f ca="1">+VLOOKUP(C845,Spreads!$A$2:$G$345,7,0)</f>
        <v/>
      </c>
    </row>
    <row r="846" spans="1:21" ht="15" hidden="1" customHeight="1" thickTop="1" thickBot="1">
      <c r="A846" s="321" t="s">
        <v>2137</v>
      </c>
      <c r="B846" s="322" t="s">
        <v>298</v>
      </c>
      <c r="C846" s="322" t="s">
        <v>804</v>
      </c>
      <c r="D846" s="322" t="s">
        <v>2140</v>
      </c>
      <c r="E846" s="323">
        <v>11486950.0802</v>
      </c>
      <c r="F846" s="323">
        <v>16676003.130343428</v>
      </c>
      <c r="G846" s="314">
        <v>1.3100000000000001E-4</v>
      </c>
      <c r="H846" s="324">
        <v>309.26</v>
      </c>
      <c r="I846" s="322" t="s">
        <v>2141</v>
      </c>
      <c r="J846" s="322">
        <v>68</v>
      </c>
      <c r="K846" s="322">
        <v>0.18</v>
      </c>
      <c r="L846" s="322">
        <v>78.19</v>
      </c>
      <c r="M846" s="322" t="s">
        <v>9</v>
      </c>
      <c r="N846" s="322" t="s">
        <v>368</v>
      </c>
      <c r="O846" s="322" t="s">
        <v>8</v>
      </c>
      <c r="P846" s="322" t="s">
        <v>2142</v>
      </c>
      <c r="Q846" s="322" t="s">
        <v>63</v>
      </c>
      <c r="R846" s="322" t="s">
        <v>2143</v>
      </c>
      <c r="S846" s="303">
        <f t="shared" si="14"/>
        <v>2067651.0144359998</v>
      </c>
      <c r="T846" s="307">
        <f>+IFERROR(VLOOKUP(C846,'Tasas Diarias'!$B:$F,5,FALSE)*G846,0)</f>
        <v>0</v>
      </c>
      <c r="U846" s="311" t="str">
        <f ca="1">+VLOOKUP(C846,Spreads!$A$2:$G$345,7,0)</f>
        <v/>
      </c>
    </row>
    <row r="847" spans="1:21" ht="15" hidden="1" customHeight="1" thickTop="1" thickBot="1">
      <c r="A847" s="321" t="s">
        <v>2137</v>
      </c>
      <c r="B847" s="322" t="s">
        <v>298</v>
      </c>
      <c r="C847" s="322" t="s">
        <v>2144</v>
      </c>
      <c r="D847" s="322" t="s">
        <v>2140</v>
      </c>
      <c r="E847" s="323">
        <v>293439.91690000001</v>
      </c>
      <c r="F847" s="323">
        <v>426032.09716043365</v>
      </c>
      <c r="G847" s="314">
        <v>3.0000000000000001E-6</v>
      </c>
      <c r="H847" s="324">
        <v>309.26</v>
      </c>
      <c r="I847" s="322" t="s">
        <v>2141</v>
      </c>
      <c r="J847" s="322">
        <v>68</v>
      </c>
      <c r="K847" s="322">
        <v>0.18</v>
      </c>
      <c r="L847" s="322">
        <v>78</v>
      </c>
      <c r="M847" s="322" t="s">
        <v>9</v>
      </c>
      <c r="N847" s="322" t="s">
        <v>368</v>
      </c>
      <c r="O847" s="322" t="s">
        <v>8</v>
      </c>
      <c r="P847" s="322" t="s">
        <v>2142</v>
      </c>
      <c r="Q847" s="322" t="s">
        <v>63</v>
      </c>
      <c r="R847" s="322" t="s">
        <v>2145</v>
      </c>
      <c r="S847" s="303">
        <f t="shared" si="14"/>
        <v>52819.185041999997</v>
      </c>
      <c r="T847" s="307">
        <f>+IFERROR(VLOOKUP(C847,'Tasas Diarias'!$B:$F,5,FALSE)*G847,0)</f>
        <v>0</v>
      </c>
      <c r="U847" s="311" t="e">
        <f>+VLOOKUP(C847,Spreads!$A$2:$G$345,7,0)</f>
        <v>#N/A</v>
      </c>
    </row>
    <row r="848" spans="1:21" ht="15" hidden="1" customHeight="1" thickTop="1" thickBot="1">
      <c r="A848" s="321" t="s">
        <v>2137</v>
      </c>
      <c r="B848" s="322" t="s">
        <v>298</v>
      </c>
      <c r="C848" s="322" t="s">
        <v>805</v>
      </c>
      <c r="D848" s="322" t="s">
        <v>2140</v>
      </c>
      <c r="E848" s="323">
        <v>1467199.5845000001</v>
      </c>
      <c r="F848" s="323">
        <v>2130157.3312698449</v>
      </c>
      <c r="G848" s="314">
        <v>1.7E-5</v>
      </c>
      <c r="H848" s="322">
        <v>309.26</v>
      </c>
      <c r="I848" s="322" t="s">
        <v>2141</v>
      </c>
      <c r="J848" s="322">
        <v>68</v>
      </c>
      <c r="K848" s="322">
        <v>0.18</v>
      </c>
      <c r="L848" s="322">
        <v>78.180000000000007</v>
      </c>
      <c r="M848" s="322" t="s">
        <v>9</v>
      </c>
      <c r="N848" s="322" t="s">
        <v>368</v>
      </c>
      <c r="O848" s="322" t="s">
        <v>8</v>
      </c>
      <c r="P848" s="322" t="s">
        <v>2142</v>
      </c>
      <c r="Q848" s="322" t="s">
        <v>63</v>
      </c>
      <c r="R848" s="322" t="s">
        <v>2145</v>
      </c>
      <c r="S848" s="303">
        <f t="shared" si="14"/>
        <v>264095.92521000002</v>
      </c>
      <c r="T848" s="307">
        <f>+IFERROR(VLOOKUP(C848,'Tasas Diarias'!$B:$F,5,FALSE)*G848,0)</f>
        <v>0</v>
      </c>
      <c r="U848" s="311" t="str">
        <f ca="1">+VLOOKUP(C848,Spreads!$A$2:$G$345,7,0)</f>
        <v/>
      </c>
    </row>
    <row r="849" spans="1:21" ht="15" hidden="1" customHeight="1" thickTop="1" thickBot="1">
      <c r="A849" s="327" t="s">
        <v>2137</v>
      </c>
      <c r="B849" s="328" t="s">
        <v>298</v>
      </c>
      <c r="C849" s="328" t="s">
        <v>22</v>
      </c>
      <c r="D849" s="328" t="s">
        <v>23</v>
      </c>
      <c r="E849" s="328">
        <v>14703236.668400001</v>
      </c>
      <c r="F849" s="328">
        <v>14779889.609911885</v>
      </c>
      <c r="G849" s="332">
        <v>1.6699999999999999E-4</v>
      </c>
      <c r="H849" s="329">
        <v>2.76</v>
      </c>
      <c r="I849" s="328" t="s">
        <v>1319</v>
      </c>
      <c r="J849" s="328">
        <v>67</v>
      </c>
      <c r="K849" s="328">
        <v>0.19</v>
      </c>
      <c r="L849" s="328">
        <v>99.481369999999998</v>
      </c>
      <c r="M849" s="328" t="s">
        <v>9</v>
      </c>
      <c r="N849" s="328" t="s">
        <v>374</v>
      </c>
      <c r="O849" s="328" t="s">
        <v>8</v>
      </c>
      <c r="P849" s="328" t="s">
        <v>375</v>
      </c>
      <c r="Q849" s="328" t="s">
        <v>67</v>
      </c>
      <c r="R849" s="328" t="s">
        <v>376</v>
      </c>
      <c r="S849" s="303">
        <f t="shared" si="14"/>
        <v>2793614.9669960001</v>
      </c>
      <c r="T849" s="307">
        <f>+IFERROR(VLOOKUP(C849,'Tasas Diarias'!$B:$F,5,FALSE)*G849,0)</f>
        <v>0</v>
      </c>
      <c r="U849" s="311" t="str">
        <f>+VLOOKUP(C849,Spreads!$A$2:$G$345,7,0)</f>
        <v/>
      </c>
    </row>
    <row r="850" spans="1:21" ht="15" hidden="1" customHeight="1" thickTop="1" thickBot="1">
      <c r="A850" s="317" t="s">
        <v>2137</v>
      </c>
      <c r="B850" s="318" t="s">
        <v>298</v>
      </c>
      <c r="C850" s="318" t="s">
        <v>22</v>
      </c>
      <c r="D850" s="318" t="s">
        <v>55</v>
      </c>
      <c r="E850" s="319">
        <v>135768005.88679999</v>
      </c>
      <c r="F850" s="319">
        <v>136506584.31667224</v>
      </c>
      <c r="G850" s="314">
        <v>1.5449999999999999E-3</v>
      </c>
      <c r="H850" s="320">
        <v>2.88</v>
      </c>
      <c r="I850" s="318" t="s">
        <v>1319</v>
      </c>
      <c r="J850" s="318">
        <v>67</v>
      </c>
      <c r="K850" s="318">
        <v>0.19</v>
      </c>
      <c r="L850" s="318">
        <v>99.458943000000005</v>
      </c>
      <c r="M850" s="318" t="s">
        <v>9</v>
      </c>
      <c r="N850" s="318" t="s">
        <v>374</v>
      </c>
      <c r="O850" s="318" t="s">
        <v>8</v>
      </c>
      <c r="P850" s="318" t="s">
        <v>375</v>
      </c>
      <c r="Q850" s="318" t="s">
        <v>55</v>
      </c>
      <c r="R850" s="318" t="s">
        <v>386</v>
      </c>
      <c r="S850" s="303">
        <f t="shared" si="14"/>
        <v>25795921.118492</v>
      </c>
      <c r="T850" s="307">
        <f>+IFERROR(VLOOKUP(C850,'Tasas Diarias'!$B:$F,5,FALSE)*G850,0)</f>
        <v>0</v>
      </c>
      <c r="U850" s="311" t="str">
        <f>+VLOOKUP(C850,Spreads!$A$2:$G$345,7,0)</f>
        <v/>
      </c>
    </row>
    <row r="851" spans="1:21" ht="15" hidden="1" customHeight="1" thickTop="1" thickBot="1">
      <c r="A851" s="321" t="s">
        <v>2137</v>
      </c>
      <c r="B851" s="322" t="s">
        <v>298</v>
      </c>
      <c r="C851" s="322" t="s">
        <v>22</v>
      </c>
      <c r="D851" s="322" t="s">
        <v>55</v>
      </c>
      <c r="E851" s="323">
        <v>310177541.99839997</v>
      </c>
      <c r="F851" s="323">
        <v>311939350.49486297</v>
      </c>
      <c r="G851" s="314">
        <v>3.5300000000000002E-3</v>
      </c>
      <c r="H851" s="324">
        <v>2.88</v>
      </c>
      <c r="I851" s="322" t="s">
        <v>1306</v>
      </c>
      <c r="J851" s="322">
        <v>70</v>
      </c>
      <c r="K851" s="322">
        <v>0.19</v>
      </c>
      <c r="L851" s="322">
        <v>99.435208000000003</v>
      </c>
      <c r="M851" s="322" t="s">
        <v>9</v>
      </c>
      <c r="N851" s="322" t="s">
        <v>374</v>
      </c>
      <c r="O851" s="322" t="s">
        <v>8</v>
      </c>
      <c r="P851" s="322" t="s">
        <v>375</v>
      </c>
      <c r="Q851" s="322" t="s">
        <v>55</v>
      </c>
      <c r="R851" s="322" t="s">
        <v>386</v>
      </c>
      <c r="S851" s="303">
        <f t="shared" si="14"/>
        <v>58933732.979695998</v>
      </c>
      <c r="T851" s="307">
        <f>+IFERROR(VLOOKUP(C851,'Tasas Diarias'!$B:$F,5,FALSE)*G851,0)</f>
        <v>0</v>
      </c>
      <c r="U851" s="311" t="str">
        <f>+VLOOKUP(C851,Spreads!$A$2:$G$345,7,0)</f>
        <v/>
      </c>
    </row>
    <row r="852" spans="1:21" ht="15" hidden="1" customHeight="1" thickTop="1" thickBot="1">
      <c r="A852" s="317" t="s">
        <v>2137</v>
      </c>
      <c r="B852" s="318" t="s">
        <v>298</v>
      </c>
      <c r="C852" s="318" t="s">
        <v>22</v>
      </c>
      <c r="D852" s="318" t="s">
        <v>165</v>
      </c>
      <c r="E852" s="319">
        <v>3202567</v>
      </c>
      <c r="F852" s="319">
        <v>3220000</v>
      </c>
      <c r="G852" s="314">
        <v>3.6000000000000001E-5</v>
      </c>
      <c r="H852" s="318">
        <v>2.76</v>
      </c>
      <c r="I852" s="318" t="s">
        <v>1306</v>
      </c>
      <c r="J852" s="318">
        <v>70</v>
      </c>
      <c r="K852" s="318">
        <v>0.19</v>
      </c>
      <c r="L852" s="318">
        <v>99.458601999999999</v>
      </c>
      <c r="M852" s="318" t="s">
        <v>9</v>
      </c>
      <c r="N852" s="318" t="s">
        <v>374</v>
      </c>
      <c r="O852" s="318" t="s">
        <v>8</v>
      </c>
      <c r="P852" s="318" t="s">
        <v>375</v>
      </c>
      <c r="Q852" s="318" t="s">
        <v>74</v>
      </c>
      <c r="R852" s="318" t="s">
        <v>380</v>
      </c>
      <c r="S852" s="303">
        <f t="shared" si="14"/>
        <v>608487.73</v>
      </c>
      <c r="T852" s="307">
        <f>+IFERROR(VLOOKUP(C852,'Tasas Diarias'!$B:$F,5,FALSE)*G852,0)</f>
        <v>0</v>
      </c>
      <c r="U852" s="311" t="str">
        <f>+VLOOKUP(C852,Spreads!$A$2:$G$345,7,0)</f>
        <v/>
      </c>
    </row>
    <row r="853" spans="1:21" ht="15" hidden="1" customHeight="1" thickTop="1" thickBot="1">
      <c r="A853" s="317" t="s">
        <v>2137</v>
      </c>
      <c r="B853" s="318" t="s">
        <v>298</v>
      </c>
      <c r="C853" s="318" t="s">
        <v>22</v>
      </c>
      <c r="D853" s="318" t="s">
        <v>23</v>
      </c>
      <c r="E853" s="319">
        <v>4997749.5566999996</v>
      </c>
      <c r="F853" s="319">
        <v>5024954.0043957783</v>
      </c>
      <c r="G853" s="314">
        <v>5.7000000000000003E-5</v>
      </c>
      <c r="H853" s="320">
        <v>2.76</v>
      </c>
      <c r="I853" s="318" t="s">
        <v>1306</v>
      </c>
      <c r="J853" s="318">
        <v>70</v>
      </c>
      <c r="K853" s="318">
        <v>0.19</v>
      </c>
      <c r="L853" s="318">
        <v>99.458613</v>
      </c>
      <c r="M853" s="318" t="s">
        <v>9</v>
      </c>
      <c r="N853" s="318" t="s">
        <v>374</v>
      </c>
      <c r="O853" s="318" t="s">
        <v>8</v>
      </c>
      <c r="P853" s="318" t="s">
        <v>375</v>
      </c>
      <c r="Q853" s="318" t="s">
        <v>67</v>
      </c>
      <c r="R853" s="318" t="s">
        <v>376</v>
      </c>
      <c r="S853" s="303">
        <f t="shared" si="14"/>
        <v>949572.41577299999</v>
      </c>
      <c r="T853" s="307">
        <f>+IFERROR(VLOOKUP(C853,'Tasas Diarias'!$B:$F,5,FALSE)*G853,0)</f>
        <v>0</v>
      </c>
      <c r="U853" s="311" t="str">
        <f>+VLOOKUP(C853,Spreads!$A$2:$G$345,7,0)</f>
        <v/>
      </c>
    </row>
    <row r="854" spans="1:21" ht="15" hidden="1" customHeight="1" thickTop="1" thickBot="1">
      <c r="A854" s="317" t="s">
        <v>2137</v>
      </c>
      <c r="B854" s="318" t="s">
        <v>298</v>
      </c>
      <c r="C854" s="318" t="s">
        <v>424</v>
      </c>
      <c r="D854" s="318" t="s">
        <v>16</v>
      </c>
      <c r="E854" s="319">
        <v>3206863.4786999999</v>
      </c>
      <c r="F854" s="319"/>
      <c r="G854" s="314">
        <v>3.6000000000000001E-5</v>
      </c>
      <c r="H854" s="320">
        <v>1</v>
      </c>
      <c r="I854" s="318" t="s">
        <v>425</v>
      </c>
      <c r="J854" s="318">
        <v>73</v>
      </c>
      <c r="K854" s="318">
        <v>0.2</v>
      </c>
      <c r="L854" s="318">
        <v>100.54</v>
      </c>
      <c r="M854" s="318" t="s">
        <v>6</v>
      </c>
      <c r="N854" s="318" t="s">
        <v>368</v>
      </c>
      <c r="O854" s="318" t="s">
        <v>8</v>
      </c>
      <c r="P854" s="318" t="s">
        <v>379</v>
      </c>
      <c r="Q854" s="318" t="s">
        <v>61</v>
      </c>
      <c r="R854" s="318" t="s">
        <v>394</v>
      </c>
      <c r="S854" s="303">
        <f t="shared" si="14"/>
        <v>641372.69574</v>
      </c>
      <c r="T854" s="307">
        <f>+IFERROR(VLOOKUP(C854,'Tasas Diarias'!$B:$F,5,FALSE)*G854,0)</f>
        <v>-3.6157808219177753E-8</v>
      </c>
      <c r="U854" s="311" t="str">
        <f ca="1">+VLOOKUP(C854,Spreads!$A$2:$G$345,7,0)</f>
        <v/>
      </c>
    </row>
    <row r="855" spans="1:21" ht="15" hidden="1" customHeight="1" thickTop="1" thickBot="1">
      <c r="A855" s="317" t="s">
        <v>2137</v>
      </c>
      <c r="B855" s="318" t="s">
        <v>298</v>
      </c>
      <c r="C855" s="318" t="s">
        <v>49</v>
      </c>
      <c r="D855" s="318" t="s">
        <v>164</v>
      </c>
      <c r="E855" s="319">
        <v>31752669.567200001</v>
      </c>
      <c r="F855" s="319"/>
      <c r="G855" s="314">
        <v>3.6099999999999999E-4</v>
      </c>
      <c r="H855" s="320">
        <v>1.36</v>
      </c>
      <c r="I855" s="318" t="s">
        <v>1289</v>
      </c>
      <c r="J855" s="318">
        <v>78</v>
      </c>
      <c r="K855" s="318">
        <v>0.22</v>
      </c>
      <c r="L855" s="318">
        <v>1068.9784</v>
      </c>
      <c r="M855" s="318" t="s">
        <v>6</v>
      </c>
      <c r="N855" s="318" t="s">
        <v>374</v>
      </c>
      <c r="O855" s="318" t="s">
        <v>8</v>
      </c>
      <c r="P855" s="318" t="s">
        <v>375</v>
      </c>
      <c r="Q855" s="318" t="s">
        <v>61</v>
      </c>
      <c r="R855" s="318" t="s">
        <v>384</v>
      </c>
      <c r="S855" s="303">
        <f t="shared" si="14"/>
        <v>6985587.3047839999</v>
      </c>
      <c r="T855" s="307">
        <f>+IFERROR(VLOOKUP(C855,'Tasas Diarias'!$B:$F,5,FALSE)*G855,0)</f>
        <v>0</v>
      </c>
      <c r="U855" s="311" t="str">
        <f>+VLOOKUP(C855,Spreads!$A$2:$G$345,7,0)</f>
        <v/>
      </c>
    </row>
    <row r="856" spans="1:21" ht="15" hidden="1" customHeight="1" thickTop="1" thickBot="1">
      <c r="A856" s="317" t="s">
        <v>2137</v>
      </c>
      <c r="B856" s="318" t="s">
        <v>298</v>
      </c>
      <c r="C856" s="318" t="s">
        <v>22</v>
      </c>
      <c r="D856" s="318" t="s">
        <v>54</v>
      </c>
      <c r="E856" s="319">
        <v>94816351.902899995</v>
      </c>
      <c r="F856" s="319">
        <v>95405162.033345968</v>
      </c>
      <c r="G856" s="314">
        <v>1.0790000000000001E-3</v>
      </c>
      <c r="H856" s="318">
        <v>2.76</v>
      </c>
      <c r="I856" s="318" t="s">
        <v>1488</v>
      </c>
      <c r="J856" s="318">
        <v>80</v>
      </c>
      <c r="K856" s="318">
        <v>0.22</v>
      </c>
      <c r="L856" s="318">
        <v>99.382831999999993</v>
      </c>
      <c r="M856" s="318" t="s">
        <v>9</v>
      </c>
      <c r="N856" s="318" t="s">
        <v>374</v>
      </c>
      <c r="O856" s="318" t="s">
        <v>8</v>
      </c>
      <c r="P856" s="318" t="s">
        <v>375</v>
      </c>
      <c r="Q856" s="318" t="s">
        <v>390</v>
      </c>
      <c r="R856" s="318" t="s">
        <v>391</v>
      </c>
      <c r="S856" s="303">
        <f t="shared" si="14"/>
        <v>20859597.418637998</v>
      </c>
      <c r="T856" s="307">
        <f>+IFERROR(VLOOKUP(C856,'Tasas Diarias'!$B:$F,5,FALSE)*G856,0)</f>
        <v>0</v>
      </c>
      <c r="U856" s="311" t="str">
        <f>+VLOOKUP(C856,Spreads!$A$2:$G$345,7,0)</f>
        <v/>
      </c>
    </row>
    <row r="857" spans="1:21" ht="15" hidden="1" customHeight="1" thickTop="1" thickBot="1">
      <c r="A857" s="321" t="s">
        <v>2137</v>
      </c>
      <c r="B857" s="322" t="s">
        <v>298</v>
      </c>
      <c r="C857" s="322" t="s">
        <v>22</v>
      </c>
      <c r="D857" s="322" t="s">
        <v>23</v>
      </c>
      <c r="E857" s="323">
        <v>11736810.4902</v>
      </c>
      <c r="F857" s="323">
        <v>11824132.417511266</v>
      </c>
      <c r="G857" s="314">
        <v>1.34E-4</v>
      </c>
      <c r="H857" s="322">
        <v>2.88</v>
      </c>
      <c r="I857" s="322" t="s">
        <v>1309</v>
      </c>
      <c r="J857" s="322">
        <v>92</v>
      </c>
      <c r="K857" s="322">
        <v>0.25</v>
      </c>
      <c r="L857" s="322">
        <v>99.261493999999999</v>
      </c>
      <c r="M857" s="322" t="s">
        <v>9</v>
      </c>
      <c r="N857" s="322" t="s">
        <v>374</v>
      </c>
      <c r="O857" s="322" t="s">
        <v>8</v>
      </c>
      <c r="P857" s="322" t="s">
        <v>375</v>
      </c>
      <c r="Q857" s="322" t="s">
        <v>67</v>
      </c>
      <c r="R857" s="322" t="s">
        <v>376</v>
      </c>
      <c r="S857" s="303">
        <f t="shared" si="14"/>
        <v>2934202.62255</v>
      </c>
      <c r="T857" s="307">
        <f>+IFERROR(VLOOKUP(C857,'Tasas Diarias'!$B:$F,5,FALSE)*G857,0)</f>
        <v>0</v>
      </c>
      <c r="U857" s="311" t="str">
        <f>+VLOOKUP(C857,Spreads!$A$2:$G$345,7,0)</f>
        <v/>
      </c>
    </row>
    <row r="858" spans="1:21" ht="15" hidden="1" customHeight="1" thickTop="1" thickBot="1">
      <c r="A858" s="317" t="s">
        <v>2137</v>
      </c>
      <c r="B858" s="318" t="s">
        <v>298</v>
      </c>
      <c r="C858" s="318" t="s">
        <v>22</v>
      </c>
      <c r="D858" s="318" t="s">
        <v>305</v>
      </c>
      <c r="E858" s="319">
        <v>4692245.4610000001</v>
      </c>
      <c r="F858" s="319">
        <v>4729408.0617937203</v>
      </c>
      <c r="G858" s="314">
        <v>5.3000000000000001E-5</v>
      </c>
      <c r="H858" s="320">
        <v>2.88</v>
      </c>
      <c r="I858" s="318" t="s">
        <v>1578</v>
      </c>
      <c r="J858" s="318">
        <v>98</v>
      </c>
      <c r="K858" s="318">
        <v>0.27</v>
      </c>
      <c r="L858" s="318">
        <v>99.214223000000004</v>
      </c>
      <c r="M858" s="318" t="s">
        <v>9</v>
      </c>
      <c r="N858" s="318" t="s">
        <v>374</v>
      </c>
      <c r="O858" s="318" t="s">
        <v>8</v>
      </c>
      <c r="P858" s="318" t="s">
        <v>375</v>
      </c>
      <c r="Q858" s="318" t="s">
        <v>326</v>
      </c>
      <c r="R858" s="318" t="s">
        <v>387</v>
      </c>
      <c r="S858" s="303">
        <f t="shared" si="14"/>
        <v>1266906.2744700001</v>
      </c>
      <c r="T858" s="307">
        <f>+IFERROR(VLOOKUP(C858,'Tasas Diarias'!$B:$F,5,FALSE)*G858,0)</f>
        <v>0</v>
      </c>
      <c r="U858" s="311" t="str">
        <f>+VLOOKUP(C858,Spreads!$A$2:$G$345,7,0)</f>
        <v/>
      </c>
    </row>
    <row r="859" spans="1:21" ht="15" hidden="1" customHeight="1" thickTop="1" thickBot="1">
      <c r="A859" s="327" t="s">
        <v>2137</v>
      </c>
      <c r="B859" s="328" t="s">
        <v>298</v>
      </c>
      <c r="C859" s="328" t="s">
        <v>22</v>
      </c>
      <c r="D859" s="328" t="s">
        <v>169</v>
      </c>
      <c r="E859" s="341">
        <v>476190</v>
      </c>
      <c r="F859" s="352">
        <v>480000</v>
      </c>
      <c r="G859" s="332">
        <v>5.0000000000000004E-6</v>
      </c>
      <c r="H859" s="329">
        <v>2.88</v>
      </c>
      <c r="I859" s="328" t="s">
        <v>1481</v>
      </c>
      <c r="J859" s="328">
        <v>99</v>
      </c>
      <c r="K859" s="328">
        <v>0.27</v>
      </c>
      <c r="L859" s="328">
        <v>99.206249999999997</v>
      </c>
      <c r="M859" s="328" t="s">
        <v>9</v>
      </c>
      <c r="N859" s="328" t="s">
        <v>374</v>
      </c>
      <c r="O859" s="328" t="s">
        <v>8</v>
      </c>
      <c r="P859" s="328" t="s">
        <v>375</v>
      </c>
      <c r="Q859" s="328" t="s">
        <v>51</v>
      </c>
      <c r="R859" s="328" t="s">
        <v>385</v>
      </c>
      <c r="S859" s="303">
        <f t="shared" si="14"/>
        <v>128571.3</v>
      </c>
      <c r="T859" s="307">
        <f>+IFERROR(VLOOKUP(C859,'Tasas Diarias'!$B:$F,5,FALSE)*G859,0)</f>
        <v>0</v>
      </c>
      <c r="U859" s="311" t="str">
        <f>+VLOOKUP(C859,Spreads!$A$2:$G$345,7,0)</f>
        <v/>
      </c>
    </row>
    <row r="860" spans="1:21" ht="15" hidden="1" customHeight="1" thickTop="1" thickBot="1">
      <c r="A860" s="321" t="s">
        <v>2137</v>
      </c>
      <c r="B860" s="322" t="s">
        <v>298</v>
      </c>
      <c r="C860" s="322" t="s">
        <v>22</v>
      </c>
      <c r="D860" s="322" t="s">
        <v>169</v>
      </c>
      <c r="E860" s="323">
        <v>2932343.5712000001</v>
      </c>
      <c r="F860" s="345">
        <v>2956036.9165832754</v>
      </c>
      <c r="G860" s="314">
        <v>3.3000000000000003E-5</v>
      </c>
      <c r="H860" s="324">
        <v>2.88</v>
      </c>
      <c r="I860" s="322" t="s">
        <v>1351</v>
      </c>
      <c r="J860" s="322">
        <v>100</v>
      </c>
      <c r="K860" s="322">
        <v>0.28000000000000003</v>
      </c>
      <c r="L860" s="322">
        <v>99.198475999999999</v>
      </c>
      <c r="M860" s="322" t="s">
        <v>9</v>
      </c>
      <c r="N860" s="322" t="s">
        <v>374</v>
      </c>
      <c r="O860" s="322" t="s">
        <v>8</v>
      </c>
      <c r="P860" s="322" t="s">
        <v>375</v>
      </c>
      <c r="Q860" s="322" t="s">
        <v>51</v>
      </c>
      <c r="R860" s="322" t="s">
        <v>385</v>
      </c>
      <c r="S860" s="303">
        <f t="shared" si="14"/>
        <v>821056.19993600016</v>
      </c>
      <c r="T860" s="307">
        <f>+IFERROR(VLOOKUP(C860,'Tasas Diarias'!$B:$F,5,FALSE)*G860,0)</f>
        <v>0</v>
      </c>
      <c r="U860" s="311" t="str">
        <f>+VLOOKUP(C860,Spreads!$A$2:$G$345,7,0)</f>
        <v/>
      </c>
    </row>
    <row r="861" spans="1:21" ht="15" hidden="1" customHeight="1" thickTop="1" thickBot="1">
      <c r="A861" s="317" t="s">
        <v>2137</v>
      </c>
      <c r="B861" s="318" t="s">
        <v>298</v>
      </c>
      <c r="C861" s="318" t="s">
        <v>22</v>
      </c>
      <c r="D861" s="318" t="s">
        <v>70</v>
      </c>
      <c r="E861" s="319">
        <v>7330239.2444000002</v>
      </c>
      <c r="F861" s="319">
        <v>7390054.0462038126</v>
      </c>
      <c r="G861" s="314">
        <v>8.2999999999999998E-5</v>
      </c>
      <c r="H861" s="320">
        <v>2.88</v>
      </c>
      <c r="I861" s="318" t="s">
        <v>1226</v>
      </c>
      <c r="J861" s="318">
        <v>101</v>
      </c>
      <c r="K861" s="318">
        <v>0.28000000000000003</v>
      </c>
      <c r="L861" s="318">
        <v>99.190603999999993</v>
      </c>
      <c r="M861" s="318" t="s">
        <v>9</v>
      </c>
      <c r="N861" s="318" t="s">
        <v>374</v>
      </c>
      <c r="O861" s="318" t="s">
        <v>8</v>
      </c>
      <c r="P861" s="318" t="s">
        <v>375</v>
      </c>
      <c r="Q861" s="318" t="s">
        <v>70</v>
      </c>
      <c r="R861" s="318" t="s">
        <v>383</v>
      </c>
      <c r="S861" s="303">
        <f t="shared" si="14"/>
        <v>2052466.9884320002</v>
      </c>
      <c r="T861" s="307">
        <f>+IFERROR(VLOOKUP(C861,'Tasas Diarias'!$B:$F,5,FALSE)*G861,0)</f>
        <v>0</v>
      </c>
      <c r="U861" s="311" t="str">
        <f>+VLOOKUP(C861,Spreads!$A$2:$G$345,7,0)</f>
        <v/>
      </c>
    </row>
    <row r="862" spans="1:21" ht="15" hidden="1" customHeight="1" thickTop="1" thickBot="1">
      <c r="A862" s="321" t="s">
        <v>2137</v>
      </c>
      <c r="B862" s="322" t="s">
        <v>298</v>
      </c>
      <c r="C862" s="322" t="s">
        <v>22</v>
      </c>
      <c r="D862" s="322" t="s">
        <v>55</v>
      </c>
      <c r="E862" s="323">
        <v>14660478.488700001</v>
      </c>
      <c r="F862" s="323">
        <v>14780108.092407625</v>
      </c>
      <c r="G862" s="314">
        <v>1.6699999999999999E-4</v>
      </c>
      <c r="H862" s="322">
        <v>2.88</v>
      </c>
      <c r="I862" s="322" t="s">
        <v>1226</v>
      </c>
      <c r="J862" s="322">
        <v>101</v>
      </c>
      <c r="K862" s="322">
        <v>0.28000000000000003</v>
      </c>
      <c r="L862" s="322">
        <v>99.190603999999993</v>
      </c>
      <c r="M862" s="322" t="s">
        <v>9</v>
      </c>
      <c r="N862" s="322" t="s">
        <v>374</v>
      </c>
      <c r="O862" s="322" t="s">
        <v>8</v>
      </c>
      <c r="P862" s="322" t="s">
        <v>375</v>
      </c>
      <c r="Q862" s="322" t="s">
        <v>55</v>
      </c>
      <c r="R862" s="322" t="s">
        <v>386</v>
      </c>
      <c r="S862" s="303">
        <f t="shared" si="14"/>
        <v>4104933.9768360006</v>
      </c>
      <c r="T862" s="307">
        <f>+IFERROR(VLOOKUP(C862,'Tasas Diarias'!$B:$F,5,FALSE)*G862,0)</f>
        <v>0</v>
      </c>
      <c r="U862" s="311" t="str">
        <f>+VLOOKUP(C862,Spreads!$A$2:$G$345,7,0)</f>
        <v/>
      </c>
    </row>
    <row r="863" spans="1:21" ht="15" hidden="1" customHeight="1" thickTop="1" thickBot="1">
      <c r="A863" s="317" t="s">
        <v>2137</v>
      </c>
      <c r="B863" s="318" t="s">
        <v>298</v>
      </c>
      <c r="C863" s="318" t="s">
        <v>1101</v>
      </c>
      <c r="D863" s="318" t="s">
        <v>180</v>
      </c>
      <c r="E863" s="319">
        <v>10607432</v>
      </c>
      <c r="F863" s="319">
        <v>5365</v>
      </c>
      <c r="G863" s="314">
        <v>1.2E-4</v>
      </c>
      <c r="H863" s="320">
        <v>1.8</v>
      </c>
      <c r="I863" s="318" t="s">
        <v>1102</v>
      </c>
      <c r="J863" s="318">
        <v>197</v>
      </c>
      <c r="K863" s="318">
        <v>0.28999999999999998</v>
      </c>
      <c r="L863" s="318">
        <v>100.35</v>
      </c>
      <c r="M863" s="318" t="s">
        <v>6</v>
      </c>
      <c r="N863" s="318" t="s">
        <v>458</v>
      </c>
      <c r="O863" s="318" t="s">
        <v>378</v>
      </c>
      <c r="P863" s="318" t="s">
        <v>379</v>
      </c>
      <c r="Q863" s="318" t="s">
        <v>65</v>
      </c>
      <c r="R863" s="318" t="s">
        <v>986</v>
      </c>
      <c r="S863" s="303">
        <f t="shared" si="14"/>
        <v>3076155.28</v>
      </c>
      <c r="T863" s="307">
        <f>+IFERROR(VLOOKUP(C863,'Tasas Diarias'!$B:$F,5,FALSE)*G863,0)</f>
        <v>5.3954699213234141E-8</v>
      </c>
      <c r="U863" s="311" t="e">
        <f>+VLOOKUP(C863,Spreads!$A$2:$G$345,7,0)</f>
        <v>#N/A</v>
      </c>
    </row>
    <row r="864" spans="1:21" ht="15" hidden="1" customHeight="1" thickTop="1" thickBot="1">
      <c r="A864" s="321" t="s">
        <v>2137</v>
      </c>
      <c r="B864" s="322" t="s">
        <v>298</v>
      </c>
      <c r="C864" s="322" t="s">
        <v>22</v>
      </c>
      <c r="D864" s="322" t="s">
        <v>55</v>
      </c>
      <c r="E864" s="323">
        <v>5860969.0399000002</v>
      </c>
      <c r="F864" s="323">
        <v>5912076.6963629127</v>
      </c>
      <c r="G864" s="314">
        <v>6.7000000000000002E-5</v>
      </c>
      <c r="H864" s="324">
        <v>2.88</v>
      </c>
      <c r="I864" s="322" t="s">
        <v>1308</v>
      </c>
      <c r="J864" s="322">
        <v>108</v>
      </c>
      <c r="K864" s="322">
        <v>0.3</v>
      </c>
      <c r="L864" s="322">
        <v>99.135537999999997</v>
      </c>
      <c r="M864" s="322" t="s">
        <v>9</v>
      </c>
      <c r="N864" s="322" t="s">
        <v>374</v>
      </c>
      <c r="O864" s="322" t="s">
        <v>8</v>
      </c>
      <c r="P864" s="322" t="s">
        <v>375</v>
      </c>
      <c r="Q864" s="322" t="s">
        <v>55</v>
      </c>
      <c r="R864" s="322" t="s">
        <v>386</v>
      </c>
      <c r="S864" s="303">
        <f t="shared" si="14"/>
        <v>1758290.7119700001</v>
      </c>
      <c r="T864" s="307">
        <f>+IFERROR(VLOOKUP(C864,'Tasas Diarias'!$B:$F,5,FALSE)*G864,0)</f>
        <v>0</v>
      </c>
      <c r="U864" s="311" t="str">
        <f>+VLOOKUP(C864,Spreads!$A$2:$G$345,7,0)</f>
        <v/>
      </c>
    </row>
    <row r="865" spans="1:21" ht="15" hidden="1" customHeight="1" thickTop="1" thickBot="1">
      <c r="A865" s="317" t="s">
        <v>2137</v>
      </c>
      <c r="B865" s="318" t="s">
        <v>298</v>
      </c>
      <c r="C865" s="318" t="s">
        <v>22</v>
      </c>
      <c r="D865" s="318" t="s">
        <v>55</v>
      </c>
      <c r="E865" s="319">
        <v>12295840.9409</v>
      </c>
      <c r="F865" s="326">
        <v>12404044.21569613</v>
      </c>
      <c r="G865" s="314">
        <v>1.3899999999999999E-4</v>
      </c>
      <c r="H865" s="320">
        <v>2.88</v>
      </c>
      <c r="I865" s="318" t="s">
        <v>1312</v>
      </c>
      <c r="J865" s="318">
        <v>109</v>
      </c>
      <c r="K865" s="318">
        <v>0.3</v>
      </c>
      <c r="L865" s="318">
        <v>99.127678000000003</v>
      </c>
      <c r="M865" s="318" t="s">
        <v>9</v>
      </c>
      <c r="N865" s="318" t="s">
        <v>374</v>
      </c>
      <c r="O865" s="318" t="s">
        <v>8</v>
      </c>
      <c r="P865" s="318" t="s">
        <v>375</v>
      </c>
      <c r="Q865" s="318" t="s">
        <v>55</v>
      </c>
      <c r="R865" s="318" t="s">
        <v>386</v>
      </c>
      <c r="S865" s="303">
        <f t="shared" si="14"/>
        <v>3688752.2822699999</v>
      </c>
      <c r="T865" s="307">
        <f>+IFERROR(VLOOKUP(C865,'Tasas Diarias'!$B:$F,5,FALSE)*G865,0)</f>
        <v>0</v>
      </c>
      <c r="U865" s="311" t="str">
        <f>+VLOOKUP(C865,Spreads!$A$2:$G$345,7,0)</f>
        <v/>
      </c>
    </row>
    <row r="866" spans="1:21" ht="15" hidden="1" customHeight="1" thickTop="1" thickBot="1">
      <c r="A866" s="317" t="s">
        <v>2137</v>
      </c>
      <c r="B866" s="318" t="s">
        <v>298</v>
      </c>
      <c r="C866" s="318" t="s">
        <v>22</v>
      </c>
      <c r="D866" s="318" t="s">
        <v>54</v>
      </c>
      <c r="E866" s="319">
        <v>14645606.078400001</v>
      </c>
      <c r="F866" s="319">
        <v>14780345.779752634</v>
      </c>
      <c r="G866" s="314">
        <v>1.6699999999999999E-4</v>
      </c>
      <c r="H866" s="320">
        <v>2.88</v>
      </c>
      <c r="I866" s="318" t="s">
        <v>1438</v>
      </c>
      <c r="J866" s="318">
        <v>114</v>
      </c>
      <c r="K866" s="318">
        <v>0.32</v>
      </c>
      <c r="L866" s="318">
        <v>99.088386</v>
      </c>
      <c r="M866" s="318" t="s">
        <v>9</v>
      </c>
      <c r="N866" s="318" t="s">
        <v>374</v>
      </c>
      <c r="O866" s="318" t="s">
        <v>8</v>
      </c>
      <c r="P866" s="318" t="s">
        <v>375</v>
      </c>
      <c r="Q866" s="318" t="s">
        <v>390</v>
      </c>
      <c r="R866" s="318" t="s">
        <v>391</v>
      </c>
      <c r="S866" s="303">
        <f t="shared" si="14"/>
        <v>4686593.945088</v>
      </c>
      <c r="T866" s="307">
        <f>+IFERROR(VLOOKUP(C866,'Tasas Diarias'!$B:$F,5,FALSE)*G866,0)</f>
        <v>0</v>
      </c>
      <c r="U866" s="311" t="str">
        <f>+VLOOKUP(C866,Spreads!$A$2:$G$345,7,0)</f>
        <v/>
      </c>
    </row>
    <row r="867" spans="1:21" ht="15" hidden="1" customHeight="1" thickTop="1" thickBot="1">
      <c r="A867" s="317" t="s">
        <v>2137</v>
      </c>
      <c r="B867" s="318" t="s">
        <v>298</v>
      </c>
      <c r="C867" s="318" t="s">
        <v>22</v>
      </c>
      <c r="D867" s="318" t="s">
        <v>72</v>
      </c>
      <c r="E867" s="319">
        <v>35113528.695100002</v>
      </c>
      <c r="F867" s="319">
        <v>35450033.288812511</v>
      </c>
      <c r="G867" s="314">
        <v>3.9899999999999999E-4</v>
      </c>
      <c r="H867" s="320">
        <v>3</v>
      </c>
      <c r="I867" s="318" t="s">
        <v>1438</v>
      </c>
      <c r="J867" s="318">
        <v>114</v>
      </c>
      <c r="K867" s="318">
        <v>0.32</v>
      </c>
      <c r="L867" s="318">
        <v>99.050763500000002</v>
      </c>
      <c r="M867" s="318" t="s">
        <v>9</v>
      </c>
      <c r="N867" s="318" t="s">
        <v>374</v>
      </c>
      <c r="O867" s="318" t="s">
        <v>8</v>
      </c>
      <c r="P867" s="318" t="s">
        <v>296</v>
      </c>
      <c r="Q867" s="318" t="s">
        <v>325</v>
      </c>
      <c r="R867" s="318" t="s">
        <v>393</v>
      </c>
      <c r="S867" s="303">
        <f t="shared" si="14"/>
        <v>11236329.182432001</v>
      </c>
      <c r="T867" s="307">
        <f>+IFERROR(VLOOKUP(C867,'Tasas Diarias'!$B:$F,5,FALSE)*G867,0)</f>
        <v>0</v>
      </c>
      <c r="U867" s="311" t="str">
        <f>+VLOOKUP(C867,Spreads!$A$2:$G$345,7,0)</f>
        <v/>
      </c>
    </row>
    <row r="868" spans="1:21" ht="15" hidden="1" customHeight="1" thickTop="1" thickBot="1">
      <c r="A868" s="321" t="s">
        <v>2137</v>
      </c>
      <c r="B868" s="322" t="s">
        <v>298</v>
      </c>
      <c r="C868" s="322" t="s">
        <v>22</v>
      </c>
      <c r="D868" s="322" t="s">
        <v>305</v>
      </c>
      <c r="E868" s="323">
        <v>5711625.2527999999</v>
      </c>
      <c r="F868" s="323">
        <v>5764172.2540399441</v>
      </c>
      <c r="G868" s="314">
        <v>6.4999999999999994E-5</v>
      </c>
      <c r="H868" s="322">
        <v>2.88</v>
      </c>
      <c r="I868" s="322" t="s">
        <v>1438</v>
      </c>
      <c r="J868" s="322">
        <v>114</v>
      </c>
      <c r="K868" s="322">
        <v>0.32</v>
      </c>
      <c r="L868" s="322">
        <v>99.088386</v>
      </c>
      <c r="M868" s="322" t="s">
        <v>9</v>
      </c>
      <c r="N868" s="322" t="s">
        <v>374</v>
      </c>
      <c r="O868" s="322" t="s">
        <v>8</v>
      </c>
      <c r="P868" s="322" t="s">
        <v>375</v>
      </c>
      <c r="Q868" s="322" t="s">
        <v>326</v>
      </c>
      <c r="R868" s="322" t="s">
        <v>387</v>
      </c>
      <c r="S868" s="303">
        <f t="shared" si="14"/>
        <v>1827720.0808959999</v>
      </c>
      <c r="T868" s="307">
        <f>+IFERROR(VLOOKUP(C868,'Tasas Diarias'!$B:$F,5,FALSE)*G868,0)</f>
        <v>0</v>
      </c>
      <c r="U868" s="311" t="str">
        <f>+VLOOKUP(C868,Spreads!$A$2:$G$345,7,0)</f>
        <v/>
      </c>
    </row>
    <row r="869" spans="1:21" ht="15" hidden="1" customHeight="1" thickTop="1" thickBot="1">
      <c r="A869" s="317" t="s">
        <v>2137</v>
      </c>
      <c r="B869" s="318" t="s">
        <v>298</v>
      </c>
      <c r="C869" s="318" t="s">
        <v>22</v>
      </c>
      <c r="D869" s="318" t="s">
        <v>164</v>
      </c>
      <c r="E869" s="319">
        <v>23658587.908399999</v>
      </c>
      <c r="F869" s="319">
        <v>23880032.223220363</v>
      </c>
      <c r="G869" s="314">
        <v>2.6899999999999998E-4</v>
      </c>
      <c r="H869" s="320">
        <v>2.88</v>
      </c>
      <c r="I869" s="318" t="s">
        <v>1447</v>
      </c>
      <c r="J869" s="318">
        <v>116</v>
      </c>
      <c r="K869" s="318">
        <v>0.32</v>
      </c>
      <c r="L869" s="318">
        <v>99.072680000000005</v>
      </c>
      <c r="M869" s="318" t="s">
        <v>9</v>
      </c>
      <c r="N869" s="318" t="s">
        <v>374</v>
      </c>
      <c r="O869" s="318" t="s">
        <v>8</v>
      </c>
      <c r="P869" s="318" t="s">
        <v>375</v>
      </c>
      <c r="Q869" s="318" t="s">
        <v>61</v>
      </c>
      <c r="R869" s="318" t="s">
        <v>384</v>
      </c>
      <c r="S869" s="303">
        <f t="shared" si="14"/>
        <v>7570748.1306879995</v>
      </c>
      <c r="T869" s="307">
        <f>+IFERROR(VLOOKUP(C869,'Tasas Diarias'!$B:$F,5,FALSE)*G869,0)</f>
        <v>0</v>
      </c>
      <c r="U869" s="311" t="str">
        <f>+VLOOKUP(C869,Spreads!$A$2:$G$345,7,0)</f>
        <v/>
      </c>
    </row>
    <row r="870" spans="1:21" ht="15" hidden="1" customHeight="1" thickTop="1" thickBot="1">
      <c r="A870" s="321" t="s">
        <v>2137</v>
      </c>
      <c r="B870" s="322" t="s">
        <v>298</v>
      </c>
      <c r="C870" s="322" t="s">
        <v>22</v>
      </c>
      <c r="D870" s="322" t="s">
        <v>70</v>
      </c>
      <c r="E870" s="323">
        <v>47317175.816799998</v>
      </c>
      <c r="F870" s="323">
        <v>47760064.928511724</v>
      </c>
      <c r="G870" s="314">
        <v>5.3899999999999998E-4</v>
      </c>
      <c r="H870" s="324">
        <v>2.88</v>
      </c>
      <c r="I870" s="322" t="s">
        <v>1447</v>
      </c>
      <c r="J870" s="322">
        <v>116</v>
      </c>
      <c r="K870" s="322">
        <v>0.32</v>
      </c>
      <c r="L870" s="322">
        <v>99.072678999999994</v>
      </c>
      <c r="M870" s="322" t="s">
        <v>9</v>
      </c>
      <c r="N870" s="322" t="s">
        <v>374</v>
      </c>
      <c r="O870" s="322" t="s">
        <v>8</v>
      </c>
      <c r="P870" s="322" t="s">
        <v>375</v>
      </c>
      <c r="Q870" s="322" t="s">
        <v>70</v>
      </c>
      <c r="R870" s="322" t="s">
        <v>383</v>
      </c>
      <c r="S870" s="303">
        <f t="shared" si="14"/>
        <v>15141496.261375999</v>
      </c>
      <c r="T870" s="307">
        <f>+IFERROR(VLOOKUP(C870,'Tasas Diarias'!$B:$F,5,FALSE)*G870,0)</f>
        <v>0</v>
      </c>
      <c r="U870" s="311" t="str">
        <f>+VLOOKUP(C870,Spreads!$A$2:$G$345,7,0)</f>
        <v/>
      </c>
    </row>
    <row r="871" spans="1:21" ht="15.75" hidden="1" customHeight="1" thickTop="1" thickBot="1">
      <c r="A871" s="321" t="s">
        <v>2137</v>
      </c>
      <c r="B871" s="322" t="s">
        <v>298</v>
      </c>
      <c r="C871" s="322" t="s">
        <v>22</v>
      </c>
      <c r="D871" s="322" t="s">
        <v>23</v>
      </c>
      <c r="E871" s="323">
        <v>5855391.8859999999</v>
      </c>
      <c r="F871" s="323">
        <v>5911603.6700858185</v>
      </c>
      <c r="G871" s="314">
        <v>6.7000000000000002E-5</v>
      </c>
      <c r="H871" s="324">
        <v>2.88</v>
      </c>
      <c r="I871" s="322" t="s">
        <v>1432</v>
      </c>
      <c r="J871" s="322">
        <v>119</v>
      </c>
      <c r="K871" s="322">
        <v>0.33</v>
      </c>
      <c r="L871" s="322">
        <v>99.049127999999996</v>
      </c>
      <c r="M871" s="322" t="s">
        <v>9</v>
      </c>
      <c r="N871" s="322" t="s">
        <v>374</v>
      </c>
      <c r="O871" s="322" t="s">
        <v>8</v>
      </c>
      <c r="P871" s="322" t="s">
        <v>375</v>
      </c>
      <c r="Q871" s="322" t="s">
        <v>67</v>
      </c>
      <c r="R871" s="322" t="s">
        <v>376</v>
      </c>
      <c r="S871" s="303">
        <f t="shared" si="14"/>
        <v>1932279.32238</v>
      </c>
      <c r="T871" s="307">
        <f>+IFERROR(VLOOKUP(C871,'Tasas Diarias'!$B:$F,5,FALSE)*G871,0)</f>
        <v>0</v>
      </c>
      <c r="U871" s="311" t="str">
        <f>+VLOOKUP(C871,Spreads!$A$2:$G$345,7,0)</f>
        <v/>
      </c>
    </row>
    <row r="872" spans="1:21" ht="15.75" hidden="1" customHeight="1" thickTop="1" thickBot="1">
      <c r="A872" s="321" t="s">
        <v>2137</v>
      </c>
      <c r="B872" s="322" t="s">
        <v>298</v>
      </c>
      <c r="C872" s="322" t="s">
        <v>22</v>
      </c>
      <c r="D872" s="322" t="s">
        <v>174</v>
      </c>
      <c r="E872" s="323">
        <v>53118875.7601</v>
      </c>
      <c r="F872" s="323">
        <v>53671311.94949764</v>
      </c>
      <c r="G872" s="314">
        <v>6.0499999999999996E-4</v>
      </c>
      <c r="H872" s="322">
        <v>3.12</v>
      </c>
      <c r="I872" s="322" t="s">
        <v>1432</v>
      </c>
      <c r="J872" s="322">
        <v>119</v>
      </c>
      <c r="K872" s="322">
        <v>0.33</v>
      </c>
      <c r="L872" s="322">
        <v>98.970704499999997</v>
      </c>
      <c r="M872" s="322" t="s">
        <v>9</v>
      </c>
      <c r="N872" s="322" t="s">
        <v>374</v>
      </c>
      <c r="O872" s="322" t="s">
        <v>8</v>
      </c>
      <c r="P872" s="322" t="s">
        <v>375</v>
      </c>
      <c r="Q872" s="322" t="s">
        <v>60</v>
      </c>
      <c r="R872" s="322" t="s">
        <v>408</v>
      </c>
      <c r="S872" s="303">
        <f t="shared" si="14"/>
        <v>17529229.000833001</v>
      </c>
      <c r="T872" s="307">
        <f>+IFERROR(VLOOKUP(C872,'Tasas Diarias'!$B:$F,5,FALSE)*G872,0)</f>
        <v>0</v>
      </c>
      <c r="U872" s="311" t="str">
        <f>+VLOOKUP(C872,Spreads!$A$2:$G$345,7,0)</f>
        <v/>
      </c>
    </row>
    <row r="873" spans="1:21" ht="15.75" hidden="1" customHeight="1" thickTop="1" thickBot="1">
      <c r="A873" s="317" t="s">
        <v>2137</v>
      </c>
      <c r="B873" s="318" t="s">
        <v>298</v>
      </c>
      <c r="C873" s="318" t="s">
        <v>22</v>
      </c>
      <c r="D873" s="318" t="s">
        <v>305</v>
      </c>
      <c r="E873" s="319">
        <v>14295484.751700001</v>
      </c>
      <c r="F873" s="319">
        <v>14432721.458906738</v>
      </c>
      <c r="G873" s="314">
        <v>1.63E-4</v>
      </c>
      <c r="H873" s="318">
        <v>2.88</v>
      </c>
      <c r="I873" s="318" t="s">
        <v>1432</v>
      </c>
      <c r="J873" s="318">
        <v>119</v>
      </c>
      <c r="K873" s="318">
        <v>0.33</v>
      </c>
      <c r="L873" s="318">
        <v>99.049127999999996</v>
      </c>
      <c r="M873" s="318" t="s">
        <v>9</v>
      </c>
      <c r="N873" s="318" t="s">
        <v>374</v>
      </c>
      <c r="O873" s="318" t="s">
        <v>8</v>
      </c>
      <c r="P873" s="318" t="s">
        <v>375</v>
      </c>
      <c r="Q873" s="318" t="s">
        <v>326</v>
      </c>
      <c r="R873" s="318" t="s">
        <v>387</v>
      </c>
      <c r="S873" s="303">
        <f t="shared" si="14"/>
        <v>4717509.9680610001</v>
      </c>
      <c r="T873" s="307">
        <f>+IFERROR(VLOOKUP(C873,'Tasas Diarias'!$B:$F,5,FALSE)*G873,0)</f>
        <v>0</v>
      </c>
      <c r="U873" s="311" t="str">
        <f>+VLOOKUP(C873,Spreads!$A$2:$G$345,7,0)</f>
        <v/>
      </c>
    </row>
    <row r="874" spans="1:21" ht="15.75" hidden="1" customHeight="1" thickTop="1" thickBot="1">
      <c r="A874" s="317" t="s">
        <v>2137</v>
      </c>
      <c r="B874" s="318" t="s">
        <v>298</v>
      </c>
      <c r="C874" s="318" t="s">
        <v>22</v>
      </c>
      <c r="D874" s="318" t="s">
        <v>179</v>
      </c>
      <c r="E874" s="319">
        <v>59128522.805</v>
      </c>
      <c r="F874" s="319">
        <v>59700887.150323585</v>
      </c>
      <c r="G874" s="314">
        <v>6.7299999999999999E-4</v>
      </c>
      <c r="H874" s="320">
        <v>2.88</v>
      </c>
      <c r="I874" s="318" t="s">
        <v>1435</v>
      </c>
      <c r="J874" s="318">
        <v>120</v>
      </c>
      <c r="K874" s="318">
        <v>0.33</v>
      </c>
      <c r="L874" s="318">
        <v>99.04128</v>
      </c>
      <c r="M874" s="318" t="s">
        <v>9</v>
      </c>
      <c r="N874" s="318" t="s">
        <v>374</v>
      </c>
      <c r="O874" s="318" t="s">
        <v>8</v>
      </c>
      <c r="P874" s="318" t="s">
        <v>7</v>
      </c>
      <c r="Q874" s="318" t="s">
        <v>28</v>
      </c>
      <c r="R874" s="318" t="s">
        <v>388</v>
      </c>
      <c r="S874" s="303">
        <f t="shared" si="14"/>
        <v>19512412.525650002</v>
      </c>
      <c r="T874" s="307">
        <f>+IFERROR(VLOOKUP(C874,'Tasas Diarias'!$B:$F,5,FALSE)*G874,0)</f>
        <v>0</v>
      </c>
      <c r="U874" s="311" t="str">
        <f>+VLOOKUP(C874,Spreads!$A$2:$G$345,7,0)</f>
        <v/>
      </c>
    </row>
    <row r="875" spans="1:21" ht="15.75" hidden="1" customHeight="1" thickTop="1" thickBot="1">
      <c r="A875" s="317" t="s">
        <v>2137</v>
      </c>
      <c r="B875" s="318" t="s">
        <v>298</v>
      </c>
      <c r="C875" s="318" t="s">
        <v>22</v>
      </c>
      <c r="D875" s="318" t="s">
        <v>1838</v>
      </c>
      <c r="E875" s="319">
        <v>4682950.2045</v>
      </c>
      <c r="F875" s="319">
        <v>4729405.1173717426</v>
      </c>
      <c r="G875" s="314">
        <v>5.3000000000000001E-5</v>
      </c>
      <c r="H875" s="320">
        <v>2.88</v>
      </c>
      <c r="I875" s="318" t="s">
        <v>1605</v>
      </c>
      <c r="J875" s="318">
        <v>123</v>
      </c>
      <c r="K875" s="318">
        <v>0.34</v>
      </c>
      <c r="L875" s="318">
        <v>99.017742999999996</v>
      </c>
      <c r="M875" s="318" t="s">
        <v>9</v>
      </c>
      <c r="N875" s="318" t="s">
        <v>374</v>
      </c>
      <c r="O875" s="318" t="s">
        <v>8</v>
      </c>
      <c r="P875" s="318" t="s">
        <v>375</v>
      </c>
      <c r="Q875" s="318" t="s">
        <v>326</v>
      </c>
      <c r="R875" s="318" t="s">
        <v>1839</v>
      </c>
      <c r="S875" s="303">
        <f t="shared" si="14"/>
        <v>1592203.0695300002</v>
      </c>
      <c r="T875" s="307">
        <f>+IFERROR(VLOOKUP(C875,'Tasas Diarias'!$B:$F,5,FALSE)*G875,0)</f>
        <v>0</v>
      </c>
      <c r="U875" s="311" t="str">
        <f>+VLOOKUP(C875,Spreads!$A$2:$G$345,7,0)</f>
        <v/>
      </c>
    </row>
    <row r="876" spans="1:21" ht="15.75" hidden="1" customHeight="1" thickTop="1" thickBot="1">
      <c r="A876" s="321" t="s">
        <v>2137</v>
      </c>
      <c r="B876" s="322" t="s">
        <v>298</v>
      </c>
      <c r="C876" s="322" t="s">
        <v>22</v>
      </c>
      <c r="D876" s="322" t="s">
        <v>72</v>
      </c>
      <c r="E876" s="323">
        <v>47252118.065099999</v>
      </c>
      <c r="F876" s="323">
        <v>47760078.499215752</v>
      </c>
      <c r="G876" s="314">
        <v>5.3799999999999996E-4</v>
      </c>
      <c r="H876" s="324">
        <v>3</v>
      </c>
      <c r="I876" s="322" t="s">
        <v>1474</v>
      </c>
      <c r="J876" s="322">
        <v>128</v>
      </c>
      <c r="K876" s="322">
        <v>0.35</v>
      </c>
      <c r="L876" s="322">
        <v>98.936432999999994</v>
      </c>
      <c r="M876" s="322" t="s">
        <v>9</v>
      </c>
      <c r="N876" s="322" t="s">
        <v>374</v>
      </c>
      <c r="O876" s="322" t="s">
        <v>8</v>
      </c>
      <c r="P876" s="322" t="s">
        <v>296</v>
      </c>
      <c r="Q876" s="322" t="s">
        <v>325</v>
      </c>
      <c r="R876" s="322" t="s">
        <v>393</v>
      </c>
      <c r="S876" s="303">
        <f t="shared" si="14"/>
        <v>16538241.322784999</v>
      </c>
      <c r="T876" s="307">
        <f>+IFERROR(VLOOKUP(C876,'Tasas Diarias'!$B:$F,5,FALSE)*G876,0)</f>
        <v>0</v>
      </c>
      <c r="U876" s="311" t="str">
        <f>+VLOOKUP(C876,Spreads!$A$2:$G$345,7,0)</f>
        <v/>
      </c>
    </row>
    <row r="877" spans="1:21" ht="15.75" hidden="1" customHeight="1" thickTop="1" thickBot="1">
      <c r="A877" s="317" t="s">
        <v>2137</v>
      </c>
      <c r="B877" s="318" t="s">
        <v>298</v>
      </c>
      <c r="C877" s="318" t="s">
        <v>22</v>
      </c>
      <c r="D877" s="318" t="s">
        <v>23</v>
      </c>
      <c r="E877" s="319">
        <v>4383624.6462000003</v>
      </c>
      <c r="F877" s="319">
        <v>4429214.2383281142</v>
      </c>
      <c r="G877" s="314">
        <v>5.0000000000000002E-5</v>
      </c>
      <c r="H877" s="320">
        <v>2.88</v>
      </c>
      <c r="I877" s="318" t="s">
        <v>1852</v>
      </c>
      <c r="J877" s="318">
        <v>129</v>
      </c>
      <c r="K877" s="318">
        <v>0.36</v>
      </c>
      <c r="L877" s="318">
        <v>98.970707000000004</v>
      </c>
      <c r="M877" s="318" t="s">
        <v>9</v>
      </c>
      <c r="N877" s="318" t="s">
        <v>374</v>
      </c>
      <c r="O877" s="318" t="s">
        <v>8</v>
      </c>
      <c r="P877" s="318" t="s">
        <v>375</v>
      </c>
      <c r="Q877" s="318" t="s">
        <v>67</v>
      </c>
      <c r="R877" s="318" t="s">
        <v>376</v>
      </c>
      <c r="S877" s="303">
        <f t="shared" si="14"/>
        <v>1578104.8726320001</v>
      </c>
      <c r="T877" s="307">
        <f>+IFERROR(VLOOKUP(C877,'Tasas Diarias'!$B:$F,5,FALSE)*G877,0)</f>
        <v>0</v>
      </c>
      <c r="U877" s="311" t="str">
        <f>+VLOOKUP(C877,Spreads!$A$2:$G$345,7,0)</f>
        <v/>
      </c>
    </row>
    <row r="878" spans="1:21" ht="15.75" hidden="1" customHeight="1" thickTop="1" thickBot="1">
      <c r="A878" s="317" t="s">
        <v>2137</v>
      </c>
      <c r="B878" s="318" t="s">
        <v>298</v>
      </c>
      <c r="C878" s="318" t="s">
        <v>813</v>
      </c>
      <c r="D878" s="318" t="s">
        <v>39</v>
      </c>
      <c r="E878" s="319">
        <v>1344932.9524000001</v>
      </c>
      <c r="F878" s="319">
        <v>10658634.64119583</v>
      </c>
      <c r="G878" s="314">
        <v>1.5E-5</v>
      </c>
      <c r="H878" s="320">
        <v>5.55</v>
      </c>
      <c r="I878" s="318" t="s">
        <v>434</v>
      </c>
      <c r="J878" s="318">
        <v>132</v>
      </c>
      <c r="K878" s="318">
        <v>0.36</v>
      </c>
      <c r="L878" s="318">
        <v>100.16</v>
      </c>
      <c r="M878" s="318" t="s">
        <v>9</v>
      </c>
      <c r="N878" s="318" t="s">
        <v>368</v>
      </c>
      <c r="O878" s="318" t="s">
        <v>8</v>
      </c>
      <c r="P878" s="318" t="s">
        <v>801</v>
      </c>
      <c r="Q878" s="318" t="s">
        <v>69</v>
      </c>
      <c r="R878" s="318" t="s">
        <v>815</v>
      </c>
      <c r="S878" s="303">
        <f t="shared" si="14"/>
        <v>484175.86286400002</v>
      </c>
      <c r="T878" s="307">
        <f>+IFERROR(VLOOKUP(C878,'Tasas Diarias'!$B:$F,5,FALSE)*G878,0)</f>
        <v>-6.2876712328765652E-10</v>
      </c>
      <c r="U878" s="311" t="str">
        <f ca="1">+VLOOKUP(C878,Spreads!$A$2:$G$345,7,0)</f>
        <v/>
      </c>
    </row>
    <row r="879" spans="1:21" ht="15.75" hidden="1" customHeight="1" thickTop="1" thickBot="1">
      <c r="A879" s="321" t="s">
        <v>2137</v>
      </c>
      <c r="B879" s="322" t="s">
        <v>298</v>
      </c>
      <c r="C879" s="322" t="s">
        <v>1206</v>
      </c>
      <c r="D879" s="322" t="s">
        <v>287</v>
      </c>
      <c r="E879" s="323">
        <v>236555999</v>
      </c>
      <c r="F879" s="323">
        <v>8904.9599999999991</v>
      </c>
      <c r="G879" s="314">
        <v>2.6919999999999999E-3</v>
      </c>
      <c r="H879" s="324">
        <v>1.1200000000000001</v>
      </c>
      <c r="I879" s="322" t="s">
        <v>434</v>
      </c>
      <c r="J879" s="322">
        <v>132</v>
      </c>
      <c r="K879" s="322">
        <v>0.36</v>
      </c>
      <c r="L879" s="322">
        <v>1.54</v>
      </c>
      <c r="M879" s="322" t="s">
        <v>6</v>
      </c>
      <c r="N879" s="322" t="s">
        <v>458</v>
      </c>
      <c r="O879" s="322" t="s">
        <v>378</v>
      </c>
      <c r="P879" s="322" t="s">
        <v>379</v>
      </c>
      <c r="Q879" s="322" t="s">
        <v>59</v>
      </c>
      <c r="R879" s="322" t="s">
        <v>1207</v>
      </c>
      <c r="S879" s="303">
        <f t="shared" si="14"/>
        <v>85160159.640000001</v>
      </c>
      <c r="T879" s="307">
        <f>+IFERROR(VLOOKUP(C879,'Tasas Diarias'!$B:$F,5,FALSE)*G879,0)</f>
        <v>1.2412701369862953E-6</v>
      </c>
      <c r="U879" s="311" t="e">
        <f>+VLOOKUP(C879,Spreads!$A$2:$G$345,7,0)</f>
        <v>#N/A</v>
      </c>
    </row>
    <row r="880" spans="1:21" ht="15.75" hidden="1" customHeight="1" thickTop="1" thickBot="1">
      <c r="A880" s="317" t="s">
        <v>2137</v>
      </c>
      <c r="B880" s="318" t="s">
        <v>298</v>
      </c>
      <c r="C880" s="318" t="s">
        <v>541</v>
      </c>
      <c r="D880" s="318" t="s">
        <v>182</v>
      </c>
      <c r="E880" s="319">
        <v>41956379.525300004</v>
      </c>
      <c r="F880" s="319"/>
      <c r="G880" s="314">
        <v>4.7800000000000002E-4</v>
      </c>
      <c r="H880" s="320">
        <v>1.24</v>
      </c>
      <c r="I880" s="318" t="s">
        <v>434</v>
      </c>
      <c r="J880" s="318">
        <v>132</v>
      </c>
      <c r="K880" s="318">
        <v>0.36</v>
      </c>
      <c r="L880" s="318">
        <v>100.63</v>
      </c>
      <c r="M880" s="318" t="s">
        <v>6</v>
      </c>
      <c r="N880" s="318" t="s">
        <v>368</v>
      </c>
      <c r="O880" s="318" t="s">
        <v>8</v>
      </c>
      <c r="P880" s="318" t="s">
        <v>7</v>
      </c>
      <c r="Q880" s="318" t="s">
        <v>390</v>
      </c>
      <c r="R880" s="318" t="s">
        <v>402</v>
      </c>
      <c r="S880" s="303">
        <f t="shared" si="14"/>
        <v>15104296.629108001</v>
      </c>
      <c r="T880" s="307">
        <f>+IFERROR(VLOOKUP(C880,'Tasas Diarias'!$B:$F,5,FALSE)*G880,0)</f>
        <v>-1.8033041095890345E-7</v>
      </c>
      <c r="U880" s="311" t="str">
        <f ca="1">+VLOOKUP(C880,Spreads!$A$2:$G$345,7,0)</f>
        <v/>
      </c>
    </row>
    <row r="881" spans="1:21" ht="15.75" hidden="1" customHeight="1" thickTop="1" thickBot="1">
      <c r="A881" s="317" t="s">
        <v>2137</v>
      </c>
      <c r="B881" s="318" t="s">
        <v>298</v>
      </c>
      <c r="C881" s="318" t="s">
        <v>437</v>
      </c>
      <c r="D881" s="318" t="s">
        <v>32</v>
      </c>
      <c r="E881" s="319">
        <v>59853346.9498</v>
      </c>
      <c r="F881" s="319"/>
      <c r="G881" s="314">
        <v>6.8099999999999996E-4</v>
      </c>
      <c r="H881" s="318">
        <v>1</v>
      </c>
      <c r="I881" s="318" t="s">
        <v>434</v>
      </c>
      <c r="J881" s="318">
        <v>132</v>
      </c>
      <c r="K881" s="318">
        <v>0.36</v>
      </c>
      <c r="L881" s="318">
        <v>100.9</v>
      </c>
      <c r="M881" s="318" t="s">
        <v>6</v>
      </c>
      <c r="N881" s="318" t="s">
        <v>368</v>
      </c>
      <c r="O881" s="318" t="s">
        <v>8</v>
      </c>
      <c r="P881" s="318" t="s">
        <v>379</v>
      </c>
      <c r="Q881" s="318" t="s">
        <v>67</v>
      </c>
      <c r="R881" s="318" t="s">
        <v>389</v>
      </c>
      <c r="S881" s="303">
        <f t="shared" si="14"/>
        <v>21547204.901928</v>
      </c>
      <c r="T881" s="307">
        <f>+IFERROR(VLOOKUP(C881,'Tasas Diarias'!$B:$F,5,FALSE)*G881,0)</f>
        <v>2.2836821917808192E-7</v>
      </c>
      <c r="U881" s="311" t="str">
        <f ca="1">+VLOOKUP(C881,Spreads!$A$2:$G$345,7,0)</f>
        <v/>
      </c>
    </row>
    <row r="882" spans="1:21" ht="15.75" hidden="1" customHeight="1" thickTop="1" thickBot="1">
      <c r="A882" s="321" t="s">
        <v>2137</v>
      </c>
      <c r="B882" s="322" t="s">
        <v>298</v>
      </c>
      <c r="C882" s="322" t="s">
        <v>22</v>
      </c>
      <c r="D882" s="322" t="s">
        <v>72</v>
      </c>
      <c r="E882" s="323">
        <v>11693432.626700001</v>
      </c>
      <c r="F882" s="323">
        <v>11824009.299780734</v>
      </c>
      <c r="G882" s="314">
        <v>1.3300000000000001E-4</v>
      </c>
      <c r="H882" s="324">
        <v>3</v>
      </c>
      <c r="I882" s="322" t="s">
        <v>1542</v>
      </c>
      <c r="J882" s="322">
        <v>133</v>
      </c>
      <c r="K882" s="322">
        <v>0.37</v>
      </c>
      <c r="L882" s="322">
        <v>98.895664999999994</v>
      </c>
      <c r="M882" s="322" t="s">
        <v>9</v>
      </c>
      <c r="N882" s="322" t="s">
        <v>374</v>
      </c>
      <c r="O882" s="322" t="s">
        <v>8</v>
      </c>
      <c r="P882" s="322" t="s">
        <v>296</v>
      </c>
      <c r="Q882" s="322" t="s">
        <v>325</v>
      </c>
      <c r="R882" s="322" t="s">
        <v>393</v>
      </c>
      <c r="S882" s="303">
        <f t="shared" si="14"/>
        <v>4326570.0718790004</v>
      </c>
      <c r="T882" s="307">
        <f>+IFERROR(VLOOKUP(C882,'Tasas Diarias'!$B:$F,5,FALSE)*G882,0)</f>
        <v>0</v>
      </c>
      <c r="U882" s="311" t="str">
        <f>+VLOOKUP(C882,Spreads!$A$2:$G$345,7,0)</f>
        <v/>
      </c>
    </row>
    <row r="883" spans="1:21" ht="15.75" hidden="1" customHeight="1" thickTop="1" thickBot="1">
      <c r="A883" s="321" t="s">
        <v>2137</v>
      </c>
      <c r="B883" s="322" t="s">
        <v>298</v>
      </c>
      <c r="C883" s="322" t="s">
        <v>22</v>
      </c>
      <c r="D883" s="322" t="s">
        <v>169</v>
      </c>
      <c r="E883" s="323">
        <v>14620818.7278</v>
      </c>
      <c r="F883" s="323">
        <v>14779893.240777161</v>
      </c>
      <c r="G883" s="314">
        <v>1.66E-4</v>
      </c>
      <c r="H883" s="336">
        <v>2.88</v>
      </c>
      <c r="I883" s="322" t="s">
        <v>1439</v>
      </c>
      <c r="J883" s="322">
        <v>135</v>
      </c>
      <c r="K883" s="322">
        <v>0.37</v>
      </c>
      <c r="L883" s="322">
        <v>98.92371</v>
      </c>
      <c r="M883" s="322" t="s">
        <v>9</v>
      </c>
      <c r="N883" s="322" t="s">
        <v>374</v>
      </c>
      <c r="O883" s="322" t="s">
        <v>8</v>
      </c>
      <c r="P883" s="322" t="s">
        <v>375</v>
      </c>
      <c r="Q883" s="322" t="s">
        <v>51</v>
      </c>
      <c r="R883" s="322" t="s">
        <v>385</v>
      </c>
      <c r="S883" s="303">
        <f t="shared" si="14"/>
        <v>5409702.9292860003</v>
      </c>
      <c r="T883" s="307">
        <f>+IFERROR(VLOOKUP(C883,'Tasas Diarias'!$B:$F,5,FALSE)*G883,0)</f>
        <v>0</v>
      </c>
      <c r="U883" s="311" t="str">
        <f>+VLOOKUP(C883,Spreads!$A$2:$G$345,7,0)</f>
        <v/>
      </c>
    </row>
    <row r="884" spans="1:21" ht="15.75" hidden="1" customHeight="1" thickTop="1" thickBot="1">
      <c r="A884" s="317" t="s">
        <v>2137</v>
      </c>
      <c r="B884" s="318" t="s">
        <v>298</v>
      </c>
      <c r="C884" s="318" t="s">
        <v>440</v>
      </c>
      <c r="D884" s="318" t="s">
        <v>182</v>
      </c>
      <c r="E884" s="319">
        <v>26522265.405099999</v>
      </c>
      <c r="F884" s="319"/>
      <c r="G884" s="314">
        <v>3.0200000000000002E-4</v>
      </c>
      <c r="H884" s="320">
        <v>1.4</v>
      </c>
      <c r="I884" s="318" t="s">
        <v>441</v>
      </c>
      <c r="J884" s="318">
        <v>140</v>
      </c>
      <c r="K884" s="318">
        <v>0.38</v>
      </c>
      <c r="L884" s="318">
        <v>100.61</v>
      </c>
      <c r="M884" s="318" t="s">
        <v>6</v>
      </c>
      <c r="N884" s="318" t="s">
        <v>368</v>
      </c>
      <c r="O884" s="318" t="s">
        <v>8</v>
      </c>
      <c r="P884" s="318" t="s">
        <v>7</v>
      </c>
      <c r="Q884" s="318" t="s">
        <v>390</v>
      </c>
      <c r="R884" s="318" t="s">
        <v>402</v>
      </c>
      <c r="S884" s="303">
        <f t="shared" si="14"/>
        <v>10078460.853938</v>
      </c>
      <c r="T884" s="307">
        <f>+IFERROR(VLOOKUP(C884,'Tasas Diarias'!$B:$F,5,FALSE)*G884,0)</f>
        <v>1.3321095890410708E-8</v>
      </c>
      <c r="U884" s="311" t="str">
        <f ca="1">+VLOOKUP(C884,Spreads!$A$2:$G$345,7,0)</f>
        <v/>
      </c>
    </row>
    <row r="885" spans="1:21" ht="15.75" hidden="1" customHeight="1" thickTop="1" thickBot="1">
      <c r="A885" s="317" t="s">
        <v>2137</v>
      </c>
      <c r="B885" s="318" t="s">
        <v>298</v>
      </c>
      <c r="C885" s="318" t="s">
        <v>22</v>
      </c>
      <c r="D885" s="318" t="s">
        <v>171</v>
      </c>
      <c r="E885" s="319">
        <v>6423641.8975999998</v>
      </c>
      <c r="F885" s="319">
        <v>6503252.2403140748</v>
      </c>
      <c r="G885" s="314">
        <v>7.2999999999999999E-5</v>
      </c>
      <c r="H885" s="320">
        <v>3.12</v>
      </c>
      <c r="I885" s="318" t="s">
        <v>1452</v>
      </c>
      <c r="J885" s="318">
        <v>142</v>
      </c>
      <c r="K885" s="318">
        <v>0.39</v>
      </c>
      <c r="L885" s="318">
        <v>98.775837999999993</v>
      </c>
      <c r="M885" s="318" t="s">
        <v>9</v>
      </c>
      <c r="N885" s="318" t="s">
        <v>374</v>
      </c>
      <c r="O885" s="318" t="s">
        <v>8</v>
      </c>
      <c r="P885" s="318" t="s">
        <v>375</v>
      </c>
      <c r="Q885" s="318" t="s">
        <v>88</v>
      </c>
      <c r="R885" s="318" t="s">
        <v>381</v>
      </c>
      <c r="S885" s="303">
        <f t="shared" si="14"/>
        <v>2505220.3400639999</v>
      </c>
      <c r="T885" s="307">
        <f>+IFERROR(VLOOKUP(C885,'Tasas Diarias'!$B:$F,5,FALSE)*G885,0)</f>
        <v>0</v>
      </c>
      <c r="U885" s="311" t="str">
        <f>+VLOOKUP(C885,Spreads!$A$2:$G$345,7,0)</f>
        <v/>
      </c>
    </row>
    <row r="886" spans="1:21" ht="15.75" hidden="1" customHeight="1" thickTop="1" thickBot="1">
      <c r="A886" s="317" t="s">
        <v>2137</v>
      </c>
      <c r="B886" s="318" t="s">
        <v>298</v>
      </c>
      <c r="C886" s="318" t="s">
        <v>22</v>
      </c>
      <c r="D886" s="318" t="s">
        <v>165</v>
      </c>
      <c r="E886" s="319">
        <v>12652083.409600001</v>
      </c>
      <c r="F886" s="319">
        <v>12797835.526814137</v>
      </c>
      <c r="G886" s="314">
        <v>1.44E-4</v>
      </c>
      <c r="H886" s="320">
        <v>2.88</v>
      </c>
      <c r="I886" s="318" t="s">
        <v>1448</v>
      </c>
      <c r="J886" s="318">
        <v>143</v>
      </c>
      <c r="K886" s="318">
        <v>0.39</v>
      </c>
      <c r="L886" s="318">
        <v>98.861119000000002</v>
      </c>
      <c r="M886" s="318" t="s">
        <v>9</v>
      </c>
      <c r="N886" s="318" t="s">
        <v>374</v>
      </c>
      <c r="O886" s="318" t="s">
        <v>8</v>
      </c>
      <c r="P886" s="318" t="s">
        <v>375</v>
      </c>
      <c r="Q886" s="318" t="s">
        <v>74</v>
      </c>
      <c r="R886" s="318" t="s">
        <v>380</v>
      </c>
      <c r="S886" s="303">
        <f t="shared" si="14"/>
        <v>4934312.5297440002</v>
      </c>
      <c r="T886" s="307">
        <f>+IFERROR(VLOOKUP(C886,'Tasas Diarias'!$B:$F,5,FALSE)*G886,0)</f>
        <v>0</v>
      </c>
      <c r="U886" s="311" t="str">
        <f>+VLOOKUP(C886,Spreads!$A$2:$G$345,7,0)</f>
        <v/>
      </c>
    </row>
    <row r="887" spans="1:21" ht="15.75" hidden="1" customHeight="1" thickTop="1" thickBot="1">
      <c r="A887" s="317" t="s">
        <v>2137</v>
      </c>
      <c r="B887" s="318" t="s">
        <v>298</v>
      </c>
      <c r="C887" s="318" t="s">
        <v>22</v>
      </c>
      <c r="D887" s="318" t="s">
        <v>382</v>
      </c>
      <c r="E887" s="319">
        <v>2919330.2122</v>
      </c>
      <c r="F887" s="319">
        <v>2956016.4754358563</v>
      </c>
      <c r="G887" s="314">
        <v>3.3000000000000003E-5</v>
      </c>
      <c r="H887" s="320">
        <v>3.12</v>
      </c>
      <c r="I887" s="318" t="s">
        <v>1426</v>
      </c>
      <c r="J887" s="318">
        <v>144</v>
      </c>
      <c r="K887" s="318">
        <v>0.4</v>
      </c>
      <c r="L887" s="318">
        <v>98.758928999999995</v>
      </c>
      <c r="M887" s="318" t="s">
        <v>9</v>
      </c>
      <c r="N887" s="318" t="s">
        <v>374</v>
      </c>
      <c r="O887" s="318" t="s">
        <v>8</v>
      </c>
      <c r="P887" s="318" t="s">
        <v>375</v>
      </c>
      <c r="Q887" s="318" t="s">
        <v>382</v>
      </c>
      <c r="R887" s="318" t="s">
        <v>383</v>
      </c>
      <c r="S887" s="303">
        <f t="shared" si="14"/>
        <v>1167732.08488</v>
      </c>
      <c r="T887" s="307">
        <f>+IFERROR(VLOOKUP(C887,'Tasas Diarias'!$B:$F,5,FALSE)*G887,0)</f>
        <v>0</v>
      </c>
      <c r="U887" s="311" t="str">
        <f>+VLOOKUP(C887,Spreads!$A$2:$G$345,7,0)</f>
        <v/>
      </c>
    </row>
    <row r="888" spans="1:21" ht="15.75" hidden="1" customHeight="1" thickTop="1" thickBot="1">
      <c r="A888" s="321" t="s">
        <v>2137</v>
      </c>
      <c r="B888" s="322" t="s">
        <v>298</v>
      </c>
      <c r="C888" s="322" t="s">
        <v>22</v>
      </c>
      <c r="D888" s="322" t="s">
        <v>174</v>
      </c>
      <c r="E888" s="323">
        <v>70751426.650399998</v>
      </c>
      <c r="F888" s="323">
        <v>71640536.574089423</v>
      </c>
      <c r="G888" s="314">
        <v>8.0500000000000005E-4</v>
      </c>
      <c r="H888" s="324">
        <v>3.12</v>
      </c>
      <c r="I888" s="322" t="s">
        <v>1426</v>
      </c>
      <c r="J888" s="322">
        <v>144</v>
      </c>
      <c r="K888" s="322">
        <v>0.4</v>
      </c>
      <c r="L888" s="322">
        <v>98.758928999999995</v>
      </c>
      <c r="M888" s="322" t="s">
        <v>9</v>
      </c>
      <c r="N888" s="322" t="s">
        <v>374</v>
      </c>
      <c r="O888" s="322" t="s">
        <v>8</v>
      </c>
      <c r="P888" s="322" t="s">
        <v>375</v>
      </c>
      <c r="Q888" s="322" t="s">
        <v>60</v>
      </c>
      <c r="R888" s="322" t="s">
        <v>408</v>
      </c>
      <c r="S888" s="303">
        <f t="shared" si="14"/>
        <v>28300570.660160001</v>
      </c>
      <c r="T888" s="307">
        <f>+IFERROR(VLOOKUP(C888,'Tasas Diarias'!$B:$F,5,FALSE)*G888,0)</f>
        <v>0</v>
      </c>
      <c r="U888" s="311" t="str">
        <f>+VLOOKUP(C888,Spreads!$A$2:$G$345,7,0)</f>
        <v/>
      </c>
    </row>
    <row r="889" spans="1:21" ht="15.75" hidden="1" customHeight="1" thickTop="1" thickBot="1">
      <c r="A889" s="321" t="s">
        <v>2137</v>
      </c>
      <c r="B889" s="322" t="s">
        <v>298</v>
      </c>
      <c r="C889" s="322" t="s">
        <v>409</v>
      </c>
      <c r="D889" s="322" t="s">
        <v>382</v>
      </c>
      <c r="E889" s="323">
        <v>3927555.6962000001</v>
      </c>
      <c r="F889" s="323">
        <v>15369372.521861276</v>
      </c>
      <c r="G889" s="314">
        <v>4.5000000000000003E-5</v>
      </c>
      <c r="H889" s="324">
        <v>3.39</v>
      </c>
      <c r="I889" s="322" t="s">
        <v>410</v>
      </c>
      <c r="J889" s="322">
        <v>237</v>
      </c>
      <c r="K889" s="322">
        <v>0.4</v>
      </c>
      <c r="L889" s="322">
        <v>100.55</v>
      </c>
      <c r="M889" s="322" t="s">
        <v>9</v>
      </c>
      <c r="N889" s="322" t="s">
        <v>368</v>
      </c>
      <c r="O889" s="322" t="s">
        <v>8</v>
      </c>
      <c r="P889" s="322" t="s">
        <v>7</v>
      </c>
      <c r="Q889" s="322" t="s">
        <v>382</v>
      </c>
      <c r="R889" s="322" t="s">
        <v>411</v>
      </c>
      <c r="S889" s="303">
        <f t="shared" si="14"/>
        <v>1571022.2784800001</v>
      </c>
      <c r="T889" s="307">
        <f>+IFERROR(VLOOKUP(C889,'Tasas Diarias'!$B:$F,5,FALSE)*G889,0)</f>
        <v>0</v>
      </c>
      <c r="U889" s="311" t="str">
        <f ca="1">+VLOOKUP(C889,Spreads!$A$2:$G$345,7,0)</f>
        <v/>
      </c>
    </row>
    <row r="890" spans="1:21" ht="15.75" hidden="1" customHeight="1" thickTop="1" thickBot="1">
      <c r="A890" s="321" t="s">
        <v>2137</v>
      </c>
      <c r="B890" s="322" t="s">
        <v>298</v>
      </c>
      <c r="C890" s="322" t="s">
        <v>22</v>
      </c>
      <c r="D890" s="322" t="s">
        <v>72</v>
      </c>
      <c r="E890" s="323">
        <v>5836181.6893999996</v>
      </c>
      <c r="F890" s="323">
        <v>5911546.2785082813</v>
      </c>
      <c r="G890" s="314">
        <v>6.6000000000000005E-5</v>
      </c>
      <c r="H890" s="322">
        <v>3.12</v>
      </c>
      <c r="I890" s="322" t="s">
        <v>1557</v>
      </c>
      <c r="J890" s="322">
        <v>148</v>
      </c>
      <c r="K890" s="322">
        <v>0.41</v>
      </c>
      <c r="L890" s="322">
        <v>98.725128999999995</v>
      </c>
      <c r="M890" s="322" t="s">
        <v>9</v>
      </c>
      <c r="N890" s="322" t="s">
        <v>374</v>
      </c>
      <c r="O890" s="322" t="s">
        <v>8</v>
      </c>
      <c r="P890" s="322" t="s">
        <v>296</v>
      </c>
      <c r="Q890" s="322" t="s">
        <v>325</v>
      </c>
      <c r="R890" s="322" t="s">
        <v>393</v>
      </c>
      <c r="S890" s="303">
        <f t="shared" si="14"/>
        <v>2392834.4926539995</v>
      </c>
      <c r="T890" s="307">
        <f>+IFERROR(VLOOKUP(C890,'Tasas Diarias'!$B:$F,5,FALSE)*G890,0)</f>
        <v>0</v>
      </c>
      <c r="U890" s="311" t="str">
        <f>+VLOOKUP(C890,Spreads!$A$2:$G$345,7,0)</f>
        <v/>
      </c>
    </row>
    <row r="891" spans="1:21" ht="15.75" hidden="1" customHeight="1" thickTop="1" thickBot="1">
      <c r="A891" s="321" t="s">
        <v>2137</v>
      </c>
      <c r="B891" s="322" t="s">
        <v>298</v>
      </c>
      <c r="C891" s="322" t="s">
        <v>22</v>
      </c>
      <c r="D891" s="322" t="s">
        <v>305</v>
      </c>
      <c r="E891" s="323">
        <v>26970172.912</v>
      </c>
      <c r="F891" s="323">
        <v>27293815.055739593</v>
      </c>
      <c r="G891" s="314">
        <v>3.0699999999999998E-4</v>
      </c>
      <c r="H891" s="324">
        <v>2.88</v>
      </c>
      <c r="I891" s="322" t="s">
        <v>1892</v>
      </c>
      <c r="J891" s="322">
        <v>149</v>
      </c>
      <c r="K891" s="322">
        <v>0.41</v>
      </c>
      <c r="L891" s="322">
        <v>98.814228999999997</v>
      </c>
      <c r="M891" s="322" t="s">
        <v>9</v>
      </c>
      <c r="N891" s="322" t="s">
        <v>374</v>
      </c>
      <c r="O891" s="322" t="s">
        <v>8</v>
      </c>
      <c r="P891" s="322" t="s">
        <v>375</v>
      </c>
      <c r="Q891" s="322" t="s">
        <v>326</v>
      </c>
      <c r="R891" s="322" t="s">
        <v>387</v>
      </c>
      <c r="S891" s="303">
        <f t="shared" si="14"/>
        <v>11057770.893919999</v>
      </c>
      <c r="T891" s="307">
        <f>+IFERROR(VLOOKUP(C891,'Tasas Diarias'!$B:$F,5,FALSE)*G891,0)</f>
        <v>0</v>
      </c>
      <c r="U891" s="311" t="str">
        <f>+VLOOKUP(C891,Spreads!$A$2:$G$345,7,0)</f>
        <v/>
      </c>
    </row>
    <row r="892" spans="1:21" ht="15.75" hidden="1" customHeight="1" thickTop="1" thickBot="1">
      <c r="A892" s="317" t="s">
        <v>2137</v>
      </c>
      <c r="B892" s="318" t="s">
        <v>298</v>
      </c>
      <c r="C892" s="318" t="s">
        <v>1103</v>
      </c>
      <c r="D892" s="318" t="s">
        <v>180</v>
      </c>
      <c r="E892" s="319">
        <v>9433007</v>
      </c>
      <c r="F892" s="319">
        <v>3585</v>
      </c>
      <c r="G892" s="314">
        <v>1.07E-4</v>
      </c>
      <c r="H892" s="320">
        <v>1.72</v>
      </c>
      <c r="I892" s="318" t="s">
        <v>1104</v>
      </c>
      <c r="J892" s="318">
        <v>289</v>
      </c>
      <c r="K892" s="318">
        <v>0.41</v>
      </c>
      <c r="L892" s="318">
        <v>100.52</v>
      </c>
      <c r="M892" s="318" t="s">
        <v>6</v>
      </c>
      <c r="N892" s="318" t="s">
        <v>458</v>
      </c>
      <c r="O892" s="318" t="s">
        <v>378</v>
      </c>
      <c r="P892" s="318" t="s">
        <v>379</v>
      </c>
      <c r="Q892" s="318" t="s">
        <v>65</v>
      </c>
      <c r="R892" s="318" t="s">
        <v>986</v>
      </c>
      <c r="S892" s="303">
        <f t="shared" si="14"/>
        <v>3867532.8699999996</v>
      </c>
      <c r="T892" s="307">
        <f>+IFERROR(VLOOKUP(C892,'Tasas Diarias'!$B:$F,5,FALSE)*G892,0)</f>
        <v>4.0287159769685899E-8</v>
      </c>
      <c r="U892" s="311" t="e">
        <f>+VLOOKUP(C892,Spreads!$A$2:$G$345,7,0)</f>
        <v>#N/A</v>
      </c>
    </row>
    <row r="893" spans="1:21" ht="15.75" hidden="1" customHeight="1" thickTop="1" thickBot="1">
      <c r="A893" s="317" t="s">
        <v>2137</v>
      </c>
      <c r="B893" s="318" t="s">
        <v>298</v>
      </c>
      <c r="C893" s="318" t="s">
        <v>1030</v>
      </c>
      <c r="D893" s="318" t="s">
        <v>170</v>
      </c>
      <c r="E893" s="319">
        <v>73215858.452800006</v>
      </c>
      <c r="F893" s="319"/>
      <c r="G893" s="314">
        <v>8.3299999999999997E-4</v>
      </c>
      <c r="H893" s="318">
        <v>1.19</v>
      </c>
      <c r="I893" s="318" t="s">
        <v>443</v>
      </c>
      <c r="J893" s="318">
        <v>162</v>
      </c>
      <c r="K893" s="318">
        <v>0.44</v>
      </c>
      <c r="L893" s="318">
        <v>100.45</v>
      </c>
      <c r="M893" s="318" t="s">
        <v>6</v>
      </c>
      <c r="N893" s="318" t="s">
        <v>368</v>
      </c>
      <c r="O893" s="318" t="s">
        <v>8</v>
      </c>
      <c r="P893" s="318" t="s">
        <v>392</v>
      </c>
      <c r="Q893" s="318" t="s">
        <v>88</v>
      </c>
      <c r="R893" s="318" t="s">
        <v>512</v>
      </c>
      <c r="S893" s="303">
        <f t="shared" si="14"/>
        <v>32214977.719232004</v>
      </c>
      <c r="T893" s="307">
        <f>+IFERROR(VLOOKUP(C893,'Tasas Diarias'!$B:$F,5,FALSE)*G893,0)</f>
        <v>1.2395371953218586E-7</v>
      </c>
      <c r="U893" s="311" t="str">
        <f ca="1">+VLOOKUP(C893,Spreads!$A$2:$G$345,7,0)</f>
        <v/>
      </c>
    </row>
    <row r="894" spans="1:21" ht="15.75" hidden="1" customHeight="1" thickTop="1" thickBot="1">
      <c r="A894" s="317" t="s">
        <v>2137</v>
      </c>
      <c r="B894" s="318" t="s">
        <v>298</v>
      </c>
      <c r="C894" s="318" t="s">
        <v>816</v>
      </c>
      <c r="D894" s="318" t="s">
        <v>39</v>
      </c>
      <c r="E894" s="319">
        <v>21751233.839899998</v>
      </c>
      <c r="F894" s="319"/>
      <c r="G894" s="314">
        <v>2.4800000000000001E-4</v>
      </c>
      <c r="H894" s="320">
        <v>2.2999999999999998</v>
      </c>
      <c r="I894" s="318" t="s">
        <v>457</v>
      </c>
      <c r="J894" s="318">
        <v>254</v>
      </c>
      <c r="K894" s="318">
        <v>0.44</v>
      </c>
      <c r="L894" s="318">
        <v>100.6</v>
      </c>
      <c r="M894" s="318" t="s">
        <v>6</v>
      </c>
      <c r="N894" s="318" t="s">
        <v>368</v>
      </c>
      <c r="O894" s="318" t="s">
        <v>8</v>
      </c>
      <c r="P894" s="318" t="s">
        <v>801</v>
      </c>
      <c r="Q894" s="318" t="s">
        <v>69</v>
      </c>
      <c r="R894" s="318" t="s">
        <v>815</v>
      </c>
      <c r="S894" s="303">
        <f t="shared" si="14"/>
        <v>9570542.889556</v>
      </c>
      <c r="T894" s="307">
        <f>+IFERROR(VLOOKUP(C894,'Tasas Diarias'!$B:$F,5,FALSE)*G894,0)</f>
        <v>9.9451198440582426E-8</v>
      </c>
      <c r="U894" s="311" t="str">
        <f ca="1">+VLOOKUP(C894,Spreads!$A$2:$G$345,7,0)</f>
        <v/>
      </c>
    </row>
    <row r="895" spans="1:21" ht="15.75" hidden="1" customHeight="1" thickTop="1" thickBot="1">
      <c r="A895" s="321" t="s">
        <v>2137</v>
      </c>
      <c r="B895" s="322" t="s">
        <v>298</v>
      </c>
      <c r="C895" s="322" t="s">
        <v>446</v>
      </c>
      <c r="D895" s="322" t="s">
        <v>166</v>
      </c>
      <c r="E895" s="323">
        <v>35672040.166500002</v>
      </c>
      <c r="F895" s="323">
        <v>1000</v>
      </c>
      <c r="G895" s="314">
        <v>4.06E-4</v>
      </c>
      <c r="H895" s="324">
        <v>1.75</v>
      </c>
      <c r="I895" s="322" t="s">
        <v>1456</v>
      </c>
      <c r="J895" s="322">
        <v>168</v>
      </c>
      <c r="K895" s="322">
        <v>0.46</v>
      </c>
      <c r="L895" s="322">
        <v>100.8</v>
      </c>
      <c r="M895" s="322" t="s">
        <v>6</v>
      </c>
      <c r="N895" s="322" t="s">
        <v>368</v>
      </c>
      <c r="O895" s="322" t="s">
        <v>429</v>
      </c>
      <c r="P895" s="322" t="s">
        <v>392</v>
      </c>
      <c r="Q895" s="322" t="s">
        <v>57</v>
      </c>
      <c r="R895" s="322" t="s">
        <v>447</v>
      </c>
      <c r="S895" s="303">
        <f t="shared" si="14"/>
        <v>16409138.476590002</v>
      </c>
      <c r="T895" s="307">
        <f>+IFERROR(VLOOKUP(C895,'Tasas Diarias'!$B:$F,5,FALSE)*G895,0)</f>
        <v>4.136377035036893E-8</v>
      </c>
      <c r="U895" s="311" t="str">
        <f ca="1">+VLOOKUP(C895,Spreads!$A$2:$G$345,7,0)</f>
        <v/>
      </c>
    </row>
    <row r="896" spans="1:21" ht="15.75" hidden="1" customHeight="1" thickTop="1" thickBot="1">
      <c r="A896" s="321" t="s">
        <v>2137</v>
      </c>
      <c r="B896" s="322" t="s">
        <v>298</v>
      </c>
      <c r="C896" s="322" t="s">
        <v>22</v>
      </c>
      <c r="D896" s="322" t="s">
        <v>55</v>
      </c>
      <c r="E896" s="323">
        <v>739463</v>
      </c>
      <c r="F896" s="323">
        <v>750000</v>
      </c>
      <c r="G896" s="314">
        <v>7.9999999999999996E-6</v>
      </c>
      <c r="H896" s="324">
        <v>3</v>
      </c>
      <c r="I896" s="322" t="s">
        <v>1478</v>
      </c>
      <c r="J896" s="322">
        <v>170</v>
      </c>
      <c r="K896" s="322">
        <v>0.47</v>
      </c>
      <c r="L896" s="322">
        <v>98.595066000000003</v>
      </c>
      <c r="M896" s="322" t="s">
        <v>9</v>
      </c>
      <c r="N896" s="322" t="s">
        <v>374</v>
      </c>
      <c r="O896" s="322" t="s">
        <v>8</v>
      </c>
      <c r="P896" s="322" t="s">
        <v>375</v>
      </c>
      <c r="Q896" s="322" t="s">
        <v>55</v>
      </c>
      <c r="R896" s="322" t="s">
        <v>386</v>
      </c>
      <c r="S896" s="303">
        <f t="shared" si="14"/>
        <v>347547.61</v>
      </c>
      <c r="T896" s="307">
        <f>+IFERROR(VLOOKUP(C896,'Tasas Diarias'!$B:$F,5,FALSE)*G896,0)</f>
        <v>0</v>
      </c>
      <c r="U896" s="311" t="str">
        <f>+VLOOKUP(C896,Spreads!$A$2:$G$345,7,0)</f>
        <v/>
      </c>
    </row>
    <row r="897" spans="1:21" ht="15.75" hidden="1" customHeight="1" thickTop="1" thickBot="1">
      <c r="A897" s="321" t="s">
        <v>2137</v>
      </c>
      <c r="B897" s="322" t="s">
        <v>298</v>
      </c>
      <c r="C897" s="322" t="s">
        <v>22</v>
      </c>
      <c r="D897" s="322" t="s">
        <v>54</v>
      </c>
      <c r="E897" s="323">
        <v>49321338</v>
      </c>
      <c r="F897" s="323">
        <v>50000000</v>
      </c>
      <c r="G897" s="314">
        <v>5.6099999999999998E-4</v>
      </c>
      <c r="H897" s="322">
        <v>2.88</v>
      </c>
      <c r="I897" s="322" t="s">
        <v>1526</v>
      </c>
      <c r="J897" s="322">
        <v>171</v>
      </c>
      <c r="K897" s="322">
        <v>0.47</v>
      </c>
      <c r="L897" s="322">
        <v>98.642675999999994</v>
      </c>
      <c r="M897" s="322" t="s">
        <v>9</v>
      </c>
      <c r="N897" s="322" t="s">
        <v>374</v>
      </c>
      <c r="O897" s="322" t="s">
        <v>8</v>
      </c>
      <c r="P897" s="322" t="s">
        <v>375</v>
      </c>
      <c r="Q897" s="322" t="s">
        <v>390</v>
      </c>
      <c r="R897" s="322" t="s">
        <v>391</v>
      </c>
      <c r="S897" s="303">
        <f t="shared" si="14"/>
        <v>23181028.859999999</v>
      </c>
      <c r="T897" s="307">
        <f>+IFERROR(VLOOKUP(C897,'Tasas Diarias'!$B:$F,5,FALSE)*G897,0)</f>
        <v>0</v>
      </c>
      <c r="U897" s="311" t="str">
        <f>+VLOOKUP(C897,Spreads!$A$2:$G$345,7,0)</f>
        <v/>
      </c>
    </row>
    <row r="898" spans="1:21" ht="15.75" hidden="1" customHeight="1" thickTop="1" thickBot="1">
      <c r="A898" s="317" t="s">
        <v>2137</v>
      </c>
      <c r="B898" s="318" t="s">
        <v>298</v>
      </c>
      <c r="C898" s="318" t="s">
        <v>22</v>
      </c>
      <c r="D898" s="318" t="s">
        <v>171</v>
      </c>
      <c r="E898" s="319">
        <v>29096631.4549</v>
      </c>
      <c r="F898" s="319">
        <v>29560625.977632534</v>
      </c>
      <c r="G898" s="314">
        <v>3.3100000000000002E-4</v>
      </c>
      <c r="H898" s="320">
        <v>3.12</v>
      </c>
      <c r="I898" s="318" t="s">
        <v>1553</v>
      </c>
      <c r="J898" s="318">
        <v>183</v>
      </c>
      <c r="K898" s="318">
        <v>0.5</v>
      </c>
      <c r="L898" s="318">
        <v>98.430363</v>
      </c>
      <c r="M898" s="318" t="s">
        <v>9</v>
      </c>
      <c r="N898" s="318" t="s">
        <v>374</v>
      </c>
      <c r="O898" s="318" t="s">
        <v>8</v>
      </c>
      <c r="P898" s="318" t="s">
        <v>375</v>
      </c>
      <c r="Q898" s="318" t="s">
        <v>88</v>
      </c>
      <c r="R898" s="318" t="s">
        <v>381</v>
      </c>
      <c r="S898" s="303">
        <f t="shared" si="14"/>
        <v>14548315.72745</v>
      </c>
      <c r="T898" s="307">
        <f>+IFERROR(VLOOKUP(C898,'Tasas Diarias'!$B:$F,5,FALSE)*G898,0)</f>
        <v>0</v>
      </c>
      <c r="U898" s="311" t="str">
        <f>+VLOOKUP(C898,Spreads!$A$2:$G$345,7,0)</f>
        <v/>
      </c>
    </row>
    <row r="899" spans="1:21" ht="15.75" hidden="1" customHeight="1" thickTop="1" thickBot="1">
      <c r="A899" s="321" t="s">
        <v>2137</v>
      </c>
      <c r="B899" s="322" t="s">
        <v>298</v>
      </c>
      <c r="C899" s="322" t="s">
        <v>22</v>
      </c>
      <c r="D899" s="322" t="s">
        <v>165</v>
      </c>
      <c r="E899" s="323">
        <v>10188840.447699999</v>
      </c>
      <c r="F899" s="323">
        <v>10345918.493262999</v>
      </c>
      <c r="G899" s="314">
        <v>1.16E-4</v>
      </c>
      <c r="H899" s="324">
        <v>3</v>
      </c>
      <c r="I899" s="322" t="s">
        <v>2138</v>
      </c>
      <c r="J899" s="322">
        <v>184</v>
      </c>
      <c r="K899" s="322">
        <v>0.51</v>
      </c>
      <c r="L899" s="322">
        <v>98.481739000000005</v>
      </c>
      <c r="M899" s="322" t="s">
        <v>9</v>
      </c>
      <c r="N899" s="322" t="s">
        <v>374</v>
      </c>
      <c r="O899" s="322" t="s">
        <v>8</v>
      </c>
      <c r="P899" s="322" t="s">
        <v>375</v>
      </c>
      <c r="Q899" s="322" t="s">
        <v>74</v>
      </c>
      <c r="R899" s="322" t="s">
        <v>380</v>
      </c>
      <c r="S899" s="303">
        <f t="shared" ref="S899:S962" si="15">+IFERROR(E899*K899,0)</f>
        <v>5196308.628327</v>
      </c>
      <c r="T899" s="307">
        <f>+IFERROR(VLOOKUP(C899,'Tasas Diarias'!$B:$F,5,FALSE)*G899,0)</f>
        <v>0</v>
      </c>
      <c r="U899" s="311" t="str">
        <f>+VLOOKUP(C899,Spreads!$A$2:$G$345,7,0)</f>
        <v/>
      </c>
    </row>
    <row r="900" spans="1:21" ht="15.75" hidden="1" customHeight="1" thickTop="1" thickBot="1">
      <c r="A900" s="321" t="s">
        <v>2137</v>
      </c>
      <c r="B900" s="322" t="s">
        <v>298</v>
      </c>
      <c r="C900" s="322" t="s">
        <v>2100</v>
      </c>
      <c r="D900" s="322" t="s">
        <v>469</v>
      </c>
      <c r="E900" s="323">
        <v>540983.92599999998</v>
      </c>
      <c r="F900" s="323"/>
      <c r="G900" s="314">
        <v>6.0000000000000002E-6</v>
      </c>
      <c r="H900" s="324">
        <v>0.95</v>
      </c>
      <c r="I900" s="322" t="s">
        <v>1829</v>
      </c>
      <c r="J900" s="322">
        <v>191</v>
      </c>
      <c r="K900" s="322">
        <v>0.51</v>
      </c>
      <c r="L900" s="322">
        <v>101.29</v>
      </c>
      <c r="M900" s="322" t="s">
        <v>6</v>
      </c>
      <c r="N900" s="322" t="s">
        <v>368</v>
      </c>
      <c r="O900" s="322" t="s">
        <v>429</v>
      </c>
      <c r="P900" s="322" t="s">
        <v>7</v>
      </c>
      <c r="Q900" s="322" t="s">
        <v>471</v>
      </c>
      <c r="R900" s="322" t="s">
        <v>472</v>
      </c>
      <c r="S900" s="303">
        <f t="shared" si="15"/>
        <v>275901.80225999997</v>
      </c>
      <c r="T900" s="307">
        <f>+IFERROR(VLOOKUP(C900,'Tasas Diarias'!$B:$F,5,FALSE)*G900,0)</f>
        <v>0</v>
      </c>
      <c r="U900" s="311" t="e">
        <f>+VLOOKUP(C900,Spreads!$A$2:$G$345,7,0)</f>
        <v>#N/A</v>
      </c>
    </row>
    <row r="901" spans="1:21" ht="15.75" hidden="1" customHeight="1" thickTop="1" thickBot="1">
      <c r="A901" s="321" t="s">
        <v>2137</v>
      </c>
      <c r="B901" s="322" t="s">
        <v>298</v>
      </c>
      <c r="C901" s="322" t="s">
        <v>448</v>
      </c>
      <c r="D901" s="322" t="s">
        <v>176</v>
      </c>
      <c r="E901" s="323">
        <v>2169512.8577999999</v>
      </c>
      <c r="F901" s="323">
        <v>2069040.755916866</v>
      </c>
      <c r="G901" s="314">
        <v>2.5000000000000001E-5</v>
      </c>
      <c r="H901" s="324">
        <v>3.24</v>
      </c>
      <c r="I901" s="322" t="s">
        <v>449</v>
      </c>
      <c r="J901" s="322">
        <v>193</v>
      </c>
      <c r="K901" s="322">
        <v>0.51</v>
      </c>
      <c r="L901" s="322">
        <v>101.71</v>
      </c>
      <c r="M901" s="322" t="s">
        <v>9</v>
      </c>
      <c r="N901" s="322" t="s">
        <v>368</v>
      </c>
      <c r="O901" s="322" t="s">
        <v>8</v>
      </c>
      <c r="P901" s="322" t="s">
        <v>7</v>
      </c>
      <c r="Q901" s="322" t="s">
        <v>326</v>
      </c>
      <c r="R901" s="322" t="s">
        <v>450</v>
      </c>
      <c r="S901" s="303">
        <f t="shared" si="15"/>
        <v>1106451.5574779999</v>
      </c>
      <c r="T901" s="307">
        <f>+IFERROR(VLOOKUP(C901,'Tasas Diarias'!$B:$F,5,FALSE)*G901,0)</f>
        <v>0</v>
      </c>
      <c r="U901" s="311" t="str">
        <f ca="1">+VLOOKUP(C901,Spreads!$A$2:$G$345,7,0)</f>
        <v/>
      </c>
    </row>
    <row r="902" spans="1:21" ht="15.75" hidden="1" customHeight="1" thickTop="1" thickBot="1">
      <c r="A902" s="321" t="s">
        <v>2137</v>
      </c>
      <c r="B902" s="322" t="s">
        <v>298</v>
      </c>
      <c r="C902" s="322" t="s">
        <v>454</v>
      </c>
      <c r="D902" s="322" t="s">
        <v>32</v>
      </c>
      <c r="E902" s="323">
        <v>811785.73080000002</v>
      </c>
      <c r="F902" s="323"/>
      <c r="G902" s="314">
        <v>9.0000000000000002E-6</v>
      </c>
      <c r="H902" s="324">
        <v>0.97</v>
      </c>
      <c r="I902" s="322" t="s">
        <v>449</v>
      </c>
      <c r="J902" s="322">
        <v>193</v>
      </c>
      <c r="K902" s="322">
        <v>0.52</v>
      </c>
      <c r="L902" s="322">
        <v>101.31</v>
      </c>
      <c r="M902" s="322" t="s">
        <v>6</v>
      </c>
      <c r="N902" s="322" t="s">
        <v>368</v>
      </c>
      <c r="O902" s="322" t="s">
        <v>8</v>
      </c>
      <c r="P902" s="322" t="s">
        <v>379</v>
      </c>
      <c r="Q902" s="322" t="s">
        <v>67</v>
      </c>
      <c r="R902" s="322" t="s">
        <v>389</v>
      </c>
      <c r="S902" s="303">
        <f t="shared" si="15"/>
        <v>422128.58001600002</v>
      </c>
      <c r="T902" s="307">
        <f>+IFERROR(VLOOKUP(C902,'Tasas Diarias'!$B:$F,5,FALSE)*G902,0)</f>
        <v>0</v>
      </c>
      <c r="U902" s="311" t="str">
        <f ca="1">+VLOOKUP(C902,Spreads!$A$2:$G$345,7,0)</f>
        <v/>
      </c>
    </row>
    <row r="903" spans="1:21" ht="15.75" hidden="1" customHeight="1" thickTop="1" thickBot="1">
      <c r="A903" s="321" t="s">
        <v>2137</v>
      </c>
      <c r="B903" s="322" t="s">
        <v>298</v>
      </c>
      <c r="C903" s="322" t="s">
        <v>1545</v>
      </c>
      <c r="D903" s="322" t="s">
        <v>168</v>
      </c>
      <c r="E903" s="323">
        <v>33857814.649999999</v>
      </c>
      <c r="F903" s="323">
        <v>1000</v>
      </c>
      <c r="G903" s="314">
        <v>3.8499999999999998E-4</v>
      </c>
      <c r="H903" s="324">
        <v>0.96</v>
      </c>
      <c r="I903" s="322" t="s">
        <v>449</v>
      </c>
      <c r="J903" s="322">
        <v>193</v>
      </c>
      <c r="K903" s="322">
        <v>0.52</v>
      </c>
      <c r="L903" s="322">
        <v>101.15</v>
      </c>
      <c r="M903" s="322" t="s">
        <v>6</v>
      </c>
      <c r="N903" s="322" t="s">
        <v>368</v>
      </c>
      <c r="O903" s="322" t="s">
        <v>8</v>
      </c>
      <c r="P903" s="322" t="s">
        <v>379</v>
      </c>
      <c r="Q903" s="322" t="s">
        <v>77</v>
      </c>
      <c r="R903" s="322" t="s">
        <v>453</v>
      </c>
      <c r="S903" s="303">
        <f t="shared" si="15"/>
        <v>17606063.618000001</v>
      </c>
      <c r="T903" s="307">
        <f>+IFERROR(VLOOKUP(C903,'Tasas Diarias'!$B:$F,5,FALSE)*G903,0)</f>
        <v>2.2274371525520979E-8</v>
      </c>
      <c r="U903" s="311" t="e">
        <f>+VLOOKUP(C903,Spreads!$A$2:$G$345,7,0)</f>
        <v>#N/A</v>
      </c>
    </row>
    <row r="904" spans="1:21" ht="15.75" hidden="1" customHeight="1" thickTop="1" thickBot="1">
      <c r="A904" s="317" t="s">
        <v>2137</v>
      </c>
      <c r="B904" s="318" t="s">
        <v>298</v>
      </c>
      <c r="C904" s="318" t="s">
        <v>527</v>
      </c>
      <c r="D904" s="318" t="s">
        <v>528</v>
      </c>
      <c r="E904" s="319">
        <v>71252740.350799993</v>
      </c>
      <c r="F904" s="319"/>
      <c r="G904" s="314">
        <v>8.1099999999999998E-4</v>
      </c>
      <c r="H904" s="318">
        <v>1.55</v>
      </c>
      <c r="I904" s="318" t="s">
        <v>529</v>
      </c>
      <c r="J904" s="318">
        <v>376</v>
      </c>
      <c r="K904" s="318">
        <v>0.52</v>
      </c>
      <c r="L904" s="318">
        <v>100.99</v>
      </c>
      <c r="M904" s="318" t="s">
        <v>6</v>
      </c>
      <c r="N904" s="318" t="s">
        <v>368</v>
      </c>
      <c r="O904" s="318" t="s">
        <v>530</v>
      </c>
      <c r="P904" s="318" t="s">
        <v>7</v>
      </c>
      <c r="Q904" s="318" t="s">
        <v>531</v>
      </c>
      <c r="R904" s="318" t="s">
        <v>532</v>
      </c>
      <c r="S904" s="303">
        <f t="shared" si="15"/>
        <v>37051424.982415996</v>
      </c>
      <c r="T904" s="307">
        <f>+IFERROR(VLOOKUP(C904,'Tasas Diarias'!$B:$F,5,FALSE)*G904,0)</f>
        <v>7.4481378938425977E-7</v>
      </c>
      <c r="U904" s="311" t="str">
        <f ca="1">+VLOOKUP(C904,Spreads!$A$2:$G$345,7,0)</f>
        <v/>
      </c>
    </row>
    <row r="905" spans="1:21" ht="15.75" hidden="1" customHeight="1" thickTop="1" thickBot="1">
      <c r="A905" s="317" t="s">
        <v>2137</v>
      </c>
      <c r="B905" s="318" t="s">
        <v>298</v>
      </c>
      <c r="C905" s="318" t="s">
        <v>993</v>
      </c>
      <c r="D905" s="318" t="s">
        <v>170</v>
      </c>
      <c r="E905" s="319">
        <v>31138878.740499999</v>
      </c>
      <c r="F905" s="319"/>
      <c r="G905" s="314">
        <v>3.5500000000000001E-4</v>
      </c>
      <c r="H905" s="320">
        <v>1.55</v>
      </c>
      <c r="I905" s="318" t="s">
        <v>994</v>
      </c>
      <c r="J905" s="318">
        <v>207</v>
      </c>
      <c r="K905" s="318">
        <v>0.56000000000000005</v>
      </c>
      <c r="L905" s="318">
        <v>101.18</v>
      </c>
      <c r="M905" s="318" t="s">
        <v>6</v>
      </c>
      <c r="N905" s="318" t="s">
        <v>368</v>
      </c>
      <c r="O905" s="318" t="s">
        <v>8</v>
      </c>
      <c r="P905" s="318" t="s">
        <v>392</v>
      </c>
      <c r="Q905" s="318" t="s">
        <v>88</v>
      </c>
      <c r="R905" s="318" t="s">
        <v>512</v>
      </c>
      <c r="S905" s="303">
        <f t="shared" si="15"/>
        <v>17437772.09468</v>
      </c>
      <c r="T905" s="307">
        <f>+IFERROR(VLOOKUP(C905,'Tasas Diarias'!$B:$F,5,FALSE)*G905,0)</f>
        <v>8.7437310762275671E-8</v>
      </c>
      <c r="U905" s="311" t="str">
        <f ca="1">+VLOOKUP(C905,Spreads!$A$2:$G$345,7,0)</f>
        <v/>
      </c>
    </row>
    <row r="906" spans="1:21" ht="15.75" hidden="1" customHeight="1" thickTop="1" thickBot="1">
      <c r="A906" s="317" t="s">
        <v>2137</v>
      </c>
      <c r="B906" s="318" t="s">
        <v>298</v>
      </c>
      <c r="C906" s="318" t="s">
        <v>415</v>
      </c>
      <c r="D906" s="318" t="s">
        <v>175</v>
      </c>
      <c r="E906" s="319">
        <v>28206389.801100001</v>
      </c>
      <c r="F906" s="319">
        <v>69466814.726753607</v>
      </c>
      <c r="G906" s="314">
        <v>3.2000000000000003E-4</v>
      </c>
      <c r="H906" s="320">
        <v>4.1100000000000003</v>
      </c>
      <c r="I906" s="318" t="s">
        <v>416</v>
      </c>
      <c r="J906" s="318">
        <v>299</v>
      </c>
      <c r="K906" s="318">
        <v>0.56000000000000005</v>
      </c>
      <c r="L906" s="318">
        <v>100.59999999999998</v>
      </c>
      <c r="M906" s="318" t="s">
        <v>9</v>
      </c>
      <c r="N906" s="318" t="s">
        <v>368</v>
      </c>
      <c r="O906" s="318" t="s">
        <v>8</v>
      </c>
      <c r="P906" s="318" t="s">
        <v>392</v>
      </c>
      <c r="Q906" s="318" t="s">
        <v>66</v>
      </c>
      <c r="R906" s="318" t="s">
        <v>418</v>
      </c>
      <c r="S906" s="303">
        <f t="shared" si="15"/>
        <v>15795578.288616002</v>
      </c>
      <c r="T906" s="307">
        <f>+IFERROR(VLOOKUP(C906,'Tasas Diarias'!$B:$F,5,FALSE)*G906,0)</f>
        <v>0</v>
      </c>
      <c r="U906" s="311" t="str">
        <f ca="1">+VLOOKUP(C906,Spreads!$A$2:$G$345,7,0)</f>
        <v/>
      </c>
    </row>
    <row r="907" spans="1:21" ht="15.75" hidden="1" customHeight="1" thickTop="1" thickBot="1">
      <c r="A907" s="321" t="s">
        <v>2137</v>
      </c>
      <c r="B907" s="322" t="s">
        <v>298</v>
      </c>
      <c r="C907" s="322" t="s">
        <v>419</v>
      </c>
      <c r="D907" s="322" t="s">
        <v>420</v>
      </c>
      <c r="E907" s="323">
        <v>7803773.9596999995</v>
      </c>
      <c r="F907" s="323"/>
      <c r="G907" s="314">
        <v>8.8999999999999995E-5</v>
      </c>
      <c r="H907" s="324">
        <v>1.7</v>
      </c>
      <c r="I907" s="322" t="s">
        <v>416</v>
      </c>
      <c r="J907" s="322">
        <v>299</v>
      </c>
      <c r="K907" s="322">
        <v>0.56000000000000005</v>
      </c>
      <c r="L907" s="322">
        <v>101.58</v>
      </c>
      <c r="M907" s="322" t="s">
        <v>6</v>
      </c>
      <c r="N907" s="322" t="s">
        <v>368</v>
      </c>
      <c r="O907" s="322" t="s">
        <v>421</v>
      </c>
      <c r="P907" s="322" t="s">
        <v>417</v>
      </c>
      <c r="Q907" s="322" t="s">
        <v>422</v>
      </c>
      <c r="R907" s="322" t="s">
        <v>423</v>
      </c>
      <c r="S907" s="303">
        <f t="shared" si="15"/>
        <v>4370113.4174319999</v>
      </c>
      <c r="T907" s="307">
        <f>+IFERROR(VLOOKUP(C907,'Tasas Diarias'!$B:$F,5,FALSE)*G907,0)</f>
        <v>1.1041616764955943E-8</v>
      </c>
      <c r="U907" s="311" t="str">
        <f ca="1">+VLOOKUP(C907,Spreads!$A$2:$G$345,7,0)</f>
        <v/>
      </c>
    </row>
    <row r="908" spans="1:21" ht="15.75" hidden="1" customHeight="1" thickTop="1" thickBot="1">
      <c r="A908" s="321" t="s">
        <v>2137</v>
      </c>
      <c r="B908" s="322" t="s">
        <v>298</v>
      </c>
      <c r="C908" s="322" t="s">
        <v>455</v>
      </c>
      <c r="D908" s="322" t="s">
        <v>16</v>
      </c>
      <c r="E908" s="323">
        <v>36406190.734499998</v>
      </c>
      <c r="F908" s="323"/>
      <c r="G908" s="314">
        <v>4.15E-4</v>
      </c>
      <c r="H908" s="324">
        <v>1.1599999999999999</v>
      </c>
      <c r="I908" s="322" t="s">
        <v>456</v>
      </c>
      <c r="J908" s="322">
        <v>223</v>
      </c>
      <c r="K908" s="322">
        <v>0.6</v>
      </c>
      <c r="L908" s="322">
        <v>101.41</v>
      </c>
      <c r="M908" s="322" t="s">
        <v>6</v>
      </c>
      <c r="N908" s="322" t="s">
        <v>368</v>
      </c>
      <c r="O908" s="322" t="s">
        <v>8</v>
      </c>
      <c r="P908" s="322" t="s">
        <v>379</v>
      </c>
      <c r="Q908" s="322" t="s">
        <v>61</v>
      </c>
      <c r="R908" s="322" t="s">
        <v>394</v>
      </c>
      <c r="S908" s="303">
        <f t="shared" si="15"/>
        <v>21843714.440699998</v>
      </c>
      <c r="T908" s="307">
        <f>+IFERROR(VLOOKUP(C908,'Tasas Diarias'!$B:$F,5,FALSE)*G908,0)</f>
        <v>1.0956632982119477E-7</v>
      </c>
      <c r="U908" s="311" t="str">
        <f ca="1">+VLOOKUP(C908,Spreads!$A$2:$G$345,7,0)</f>
        <v/>
      </c>
    </row>
    <row r="909" spans="1:21" ht="15.75" hidden="1" customHeight="1" thickTop="1" thickBot="1">
      <c r="A909" s="321" t="s">
        <v>2137</v>
      </c>
      <c r="B909" s="322" t="s">
        <v>298</v>
      </c>
      <c r="C909" s="322" t="s">
        <v>546</v>
      </c>
      <c r="D909" s="322" t="s">
        <v>173</v>
      </c>
      <c r="E909" s="323">
        <v>36141586.178900003</v>
      </c>
      <c r="F909" s="323"/>
      <c r="G909" s="314">
        <v>4.1100000000000002E-4</v>
      </c>
      <c r="H909" s="324">
        <v>1.21</v>
      </c>
      <c r="I909" s="322" t="s">
        <v>456</v>
      </c>
      <c r="J909" s="322">
        <v>223</v>
      </c>
      <c r="K909" s="322">
        <v>0.61</v>
      </c>
      <c r="L909" s="322">
        <v>99.27</v>
      </c>
      <c r="M909" s="322" t="s">
        <v>6</v>
      </c>
      <c r="N909" s="322" t="s">
        <v>368</v>
      </c>
      <c r="O909" s="322" t="s">
        <v>8</v>
      </c>
      <c r="P909" s="322" t="s">
        <v>444</v>
      </c>
      <c r="Q909" s="322" t="s">
        <v>55</v>
      </c>
      <c r="R909" s="322" t="s">
        <v>445</v>
      </c>
      <c r="S909" s="303">
        <f t="shared" si="15"/>
        <v>22046367.569129001</v>
      </c>
      <c r="T909" s="307">
        <f>+IFERROR(VLOOKUP(C909,'Tasas Diarias'!$B:$F,5,FALSE)*G909,0)</f>
        <v>1.9232547945205454E-7</v>
      </c>
      <c r="U909" s="311" t="str">
        <f ca="1">+VLOOKUP(C909,Spreads!$A$2:$G$345,7,0)</f>
        <v/>
      </c>
    </row>
    <row r="910" spans="1:21" ht="15.75" hidden="1" customHeight="1" thickTop="1" thickBot="1">
      <c r="A910" s="317" t="s">
        <v>2137</v>
      </c>
      <c r="B910" s="318" t="s">
        <v>298</v>
      </c>
      <c r="C910" s="318" t="s">
        <v>1105</v>
      </c>
      <c r="D910" s="318" t="s">
        <v>179</v>
      </c>
      <c r="E910" s="319">
        <v>17096837</v>
      </c>
      <c r="F910" s="319">
        <v>5310</v>
      </c>
      <c r="G910" s="314">
        <v>1.94E-4</v>
      </c>
      <c r="H910" s="320">
        <v>2.34</v>
      </c>
      <c r="I910" s="318" t="s">
        <v>557</v>
      </c>
      <c r="J910" s="318">
        <v>407</v>
      </c>
      <c r="K910" s="318">
        <v>0.63</v>
      </c>
      <c r="L910" s="318">
        <v>101.55</v>
      </c>
      <c r="M910" s="318" t="s">
        <v>6</v>
      </c>
      <c r="N910" s="318" t="s">
        <v>1095</v>
      </c>
      <c r="O910" s="318" t="s">
        <v>8</v>
      </c>
      <c r="P910" s="318" t="s">
        <v>392</v>
      </c>
      <c r="Q910" s="318" t="s">
        <v>28</v>
      </c>
      <c r="R910" s="318" t="s">
        <v>1106</v>
      </c>
      <c r="S910" s="303">
        <f t="shared" si="15"/>
        <v>10771007.310000001</v>
      </c>
      <c r="T910" s="307">
        <f>+IFERROR(VLOOKUP(C910,'Tasas Diarias'!$B:$F,5,FALSE)*G910,0)</f>
        <v>9.2947351670965973E-8</v>
      </c>
      <c r="U910" s="311" t="e">
        <f>+VLOOKUP(C910,Spreads!$A$2:$G$345,7,0)</f>
        <v>#N/A</v>
      </c>
    </row>
    <row r="911" spans="1:21" ht="15.75" hidden="1" customHeight="1" thickTop="1" thickBot="1">
      <c r="A911" s="321" t="s">
        <v>2137</v>
      </c>
      <c r="B911" s="322" t="s">
        <v>298</v>
      </c>
      <c r="C911" s="322" t="s">
        <v>22</v>
      </c>
      <c r="D911" s="322" t="s">
        <v>171</v>
      </c>
      <c r="E911" s="323">
        <v>46742872.905299999</v>
      </c>
      <c r="F911" s="323">
        <v>47760933.013204202</v>
      </c>
      <c r="G911" s="314">
        <v>5.3200000000000003E-4</v>
      </c>
      <c r="H911" s="324">
        <v>3.24</v>
      </c>
      <c r="I911" s="322" t="s">
        <v>1566</v>
      </c>
      <c r="J911" s="322">
        <v>241</v>
      </c>
      <c r="K911" s="322">
        <v>0.66</v>
      </c>
      <c r="L911" s="322">
        <v>97.868425000000002</v>
      </c>
      <c r="M911" s="322" t="s">
        <v>9</v>
      </c>
      <c r="N911" s="322" t="s">
        <v>374</v>
      </c>
      <c r="O911" s="322" t="s">
        <v>8</v>
      </c>
      <c r="P911" s="322" t="s">
        <v>375</v>
      </c>
      <c r="Q911" s="322" t="s">
        <v>88</v>
      </c>
      <c r="R911" s="322" t="s">
        <v>381</v>
      </c>
      <c r="S911" s="303">
        <f t="shared" si="15"/>
        <v>30850296.117497999</v>
      </c>
      <c r="T911" s="307">
        <f>+IFERROR(VLOOKUP(C911,'Tasas Diarias'!$B:$F,5,FALSE)*G911,0)</f>
        <v>0</v>
      </c>
      <c r="U911" s="311" t="str">
        <f>+VLOOKUP(C911,Spreads!$A$2:$G$345,7,0)</f>
        <v/>
      </c>
    </row>
    <row r="912" spans="1:21" ht="15.75" hidden="1" customHeight="1" thickTop="1" thickBot="1">
      <c r="A912" s="321" t="s">
        <v>2137</v>
      </c>
      <c r="B912" s="322" t="s">
        <v>298</v>
      </c>
      <c r="C912" s="322" t="s">
        <v>547</v>
      </c>
      <c r="D912" s="322" t="s">
        <v>168</v>
      </c>
      <c r="E912" s="323">
        <v>4852743.5559</v>
      </c>
      <c r="F912" s="323"/>
      <c r="G912" s="314">
        <v>5.5000000000000002E-5</v>
      </c>
      <c r="H912" s="324">
        <v>1.1000000000000001</v>
      </c>
      <c r="I912" s="322" t="s">
        <v>457</v>
      </c>
      <c r="J912" s="322">
        <v>254</v>
      </c>
      <c r="K912" s="322">
        <v>0.69</v>
      </c>
      <c r="L912" s="322">
        <v>101.56</v>
      </c>
      <c r="M912" s="322" t="s">
        <v>6</v>
      </c>
      <c r="N912" s="322" t="s">
        <v>368</v>
      </c>
      <c r="O912" s="322" t="s">
        <v>8</v>
      </c>
      <c r="P912" s="322" t="s">
        <v>379</v>
      </c>
      <c r="Q912" s="322" t="s">
        <v>77</v>
      </c>
      <c r="R912" s="322" t="s">
        <v>453</v>
      </c>
      <c r="S912" s="303">
        <f t="shared" si="15"/>
        <v>3348393.0535709998</v>
      </c>
      <c r="T912" s="307">
        <f>+IFERROR(VLOOKUP(C912,'Tasas Diarias'!$B:$F,5,FALSE)*G912,0)</f>
        <v>1.2296781737084306E-8</v>
      </c>
      <c r="U912" s="311" t="str">
        <f ca="1">+VLOOKUP(C912,Spreads!$A$2:$G$345,7,0)</f>
        <v/>
      </c>
    </row>
    <row r="913" spans="1:21" ht="15.75" hidden="1" customHeight="1" thickTop="1" thickBot="1">
      <c r="A913" s="317" t="s">
        <v>2137</v>
      </c>
      <c r="B913" s="318" t="s">
        <v>298</v>
      </c>
      <c r="C913" s="318" t="s">
        <v>426</v>
      </c>
      <c r="D913" s="318" t="s">
        <v>427</v>
      </c>
      <c r="E913" s="319">
        <v>27724298.269099999</v>
      </c>
      <c r="F913" s="319">
        <v>500</v>
      </c>
      <c r="G913" s="314">
        <v>3.1500000000000001E-4</v>
      </c>
      <c r="H913" s="320">
        <v>1.72</v>
      </c>
      <c r="I913" s="318" t="s">
        <v>428</v>
      </c>
      <c r="J913" s="318">
        <v>350</v>
      </c>
      <c r="K913" s="318">
        <v>0.7</v>
      </c>
      <c r="L913" s="318">
        <v>101.23</v>
      </c>
      <c r="M913" s="318" t="s">
        <v>6</v>
      </c>
      <c r="N913" s="318" t="s">
        <v>368</v>
      </c>
      <c r="O913" s="318" t="s">
        <v>429</v>
      </c>
      <c r="P913" s="318" t="s">
        <v>392</v>
      </c>
      <c r="Q913" s="318" t="s">
        <v>430</v>
      </c>
      <c r="R913" s="318" t="s">
        <v>431</v>
      </c>
      <c r="S913" s="303">
        <f t="shared" si="15"/>
        <v>19407008.788369998</v>
      </c>
      <c r="T913" s="307">
        <f>+IFERROR(VLOOKUP(C913,'Tasas Diarias'!$B:$F,5,FALSE)*G913,0)</f>
        <v>3.1855487092200479E-8</v>
      </c>
      <c r="U913" s="311" t="str">
        <f ca="1">+VLOOKUP(C913,Spreads!$A$2:$G$345,7,0)</f>
        <v/>
      </c>
    </row>
    <row r="914" spans="1:21" ht="15.75" hidden="1" customHeight="1" thickTop="1" thickBot="1">
      <c r="A914" s="317" t="s">
        <v>2137</v>
      </c>
      <c r="B914" s="318" t="s">
        <v>298</v>
      </c>
      <c r="C914" s="318" t="s">
        <v>451</v>
      </c>
      <c r="D914" s="318" t="s">
        <v>175</v>
      </c>
      <c r="E914" s="319">
        <v>70143157.609300002</v>
      </c>
      <c r="F914" s="319">
        <v>1000</v>
      </c>
      <c r="G914" s="314">
        <v>7.9799999999999999E-4</v>
      </c>
      <c r="H914" s="320">
        <v>2.57</v>
      </c>
      <c r="I914" s="318" t="s">
        <v>452</v>
      </c>
      <c r="J914" s="318">
        <v>558</v>
      </c>
      <c r="K914" s="318">
        <v>0.76</v>
      </c>
      <c r="L914" s="318">
        <v>100.87</v>
      </c>
      <c r="M914" s="318" t="s">
        <v>6</v>
      </c>
      <c r="N914" s="318" t="s">
        <v>368</v>
      </c>
      <c r="O914" s="318" t="s">
        <v>8</v>
      </c>
      <c r="P914" s="318" t="s">
        <v>392</v>
      </c>
      <c r="Q914" s="318" t="s">
        <v>66</v>
      </c>
      <c r="R914" s="318" t="s">
        <v>418</v>
      </c>
      <c r="S914" s="303">
        <f t="shared" si="15"/>
        <v>53308799.783068001</v>
      </c>
      <c r="T914" s="307">
        <f>+IFERROR(VLOOKUP(C914,'Tasas Diarias'!$B:$F,5,FALSE)*G914,0)</f>
        <v>1.9563562543401408E-7</v>
      </c>
      <c r="U914" s="311" t="str">
        <f ca="1">+VLOOKUP(C914,Spreads!$A$2:$G$345,7,0)</f>
        <v/>
      </c>
    </row>
    <row r="915" spans="1:21" ht="15.75" hidden="1" customHeight="1" thickTop="1" thickBot="1">
      <c r="A915" s="317" t="s">
        <v>2137</v>
      </c>
      <c r="B915" s="318" t="s">
        <v>298</v>
      </c>
      <c r="C915" s="318" t="s">
        <v>555</v>
      </c>
      <c r="D915" s="318" t="s">
        <v>294</v>
      </c>
      <c r="E915" s="319">
        <v>44979692.303599998</v>
      </c>
      <c r="F915" s="319">
        <v>1500</v>
      </c>
      <c r="G915" s="314">
        <v>5.1199999999999998E-4</v>
      </c>
      <c r="H915" s="339">
        <v>1.29</v>
      </c>
      <c r="I915" s="318" t="s">
        <v>554</v>
      </c>
      <c r="J915" s="318">
        <v>315</v>
      </c>
      <c r="K915" s="318">
        <v>0.85</v>
      </c>
      <c r="L915" s="318">
        <v>101.86</v>
      </c>
      <c r="M915" s="318" t="s">
        <v>6</v>
      </c>
      <c r="N915" s="318" t="s">
        <v>368</v>
      </c>
      <c r="O915" s="318" t="s">
        <v>8</v>
      </c>
      <c r="P915" s="318" t="s">
        <v>379</v>
      </c>
      <c r="Q915" s="318" t="s">
        <v>74</v>
      </c>
      <c r="R915" s="318" t="s">
        <v>407</v>
      </c>
      <c r="S915" s="303">
        <f t="shared" si="15"/>
        <v>38232738.458059996</v>
      </c>
      <c r="T915" s="307">
        <f>+IFERROR(VLOOKUP(C915,'Tasas Diarias'!$B:$F,5,FALSE)*G915,0)</f>
        <v>-4.6697437252099896E-8</v>
      </c>
      <c r="U915" s="311" t="str">
        <f ca="1">+VLOOKUP(C915,Spreads!$A$2:$G$345,7,0)</f>
        <v/>
      </c>
    </row>
    <row r="916" spans="1:21" ht="15.75" hidden="1" customHeight="1" thickTop="1" thickBot="1">
      <c r="A916" s="317" t="s">
        <v>2137</v>
      </c>
      <c r="B916" s="318" t="s">
        <v>298</v>
      </c>
      <c r="C916" s="318" t="s">
        <v>542</v>
      </c>
      <c r="D916" s="318" t="s">
        <v>543</v>
      </c>
      <c r="E916" s="319">
        <v>20794026.033399999</v>
      </c>
      <c r="F916" s="319"/>
      <c r="G916" s="314">
        <v>2.3699999999999999E-4</v>
      </c>
      <c r="H916" s="318">
        <v>1.9</v>
      </c>
      <c r="I916" s="318" t="s">
        <v>480</v>
      </c>
      <c r="J916" s="318">
        <v>497</v>
      </c>
      <c r="K916" s="318">
        <v>0.85</v>
      </c>
      <c r="L916" s="318">
        <v>101.17</v>
      </c>
      <c r="M916" s="318" t="s">
        <v>6</v>
      </c>
      <c r="N916" s="318" t="s">
        <v>368</v>
      </c>
      <c r="O916" s="318" t="s">
        <v>1347</v>
      </c>
      <c r="P916" s="318" t="s">
        <v>444</v>
      </c>
      <c r="Q916" s="318" t="s">
        <v>544</v>
      </c>
      <c r="R916" s="318" t="s">
        <v>545</v>
      </c>
      <c r="S916" s="303">
        <f t="shared" si="15"/>
        <v>17674922.128389999</v>
      </c>
      <c r="T916" s="307">
        <f>+IFERROR(VLOOKUP(C916,'Tasas Diarias'!$B:$F,5,FALSE)*G916,0)</f>
        <v>4.318227967267489E-8</v>
      </c>
      <c r="U916" s="311" t="str">
        <f ca="1">+VLOOKUP(C916,Spreads!$A$2:$G$345,7,0)</f>
        <v/>
      </c>
    </row>
    <row r="917" spans="1:21" ht="15.75" hidden="1" customHeight="1" thickTop="1" thickBot="1">
      <c r="A917" s="321" t="s">
        <v>2137</v>
      </c>
      <c r="B917" s="322" t="s">
        <v>298</v>
      </c>
      <c r="C917" s="322" t="s">
        <v>553</v>
      </c>
      <c r="D917" s="322" t="s">
        <v>168</v>
      </c>
      <c r="E917" s="323">
        <v>37788073.122199997</v>
      </c>
      <c r="F917" s="323"/>
      <c r="G917" s="314">
        <v>4.2999999999999999E-4</v>
      </c>
      <c r="H917" s="324">
        <v>1.21</v>
      </c>
      <c r="I917" s="322" t="s">
        <v>554</v>
      </c>
      <c r="J917" s="322">
        <v>315</v>
      </c>
      <c r="K917" s="322">
        <v>0.86</v>
      </c>
      <c r="L917" s="322">
        <v>101.68</v>
      </c>
      <c r="M917" s="322" t="s">
        <v>6</v>
      </c>
      <c r="N917" s="322" t="s">
        <v>368</v>
      </c>
      <c r="O917" s="322" t="s">
        <v>8</v>
      </c>
      <c r="P917" s="322" t="s">
        <v>379</v>
      </c>
      <c r="Q917" s="322" t="s">
        <v>77</v>
      </c>
      <c r="R917" s="322" t="s">
        <v>453</v>
      </c>
      <c r="S917" s="303">
        <f t="shared" si="15"/>
        <v>32497742.885091998</v>
      </c>
      <c r="T917" s="307">
        <f>+IFERROR(VLOOKUP(C917,'Tasas Diarias'!$B:$F,5,FALSE)*G917,0)</f>
        <v>0</v>
      </c>
      <c r="U917" s="311" t="str">
        <f ca="1">+VLOOKUP(C917,Spreads!$A$2:$G$345,7,0)</f>
        <v/>
      </c>
    </row>
    <row r="918" spans="1:21" ht="15.75" hidden="1" customHeight="1" thickTop="1" thickBot="1">
      <c r="A918" s="317" t="s">
        <v>2137</v>
      </c>
      <c r="B918" s="318" t="s">
        <v>298</v>
      </c>
      <c r="C918" s="318" t="s">
        <v>438</v>
      </c>
      <c r="D918" s="318" t="s">
        <v>24</v>
      </c>
      <c r="E918" s="319">
        <v>1564081.8203</v>
      </c>
      <c r="F918" s="319"/>
      <c r="G918" s="314">
        <v>1.8E-5</v>
      </c>
      <c r="H918" s="320">
        <v>1.46</v>
      </c>
      <c r="I918" s="318" t="s">
        <v>439</v>
      </c>
      <c r="J918" s="318">
        <v>588</v>
      </c>
      <c r="K918" s="318">
        <v>0.86</v>
      </c>
      <c r="L918" s="318">
        <v>101.29</v>
      </c>
      <c r="M918" s="318" t="s">
        <v>6</v>
      </c>
      <c r="N918" s="318" t="s">
        <v>368</v>
      </c>
      <c r="O918" s="318" t="s">
        <v>8</v>
      </c>
      <c r="P918" s="318" t="s">
        <v>392</v>
      </c>
      <c r="Q918" s="318" t="s">
        <v>51</v>
      </c>
      <c r="R918" s="318" t="s">
        <v>414</v>
      </c>
      <c r="S918" s="303">
        <f t="shared" si="15"/>
        <v>1345110.365458</v>
      </c>
      <c r="T918" s="307">
        <f>+IFERROR(VLOOKUP(C918,'Tasas Diarias'!$B:$F,5,FALSE)*G918,0)</f>
        <v>3.293870713220284E-9</v>
      </c>
      <c r="U918" s="311" t="str">
        <f ca="1">+VLOOKUP(C918,Spreads!$A$2:$G$345,7,0)</f>
        <v/>
      </c>
    </row>
    <row r="919" spans="1:21" ht="15.75" hidden="1" customHeight="1" thickTop="1" thickBot="1">
      <c r="A919" s="317" t="s">
        <v>2137</v>
      </c>
      <c r="B919" s="318" t="s">
        <v>298</v>
      </c>
      <c r="C919" s="318" t="s">
        <v>463</v>
      </c>
      <c r="D919" s="318" t="s">
        <v>464</v>
      </c>
      <c r="E919" s="319">
        <v>98092398.515400007</v>
      </c>
      <c r="F919" s="319">
        <v>96657540.524193078</v>
      </c>
      <c r="G919" s="314">
        <v>1.1169999999999999E-3</v>
      </c>
      <c r="H919" s="320">
        <v>3.71</v>
      </c>
      <c r="I919" s="318" t="s">
        <v>465</v>
      </c>
      <c r="J919" s="318">
        <v>329</v>
      </c>
      <c r="K919" s="318">
        <v>0.89</v>
      </c>
      <c r="L919" s="318">
        <v>101.02</v>
      </c>
      <c r="M919" s="318" t="s">
        <v>9</v>
      </c>
      <c r="N919" s="318" t="s">
        <v>368</v>
      </c>
      <c r="O919" s="318" t="s">
        <v>8</v>
      </c>
      <c r="P919" s="318" t="s">
        <v>379</v>
      </c>
      <c r="Q919" s="318" t="s">
        <v>466</v>
      </c>
      <c r="R919" s="318" t="s">
        <v>467</v>
      </c>
      <c r="S919" s="303">
        <f t="shared" si="15"/>
        <v>87302234.678706005</v>
      </c>
      <c r="T919" s="307">
        <f>+IFERROR(VLOOKUP(C919,'Tasas Diarias'!$B:$F,5,FALSE)*G919,0)</f>
        <v>-1.0579350162507417E-7</v>
      </c>
      <c r="U919" s="311" t="str">
        <f ca="1">+VLOOKUP(C919,Spreads!$A$2:$G$345,7,0)</f>
        <v/>
      </c>
    </row>
    <row r="920" spans="1:21" ht="15.75" hidden="1" customHeight="1" thickTop="1" thickBot="1">
      <c r="A920" s="321" t="s">
        <v>2137</v>
      </c>
      <c r="B920" s="322" t="s">
        <v>298</v>
      </c>
      <c r="C920" s="322" t="s">
        <v>1208</v>
      </c>
      <c r="D920" s="322" t="s">
        <v>1209</v>
      </c>
      <c r="E920" s="323">
        <v>44636653</v>
      </c>
      <c r="F920" s="323">
        <v>10000</v>
      </c>
      <c r="G920" s="314">
        <v>5.0799999999999999E-4</v>
      </c>
      <c r="H920" s="324">
        <v>1.31</v>
      </c>
      <c r="I920" s="322" t="s">
        <v>1210</v>
      </c>
      <c r="J920" s="322">
        <v>3298</v>
      </c>
      <c r="K920" s="322">
        <v>0.9</v>
      </c>
      <c r="L920" s="322">
        <v>100.26</v>
      </c>
      <c r="M920" s="322" t="s">
        <v>6</v>
      </c>
      <c r="N920" s="322" t="s">
        <v>368</v>
      </c>
      <c r="O920" s="322" t="s">
        <v>1347</v>
      </c>
      <c r="P920" s="322" t="s">
        <v>444</v>
      </c>
      <c r="Q920" s="322" t="s">
        <v>75</v>
      </c>
      <c r="R920" s="322" t="s">
        <v>1211</v>
      </c>
      <c r="S920" s="303">
        <f t="shared" si="15"/>
        <v>40172987.700000003</v>
      </c>
      <c r="T920" s="307">
        <f>+IFERROR(VLOOKUP(C920,'Tasas Diarias'!$B:$F,5,FALSE)*G920,0)</f>
        <v>2.9207189318257078E-7</v>
      </c>
      <c r="U920" s="311" t="str">
        <f ca="1">+VLOOKUP(C920,Spreads!$A$2:$G$345,7,0)</f>
        <v/>
      </c>
    </row>
    <row r="921" spans="1:21" ht="15.75" hidden="1" customHeight="1" thickTop="1" thickBot="1">
      <c r="A921" s="321" t="s">
        <v>2137</v>
      </c>
      <c r="B921" s="322" t="s">
        <v>298</v>
      </c>
      <c r="C921" s="322" t="s">
        <v>2116</v>
      </c>
      <c r="D921" s="322" t="s">
        <v>50</v>
      </c>
      <c r="E921" s="323">
        <v>1308252.9628000001</v>
      </c>
      <c r="F921" s="323">
        <v>2554445.668148336</v>
      </c>
      <c r="G921" s="314">
        <v>1.5E-5</v>
      </c>
      <c r="H921" s="324">
        <v>3.89</v>
      </c>
      <c r="I921" s="322" t="s">
        <v>2117</v>
      </c>
      <c r="J921" s="322">
        <v>541</v>
      </c>
      <c r="K921" s="322">
        <v>0.97</v>
      </c>
      <c r="L921" s="322">
        <v>102.35</v>
      </c>
      <c r="M921" s="322" t="s">
        <v>9</v>
      </c>
      <c r="N921" s="322" t="s">
        <v>368</v>
      </c>
      <c r="O921" s="322" t="s">
        <v>429</v>
      </c>
      <c r="P921" s="322" t="s">
        <v>25</v>
      </c>
      <c r="Q921" s="322" t="s">
        <v>899</v>
      </c>
      <c r="R921" s="322" t="s">
        <v>900</v>
      </c>
      <c r="S921" s="303">
        <f t="shared" si="15"/>
        <v>1269005.3739160001</v>
      </c>
      <c r="T921" s="307">
        <f>+IFERROR(VLOOKUP(C921,'Tasas Diarias'!$B:$F,5,FALSE)*G921,0)</f>
        <v>0</v>
      </c>
      <c r="U921" s="311" t="e">
        <f>+VLOOKUP(C921,Spreads!$A$2:$G$345,7,0)</f>
        <v>#N/A</v>
      </c>
    </row>
    <row r="922" spans="1:21" ht="15.75" hidden="1" customHeight="1" thickTop="1" thickBot="1">
      <c r="A922" s="321" t="s">
        <v>2137</v>
      </c>
      <c r="B922" s="322" t="s">
        <v>298</v>
      </c>
      <c r="C922" s="322" t="s">
        <v>548</v>
      </c>
      <c r="D922" s="322" t="s">
        <v>10</v>
      </c>
      <c r="E922" s="323">
        <v>497589155.59100002</v>
      </c>
      <c r="F922" s="323">
        <v>745764410.33186185</v>
      </c>
      <c r="G922" s="314">
        <v>5.6629999999999996E-3</v>
      </c>
      <c r="H922" s="324">
        <v>6.81</v>
      </c>
      <c r="I922" s="322" t="s">
        <v>501</v>
      </c>
      <c r="J922" s="322">
        <v>954</v>
      </c>
      <c r="K922" s="322">
        <v>0.98</v>
      </c>
      <c r="L922" s="322">
        <v>100.17</v>
      </c>
      <c r="M922" s="322" t="s">
        <v>9</v>
      </c>
      <c r="N922" s="322" t="s">
        <v>368</v>
      </c>
      <c r="O922" s="322" t="s">
        <v>8</v>
      </c>
      <c r="P922" s="322" t="s">
        <v>7</v>
      </c>
      <c r="Q922" s="322" t="s">
        <v>56</v>
      </c>
      <c r="R922" s="322" t="s">
        <v>445</v>
      </c>
      <c r="S922" s="303">
        <f t="shared" si="15"/>
        <v>487637372.47918004</v>
      </c>
      <c r="T922" s="307">
        <f>+IFERROR(VLOOKUP(C922,'Tasas Diarias'!$B:$F,5,FALSE)*G922,0)</f>
        <v>-5.8930541719209423E-7</v>
      </c>
      <c r="U922" s="311" t="str">
        <f ca="1">+VLOOKUP(C922,Spreads!$A$2:$G$345,7,0)</f>
        <v/>
      </c>
    </row>
    <row r="923" spans="1:21" ht="15.75" hidden="1" customHeight="1" thickTop="1" thickBot="1">
      <c r="A923" s="317" t="s">
        <v>2137</v>
      </c>
      <c r="B923" s="318" t="s">
        <v>298</v>
      </c>
      <c r="C923" s="318" t="s">
        <v>1086</v>
      </c>
      <c r="D923" s="318" t="s">
        <v>39</v>
      </c>
      <c r="E923" s="319">
        <v>1711732.8485999999</v>
      </c>
      <c r="F923" s="319"/>
      <c r="G923" s="314">
        <v>1.9000000000000001E-5</v>
      </c>
      <c r="H923" s="320">
        <v>2.79</v>
      </c>
      <c r="I923" s="318" t="s">
        <v>578</v>
      </c>
      <c r="J923" s="318">
        <v>650</v>
      </c>
      <c r="K923" s="318">
        <v>1.01</v>
      </c>
      <c r="L923" s="318">
        <v>99.72</v>
      </c>
      <c r="M923" s="318" t="s">
        <v>6</v>
      </c>
      <c r="N923" s="318" t="s">
        <v>368</v>
      </c>
      <c r="O923" s="318" t="s">
        <v>8</v>
      </c>
      <c r="P923" s="318" t="s">
        <v>801</v>
      </c>
      <c r="Q923" s="318" t="s">
        <v>69</v>
      </c>
      <c r="R923" s="318" t="s">
        <v>815</v>
      </c>
      <c r="S923" s="303">
        <f t="shared" si="15"/>
        <v>1728850.1770859999</v>
      </c>
      <c r="T923" s="307">
        <f>+IFERROR(VLOOKUP(C923,'Tasas Diarias'!$B:$F,5,FALSE)*G923,0)</f>
        <v>6.0919611204996805E-9</v>
      </c>
      <c r="U923" s="311" t="str">
        <f ca="1">+VLOOKUP(C923,Spreads!$A$2:$G$345,7,0)</f>
        <v/>
      </c>
    </row>
    <row r="924" spans="1:21" ht="15.75" hidden="1" customHeight="1" thickTop="1" thickBot="1">
      <c r="A924" s="317" t="s">
        <v>2137</v>
      </c>
      <c r="B924" s="318" t="s">
        <v>298</v>
      </c>
      <c r="C924" s="318" t="s">
        <v>1057</v>
      </c>
      <c r="D924" s="318" t="s">
        <v>1209</v>
      </c>
      <c r="E924" s="319">
        <v>9052944</v>
      </c>
      <c r="F924" s="319">
        <v>1000</v>
      </c>
      <c r="G924" s="314">
        <v>1.03E-4</v>
      </c>
      <c r="H924" s="320">
        <v>1.74</v>
      </c>
      <c r="I924" s="318" t="s">
        <v>2127</v>
      </c>
      <c r="J924" s="318">
        <v>669</v>
      </c>
      <c r="K924" s="318">
        <v>1.07</v>
      </c>
      <c r="L924" s="318">
        <v>101.33</v>
      </c>
      <c r="M924" s="318" t="s">
        <v>6</v>
      </c>
      <c r="N924" s="318" t="s">
        <v>368</v>
      </c>
      <c r="O924" s="318" t="s">
        <v>1347</v>
      </c>
      <c r="P924" s="318" t="s">
        <v>444</v>
      </c>
      <c r="Q924" s="318" t="s">
        <v>75</v>
      </c>
      <c r="R924" s="318" t="s">
        <v>2128</v>
      </c>
      <c r="S924" s="303">
        <f t="shared" si="15"/>
        <v>9686650.0800000001</v>
      </c>
      <c r="T924" s="307">
        <f>+IFERROR(VLOOKUP(C924,'Tasas Diarias'!$B:$F,5,FALSE)*G924,0)</f>
        <v>0</v>
      </c>
      <c r="U924" s="311" t="e">
        <f>+VLOOKUP(C924,Spreads!$A$2:$G$345,7,0)</f>
        <v>#N/A</v>
      </c>
    </row>
    <row r="925" spans="1:21" ht="15.75" hidden="1" customHeight="1" thickTop="1" thickBot="1">
      <c r="A925" s="321" t="s">
        <v>2137</v>
      </c>
      <c r="B925" s="322" t="s">
        <v>298</v>
      </c>
      <c r="C925" s="322" t="s">
        <v>78</v>
      </c>
      <c r="D925" s="322" t="s">
        <v>116</v>
      </c>
      <c r="E925" s="323">
        <v>275906710</v>
      </c>
      <c r="F925" s="323">
        <v>10000</v>
      </c>
      <c r="G925" s="314">
        <v>3.14E-3</v>
      </c>
      <c r="H925" s="324">
        <v>0.93</v>
      </c>
      <c r="I925" s="322" t="s">
        <v>557</v>
      </c>
      <c r="J925" s="322">
        <v>407</v>
      </c>
      <c r="K925" s="322">
        <v>1.0900000000000001</v>
      </c>
      <c r="L925" s="322">
        <v>102.26</v>
      </c>
      <c r="M925" s="322" t="s">
        <v>6</v>
      </c>
      <c r="N925" s="322" t="s">
        <v>458</v>
      </c>
      <c r="O925" s="322" t="s">
        <v>378</v>
      </c>
      <c r="P925" s="322" t="s">
        <v>379</v>
      </c>
      <c r="Q925" s="322" t="s">
        <v>2139</v>
      </c>
      <c r="R925" s="322" t="s">
        <v>508</v>
      </c>
      <c r="S925" s="303">
        <f t="shared" si="15"/>
        <v>300738313.90000004</v>
      </c>
      <c r="T925" s="307">
        <f>+IFERROR(VLOOKUP(C925,'Tasas Diarias'!$B:$F,5,FALSE)*G925,0)</f>
        <v>1.4454166097618136E-6</v>
      </c>
      <c r="U925" s="311" t="str">
        <f>+VLOOKUP(C925,Spreads!$A$2:$G$345,7,0)</f>
        <v/>
      </c>
    </row>
    <row r="926" spans="1:21" ht="15.75" hidden="1" customHeight="1" thickTop="1" thickBot="1">
      <c r="A926" s="321" t="s">
        <v>2137</v>
      </c>
      <c r="B926" s="322" t="s">
        <v>298</v>
      </c>
      <c r="C926" s="322" t="s">
        <v>1265</v>
      </c>
      <c r="D926" s="322" t="s">
        <v>294</v>
      </c>
      <c r="E926" s="323">
        <v>53804941.364799999</v>
      </c>
      <c r="F926" s="323">
        <v>1500</v>
      </c>
      <c r="G926" s="314">
        <v>6.1200000000000002E-4</v>
      </c>
      <c r="H926" s="324">
        <v>1.24</v>
      </c>
      <c r="I926" s="322" t="s">
        <v>557</v>
      </c>
      <c r="J926" s="322">
        <v>407</v>
      </c>
      <c r="K926" s="322">
        <v>1.0900000000000001</v>
      </c>
      <c r="L926" s="322">
        <v>102.42</v>
      </c>
      <c r="M926" s="322" t="s">
        <v>6</v>
      </c>
      <c r="N926" s="322" t="s">
        <v>368</v>
      </c>
      <c r="O926" s="322" t="s">
        <v>8</v>
      </c>
      <c r="P926" s="322" t="s">
        <v>379</v>
      </c>
      <c r="Q926" s="322" t="s">
        <v>74</v>
      </c>
      <c r="R926" s="322" t="s">
        <v>407</v>
      </c>
      <c r="S926" s="303">
        <f t="shared" si="15"/>
        <v>58647386.087632</v>
      </c>
      <c r="T926" s="307">
        <f>+IFERROR(VLOOKUP(C926,'Tasas Diarias'!$B:$F,5,FALSE)*G926,0)</f>
        <v>0</v>
      </c>
      <c r="U926" s="311" t="str">
        <f ca="1">+VLOOKUP(C926,Spreads!$A$2:$G$345,7,0)</f>
        <v/>
      </c>
    </row>
    <row r="927" spans="1:21" ht="15.75" hidden="1" customHeight="1" thickTop="1" thickBot="1">
      <c r="A927" s="317" t="s">
        <v>2137</v>
      </c>
      <c r="B927" s="318" t="s">
        <v>298</v>
      </c>
      <c r="C927" s="318" t="s">
        <v>556</v>
      </c>
      <c r="D927" s="318" t="s">
        <v>294</v>
      </c>
      <c r="E927" s="319">
        <v>3265113.7524999999</v>
      </c>
      <c r="F927" s="319"/>
      <c r="G927" s="314">
        <v>3.6999999999999998E-5</v>
      </c>
      <c r="H927" s="320">
        <v>1.21</v>
      </c>
      <c r="I927" s="318" t="s">
        <v>557</v>
      </c>
      <c r="J927" s="318">
        <v>407</v>
      </c>
      <c r="K927" s="318">
        <v>1.0900000000000001</v>
      </c>
      <c r="L927" s="318">
        <v>102.24</v>
      </c>
      <c r="M927" s="318" t="s">
        <v>6</v>
      </c>
      <c r="N927" s="318" t="s">
        <v>368</v>
      </c>
      <c r="O927" s="318" t="s">
        <v>8</v>
      </c>
      <c r="P927" s="318" t="s">
        <v>379</v>
      </c>
      <c r="Q927" s="318" t="s">
        <v>74</v>
      </c>
      <c r="R927" s="318" t="s">
        <v>407</v>
      </c>
      <c r="S927" s="303">
        <f t="shared" si="15"/>
        <v>3558973.9902250003</v>
      </c>
      <c r="T927" s="307">
        <f>+IFERROR(VLOOKUP(C927,'Tasas Diarias'!$B:$F,5,FALSE)*G927,0)</f>
        <v>4.2504496488778545E-9</v>
      </c>
      <c r="U927" s="311" t="str">
        <f ca="1">+VLOOKUP(C927,Spreads!$A$2:$G$345,7,0)</f>
        <v/>
      </c>
    </row>
    <row r="928" spans="1:21" ht="15.75" hidden="1" customHeight="1" thickTop="1" thickBot="1">
      <c r="A928" s="317" t="s">
        <v>2137</v>
      </c>
      <c r="B928" s="318" t="s">
        <v>298</v>
      </c>
      <c r="C928" s="318" t="s">
        <v>819</v>
      </c>
      <c r="D928" s="318" t="s">
        <v>178</v>
      </c>
      <c r="E928" s="319">
        <v>11645896.7018</v>
      </c>
      <c r="F928" s="319"/>
      <c r="G928" s="314">
        <v>1.3300000000000001E-4</v>
      </c>
      <c r="H928" s="320">
        <v>2.2000000000000002</v>
      </c>
      <c r="I928" s="318" t="s">
        <v>480</v>
      </c>
      <c r="J928" s="318">
        <v>497</v>
      </c>
      <c r="K928" s="318">
        <v>1.1000000000000001</v>
      </c>
      <c r="L928" s="318">
        <v>101.61</v>
      </c>
      <c r="M928" s="318" t="s">
        <v>6</v>
      </c>
      <c r="N928" s="318" t="s">
        <v>368</v>
      </c>
      <c r="O928" s="318" t="s">
        <v>8</v>
      </c>
      <c r="P928" s="318" t="s">
        <v>417</v>
      </c>
      <c r="Q928" s="318" t="s">
        <v>68</v>
      </c>
      <c r="R928" s="318" t="s">
        <v>812</v>
      </c>
      <c r="S928" s="303">
        <f t="shared" si="15"/>
        <v>12810486.37198</v>
      </c>
      <c r="T928" s="307">
        <f>+IFERROR(VLOOKUP(C928,'Tasas Diarias'!$B:$F,5,FALSE)*G928,0)</f>
        <v>9.1982949533512037E-8</v>
      </c>
      <c r="U928" s="311" t="str">
        <f ca="1">+VLOOKUP(C928,Spreads!$A$2:$G$345,7,0)</f>
        <v/>
      </c>
    </row>
    <row r="929" spans="1:21" ht="15.75" hidden="1" customHeight="1" thickTop="1" thickBot="1">
      <c r="A929" s="321" t="s">
        <v>2137</v>
      </c>
      <c r="B929" s="322" t="s">
        <v>298</v>
      </c>
      <c r="C929" s="322" t="s">
        <v>473</v>
      </c>
      <c r="D929" s="322" t="s">
        <v>71</v>
      </c>
      <c r="E929" s="323">
        <v>36281242.719499998</v>
      </c>
      <c r="F929" s="323">
        <v>1000</v>
      </c>
      <c r="G929" s="314">
        <v>4.1199999999999999E-4</v>
      </c>
      <c r="H929" s="322">
        <v>1.5</v>
      </c>
      <c r="I929" s="322" t="s">
        <v>1503</v>
      </c>
      <c r="J929" s="322">
        <v>418</v>
      </c>
      <c r="K929" s="322">
        <v>1.1100000000000001</v>
      </c>
      <c r="L929" s="322">
        <v>103.33</v>
      </c>
      <c r="M929" s="322" t="s">
        <v>6</v>
      </c>
      <c r="N929" s="322" t="s">
        <v>368</v>
      </c>
      <c r="O929" s="322" t="s">
        <v>1346</v>
      </c>
      <c r="P929" s="322" t="s">
        <v>444</v>
      </c>
      <c r="Q929" s="322" t="s">
        <v>71</v>
      </c>
      <c r="R929" s="322" t="s">
        <v>474</v>
      </c>
      <c r="S929" s="303">
        <f t="shared" si="15"/>
        <v>40272179.418645002</v>
      </c>
      <c r="T929" s="307">
        <f>+IFERROR(VLOOKUP(C929,'Tasas Diarias'!$B:$F,5,FALSE)*G929,0)</f>
        <v>9.6454462271179404E-8</v>
      </c>
      <c r="U929" s="311" t="str">
        <f ca="1">+VLOOKUP(C929,Spreads!$A$2:$G$345,7,0)</f>
        <v/>
      </c>
    </row>
    <row r="930" spans="1:21" ht="15.75" hidden="1" customHeight="1" thickTop="1" thickBot="1">
      <c r="A930" s="321" t="s">
        <v>2137</v>
      </c>
      <c r="B930" s="322" t="s">
        <v>298</v>
      </c>
      <c r="C930" s="322" t="s">
        <v>1110</v>
      </c>
      <c r="D930" s="322" t="s">
        <v>38</v>
      </c>
      <c r="E930" s="323">
        <v>399557996</v>
      </c>
      <c r="F930" s="323">
        <v>380000000</v>
      </c>
      <c r="G930" s="314">
        <v>4.548E-3</v>
      </c>
      <c r="H930" s="324">
        <v>3.66</v>
      </c>
      <c r="I930" s="322" t="s">
        <v>1111</v>
      </c>
      <c r="J930" s="322">
        <v>422</v>
      </c>
      <c r="K930" s="322">
        <v>1.1100000000000001</v>
      </c>
      <c r="L930" s="322">
        <v>102.92</v>
      </c>
      <c r="M930" s="322" t="s">
        <v>9</v>
      </c>
      <c r="N930" s="322" t="s">
        <v>368</v>
      </c>
      <c r="O930" s="322" t="s">
        <v>8</v>
      </c>
      <c r="P930" s="322" t="s">
        <v>7</v>
      </c>
      <c r="Q930" s="322" t="s">
        <v>76</v>
      </c>
      <c r="R930" s="322" t="s">
        <v>498</v>
      </c>
      <c r="S930" s="303">
        <f t="shared" si="15"/>
        <v>443509375.56000006</v>
      </c>
      <c r="T930" s="307">
        <f>+IFERROR(VLOOKUP(C930,'Tasas Diarias'!$B:$F,5,FALSE)*G930,0)</f>
        <v>1.0634523763142646E-6</v>
      </c>
      <c r="U930" s="311" t="str">
        <f ca="1">+VLOOKUP(C930,Spreads!$A$2:$G$345,7,0)</f>
        <v/>
      </c>
    </row>
    <row r="931" spans="1:21" ht="15.75" hidden="1" customHeight="1" thickTop="1" thickBot="1">
      <c r="A931" s="321" t="s">
        <v>2137</v>
      </c>
      <c r="B931" s="322" t="s">
        <v>298</v>
      </c>
      <c r="C931" s="322" t="s">
        <v>475</v>
      </c>
      <c r="D931" s="322" t="s">
        <v>175</v>
      </c>
      <c r="E931" s="323">
        <v>668229231.69379997</v>
      </c>
      <c r="F931" s="323">
        <v>649170278.24509001</v>
      </c>
      <c r="G931" s="314">
        <v>7.6059999999999999E-3</v>
      </c>
      <c r="H931" s="324">
        <v>4.32</v>
      </c>
      <c r="I931" s="322" t="s">
        <v>476</v>
      </c>
      <c r="J931" s="322">
        <v>803</v>
      </c>
      <c r="K931" s="322">
        <v>1.1499999999999999</v>
      </c>
      <c r="L931" s="322">
        <v>101.29</v>
      </c>
      <c r="M931" s="322" t="s">
        <v>9</v>
      </c>
      <c r="N931" s="322" t="s">
        <v>368</v>
      </c>
      <c r="O931" s="322" t="s">
        <v>8</v>
      </c>
      <c r="P931" s="322" t="s">
        <v>392</v>
      </c>
      <c r="Q931" s="322" t="s">
        <v>66</v>
      </c>
      <c r="R931" s="322" t="s">
        <v>418</v>
      </c>
      <c r="S931" s="303">
        <f t="shared" si="15"/>
        <v>768463616.4478699</v>
      </c>
      <c r="T931" s="307">
        <f>+IFERROR(VLOOKUP(C931,'Tasas Diarias'!$B:$F,5,FALSE)*G931,0)</f>
        <v>0</v>
      </c>
      <c r="U931" s="311" t="str">
        <f ca="1">+VLOOKUP(C931,Spreads!$A$2:$G$345,7,0)</f>
        <v/>
      </c>
    </row>
    <row r="932" spans="1:21" ht="15.75" hidden="1" customHeight="1" thickTop="1" thickBot="1">
      <c r="A932" s="321" t="s">
        <v>2137</v>
      </c>
      <c r="B932" s="322" t="s">
        <v>298</v>
      </c>
      <c r="C932" s="322" t="s">
        <v>1546</v>
      </c>
      <c r="D932" s="322" t="s">
        <v>295</v>
      </c>
      <c r="E932" s="323">
        <v>8101125.8468000004</v>
      </c>
      <c r="F932" s="323"/>
      <c r="G932" s="314">
        <v>9.2E-5</v>
      </c>
      <c r="H932" s="324">
        <v>1.35</v>
      </c>
      <c r="I932" s="322" t="s">
        <v>1547</v>
      </c>
      <c r="J932" s="322">
        <v>466</v>
      </c>
      <c r="K932" s="322">
        <v>1.26</v>
      </c>
      <c r="L932" s="322">
        <v>102.09</v>
      </c>
      <c r="M932" s="322" t="s">
        <v>6</v>
      </c>
      <c r="N932" s="322" t="s">
        <v>368</v>
      </c>
      <c r="O932" s="322" t="s">
        <v>8</v>
      </c>
      <c r="P932" s="322" t="s">
        <v>7</v>
      </c>
      <c r="Q932" s="322" t="s">
        <v>70</v>
      </c>
      <c r="R932" s="322" t="s">
        <v>506</v>
      </c>
      <c r="S932" s="303">
        <f t="shared" si="15"/>
        <v>10207418.566968001</v>
      </c>
      <c r="T932" s="307">
        <f>+IFERROR(VLOOKUP(C932,'Tasas Diarias'!$B:$F,5,FALSE)*G932,0)</f>
        <v>-1.207453156756337E-7</v>
      </c>
      <c r="U932" s="311" t="e">
        <f>+VLOOKUP(C932,Spreads!$A$2:$G$345,7,0)</f>
        <v>#N/A</v>
      </c>
    </row>
    <row r="933" spans="1:21" ht="15.75" hidden="1" customHeight="1" thickTop="1" thickBot="1">
      <c r="A933" s="317" t="s">
        <v>2137</v>
      </c>
      <c r="B933" s="318" t="s">
        <v>298</v>
      </c>
      <c r="C933" s="318" t="s">
        <v>558</v>
      </c>
      <c r="D933" s="318" t="s">
        <v>289</v>
      </c>
      <c r="E933" s="319">
        <v>170284490.81690001</v>
      </c>
      <c r="F933" s="319">
        <v>164605882.61130583</v>
      </c>
      <c r="G933" s="314">
        <v>1.9380000000000001E-3</v>
      </c>
      <c r="H933" s="320">
        <v>3.81</v>
      </c>
      <c r="I933" s="318" t="s">
        <v>559</v>
      </c>
      <c r="J933" s="318">
        <v>479</v>
      </c>
      <c r="K933" s="318">
        <v>1.27</v>
      </c>
      <c r="L933" s="318">
        <v>102.41</v>
      </c>
      <c r="M933" s="318" t="s">
        <v>9</v>
      </c>
      <c r="N933" s="318" t="s">
        <v>368</v>
      </c>
      <c r="O933" s="318" t="s">
        <v>560</v>
      </c>
      <c r="P933" s="318" t="s">
        <v>7</v>
      </c>
      <c r="Q933" s="318" t="s">
        <v>79</v>
      </c>
      <c r="R933" s="318" t="s">
        <v>561</v>
      </c>
      <c r="S933" s="303">
        <f t="shared" si="15"/>
        <v>216261303.33746302</v>
      </c>
      <c r="T933" s="307">
        <f>+IFERROR(VLOOKUP(C933,'Tasas Diarias'!$B:$F,5,FALSE)*G933,0)</f>
        <v>-2.5767767256978693E-7</v>
      </c>
      <c r="U933" s="311" t="str">
        <f ca="1">+VLOOKUP(C933,Spreads!$A$2:$G$345,7,0)</f>
        <v/>
      </c>
    </row>
    <row r="934" spans="1:21" ht="15.75" hidden="1" customHeight="1" thickTop="1" thickBot="1">
      <c r="A934" s="321" t="s">
        <v>2137</v>
      </c>
      <c r="B934" s="322" t="s">
        <v>298</v>
      </c>
      <c r="C934" s="322" t="s">
        <v>1107</v>
      </c>
      <c r="D934" s="322" t="s">
        <v>179</v>
      </c>
      <c r="E934" s="323">
        <v>6907148</v>
      </c>
      <c r="F934" s="323">
        <v>1030</v>
      </c>
      <c r="G934" s="314">
        <v>7.7999999999999999E-5</v>
      </c>
      <c r="H934" s="324">
        <v>2.84</v>
      </c>
      <c r="I934" s="322" t="s">
        <v>612</v>
      </c>
      <c r="J934" s="322">
        <v>924</v>
      </c>
      <c r="K934" s="322">
        <v>1.28</v>
      </c>
      <c r="L934" s="322">
        <v>102.45</v>
      </c>
      <c r="M934" s="322" t="s">
        <v>6</v>
      </c>
      <c r="N934" s="322" t="s">
        <v>1095</v>
      </c>
      <c r="O934" s="322" t="s">
        <v>8</v>
      </c>
      <c r="P934" s="322" t="s">
        <v>392</v>
      </c>
      <c r="Q934" s="322" t="s">
        <v>28</v>
      </c>
      <c r="R934" s="322" t="s">
        <v>1108</v>
      </c>
      <c r="S934" s="303">
        <f t="shared" si="15"/>
        <v>8841149.4399999995</v>
      </c>
      <c r="T934" s="307">
        <f>+IFERROR(VLOOKUP(C934,'Tasas Diarias'!$B:$F,5,FALSE)*G934,0)</f>
        <v>-1.7749692415369628E-7</v>
      </c>
      <c r="U934" s="311" t="e">
        <f>+VLOOKUP(C934,Spreads!$A$2:$G$345,7,0)</f>
        <v>#N/A</v>
      </c>
    </row>
    <row r="935" spans="1:21" ht="15.75" hidden="1" customHeight="1" thickTop="1" thickBot="1">
      <c r="A935" s="317" t="s">
        <v>2137</v>
      </c>
      <c r="B935" s="318" t="s">
        <v>298</v>
      </c>
      <c r="C935" s="318" t="s">
        <v>549</v>
      </c>
      <c r="D935" s="318" t="s">
        <v>292</v>
      </c>
      <c r="E935" s="319">
        <v>459517798.03890002</v>
      </c>
      <c r="F935" s="319">
        <v>571851333.07120788</v>
      </c>
      <c r="G935" s="314">
        <v>5.2300000000000003E-3</v>
      </c>
      <c r="H935" s="320">
        <v>4.0599999999999996</v>
      </c>
      <c r="I935" s="318" t="s">
        <v>550</v>
      </c>
      <c r="J935" s="318">
        <v>872</v>
      </c>
      <c r="K935" s="318">
        <v>1.32</v>
      </c>
      <c r="L935" s="318">
        <v>103.09</v>
      </c>
      <c r="M935" s="318" t="s">
        <v>9</v>
      </c>
      <c r="N935" s="318" t="s">
        <v>368</v>
      </c>
      <c r="O935" s="318" t="s">
        <v>551</v>
      </c>
      <c r="P935" s="318" t="s">
        <v>392</v>
      </c>
      <c r="Q935" s="318" t="s">
        <v>327</v>
      </c>
      <c r="R935" s="318" t="s">
        <v>552</v>
      </c>
      <c r="S935" s="303">
        <f t="shared" si="15"/>
        <v>606563493.4113481</v>
      </c>
      <c r="T935" s="307">
        <f>+IFERROR(VLOOKUP(C935,'Tasas Diarias'!$B:$F,5,FALSE)*G935,0)</f>
        <v>0</v>
      </c>
      <c r="U935" s="311" t="str">
        <f ca="1">+VLOOKUP(C935,Spreads!$A$2:$G$345,7,0)</f>
        <v/>
      </c>
    </row>
    <row r="936" spans="1:21" ht="15.75" hidden="1" customHeight="1" thickTop="1" thickBot="1">
      <c r="A936" s="317" t="s">
        <v>2137</v>
      </c>
      <c r="B936" s="318" t="s">
        <v>298</v>
      </c>
      <c r="C936" s="318" t="s">
        <v>479</v>
      </c>
      <c r="D936" s="318" t="s">
        <v>233</v>
      </c>
      <c r="E936" s="319">
        <v>143590867.3732</v>
      </c>
      <c r="F936" s="319"/>
      <c r="G936" s="314">
        <v>1.634E-3</v>
      </c>
      <c r="H936" s="320">
        <v>1.56</v>
      </c>
      <c r="I936" s="318" t="s">
        <v>480</v>
      </c>
      <c r="J936" s="318">
        <v>497</v>
      </c>
      <c r="K936" s="318">
        <v>1.34</v>
      </c>
      <c r="L936" s="318">
        <v>102.43</v>
      </c>
      <c r="M936" s="318" t="s">
        <v>6</v>
      </c>
      <c r="N936" s="318" t="s">
        <v>368</v>
      </c>
      <c r="O936" s="318" t="s">
        <v>8</v>
      </c>
      <c r="P936" s="318" t="s">
        <v>417</v>
      </c>
      <c r="Q936" s="318" t="s">
        <v>60</v>
      </c>
      <c r="R936" s="318" t="s">
        <v>481</v>
      </c>
      <c r="S936" s="303">
        <f t="shared" si="15"/>
        <v>192411762.28008801</v>
      </c>
      <c r="T936" s="307">
        <f>+IFERROR(VLOOKUP(C936,'Tasas Diarias'!$B:$F,5,FALSE)*G936,0)</f>
        <v>4.5580414716554248E-7</v>
      </c>
      <c r="U936" s="311" t="str">
        <f ca="1">+VLOOKUP(C936,Spreads!$A$2:$G$345,7,0)</f>
        <v/>
      </c>
    </row>
    <row r="937" spans="1:21" ht="15.75" hidden="1" customHeight="1" thickTop="1" thickBot="1">
      <c r="A937" s="317" t="s">
        <v>2137</v>
      </c>
      <c r="B937" s="318" t="s">
        <v>298</v>
      </c>
      <c r="C937" s="318" t="s">
        <v>1416</v>
      </c>
      <c r="D937" s="318" t="s">
        <v>32</v>
      </c>
      <c r="E937" s="319">
        <v>2422963.5172000001</v>
      </c>
      <c r="F937" s="319"/>
      <c r="G937" s="314">
        <v>2.8E-5</v>
      </c>
      <c r="H937" s="320">
        <v>1.49</v>
      </c>
      <c r="I937" s="318" t="s">
        <v>480</v>
      </c>
      <c r="J937" s="318">
        <v>497</v>
      </c>
      <c r="K937" s="318">
        <v>1.34</v>
      </c>
      <c r="L937" s="318">
        <v>102.03</v>
      </c>
      <c r="M937" s="318" t="s">
        <v>6</v>
      </c>
      <c r="N937" s="318" t="s">
        <v>368</v>
      </c>
      <c r="O937" s="318" t="s">
        <v>8</v>
      </c>
      <c r="P937" s="318" t="s">
        <v>379</v>
      </c>
      <c r="Q937" s="318" t="s">
        <v>67</v>
      </c>
      <c r="R937" s="318" t="s">
        <v>389</v>
      </c>
      <c r="S937" s="303">
        <f t="shared" si="15"/>
        <v>3246771.1130480003</v>
      </c>
      <c r="T937" s="307">
        <f>+IFERROR(VLOOKUP(C937,'Tasas Diarias'!$B:$F,5,FALSE)*G937,0)</f>
        <v>0</v>
      </c>
      <c r="U937" s="311" t="e">
        <f>+VLOOKUP(C937,Spreads!$A$2:$G$345,7,0)</f>
        <v>#N/A</v>
      </c>
    </row>
    <row r="938" spans="1:21" ht="15.75" hidden="1" customHeight="1" thickTop="1" thickBot="1">
      <c r="A938" s="317" t="s">
        <v>2137</v>
      </c>
      <c r="B938" s="318" t="s">
        <v>298</v>
      </c>
      <c r="C938" s="318" t="s">
        <v>563</v>
      </c>
      <c r="D938" s="318" t="s">
        <v>170</v>
      </c>
      <c r="E938" s="319">
        <v>93440911.446400002</v>
      </c>
      <c r="F938" s="319">
        <v>500</v>
      </c>
      <c r="G938" s="314">
        <v>1.0629999999999999E-3</v>
      </c>
      <c r="H938" s="320">
        <v>1.6</v>
      </c>
      <c r="I938" s="318" t="s">
        <v>480</v>
      </c>
      <c r="J938" s="318">
        <v>497</v>
      </c>
      <c r="K938" s="318">
        <v>1.34</v>
      </c>
      <c r="L938" s="318">
        <v>101.84999999999998</v>
      </c>
      <c r="M938" s="318" t="s">
        <v>6</v>
      </c>
      <c r="N938" s="318" t="s">
        <v>368</v>
      </c>
      <c r="O938" s="318" t="s">
        <v>8</v>
      </c>
      <c r="P938" s="318" t="s">
        <v>392</v>
      </c>
      <c r="Q938" s="318" t="s">
        <v>88</v>
      </c>
      <c r="R938" s="318" t="s">
        <v>512</v>
      </c>
      <c r="S938" s="303">
        <f t="shared" si="15"/>
        <v>125210821.33817601</v>
      </c>
      <c r="T938" s="307">
        <f>+IFERROR(VLOOKUP(C938,'Tasas Diarias'!$B:$F,5,FALSE)*G938,0)</f>
        <v>0</v>
      </c>
      <c r="U938" s="311" t="str">
        <f ca="1">+VLOOKUP(C938,Spreads!$A$2:$G$345,7,0)</f>
        <v/>
      </c>
    </row>
    <row r="939" spans="1:21" ht="15.75" hidden="1" customHeight="1" thickTop="1" thickBot="1">
      <c r="A939" s="317" t="s">
        <v>2137</v>
      </c>
      <c r="B939" s="318" t="s">
        <v>298</v>
      </c>
      <c r="C939" s="318" t="s">
        <v>562</v>
      </c>
      <c r="D939" s="318" t="s">
        <v>10</v>
      </c>
      <c r="E939" s="319">
        <v>1045764502.0251</v>
      </c>
      <c r="F939" s="319">
        <v>1036014830.2217301</v>
      </c>
      <c r="G939" s="314">
        <v>1.1903E-2</v>
      </c>
      <c r="H939" s="318">
        <v>5.66</v>
      </c>
      <c r="I939" s="318" t="s">
        <v>497</v>
      </c>
      <c r="J939" s="318">
        <v>863</v>
      </c>
      <c r="K939" s="318">
        <v>1.36</v>
      </c>
      <c r="L939" s="318">
        <v>100.18</v>
      </c>
      <c r="M939" s="318" t="s">
        <v>9</v>
      </c>
      <c r="N939" s="318" t="s">
        <v>368</v>
      </c>
      <c r="O939" s="318" t="s">
        <v>8</v>
      </c>
      <c r="P939" s="318" t="s">
        <v>7</v>
      </c>
      <c r="Q939" s="318" t="s">
        <v>56</v>
      </c>
      <c r="R939" s="318" t="s">
        <v>445</v>
      </c>
      <c r="S939" s="303">
        <f t="shared" si="15"/>
        <v>1422239722.7541361</v>
      </c>
      <c r="T939" s="307">
        <f>+IFERROR(VLOOKUP(C939,'Tasas Diarias'!$B:$F,5,FALSE)*G939,0)</f>
        <v>0</v>
      </c>
      <c r="U939" s="311" t="str">
        <f ca="1">+VLOOKUP(C939,Spreads!$A$2:$G$345,7,0)</f>
        <v/>
      </c>
    </row>
    <row r="940" spans="1:21" ht="15.75" hidden="1" customHeight="1" thickTop="1" thickBot="1">
      <c r="A940" s="321" t="s">
        <v>2137</v>
      </c>
      <c r="B940" s="322" t="s">
        <v>298</v>
      </c>
      <c r="C940" s="322" t="s">
        <v>459</v>
      </c>
      <c r="D940" s="322" t="s">
        <v>291</v>
      </c>
      <c r="E940" s="323">
        <v>995212.125</v>
      </c>
      <c r="F940" s="323"/>
      <c r="G940" s="314">
        <v>1.1E-5</v>
      </c>
      <c r="H940" s="324">
        <v>1.56</v>
      </c>
      <c r="I940" s="322" t="s">
        <v>460</v>
      </c>
      <c r="J940" s="322">
        <v>968</v>
      </c>
      <c r="K940" s="322">
        <v>1.36</v>
      </c>
      <c r="L940" s="322">
        <v>103.66</v>
      </c>
      <c r="M940" s="322" t="s">
        <v>6</v>
      </c>
      <c r="N940" s="322" t="s">
        <v>368</v>
      </c>
      <c r="O940" s="322" t="s">
        <v>461</v>
      </c>
      <c r="P940" s="322" t="s">
        <v>392</v>
      </c>
      <c r="Q940" s="322" t="s">
        <v>87</v>
      </c>
      <c r="R940" s="322" t="s">
        <v>462</v>
      </c>
      <c r="S940" s="303">
        <f t="shared" si="15"/>
        <v>1353488.49</v>
      </c>
      <c r="T940" s="307">
        <f>+IFERROR(VLOOKUP(C940,'Tasas Diarias'!$B:$F,5,FALSE)*G940,0)</f>
        <v>3.1156589425449752E-9</v>
      </c>
      <c r="U940" s="311" t="str">
        <f ca="1">+VLOOKUP(C940,Spreads!$A$2:$G$345,7,0)</f>
        <v/>
      </c>
    </row>
    <row r="941" spans="1:21" ht="15.75" hidden="1" customHeight="1" thickTop="1" thickBot="1">
      <c r="A941" s="321" t="s">
        <v>2137</v>
      </c>
      <c r="B941" s="322" t="s">
        <v>298</v>
      </c>
      <c r="C941" s="322" t="s">
        <v>1594</v>
      </c>
      <c r="D941" s="322" t="s">
        <v>1595</v>
      </c>
      <c r="E941" s="323">
        <v>67509520.880899996</v>
      </c>
      <c r="F941" s="323"/>
      <c r="G941" s="314">
        <v>7.6800000000000002E-4</v>
      </c>
      <c r="H941" s="324">
        <v>0</v>
      </c>
      <c r="I941" s="322" t="s">
        <v>1596</v>
      </c>
      <c r="J941" s="322">
        <v>531</v>
      </c>
      <c r="K941" s="322">
        <v>1.39</v>
      </c>
      <c r="L941" s="322">
        <v>104.1628</v>
      </c>
      <c r="M941" s="322" t="s">
        <v>9</v>
      </c>
      <c r="N941" s="322" t="s">
        <v>368</v>
      </c>
      <c r="O941" s="322" t="s">
        <v>1348</v>
      </c>
      <c r="P941" s="322" t="s">
        <v>802</v>
      </c>
      <c r="Q941" s="322" t="s">
        <v>1597</v>
      </c>
      <c r="R941" s="322" t="s">
        <v>1607</v>
      </c>
      <c r="S941" s="303">
        <f t="shared" si="15"/>
        <v>93838234.024450988</v>
      </c>
      <c r="T941" s="307">
        <f>+IFERROR(VLOOKUP(C941,'Tasas Diarias'!$B:$F,5,FALSE)*G941,0)</f>
        <v>0</v>
      </c>
      <c r="U941" s="311" t="e">
        <f>+VLOOKUP(C941,Spreads!$A$2:$G$345,7,0)</f>
        <v>#N/A</v>
      </c>
    </row>
    <row r="942" spans="1:21" ht="15.75" hidden="1" customHeight="1" thickTop="1" thickBot="1">
      <c r="A942" s="317" t="s">
        <v>2137</v>
      </c>
      <c r="B942" s="318" t="s">
        <v>298</v>
      </c>
      <c r="C942" s="318" t="s">
        <v>483</v>
      </c>
      <c r="D942" s="318" t="s">
        <v>182</v>
      </c>
      <c r="E942" s="319">
        <v>27325831</v>
      </c>
      <c r="F942" s="319">
        <v>1000</v>
      </c>
      <c r="G942" s="314">
        <v>3.1100000000000002E-4</v>
      </c>
      <c r="H942" s="320">
        <v>1.38</v>
      </c>
      <c r="I942" s="318" t="s">
        <v>2129</v>
      </c>
      <c r="J942" s="318">
        <v>527</v>
      </c>
      <c r="K942" s="318">
        <v>1.42</v>
      </c>
      <c r="L942" s="318">
        <v>102.29</v>
      </c>
      <c r="M942" s="318" t="s">
        <v>6</v>
      </c>
      <c r="N942" s="318" t="s">
        <v>368</v>
      </c>
      <c r="O942" s="318" t="s">
        <v>8</v>
      </c>
      <c r="P942" s="318" t="s">
        <v>7</v>
      </c>
      <c r="Q942" s="318" t="s">
        <v>390</v>
      </c>
      <c r="R942" s="318" t="s">
        <v>402</v>
      </c>
      <c r="S942" s="303">
        <f t="shared" si="15"/>
        <v>38802680.019999996</v>
      </c>
      <c r="T942" s="307">
        <f>+IFERROR(VLOOKUP(C942,'Tasas Diarias'!$B:$F,5,FALSE)*G942,0)</f>
        <v>0</v>
      </c>
      <c r="U942" s="311" t="str">
        <f ca="1">+VLOOKUP(C942,Spreads!$A$2:$G$345,7,0)</f>
        <v/>
      </c>
    </row>
    <row r="943" spans="1:21" ht="15.75" hidden="1" customHeight="1" thickTop="1" thickBot="1">
      <c r="A943" s="321" t="s">
        <v>2137</v>
      </c>
      <c r="B943" s="322" t="s">
        <v>298</v>
      </c>
      <c r="C943" s="322" t="s">
        <v>824</v>
      </c>
      <c r="D943" s="322" t="s">
        <v>825</v>
      </c>
      <c r="E943" s="323">
        <v>83691509.631400004</v>
      </c>
      <c r="F943" s="335"/>
      <c r="G943" s="314">
        <v>9.5299999999999996E-4</v>
      </c>
      <c r="H943" s="324">
        <v>3.22</v>
      </c>
      <c r="I943" s="322" t="s">
        <v>826</v>
      </c>
      <c r="J943" s="322">
        <v>536</v>
      </c>
      <c r="K943" s="322">
        <v>1.43</v>
      </c>
      <c r="L943" s="322">
        <v>103.2</v>
      </c>
      <c r="M943" s="322" t="s">
        <v>6</v>
      </c>
      <c r="N943" s="322" t="s">
        <v>368</v>
      </c>
      <c r="O943" s="322" t="s">
        <v>421</v>
      </c>
      <c r="P943" s="322" t="s">
        <v>794</v>
      </c>
      <c r="Q943" s="322" t="s">
        <v>827</v>
      </c>
      <c r="R943" s="322" t="s">
        <v>828</v>
      </c>
      <c r="S943" s="303">
        <f t="shared" si="15"/>
        <v>119678858.772902</v>
      </c>
      <c r="T943" s="307">
        <f>+IFERROR(VLOOKUP(C943,'Tasas Diarias'!$B:$F,5,FALSE)*G943,0)</f>
        <v>4.1456818700181522E-7</v>
      </c>
      <c r="U943" s="311" t="str">
        <f ca="1">+VLOOKUP(C943,Spreads!$A$2:$G$345,7,0)</f>
        <v/>
      </c>
    </row>
    <row r="944" spans="1:21" ht="15.75" hidden="1" customHeight="1" thickTop="1" thickBot="1">
      <c r="A944" s="321" t="s">
        <v>2137</v>
      </c>
      <c r="B944" s="322" t="s">
        <v>298</v>
      </c>
      <c r="C944" s="322" t="s">
        <v>1256</v>
      </c>
      <c r="D944" s="322" t="s">
        <v>1257</v>
      </c>
      <c r="E944" s="323">
        <v>11870393.3298</v>
      </c>
      <c r="F944" s="323"/>
      <c r="G944" s="314">
        <v>1.35E-4</v>
      </c>
      <c r="H944" s="324">
        <v>1.82</v>
      </c>
      <c r="I944" s="322" t="s">
        <v>503</v>
      </c>
      <c r="J944" s="322">
        <v>985</v>
      </c>
      <c r="K944" s="322">
        <v>1.44</v>
      </c>
      <c r="L944" s="322">
        <v>107.27</v>
      </c>
      <c r="M944" s="322" t="s">
        <v>6</v>
      </c>
      <c r="N944" s="322" t="s">
        <v>368</v>
      </c>
      <c r="O944" s="322" t="s">
        <v>8</v>
      </c>
      <c r="P944" s="322" t="s">
        <v>379</v>
      </c>
      <c r="Q944" s="322" t="s">
        <v>1258</v>
      </c>
      <c r="R944" s="322" t="s">
        <v>1259</v>
      </c>
      <c r="S944" s="303">
        <f t="shared" si="15"/>
        <v>17093366.394912001</v>
      </c>
      <c r="T944" s="307">
        <f>+IFERROR(VLOOKUP(C944,'Tasas Diarias'!$B:$F,5,FALSE)*G944,0)</f>
        <v>2.012367001012157E-8</v>
      </c>
      <c r="U944" s="311" t="str">
        <f ca="1">+VLOOKUP(C944,Spreads!$A$2:$G$345,7,0)</f>
        <v/>
      </c>
    </row>
    <row r="945" spans="1:21" ht="15.75" hidden="1" customHeight="1" thickTop="1" thickBot="1">
      <c r="A945" s="321" t="s">
        <v>2137</v>
      </c>
      <c r="B945" s="322" t="s">
        <v>298</v>
      </c>
      <c r="C945" s="322" t="s">
        <v>482</v>
      </c>
      <c r="D945" s="322" t="s">
        <v>16</v>
      </c>
      <c r="E945" s="323">
        <v>51078865.373899996</v>
      </c>
      <c r="F945" s="323">
        <v>48450673.144402809</v>
      </c>
      <c r="G945" s="314">
        <v>5.8200000000000005E-4</v>
      </c>
      <c r="H945" s="324">
        <v>3.6</v>
      </c>
      <c r="I945" s="322" t="s">
        <v>452</v>
      </c>
      <c r="J945" s="322">
        <v>558</v>
      </c>
      <c r="K945" s="322">
        <v>1.45</v>
      </c>
      <c r="L945" s="322">
        <v>102.78000000000002</v>
      </c>
      <c r="M945" s="322" t="s">
        <v>9</v>
      </c>
      <c r="N945" s="322" t="s">
        <v>368</v>
      </c>
      <c r="O945" s="322" t="s">
        <v>8</v>
      </c>
      <c r="P945" s="322" t="s">
        <v>379</v>
      </c>
      <c r="Q945" s="322" t="s">
        <v>61</v>
      </c>
      <c r="R945" s="322" t="s">
        <v>394</v>
      </c>
      <c r="S945" s="303">
        <f t="shared" si="15"/>
        <v>74064354.792154998</v>
      </c>
      <c r="T945" s="307">
        <f>+IFERROR(VLOOKUP(C945,'Tasas Diarias'!$B:$F,5,FALSE)*G945,0)</f>
        <v>1.756557868358242E-7</v>
      </c>
      <c r="U945" s="311" t="str">
        <f ca="1">+VLOOKUP(C945,Spreads!$A$2:$G$345,7,0)</f>
        <v/>
      </c>
    </row>
    <row r="946" spans="1:21" ht="15.75" hidden="1" customHeight="1" thickTop="1" thickBot="1">
      <c r="A946" s="321" t="s">
        <v>2137</v>
      </c>
      <c r="B946" s="322" t="s">
        <v>298</v>
      </c>
      <c r="C946" s="322" t="s">
        <v>468</v>
      </c>
      <c r="D946" s="322" t="s">
        <v>469</v>
      </c>
      <c r="E946" s="323">
        <v>48671119.814199999</v>
      </c>
      <c r="F946" s="323">
        <v>1000</v>
      </c>
      <c r="G946" s="314">
        <v>5.5400000000000002E-4</v>
      </c>
      <c r="H946" s="324">
        <v>1.57</v>
      </c>
      <c r="I946" s="322" t="s">
        <v>470</v>
      </c>
      <c r="J946" s="322">
        <v>999</v>
      </c>
      <c r="K946" s="322">
        <v>1.45</v>
      </c>
      <c r="L946" s="322">
        <v>102.75</v>
      </c>
      <c r="M946" s="322" t="s">
        <v>6</v>
      </c>
      <c r="N946" s="322" t="s">
        <v>368</v>
      </c>
      <c r="O946" s="322" t="s">
        <v>429</v>
      </c>
      <c r="P946" s="322" t="s">
        <v>7</v>
      </c>
      <c r="Q946" s="322" t="s">
        <v>471</v>
      </c>
      <c r="R946" s="322" t="s">
        <v>472</v>
      </c>
      <c r="S946" s="303">
        <f t="shared" si="15"/>
        <v>70573123.730590001</v>
      </c>
      <c r="T946" s="307">
        <f>+IFERROR(VLOOKUP(C946,'Tasas Diarias'!$B:$F,5,FALSE)*G946,0)</f>
        <v>-8.3429179173218714E-8</v>
      </c>
      <c r="U946" s="311" t="str">
        <f ca="1">+VLOOKUP(C946,Spreads!$A$2:$G$345,7,0)</f>
        <v/>
      </c>
    </row>
    <row r="947" spans="1:21" ht="15.75" hidden="1" customHeight="1" thickTop="1" thickBot="1">
      <c r="A947" s="321" t="s">
        <v>2137</v>
      </c>
      <c r="B947" s="322" t="s">
        <v>298</v>
      </c>
      <c r="C947" s="322" t="s">
        <v>1248</v>
      </c>
      <c r="D947" s="322" t="s">
        <v>1249</v>
      </c>
      <c r="E947" s="323">
        <v>42360447.338200003</v>
      </c>
      <c r="F947" s="323">
        <v>2000</v>
      </c>
      <c r="G947" s="314">
        <v>4.8099999999999998E-4</v>
      </c>
      <c r="H947" s="324">
        <v>1.64</v>
      </c>
      <c r="I947" s="322" t="s">
        <v>1250</v>
      </c>
      <c r="J947" s="322">
        <v>1000</v>
      </c>
      <c r="K947" s="322">
        <v>1.45</v>
      </c>
      <c r="L947" s="322">
        <v>102.65</v>
      </c>
      <c r="M947" s="322" t="s">
        <v>6</v>
      </c>
      <c r="N947" s="322" t="s">
        <v>368</v>
      </c>
      <c r="O947" s="322" t="s">
        <v>421</v>
      </c>
      <c r="P947" s="322" t="s">
        <v>7</v>
      </c>
      <c r="Q947" s="322" t="s">
        <v>1251</v>
      </c>
      <c r="R947" s="322" t="s">
        <v>1252</v>
      </c>
      <c r="S947" s="303">
        <f t="shared" si="15"/>
        <v>61422648.640390001</v>
      </c>
      <c r="T947" s="307">
        <f>+IFERROR(VLOOKUP(C947,'Tasas Diarias'!$B:$F,5,FALSE)*G947,0)</f>
        <v>0</v>
      </c>
      <c r="U947" s="311" t="str">
        <f ca="1">+VLOOKUP(C947,Spreads!$A$2:$G$345,7,0)</f>
        <v/>
      </c>
    </row>
    <row r="948" spans="1:21" ht="15.75" hidden="1" customHeight="1" thickTop="1" thickBot="1">
      <c r="A948" s="317" t="s">
        <v>2137</v>
      </c>
      <c r="B948" s="318" t="s">
        <v>298</v>
      </c>
      <c r="C948" s="318" t="s">
        <v>564</v>
      </c>
      <c r="D948" s="318" t="s">
        <v>176</v>
      </c>
      <c r="E948" s="319">
        <v>2470059.4833</v>
      </c>
      <c r="F948" s="319"/>
      <c r="G948" s="314">
        <v>2.8E-5</v>
      </c>
      <c r="H948" s="320">
        <v>1.6</v>
      </c>
      <c r="I948" s="318" t="s">
        <v>452</v>
      </c>
      <c r="J948" s="318">
        <v>558</v>
      </c>
      <c r="K948" s="318">
        <v>1.48</v>
      </c>
      <c r="L948" s="318">
        <v>102.78</v>
      </c>
      <c r="M948" s="318" t="s">
        <v>6</v>
      </c>
      <c r="N948" s="318" t="s">
        <v>368</v>
      </c>
      <c r="O948" s="318" t="s">
        <v>8</v>
      </c>
      <c r="P948" s="318" t="s">
        <v>7</v>
      </c>
      <c r="Q948" s="318" t="s">
        <v>326</v>
      </c>
      <c r="R948" s="318" t="s">
        <v>450</v>
      </c>
      <c r="S948" s="303">
        <f t="shared" si="15"/>
        <v>3655688.035284</v>
      </c>
      <c r="T948" s="307">
        <f>+IFERROR(VLOOKUP(C948,'Tasas Diarias'!$B:$F,5,FALSE)*G948,0)</f>
        <v>8.6050665655001658E-9</v>
      </c>
      <c r="U948" s="311" t="str">
        <f ca="1">+VLOOKUP(C948,Spreads!$A$2:$G$345,7,0)</f>
        <v/>
      </c>
    </row>
    <row r="949" spans="1:21" ht="15.75" hidden="1" customHeight="1" thickTop="1" thickBot="1">
      <c r="A949" s="317" t="s">
        <v>2137</v>
      </c>
      <c r="B949" s="318" t="s">
        <v>298</v>
      </c>
      <c r="C949" s="318" t="s">
        <v>2130</v>
      </c>
      <c r="D949" s="318" t="s">
        <v>24</v>
      </c>
      <c r="E949" s="319">
        <v>13677170</v>
      </c>
      <c r="F949" s="319">
        <v>500</v>
      </c>
      <c r="G949" s="314">
        <v>1.55E-4</v>
      </c>
      <c r="H949" s="320">
        <v>1.59</v>
      </c>
      <c r="I949" s="318" t="s">
        <v>452</v>
      </c>
      <c r="J949" s="318">
        <v>558</v>
      </c>
      <c r="K949" s="318">
        <v>1.49</v>
      </c>
      <c r="L949" s="318">
        <v>101.36</v>
      </c>
      <c r="M949" s="318" t="s">
        <v>6</v>
      </c>
      <c r="N949" s="318" t="s">
        <v>368</v>
      </c>
      <c r="O949" s="318" t="s">
        <v>8</v>
      </c>
      <c r="P949" s="318" t="s">
        <v>392</v>
      </c>
      <c r="Q949" s="318" t="s">
        <v>51</v>
      </c>
      <c r="R949" s="318" t="s">
        <v>414</v>
      </c>
      <c r="S949" s="303">
        <f t="shared" si="15"/>
        <v>20378983.300000001</v>
      </c>
      <c r="T949" s="307">
        <f>+IFERROR(VLOOKUP(C949,'Tasas Diarias'!$B:$F,5,FALSE)*G949,0)</f>
        <v>0</v>
      </c>
      <c r="U949" s="311" t="e">
        <f>+VLOOKUP(C949,Spreads!$A$2:$G$345,7,0)</f>
        <v>#N/A</v>
      </c>
    </row>
    <row r="950" spans="1:21" ht="15.75" hidden="1" customHeight="1" thickTop="1" thickBot="1">
      <c r="A950" s="317" t="s">
        <v>2137</v>
      </c>
      <c r="B950" s="318" t="s">
        <v>298</v>
      </c>
      <c r="C950" s="318" t="s">
        <v>1457</v>
      </c>
      <c r="D950" s="318" t="s">
        <v>427</v>
      </c>
      <c r="E950" s="319">
        <v>2406232.0556000001</v>
      </c>
      <c r="F950" s="319"/>
      <c r="G950" s="314">
        <v>2.6999999999999999E-5</v>
      </c>
      <c r="H950" s="320">
        <v>1.7</v>
      </c>
      <c r="I950" s="318" t="s">
        <v>617</v>
      </c>
      <c r="J950" s="318">
        <v>1016</v>
      </c>
      <c r="K950" s="318">
        <v>1.5</v>
      </c>
      <c r="L950" s="318">
        <v>101.18</v>
      </c>
      <c r="M950" s="318" t="s">
        <v>6</v>
      </c>
      <c r="N950" s="318" t="s">
        <v>368</v>
      </c>
      <c r="O950" s="318" t="s">
        <v>429</v>
      </c>
      <c r="P950" s="318" t="s">
        <v>392</v>
      </c>
      <c r="Q950" s="318" t="s">
        <v>430</v>
      </c>
      <c r="R950" s="318" t="s">
        <v>1458</v>
      </c>
      <c r="S950" s="303">
        <f t="shared" si="15"/>
        <v>3609348.0833999999</v>
      </c>
      <c r="T950" s="307">
        <f>+IFERROR(VLOOKUP(C950,'Tasas Diarias'!$B:$F,5,FALSE)*G950,0)</f>
        <v>-2.0994101511065569E-8</v>
      </c>
      <c r="U950" s="311" t="e">
        <f>+VLOOKUP(C950,Spreads!$A$2:$G$345,7,0)</f>
        <v>#N/A</v>
      </c>
    </row>
    <row r="951" spans="1:21" ht="15.75" hidden="1" customHeight="1" thickTop="1" thickBot="1">
      <c r="A951" s="321" t="s">
        <v>2137</v>
      </c>
      <c r="B951" s="322" t="s">
        <v>298</v>
      </c>
      <c r="C951" s="322" t="s">
        <v>829</v>
      </c>
      <c r="D951" s="322" t="s">
        <v>38</v>
      </c>
      <c r="E951" s="323">
        <v>474408223.10070002</v>
      </c>
      <c r="F951" s="323">
        <v>455659464.01730889</v>
      </c>
      <c r="G951" s="314">
        <v>5.3990000000000002E-3</v>
      </c>
      <c r="H951" s="324">
        <v>3.59</v>
      </c>
      <c r="I951" s="322" t="s">
        <v>830</v>
      </c>
      <c r="J951" s="322">
        <v>582</v>
      </c>
      <c r="K951" s="322">
        <v>1.52</v>
      </c>
      <c r="L951" s="322">
        <v>102.08</v>
      </c>
      <c r="M951" s="322" t="s">
        <v>9</v>
      </c>
      <c r="N951" s="322" t="s">
        <v>368</v>
      </c>
      <c r="O951" s="322" t="s">
        <v>8</v>
      </c>
      <c r="P951" s="322" t="s">
        <v>7</v>
      </c>
      <c r="Q951" s="322" t="s">
        <v>76</v>
      </c>
      <c r="R951" s="322" t="s">
        <v>498</v>
      </c>
      <c r="S951" s="303">
        <f t="shared" si="15"/>
        <v>721100499.11306405</v>
      </c>
      <c r="T951" s="307">
        <f>+IFERROR(VLOOKUP(C951,'Tasas Diarias'!$B:$F,5,FALSE)*G951,0)</f>
        <v>0</v>
      </c>
      <c r="U951" s="311" t="str">
        <f ca="1">+VLOOKUP(C951,Spreads!$A$2:$G$345,7,0)</f>
        <v/>
      </c>
    </row>
    <row r="952" spans="1:21" ht="15.75" hidden="1" customHeight="1" thickTop="1" thickBot="1">
      <c r="A952" s="317" t="s">
        <v>2137</v>
      </c>
      <c r="B952" s="318" t="s">
        <v>298</v>
      </c>
      <c r="C952" s="318" t="s">
        <v>1197</v>
      </c>
      <c r="D952" s="318" t="s">
        <v>175</v>
      </c>
      <c r="E952" s="319">
        <v>117144117.3979</v>
      </c>
      <c r="F952" s="319">
        <v>113971131.46542928</v>
      </c>
      <c r="G952" s="314">
        <v>1.333E-3</v>
      </c>
      <c r="H952" s="320">
        <v>4.5199999999999996</v>
      </c>
      <c r="I952" s="318" t="s">
        <v>1215</v>
      </c>
      <c r="J952" s="318">
        <v>955</v>
      </c>
      <c r="K952" s="318">
        <v>1.53</v>
      </c>
      <c r="L952" s="318">
        <v>100.84</v>
      </c>
      <c r="M952" s="318" t="s">
        <v>9</v>
      </c>
      <c r="N952" s="318" t="s">
        <v>368</v>
      </c>
      <c r="O952" s="318" t="s">
        <v>8</v>
      </c>
      <c r="P952" s="318" t="s">
        <v>392</v>
      </c>
      <c r="Q952" s="318" t="s">
        <v>66</v>
      </c>
      <c r="R952" s="318" t="s">
        <v>418</v>
      </c>
      <c r="S952" s="303">
        <f t="shared" si="15"/>
        <v>179230499.61878699</v>
      </c>
      <c r="T952" s="307">
        <f>+IFERROR(VLOOKUP(C952,'Tasas Diarias'!$B:$F,5,FALSE)*G952,0)</f>
        <v>-4.2438972958057822E-7</v>
      </c>
      <c r="U952" s="311" t="str">
        <f ca="1">+VLOOKUP(C952,Spreads!$A$2:$G$345,7,0)</f>
        <v/>
      </c>
    </row>
    <row r="953" spans="1:21" ht="15.75" hidden="1" customHeight="1" thickTop="1" thickBot="1">
      <c r="A953" s="317" t="s">
        <v>2137</v>
      </c>
      <c r="B953" s="318" t="s">
        <v>298</v>
      </c>
      <c r="C953" s="318" t="s">
        <v>566</v>
      </c>
      <c r="D953" s="318" t="s">
        <v>24</v>
      </c>
      <c r="E953" s="319">
        <v>13799481</v>
      </c>
      <c r="F953" s="319">
        <v>500</v>
      </c>
      <c r="G953" s="314">
        <v>1.5699999999999999E-4</v>
      </c>
      <c r="H953" s="320">
        <v>1.55</v>
      </c>
      <c r="I953" s="318" t="s">
        <v>439</v>
      </c>
      <c r="J953" s="318">
        <v>588</v>
      </c>
      <c r="K953" s="318">
        <v>1.57</v>
      </c>
      <c r="L953" s="318">
        <v>102.28</v>
      </c>
      <c r="M953" s="318" t="s">
        <v>6</v>
      </c>
      <c r="N953" s="318" t="s">
        <v>368</v>
      </c>
      <c r="O953" s="318" t="s">
        <v>8</v>
      </c>
      <c r="P953" s="318" t="s">
        <v>392</v>
      </c>
      <c r="Q953" s="318" t="s">
        <v>51</v>
      </c>
      <c r="R953" s="318" t="s">
        <v>414</v>
      </c>
      <c r="S953" s="303">
        <f t="shared" si="15"/>
        <v>21665185.170000002</v>
      </c>
      <c r="T953" s="307">
        <f>+IFERROR(VLOOKUP(C953,'Tasas Diarias'!$B:$F,5,FALSE)*G953,0)</f>
        <v>0</v>
      </c>
      <c r="U953" s="311" t="str">
        <f ca="1">+VLOOKUP(C953,Spreads!$A$2:$G$345,7,0)</f>
        <v/>
      </c>
    </row>
    <row r="954" spans="1:21" ht="15.75" hidden="1" customHeight="1" thickTop="1" thickBot="1">
      <c r="A954" s="317" t="s">
        <v>2137</v>
      </c>
      <c r="B954" s="318" t="s">
        <v>298</v>
      </c>
      <c r="C954" s="318" t="s">
        <v>1112</v>
      </c>
      <c r="D954" s="318" t="s">
        <v>23</v>
      </c>
      <c r="E954" s="319">
        <v>606170</v>
      </c>
      <c r="F954" s="326">
        <v>80</v>
      </c>
      <c r="G954" s="314">
        <v>6.0000000000000002E-6</v>
      </c>
      <c r="H954" s="320">
        <v>3.37</v>
      </c>
      <c r="I954" s="318" t="s">
        <v>505</v>
      </c>
      <c r="J954" s="318">
        <v>1138</v>
      </c>
      <c r="K954" s="318">
        <v>1.59</v>
      </c>
      <c r="L954" s="318">
        <v>105.55</v>
      </c>
      <c r="M954" s="318" t="s">
        <v>6</v>
      </c>
      <c r="N954" s="318" t="s">
        <v>1095</v>
      </c>
      <c r="O954" s="318" t="s">
        <v>8</v>
      </c>
      <c r="P954" s="318" t="s">
        <v>7</v>
      </c>
      <c r="Q954" s="318" t="s">
        <v>67</v>
      </c>
      <c r="R954" s="318" t="s">
        <v>1113</v>
      </c>
      <c r="S954" s="303">
        <f t="shared" si="15"/>
        <v>963810.3</v>
      </c>
      <c r="T954" s="307">
        <f>+IFERROR(VLOOKUP(C954,'Tasas Diarias'!$B:$F,5,FALSE)*G954,0)</f>
        <v>-1.1824871153865836E-8</v>
      </c>
      <c r="U954" s="311" t="e">
        <f>+VLOOKUP(C954,Spreads!$A$2:$G$345,7,0)</f>
        <v>#N/A</v>
      </c>
    </row>
    <row r="955" spans="1:21" ht="15.75" hidden="1" customHeight="1" thickTop="1" thickBot="1">
      <c r="A955" s="317" t="s">
        <v>2137</v>
      </c>
      <c r="B955" s="318" t="s">
        <v>298</v>
      </c>
      <c r="C955" s="318" t="s">
        <v>1114</v>
      </c>
      <c r="D955" s="318" t="s">
        <v>23</v>
      </c>
      <c r="E955" s="319">
        <v>3438343</v>
      </c>
      <c r="F955" s="319">
        <v>490</v>
      </c>
      <c r="G955" s="314">
        <v>3.8999999999999999E-5</v>
      </c>
      <c r="H955" s="320">
        <v>3.32</v>
      </c>
      <c r="I955" s="318" t="s">
        <v>505</v>
      </c>
      <c r="J955" s="318">
        <v>1138</v>
      </c>
      <c r="K955" s="318">
        <v>1.59</v>
      </c>
      <c r="L955" s="318">
        <v>104.11</v>
      </c>
      <c r="M955" s="318" t="s">
        <v>6</v>
      </c>
      <c r="N955" s="318" t="s">
        <v>1095</v>
      </c>
      <c r="O955" s="318" t="s">
        <v>8</v>
      </c>
      <c r="P955" s="318" t="s">
        <v>7</v>
      </c>
      <c r="Q955" s="318" t="s">
        <v>67</v>
      </c>
      <c r="R955" s="318" t="s">
        <v>1113</v>
      </c>
      <c r="S955" s="303">
        <f t="shared" si="15"/>
        <v>5466965.3700000001</v>
      </c>
      <c r="T955" s="307">
        <f>+IFERROR(VLOOKUP(C955,'Tasas Diarias'!$B:$F,5,FALSE)*G955,0)</f>
        <v>-4.4772664201661715E-8</v>
      </c>
      <c r="U955" s="311" t="e">
        <f>+VLOOKUP(C955,Spreads!$A$2:$G$345,7,0)</f>
        <v>#N/A</v>
      </c>
    </row>
    <row r="956" spans="1:21" ht="15.75" hidden="1" customHeight="1" thickTop="1" thickBot="1">
      <c r="A956" s="321" t="s">
        <v>2137</v>
      </c>
      <c r="B956" s="322" t="s">
        <v>298</v>
      </c>
      <c r="C956" s="322" t="s">
        <v>1115</v>
      </c>
      <c r="D956" s="322" t="s">
        <v>179</v>
      </c>
      <c r="E956" s="323">
        <v>11123111</v>
      </c>
      <c r="F956" s="323">
        <v>1420</v>
      </c>
      <c r="G956" s="314">
        <v>1.26E-4</v>
      </c>
      <c r="H956" s="322">
        <v>2.83</v>
      </c>
      <c r="I956" s="322" t="s">
        <v>505</v>
      </c>
      <c r="J956" s="322">
        <v>1138</v>
      </c>
      <c r="K956" s="322">
        <v>1.61</v>
      </c>
      <c r="L956" s="322">
        <v>103.08</v>
      </c>
      <c r="M956" s="322" t="s">
        <v>6</v>
      </c>
      <c r="N956" s="322" t="s">
        <v>1095</v>
      </c>
      <c r="O956" s="322" t="s">
        <v>8</v>
      </c>
      <c r="P956" s="322" t="s">
        <v>392</v>
      </c>
      <c r="Q956" s="322" t="s">
        <v>28</v>
      </c>
      <c r="R956" s="322" t="s">
        <v>1108</v>
      </c>
      <c r="S956" s="303">
        <f t="shared" si="15"/>
        <v>17908208.710000001</v>
      </c>
      <c r="T956" s="307">
        <f>+IFERROR(VLOOKUP(C956,'Tasas Diarias'!$B:$F,5,FALSE)*G956,0)</f>
        <v>-3.147362763609144E-7</v>
      </c>
      <c r="U956" s="311" t="e">
        <f>+VLOOKUP(C956,Spreads!$A$2:$G$345,7,0)</f>
        <v>#N/A</v>
      </c>
    </row>
    <row r="957" spans="1:21" ht="15.75" hidden="1" customHeight="1" thickTop="1" thickBot="1">
      <c r="A957" s="317" t="s">
        <v>2137</v>
      </c>
      <c r="B957" s="318" t="s">
        <v>298</v>
      </c>
      <c r="C957" s="318" t="s">
        <v>477</v>
      </c>
      <c r="D957" s="318" t="s">
        <v>24</v>
      </c>
      <c r="E957" s="319">
        <v>2789816.3054999998</v>
      </c>
      <c r="F957" s="319"/>
      <c r="G957" s="314">
        <v>3.1999999999999999E-5</v>
      </c>
      <c r="H957" s="320">
        <v>1.63</v>
      </c>
      <c r="I957" s="318" t="s">
        <v>478</v>
      </c>
      <c r="J957" s="318">
        <v>1289</v>
      </c>
      <c r="K957" s="318">
        <v>1.7</v>
      </c>
      <c r="L957" s="318">
        <v>102.28</v>
      </c>
      <c r="M957" s="318" t="s">
        <v>6</v>
      </c>
      <c r="N957" s="318" t="s">
        <v>368</v>
      </c>
      <c r="O957" s="318" t="s">
        <v>8</v>
      </c>
      <c r="P957" s="318" t="s">
        <v>392</v>
      </c>
      <c r="Q957" s="318" t="s">
        <v>51</v>
      </c>
      <c r="R957" s="318" t="s">
        <v>414</v>
      </c>
      <c r="S957" s="303">
        <f t="shared" si="15"/>
        <v>4742687.7193499999</v>
      </c>
      <c r="T957" s="307">
        <f>+IFERROR(VLOOKUP(C957,'Tasas Diarias'!$B:$F,5,FALSE)*G957,0)</f>
        <v>2.7994667893382617E-8</v>
      </c>
      <c r="U957" s="311" t="str">
        <f ca="1">+VLOOKUP(C957,Spreads!$A$2:$G$345,7,0)</f>
        <v/>
      </c>
    </row>
    <row r="958" spans="1:21" ht="15.75" hidden="1" customHeight="1" thickTop="1" thickBot="1">
      <c r="A958" s="321" t="s">
        <v>2137</v>
      </c>
      <c r="B958" s="322" t="s">
        <v>298</v>
      </c>
      <c r="C958" s="322" t="s">
        <v>576</v>
      </c>
      <c r="D958" s="322" t="s">
        <v>577</v>
      </c>
      <c r="E958" s="323">
        <v>7221794.5856999997</v>
      </c>
      <c r="F958" s="323"/>
      <c r="G958" s="314">
        <v>8.2000000000000001E-5</v>
      </c>
      <c r="H958" s="324">
        <v>1.56</v>
      </c>
      <c r="I958" s="322" t="s">
        <v>578</v>
      </c>
      <c r="J958" s="322">
        <v>650</v>
      </c>
      <c r="K958" s="322">
        <v>1.75</v>
      </c>
      <c r="L958" s="322">
        <v>101.28</v>
      </c>
      <c r="M958" s="322" t="s">
        <v>6</v>
      </c>
      <c r="N958" s="322" t="s">
        <v>368</v>
      </c>
      <c r="O958" s="322" t="s">
        <v>429</v>
      </c>
      <c r="P958" s="322" t="s">
        <v>392</v>
      </c>
      <c r="Q958" s="322" t="s">
        <v>579</v>
      </c>
      <c r="R958" s="322" t="s">
        <v>580</v>
      </c>
      <c r="S958" s="303">
        <f t="shared" si="15"/>
        <v>12638140.524975</v>
      </c>
      <c r="T958" s="307">
        <f>+IFERROR(VLOOKUP(C958,'Tasas Diarias'!$B:$F,5,FALSE)*G958,0)</f>
        <v>0</v>
      </c>
      <c r="U958" s="311" t="str">
        <f ca="1">+VLOOKUP(C958,Spreads!$A$2:$G$345,7,0)</f>
        <v/>
      </c>
    </row>
    <row r="959" spans="1:21" ht="15.75" hidden="1" customHeight="1" thickTop="1" thickBot="1">
      <c r="A959" s="317" t="s">
        <v>2137</v>
      </c>
      <c r="B959" s="318" t="s">
        <v>298</v>
      </c>
      <c r="C959" s="318" t="s">
        <v>831</v>
      </c>
      <c r="D959" s="318" t="s">
        <v>178</v>
      </c>
      <c r="E959" s="319">
        <v>209718330.90009999</v>
      </c>
      <c r="F959" s="319">
        <v>6500</v>
      </c>
      <c r="G959" s="314">
        <v>2.3869999999999998E-3</v>
      </c>
      <c r="H959" s="318">
        <v>2.2200000000000002</v>
      </c>
      <c r="I959" s="318" t="s">
        <v>832</v>
      </c>
      <c r="J959" s="318">
        <v>755</v>
      </c>
      <c r="K959" s="318">
        <v>1.76</v>
      </c>
      <c r="L959" s="318">
        <v>101.17</v>
      </c>
      <c r="M959" s="318" t="s">
        <v>6</v>
      </c>
      <c r="N959" s="318" t="s">
        <v>368</v>
      </c>
      <c r="O959" s="318" t="s">
        <v>8</v>
      </c>
      <c r="P959" s="318" t="s">
        <v>417</v>
      </c>
      <c r="Q959" s="318" t="s">
        <v>68</v>
      </c>
      <c r="R959" s="318" t="s">
        <v>812</v>
      </c>
      <c r="S959" s="303">
        <f t="shared" si="15"/>
        <v>369104262.38417602</v>
      </c>
      <c r="T959" s="307">
        <f>+IFERROR(VLOOKUP(C959,'Tasas Diarias'!$B:$F,5,FALSE)*G959,0)</f>
        <v>1.3027355061222168E-6</v>
      </c>
      <c r="U959" s="311" t="str">
        <f ca="1">+VLOOKUP(C959,Spreads!$A$2:$G$345,7,0)</f>
        <v/>
      </c>
    </row>
    <row r="960" spans="1:21" ht="15.75" hidden="1" customHeight="1" thickTop="1" thickBot="1">
      <c r="A960" s="317" t="s">
        <v>2137</v>
      </c>
      <c r="B960" s="318" t="s">
        <v>298</v>
      </c>
      <c r="C960" s="318" t="s">
        <v>1880</v>
      </c>
      <c r="D960" s="318" t="s">
        <v>808</v>
      </c>
      <c r="E960" s="319">
        <v>46222900.242700003</v>
      </c>
      <c r="F960" s="319"/>
      <c r="G960" s="314">
        <v>5.2599999999999999E-4</v>
      </c>
      <c r="H960" s="320">
        <v>2.52</v>
      </c>
      <c r="I960" s="318" t="s">
        <v>1881</v>
      </c>
      <c r="J960" s="318">
        <v>674</v>
      </c>
      <c r="K960" s="318">
        <v>1.8</v>
      </c>
      <c r="L960" s="318">
        <v>100.85</v>
      </c>
      <c r="M960" s="318" t="s">
        <v>6</v>
      </c>
      <c r="N960" s="318" t="s">
        <v>368</v>
      </c>
      <c r="O960" s="318" t="s">
        <v>429</v>
      </c>
      <c r="P960" s="318" t="s">
        <v>1307</v>
      </c>
      <c r="Q960" s="318" t="s">
        <v>809</v>
      </c>
      <c r="R960" s="318" t="s">
        <v>810</v>
      </c>
      <c r="S960" s="303">
        <f t="shared" si="15"/>
        <v>83201220.43686001</v>
      </c>
      <c r="T960" s="307">
        <f>+IFERROR(VLOOKUP(C960,'Tasas Diarias'!$B:$F,5,FALSE)*G960,0)</f>
        <v>0</v>
      </c>
      <c r="U960" s="311" t="e">
        <f>+VLOOKUP(C960,Spreads!$A$2:$G$345,7,0)</f>
        <v>#N/A</v>
      </c>
    </row>
    <row r="961" spans="1:21" ht="15.75" hidden="1" customHeight="1" thickTop="1" thickBot="1">
      <c r="A961" s="327" t="s">
        <v>2137</v>
      </c>
      <c r="B961" s="328" t="s">
        <v>298</v>
      </c>
      <c r="C961" s="328" t="s">
        <v>820</v>
      </c>
      <c r="D961" s="328" t="s">
        <v>821</v>
      </c>
      <c r="E961" s="328">
        <v>381373980.90609998</v>
      </c>
      <c r="F961" s="328">
        <v>23000</v>
      </c>
      <c r="G961" s="328">
        <v>4.3410000000000002E-3</v>
      </c>
      <c r="H961" s="329">
        <v>2.62</v>
      </c>
      <c r="I961" s="328" t="s">
        <v>486</v>
      </c>
      <c r="J961" s="328">
        <v>1228</v>
      </c>
      <c r="K961" s="328">
        <v>1.8</v>
      </c>
      <c r="L961" s="328">
        <v>102.07</v>
      </c>
      <c r="M961" s="328" t="s">
        <v>6</v>
      </c>
      <c r="N961" s="328" t="s">
        <v>368</v>
      </c>
      <c r="O961" s="328" t="s">
        <v>8</v>
      </c>
      <c r="P961" s="328" t="s">
        <v>417</v>
      </c>
      <c r="Q961" s="328" t="s">
        <v>822</v>
      </c>
      <c r="R961" s="328" t="s">
        <v>823</v>
      </c>
      <c r="S961" s="303">
        <f t="shared" si="15"/>
        <v>686473165.63098001</v>
      </c>
      <c r="T961" s="307">
        <f>+IFERROR(VLOOKUP(C961,'Tasas Diarias'!$B:$F,5,FALSE)*G961,0)</f>
        <v>2.4181167240231345E-6</v>
      </c>
      <c r="U961" s="311" t="str">
        <f ca="1">+VLOOKUP(C961,Spreads!$A$2:$G$345,7,0)</f>
        <v/>
      </c>
    </row>
    <row r="962" spans="1:21" ht="15.75" hidden="1" customHeight="1" thickTop="1" thickBot="1">
      <c r="A962" s="327" t="s">
        <v>2137</v>
      </c>
      <c r="B962" s="328" t="s">
        <v>298</v>
      </c>
      <c r="C962" s="328" t="s">
        <v>484</v>
      </c>
      <c r="D962" s="328" t="s">
        <v>485</v>
      </c>
      <c r="E962" s="328">
        <v>354459.11300000001</v>
      </c>
      <c r="F962" s="328"/>
      <c r="G962" s="328">
        <v>3.9999999999999998E-6</v>
      </c>
      <c r="H962" s="329">
        <v>1.65</v>
      </c>
      <c r="I962" s="328" t="s">
        <v>486</v>
      </c>
      <c r="J962" s="328">
        <v>1228</v>
      </c>
      <c r="K962" s="328">
        <v>1.82</v>
      </c>
      <c r="L962" s="328">
        <v>102.42</v>
      </c>
      <c r="M962" s="328" t="s">
        <v>6</v>
      </c>
      <c r="N962" s="328" t="s">
        <v>368</v>
      </c>
      <c r="O962" s="328" t="s">
        <v>1348</v>
      </c>
      <c r="P962" s="328" t="s">
        <v>392</v>
      </c>
      <c r="Q962" s="328" t="s">
        <v>487</v>
      </c>
      <c r="R962" s="328" t="s">
        <v>488</v>
      </c>
      <c r="S962" s="303">
        <f t="shared" si="15"/>
        <v>645115.5856600001</v>
      </c>
      <c r="T962" s="307">
        <f>+IFERROR(VLOOKUP(C962,'Tasas Diarias'!$B:$F,5,FALSE)*G962,0)</f>
        <v>0</v>
      </c>
      <c r="U962" s="311" t="str">
        <f ca="1">+VLOOKUP(C962,Spreads!$A$2:$G$345,7,0)</f>
        <v/>
      </c>
    </row>
    <row r="963" spans="1:21" ht="15.75" hidden="1" customHeight="1" thickTop="1" thickBot="1">
      <c r="A963" s="321" t="s">
        <v>2137</v>
      </c>
      <c r="B963" s="322" t="s">
        <v>298</v>
      </c>
      <c r="C963" s="322" t="s">
        <v>581</v>
      </c>
      <c r="D963" s="322" t="s">
        <v>290</v>
      </c>
      <c r="E963" s="323">
        <v>25151435.026900001</v>
      </c>
      <c r="F963" s="323">
        <v>24558313.685979385</v>
      </c>
      <c r="G963" s="314">
        <v>2.8600000000000001E-4</v>
      </c>
      <c r="H963" s="324">
        <v>4.21</v>
      </c>
      <c r="I963" s="322" t="s">
        <v>495</v>
      </c>
      <c r="J963" s="322">
        <v>711</v>
      </c>
      <c r="K963" s="322">
        <v>1.87</v>
      </c>
      <c r="L963" s="322">
        <v>102.15</v>
      </c>
      <c r="M963" s="322" t="s">
        <v>9</v>
      </c>
      <c r="N963" s="322" t="s">
        <v>368</v>
      </c>
      <c r="O963" s="322" t="s">
        <v>1350</v>
      </c>
      <c r="P963" s="322" t="s">
        <v>392</v>
      </c>
      <c r="Q963" s="322" t="s">
        <v>84</v>
      </c>
      <c r="R963" s="322" t="s">
        <v>582</v>
      </c>
      <c r="S963" s="303">
        <f t="shared" ref="S963:S1026" si="16">+IFERROR(E963*K963,0)</f>
        <v>47033183.500303008</v>
      </c>
      <c r="T963" s="307">
        <f>+IFERROR(VLOOKUP(C963,'Tasas Diarias'!$B:$F,5,FALSE)*G963,0)</f>
        <v>0</v>
      </c>
      <c r="U963" s="311" t="str">
        <f ca="1">+VLOOKUP(C963,Spreads!$A$2:$G$345,7,0)</f>
        <v/>
      </c>
    </row>
    <row r="964" spans="1:21" ht="15.75" hidden="1" customHeight="1" thickTop="1" thickBot="1">
      <c r="A964" s="317" t="s">
        <v>2137</v>
      </c>
      <c r="B964" s="318" t="s">
        <v>298</v>
      </c>
      <c r="C964" s="318" t="s">
        <v>494</v>
      </c>
      <c r="D964" s="318" t="s">
        <v>182</v>
      </c>
      <c r="E964" s="319">
        <v>74816969.582399994</v>
      </c>
      <c r="F964" s="319"/>
      <c r="G964" s="314">
        <v>8.52E-4</v>
      </c>
      <c r="H964" s="320">
        <v>1.63</v>
      </c>
      <c r="I964" s="318" t="s">
        <v>495</v>
      </c>
      <c r="J964" s="318">
        <v>711</v>
      </c>
      <c r="K964" s="318">
        <v>1.9</v>
      </c>
      <c r="L964" s="318">
        <v>102.58</v>
      </c>
      <c r="M964" s="318" t="s">
        <v>6</v>
      </c>
      <c r="N964" s="318" t="s">
        <v>368</v>
      </c>
      <c r="O964" s="318" t="s">
        <v>8</v>
      </c>
      <c r="P964" s="318" t="s">
        <v>7</v>
      </c>
      <c r="Q964" s="318" t="s">
        <v>390</v>
      </c>
      <c r="R964" s="318" t="s">
        <v>402</v>
      </c>
      <c r="S964" s="303">
        <f t="shared" si="16"/>
        <v>142152242.20655999</v>
      </c>
      <c r="T964" s="307">
        <f>+IFERROR(VLOOKUP(C964,'Tasas Diarias'!$B:$F,5,FALSE)*G964,0)</f>
        <v>-1.4830919198184353E-6</v>
      </c>
      <c r="U964" s="311" t="str">
        <f ca="1">+VLOOKUP(C964,Spreads!$A$2:$G$345,7,0)</f>
        <v/>
      </c>
    </row>
    <row r="965" spans="1:21" ht="15.75" hidden="1" customHeight="1" thickTop="1" thickBot="1">
      <c r="A965" s="321" t="s">
        <v>2137</v>
      </c>
      <c r="B965" s="322" t="s">
        <v>298</v>
      </c>
      <c r="C965" s="322" t="s">
        <v>571</v>
      </c>
      <c r="D965" s="322" t="s">
        <v>572</v>
      </c>
      <c r="E965" s="323">
        <v>4906656.0433999998</v>
      </c>
      <c r="F965" s="323"/>
      <c r="G965" s="314">
        <v>5.5999999999999999E-5</v>
      </c>
      <c r="H965" s="324">
        <v>1.68</v>
      </c>
      <c r="I965" s="322" t="s">
        <v>573</v>
      </c>
      <c r="J965" s="322">
        <v>1272</v>
      </c>
      <c r="K965" s="322">
        <v>1.94</v>
      </c>
      <c r="L965" s="322">
        <v>101.57</v>
      </c>
      <c r="M965" s="322" t="s">
        <v>6</v>
      </c>
      <c r="N965" s="322" t="s">
        <v>368</v>
      </c>
      <c r="O965" s="322" t="s">
        <v>1346</v>
      </c>
      <c r="P965" s="322" t="s">
        <v>444</v>
      </c>
      <c r="Q965" s="322" t="s">
        <v>574</v>
      </c>
      <c r="R965" s="322" t="s">
        <v>575</v>
      </c>
      <c r="S965" s="303">
        <f t="shared" si="16"/>
        <v>9518912.724196</v>
      </c>
      <c r="T965" s="307">
        <f>+IFERROR(VLOOKUP(C965,'Tasas Diarias'!$B:$F,5,FALSE)*G965,0)</f>
        <v>0</v>
      </c>
      <c r="U965" s="311" t="str">
        <f ca="1">+VLOOKUP(C965,Spreads!$A$2:$G$345,7,0)</f>
        <v/>
      </c>
    </row>
    <row r="966" spans="1:21" ht="15.75" hidden="1" customHeight="1" thickTop="1" thickBot="1">
      <c r="A966" s="327" t="s">
        <v>2137</v>
      </c>
      <c r="B966" s="328" t="s">
        <v>298</v>
      </c>
      <c r="C966" s="328" t="s">
        <v>492</v>
      </c>
      <c r="D966" s="328" t="s">
        <v>182</v>
      </c>
      <c r="E966" s="328">
        <v>1570898.3417</v>
      </c>
      <c r="F966" s="343">
        <v>1477469.8279820383</v>
      </c>
      <c r="G966" s="328">
        <v>1.8E-5</v>
      </c>
      <c r="H966" s="329">
        <v>3.93</v>
      </c>
      <c r="I966" s="328" t="s">
        <v>493</v>
      </c>
      <c r="J966" s="328">
        <v>772</v>
      </c>
      <c r="K966" s="328">
        <v>1.98</v>
      </c>
      <c r="L966" s="328">
        <v>103.96</v>
      </c>
      <c r="M966" s="328" t="s">
        <v>9</v>
      </c>
      <c r="N966" s="328" t="s">
        <v>368</v>
      </c>
      <c r="O966" s="328" t="s">
        <v>8</v>
      </c>
      <c r="P966" s="328" t="s">
        <v>7</v>
      </c>
      <c r="Q966" s="328" t="s">
        <v>390</v>
      </c>
      <c r="R966" s="328" t="s">
        <v>402</v>
      </c>
      <c r="S966" s="303">
        <f t="shared" si="16"/>
        <v>3110378.7165660001</v>
      </c>
      <c r="T966" s="307">
        <f>+IFERROR(VLOOKUP(C966,'Tasas Diarias'!$B:$F,5,FALSE)*G966,0)</f>
        <v>7.3316950815711152E-9</v>
      </c>
      <c r="U966" s="311" t="str">
        <f ca="1">+VLOOKUP(C966,Spreads!$A$2:$G$345,7,0)</f>
        <v/>
      </c>
    </row>
    <row r="967" spans="1:21" ht="15.75" hidden="1" customHeight="1" thickTop="1" thickBot="1">
      <c r="A967" s="317" t="s">
        <v>2137</v>
      </c>
      <c r="B967" s="318" t="s">
        <v>298</v>
      </c>
      <c r="C967" s="318" t="s">
        <v>1051</v>
      </c>
      <c r="D967" s="318" t="s">
        <v>16</v>
      </c>
      <c r="E967" s="319">
        <v>20922634</v>
      </c>
      <c r="F967" s="319">
        <v>20000000</v>
      </c>
      <c r="G967" s="314">
        <v>2.3800000000000001E-4</v>
      </c>
      <c r="H967" s="320">
        <v>3.93</v>
      </c>
      <c r="I967" s="318" t="s">
        <v>493</v>
      </c>
      <c r="J967" s="318">
        <v>772</v>
      </c>
      <c r="K967" s="318">
        <v>1.99</v>
      </c>
      <c r="L967" s="318">
        <v>102.56</v>
      </c>
      <c r="M967" s="318" t="s">
        <v>9</v>
      </c>
      <c r="N967" s="318" t="s">
        <v>368</v>
      </c>
      <c r="O967" s="318" t="s">
        <v>8</v>
      </c>
      <c r="P967" s="318" t="s">
        <v>379</v>
      </c>
      <c r="Q967" s="318" t="s">
        <v>61</v>
      </c>
      <c r="R967" s="318" t="s">
        <v>394</v>
      </c>
      <c r="S967" s="303">
        <f t="shared" si="16"/>
        <v>41636041.659999996</v>
      </c>
      <c r="T967" s="307">
        <f>+IFERROR(VLOOKUP(C967,'Tasas Diarias'!$B:$F,5,FALSE)*G967,0)</f>
        <v>0</v>
      </c>
      <c r="U967" s="311" t="e">
        <f>+VLOOKUP(C967,Spreads!$A$2:$G$345,7,0)</f>
        <v>#N/A</v>
      </c>
    </row>
    <row r="968" spans="1:21" ht="15.75" hidden="1" customHeight="1" thickTop="1" thickBot="1">
      <c r="A968" s="321" t="s">
        <v>2137</v>
      </c>
      <c r="B968" s="322" t="s">
        <v>298</v>
      </c>
      <c r="C968" s="322" t="s">
        <v>1116</v>
      </c>
      <c r="D968" s="322" t="s">
        <v>179</v>
      </c>
      <c r="E968" s="323">
        <v>15334810</v>
      </c>
      <c r="F968" s="323">
        <v>1700</v>
      </c>
      <c r="G968" s="314">
        <v>1.74E-4</v>
      </c>
      <c r="H968" s="324">
        <v>3.38</v>
      </c>
      <c r="I968" s="322" t="s">
        <v>568</v>
      </c>
      <c r="J968" s="322">
        <v>1503</v>
      </c>
      <c r="K968" s="322">
        <v>2.0299999999999998</v>
      </c>
      <c r="L968" s="322">
        <v>105.59</v>
      </c>
      <c r="M968" s="322" t="s">
        <v>6</v>
      </c>
      <c r="N968" s="322" t="s">
        <v>1095</v>
      </c>
      <c r="O968" s="322" t="s">
        <v>8</v>
      </c>
      <c r="P968" s="322" t="s">
        <v>392</v>
      </c>
      <c r="Q968" s="322" t="s">
        <v>28</v>
      </c>
      <c r="R968" s="322" t="s">
        <v>1117</v>
      </c>
      <c r="S968" s="303">
        <f t="shared" si="16"/>
        <v>31129664.299999997</v>
      </c>
      <c r="T968" s="307">
        <f>+IFERROR(VLOOKUP(C968,'Tasas Diarias'!$B:$F,5,FALSE)*G968,0)</f>
        <v>1.0868626492947636E-7</v>
      </c>
      <c r="U968" s="311" t="e">
        <f>+VLOOKUP(C968,Spreads!$A$2:$G$345,7,0)</f>
        <v>#N/A</v>
      </c>
    </row>
    <row r="969" spans="1:21" ht="15.75" hidden="1" customHeight="1" thickTop="1" thickBot="1">
      <c r="A969" s="321" t="s">
        <v>2137</v>
      </c>
      <c r="B969" s="322" t="s">
        <v>298</v>
      </c>
      <c r="C969" s="322" t="s">
        <v>45</v>
      </c>
      <c r="D969" s="322" t="s">
        <v>116</v>
      </c>
      <c r="E969" s="323">
        <v>47095082.112800002</v>
      </c>
      <c r="F969" s="323"/>
      <c r="G969" s="314">
        <v>5.3600000000000002E-4</v>
      </c>
      <c r="H969" s="324">
        <v>0.86</v>
      </c>
      <c r="I969" s="322" t="s">
        <v>493</v>
      </c>
      <c r="J969" s="322">
        <v>772</v>
      </c>
      <c r="K969" s="322">
        <v>2.04</v>
      </c>
      <c r="L969" s="322">
        <v>104.42</v>
      </c>
      <c r="M969" s="322" t="s">
        <v>6</v>
      </c>
      <c r="N969" s="322" t="s">
        <v>458</v>
      </c>
      <c r="O969" s="322" t="s">
        <v>378</v>
      </c>
      <c r="P969" s="322" t="s">
        <v>379</v>
      </c>
      <c r="Q969" s="322" t="s">
        <v>2139</v>
      </c>
      <c r="R969" s="322" t="s">
        <v>508</v>
      </c>
      <c r="S969" s="303">
        <f t="shared" si="16"/>
        <v>96073967.510112002</v>
      </c>
      <c r="T969" s="307">
        <f>+IFERROR(VLOOKUP(C969,'Tasas Diarias'!$B:$F,5,FALSE)*G969,0)</f>
        <v>0</v>
      </c>
      <c r="U969" s="311" t="str">
        <f>+VLOOKUP(C969,Spreads!$A$2:$G$345,7,0)</f>
        <v/>
      </c>
    </row>
    <row r="970" spans="1:21" ht="15.75" hidden="1" customHeight="1" thickTop="1" thickBot="1">
      <c r="A970" s="321" t="s">
        <v>2137</v>
      </c>
      <c r="B970" s="322" t="s">
        <v>298</v>
      </c>
      <c r="C970" s="322" t="s">
        <v>489</v>
      </c>
      <c r="D970" s="322" t="s">
        <v>12</v>
      </c>
      <c r="E970" s="323">
        <v>266997174.3964</v>
      </c>
      <c r="F970" s="323">
        <v>2500</v>
      </c>
      <c r="G970" s="314">
        <v>3.0379999999999999E-3</v>
      </c>
      <c r="H970" s="324">
        <v>1.79</v>
      </c>
      <c r="I970" s="322" t="s">
        <v>490</v>
      </c>
      <c r="J970" s="322">
        <v>1318</v>
      </c>
      <c r="K970" s="322">
        <v>2.09</v>
      </c>
      <c r="L970" s="322">
        <v>102.38</v>
      </c>
      <c r="M970" s="322" t="s">
        <v>6</v>
      </c>
      <c r="N970" s="322" t="s">
        <v>368</v>
      </c>
      <c r="O970" s="322" t="s">
        <v>1349</v>
      </c>
      <c r="P970" s="322" t="s">
        <v>379</v>
      </c>
      <c r="Q970" s="322" t="s">
        <v>328</v>
      </c>
      <c r="R970" s="322" t="s">
        <v>491</v>
      </c>
      <c r="S970" s="303">
        <f t="shared" si="16"/>
        <v>558024094.48847592</v>
      </c>
      <c r="T970" s="307">
        <f>+IFERROR(VLOOKUP(C970,'Tasas Diarias'!$B:$F,5,FALSE)*G970,0)</f>
        <v>1.3011500372026209E-6</v>
      </c>
      <c r="U970" s="311" t="str">
        <f ca="1">+VLOOKUP(C970,Spreads!$A$2:$G$345,7,0)</f>
        <v/>
      </c>
    </row>
    <row r="971" spans="1:21" ht="15.75" hidden="1" customHeight="1" thickTop="1" thickBot="1">
      <c r="A971" s="317" t="s">
        <v>2137</v>
      </c>
      <c r="B971" s="318" t="s">
        <v>298</v>
      </c>
      <c r="C971" s="318" t="s">
        <v>567</v>
      </c>
      <c r="D971" s="318" t="s">
        <v>168</v>
      </c>
      <c r="E971" s="319">
        <v>95460421.817100003</v>
      </c>
      <c r="F971" s="319"/>
      <c r="G971" s="314">
        <v>1.0870000000000001E-3</v>
      </c>
      <c r="H971" s="320">
        <v>1.78</v>
      </c>
      <c r="I971" s="318" t="s">
        <v>568</v>
      </c>
      <c r="J971" s="318">
        <v>1503</v>
      </c>
      <c r="K971" s="318">
        <v>2.09</v>
      </c>
      <c r="L971" s="318">
        <v>109.7</v>
      </c>
      <c r="M971" s="318" t="s">
        <v>6</v>
      </c>
      <c r="N971" s="318" t="s">
        <v>368</v>
      </c>
      <c r="O971" s="318" t="s">
        <v>8</v>
      </c>
      <c r="P971" s="318" t="s">
        <v>7</v>
      </c>
      <c r="Q971" s="318" t="s">
        <v>77</v>
      </c>
      <c r="R971" s="318" t="s">
        <v>569</v>
      </c>
      <c r="S971" s="303">
        <f t="shared" si="16"/>
        <v>199512281.59773898</v>
      </c>
      <c r="T971" s="307">
        <f>+IFERROR(VLOOKUP(C971,'Tasas Diarias'!$B:$F,5,FALSE)*G971,0)</f>
        <v>-2.3243104362754961E-7</v>
      </c>
      <c r="U971" s="311" t="str">
        <f ca="1">+VLOOKUP(C971,Spreads!$A$2:$G$345,7,0)</f>
        <v/>
      </c>
    </row>
    <row r="972" spans="1:21" ht="15.75" hidden="1" customHeight="1" thickTop="1" thickBot="1">
      <c r="A972" s="317" t="s">
        <v>2137</v>
      </c>
      <c r="B972" s="318" t="s">
        <v>298</v>
      </c>
      <c r="C972" s="318" t="s">
        <v>585</v>
      </c>
      <c r="D972" s="318" t="s">
        <v>586</v>
      </c>
      <c r="E972" s="319">
        <v>2813603.0531000001</v>
      </c>
      <c r="F972" s="319">
        <v>2726212.9343518834</v>
      </c>
      <c r="G972" s="314">
        <v>3.1999999999999999E-5</v>
      </c>
      <c r="H972" s="320">
        <v>4.2</v>
      </c>
      <c r="I972" s="318" t="s">
        <v>587</v>
      </c>
      <c r="J972" s="318">
        <v>1472</v>
      </c>
      <c r="K972" s="318">
        <v>2.12</v>
      </c>
      <c r="L972" s="318">
        <v>101.01</v>
      </c>
      <c r="M972" s="318" t="s">
        <v>9</v>
      </c>
      <c r="N972" s="318" t="s">
        <v>368</v>
      </c>
      <c r="O972" s="318" t="s">
        <v>1346</v>
      </c>
      <c r="P972" s="318" t="s">
        <v>7</v>
      </c>
      <c r="Q972" s="318" t="s">
        <v>588</v>
      </c>
      <c r="R972" s="318" t="s">
        <v>589</v>
      </c>
      <c r="S972" s="303">
        <f t="shared" si="16"/>
        <v>5964838.4725720007</v>
      </c>
      <c r="T972" s="307">
        <f>+IFERROR(VLOOKUP(C972,'Tasas Diarias'!$B:$F,5,FALSE)*G972,0)</f>
        <v>0</v>
      </c>
      <c r="U972" s="311" t="str">
        <f ca="1">+VLOOKUP(C972,Spreads!$A$2:$G$345,7,0)</f>
        <v/>
      </c>
    </row>
    <row r="973" spans="1:21" ht="15.75" hidden="1" customHeight="1" thickTop="1" thickBot="1">
      <c r="A973" s="327" t="s">
        <v>2137</v>
      </c>
      <c r="B973" s="328" t="s">
        <v>298</v>
      </c>
      <c r="C973" s="328" t="s">
        <v>1554</v>
      </c>
      <c r="D973" s="328" t="s">
        <v>233</v>
      </c>
      <c r="E973" s="328">
        <v>14358072.811899999</v>
      </c>
      <c r="F973" s="328">
        <v>13893018.332991976</v>
      </c>
      <c r="G973" s="314">
        <v>1.63E-4</v>
      </c>
      <c r="H973" s="329">
        <v>4.25</v>
      </c>
      <c r="I973" s="328" t="s">
        <v>591</v>
      </c>
      <c r="J973" s="328">
        <v>832</v>
      </c>
      <c r="K973" s="328">
        <v>2.16</v>
      </c>
      <c r="L973" s="328">
        <v>102.19</v>
      </c>
      <c r="M973" s="328" t="s">
        <v>9</v>
      </c>
      <c r="N973" s="328" t="s">
        <v>368</v>
      </c>
      <c r="O973" s="328" t="s">
        <v>8</v>
      </c>
      <c r="P973" s="328" t="s">
        <v>417</v>
      </c>
      <c r="Q973" s="328" t="s">
        <v>60</v>
      </c>
      <c r="R973" s="328" t="s">
        <v>481</v>
      </c>
      <c r="S973" s="303">
        <f t="shared" si="16"/>
        <v>31013437.273704</v>
      </c>
      <c r="T973" s="307">
        <f>+IFERROR(VLOOKUP(C973,'Tasas Diarias'!$B:$F,5,FALSE)*G973,0)</f>
        <v>0</v>
      </c>
      <c r="U973" s="311" t="e">
        <f>+VLOOKUP(C973,Spreads!$A$2:$G$345,7,0)</f>
        <v>#N/A</v>
      </c>
    </row>
    <row r="974" spans="1:21" ht="15.75" hidden="1" customHeight="1" thickTop="1" thickBot="1">
      <c r="A974" s="317" t="s">
        <v>2137</v>
      </c>
      <c r="B974" s="318" t="s">
        <v>298</v>
      </c>
      <c r="C974" s="318" t="s">
        <v>590</v>
      </c>
      <c r="D974" s="318" t="s">
        <v>16</v>
      </c>
      <c r="E974" s="319">
        <v>28104940.994199999</v>
      </c>
      <c r="F974" s="319">
        <v>27296851.286968384</v>
      </c>
      <c r="G974" s="314">
        <v>3.2000000000000003E-4</v>
      </c>
      <c r="H974" s="320">
        <v>3.95</v>
      </c>
      <c r="I974" s="318" t="s">
        <v>591</v>
      </c>
      <c r="J974" s="318">
        <v>832</v>
      </c>
      <c r="K974" s="318">
        <v>2.17</v>
      </c>
      <c r="L974" s="318">
        <v>101.91</v>
      </c>
      <c r="M974" s="318" t="s">
        <v>9</v>
      </c>
      <c r="N974" s="318" t="s">
        <v>368</v>
      </c>
      <c r="O974" s="318" t="s">
        <v>8</v>
      </c>
      <c r="P974" s="318" t="s">
        <v>379</v>
      </c>
      <c r="Q974" s="318" t="s">
        <v>61</v>
      </c>
      <c r="R974" s="318" t="s">
        <v>394</v>
      </c>
      <c r="S974" s="303">
        <f t="shared" si="16"/>
        <v>60987721.957413994</v>
      </c>
      <c r="T974" s="307">
        <f>+IFERROR(VLOOKUP(C974,'Tasas Diarias'!$B:$F,5,FALSE)*G974,0)</f>
        <v>1.4232007744262099E-7</v>
      </c>
      <c r="U974" s="311" t="str">
        <f ca="1">+VLOOKUP(C974,Spreads!$A$2:$G$345,7,0)</f>
        <v/>
      </c>
    </row>
    <row r="975" spans="1:21" ht="15.75" hidden="1" customHeight="1" thickTop="1" thickBot="1">
      <c r="A975" s="321" t="s">
        <v>2137</v>
      </c>
      <c r="B975" s="322" t="s">
        <v>298</v>
      </c>
      <c r="C975" s="322" t="s">
        <v>593</v>
      </c>
      <c r="D975" s="322" t="s">
        <v>233</v>
      </c>
      <c r="E975" s="323">
        <v>951078719.34560001</v>
      </c>
      <c r="F975" s="323">
        <v>32000</v>
      </c>
      <c r="G975" s="314">
        <v>1.0825E-2</v>
      </c>
      <c r="H975" s="324">
        <v>1.84</v>
      </c>
      <c r="I975" s="322" t="s">
        <v>591</v>
      </c>
      <c r="J975" s="322">
        <v>832</v>
      </c>
      <c r="K975" s="322">
        <v>2.2200000000000002</v>
      </c>
      <c r="L975" s="322">
        <v>101.67</v>
      </c>
      <c r="M975" s="322" t="s">
        <v>6</v>
      </c>
      <c r="N975" s="322" t="s">
        <v>368</v>
      </c>
      <c r="O975" s="322" t="s">
        <v>8</v>
      </c>
      <c r="P975" s="322" t="s">
        <v>417</v>
      </c>
      <c r="Q975" s="322" t="s">
        <v>60</v>
      </c>
      <c r="R975" s="322" t="s">
        <v>481</v>
      </c>
      <c r="S975" s="303">
        <f t="shared" si="16"/>
        <v>2111394756.9472322</v>
      </c>
      <c r="T975" s="307">
        <f>+IFERROR(VLOOKUP(C975,'Tasas Diarias'!$B:$F,5,FALSE)*G975,0)</f>
        <v>0</v>
      </c>
      <c r="U975" s="311" t="str">
        <f ca="1">+VLOOKUP(C975,Spreads!$A$2:$G$345,7,0)</f>
        <v/>
      </c>
    </row>
    <row r="976" spans="1:21" ht="15.75" hidden="1" customHeight="1" thickTop="1" thickBot="1">
      <c r="A976" s="321" t="s">
        <v>2137</v>
      </c>
      <c r="B976" s="322" t="s">
        <v>298</v>
      </c>
      <c r="C976" s="322" t="s">
        <v>594</v>
      </c>
      <c r="D976" s="322" t="s">
        <v>595</v>
      </c>
      <c r="E976" s="323">
        <v>3699654.8432999998</v>
      </c>
      <c r="F976" s="323"/>
      <c r="G976" s="314">
        <v>4.1999999999999998E-5</v>
      </c>
      <c r="H976" s="324">
        <v>1.71</v>
      </c>
      <c r="I976" s="322" t="s">
        <v>591</v>
      </c>
      <c r="J976" s="322">
        <v>832</v>
      </c>
      <c r="K976" s="322">
        <v>2.2200000000000002</v>
      </c>
      <c r="L976" s="322">
        <v>101.3</v>
      </c>
      <c r="M976" s="322" t="s">
        <v>6</v>
      </c>
      <c r="N976" s="322" t="s">
        <v>368</v>
      </c>
      <c r="O976" s="322" t="s">
        <v>429</v>
      </c>
      <c r="P976" s="322" t="s">
        <v>392</v>
      </c>
      <c r="Q976" s="322" t="s">
        <v>596</v>
      </c>
      <c r="R976" s="322" t="s">
        <v>597</v>
      </c>
      <c r="S976" s="303">
        <f t="shared" si="16"/>
        <v>8213233.7521259999</v>
      </c>
      <c r="T976" s="307">
        <f>+IFERROR(VLOOKUP(C976,'Tasas Diarias'!$B:$F,5,FALSE)*G976,0)</f>
        <v>0</v>
      </c>
      <c r="U976" s="311" t="str">
        <f ca="1">+VLOOKUP(C976,Spreads!$A$2:$G$345,7,0)</f>
        <v/>
      </c>
    </row>
    <row r="977" spans="1:21" ht="15.75" hidden="1" customHeight="1" thickTop="1" thickBot="1">
      <c r="A977" s="321" t="s">
        <v>2137</v>
      </c>
      <c r="B977" s="322" t="s">
        <v>298</v>
      </c>
      <c r="C977" s="322" t="s">
        <v>496</v>
      </c>
      <c r="D977" s="322" t="s">
        <v>38</v>
      </c>
      <c r="E977" s="323">
        <v>562860572.61880004</v>
      </c>
      <c r="F977" s="323">
        <v>545981778.39703918</v>
      </c>
      <c r="G977" s="314">
        <v>6.4070000000000004E-3</v>
      </c>
      <c r="H977" s="324">
        <v>4.2</v>
      </c>
      <c r="I977" s="322" t="s">
        <v>497</v>
      </c>
      <c r="J977" s="322">
        <v>863</v>
      </c>
      <c r="K977" s="322">
        <v>2.2400000000000002</v>
      </c>
      <c r="L977" s="322">
        <v>102.38</v>
      </c>
      <c r="M977" s="322" t="s">
        <v>9</v>
      </c>
      <c r="N977" s="322" t="s">
        <v>368</v>
      </c>
      <c r="O977" s="322" t="s">
        <v>8</v>
      </c>
      <c r="P977" s="322" t="s">
        <v>7</v>
      </c>
      <c r="Q977" s="322" t="s">
        <v>76</v>
      </c>
      <c r="R977" s="322" t="s">
        <v>498</v>
      </c>
      <c r="S977" s="303">
        <f t="shared" si="16"/>
        <v>1260807682.6661122</v>
      </c>
      <c r="T977" s="307">
        <f>+IFERROR(VLOOKUP(C977,'Tasas Diarias'!$B:$F,5,FALSE)*G977,0)</f>
        <v>-1.4731553957204221E-6</v>
      </c>
      <c r="U977" s="311" t="str">
        <f ca="1">+VLOOKUP(C977,Spreads!$A$2:$G$345,7,0)</f>
        <v/>
      </c>
    </row>
    <row r="978" spans="1:21" ht="15.75" hidden="1" customHeight="1" thickTop="1" thickBot="1">
      <c r="A978" s="317" t="s">
        <v>2137</v>
      </c>
      <c r="B978" s="318" t="s">
        <v>298</v>
      </c>
      <c r="C978" s="318" t="s">
        <v>499</v>
      </c>
      <c r="D978" s="318" t="s">
        <v>176</v>
      </c>
      <c r="E978" s="319">
        <v>2473777.5858999998</v>
      </c>
      <c r="F978" s="319"/>
      <c r="G978" s="314">
        <v>2.8E-5</v>
      </c>
      <c r="H978" s="320">
        <v>1.69</v>
      </c>
      <c r="I978" s="318" t="s">
        <v>497</v>
      </c>
      <c r="J978" s="318">
        <v>863</v>
      </c>
      <c r="K978" s="318">
        <v>2.2799999999999998</v>
      </c>
      <c r="L978" s="318">
        <v>104.1</v>
      </c>
      <c r="M978" s="318" t="s">
        <v>6</v>
      </c>
      <c r="N978" s="318" t="s">
        <v>368</v>
      </c>
      <c r="O978" s="318" t="s">
        <v>8</v>
      </c>
      <c r="P978" s="318" t="s">
        <v>7</v>
      </c>
      <c r="Q978" s="318" t="s">
        <v>326</v>
      </c>
      <c r="R978" s="318" t="s">
        <v>450</v>
      </c>
      <c r="S978" s="303">
        <f t="shared" si="16"/>
        <v>5640212.8958519995</v>
      </c>
      <c r="T978" s="307">
        <f>+IFERROR(VLOOKUP(C978,'Tasas Diarias'!$B:$F,5,FALSE)*G978,0)</f>
        <v>0</v>
      </c>
      <c r="U978" s="311" t="str">
        <f ca="1">+VLOOKUP(C978,Spreads!$A$2:$G$345,7,0)</f>
        <v/>
      </c>
    </row>
    <row r="979" spans="1:21" ht="15.75" hidden="1" customHeight="1" thickTop="1" thickBot="1">
      <c r="A979" s="327" t="s">
        <v>2137</v>
      </c>
      <c r="B979" s="328" t="s">
        <v>298</v>
      </c>
      <c r="C979" s="328" t="s">
        <v>598</v>
      </c>
      <c r="D979" s="328" t="s">
        <v>170</v>
      </c>
      <c r="E979" s="328">
        <v>38747458.704800002</v>
      </c>
      <c r="F979" s="328">
        <v>37255906.205407463</v>
      </c>
      <c r="G979" s="328">
        <v>4.4099999999999999E-4</v>
      </c>
      <c r="H979" s="329">
        <v>4.25</v>
      </c>
      <c r="I979" s="328" t="s">
        <v>599</v>
      </c>
      <c r="J979" s="328">
        <v>893</v>
      </c>
      <c r="K979" s="328">
        <v>2.31</v>
      </c>
      <c r="L979" s="328">
        <v>103.7</v>
      </c>
      <c r="M979" s="328" t="s">
        <v>9</v>
      </c>
      <c r="N979" s="328" t="s">
        <v>368</v>
      </c>
      <c r="O979" s="328" t="s">
        <v>8</v>
      </c>
      <c r="P979" s="328" t="s">
        <v>392</v>
      </c>
      <c r="Q979" s="328" t="s">
        <v>88</v>
      </c>
      <c r="R979" s="328" t="s">
        <v>512</v>
      </c>
      <c r="S979" s="303">
        <f t="shared" si="16"/>
        <v>89506629.608088002</v>
      </c>
      <c r="T979" s="307">
        <f>+IFERROR(VLOOKUP(C979,'Tasas Diarias'!$B:$F,5,FALSE)*G979,0)</f>
        <v>-3.0494406034522139E-7</v>
      </c>
      <c r="U979" s="311" t="str">
        <f ca="1">+VLOOKUP(C979,Spreads!$A$2:$G$345,7,0)</f>
        <v/>
      </c>
    </row>
    <row r="980" spans="1:21" ht="15.75" hidden="1" customHeight="1" thickTop="1" thickBot="1">
      <c r="A980" s="317" t="s">
        <v>2137</v>
      </c>
      <c r="B980" s="318" t="s">
        <v>298</v>
      </c>
      <c r="C980" s="318" t="s">
        <v>833</v>
      </c>
      <c r="D980" s="318" t="s">
        <v>834</v>
      </c>
      <c r="E980" s="319">
        <v>14690335.839600001</v>
      </c>
      <c r="F980" s="319"/>
      <c r="G980" s="314">
        <v>1.6699999999999999E-4</v>
      </c>
      <c r="H980" s="320">
        <v>0</v>
      </c>
      <c r="I980" s="318" t="s">
        <v>835</v>
      </c>
      <c r="J980" s="318">
        <v>932</v>
      </c>
      <c r="K980" s="318">
        <v>2.31</v>
      </c>
      <c r="L980" s="318">
        <v>105.96339999999999</v>
      </c>
      <c r="M980" s="318" t="s">
        <v>9</v>
      </c>
      <c r="N980" s="318" t="s">
        <v>368</v>
      </c>
      <c r="O980" s="318" t="s">
        <v>461</v>
      </c>
      <c r="P980" s="318" t="s">
        <v>109</v>
      </c>
      <c r="Q980" s="318" t="s">
        <v>836</v>
      </c>
      <c r="R980" s="318" t="s">
        <v>837</v>
      </c>
      <c r="S980" s="303">
        <f t="shared" si="16"/>
        <v>33934675.789476</v>
      </c>
      <c r="T980" s="307">
        <f>+IFERROR(VLOOKUP(C980,'Tasas Diarias'!$B:$F,5,FALSE)*G980,0)</f>
        <v>0</v>
      </c>
      <c r="U980" s="311" t="e">
        <f>+VLOOKUP(C980,Spreads!$A$2:$G$345,7,0)</f>
        <v>#N/A</v>
      </c>
    </row>
    <row r="981" spans="1:21" ht="15.75" hidden="1" customHeight="1" thickTop="1" thickBot="1">
      <c r="A981" s="321" t="s">
        <v>2137</v>
      </c>
      <c r="B981" s="322" t="s">
        <v>298</v>
      </c>
      <c r="C981" s="322" t="s">
        <v>604</v>
      </c>
      <c r="D981" s="322" t="s">
        <v>295</v>
      </c>
      <c r="E981" s="323">
        <v>30514380.072799999</v>
      </c>
      <c r="F981" s="323"/>
      <c r="G981" s="314">
        <v>3.4699999999999998E-4</v>
      </c>
      <c r="H981" s="324">
        <v>1.59</v>
      </c>
      <c r="I981" s="322" t="s">
        <v>599</v>
      </c>
      <c r="J981" s="322">
        <v>893</v>
      </c>
      <c r="K981" s="322">
        <v>2.36</v>
      </c>
      <c r="L981" s="322">
        <v>104.58</v>
      </c>
      <c r="M981" s="322" t="s">
        <v>6</v>
      </c>
      <c r="N981" s="322" t="s">
        <v>368</v>
      </c>
      <c r="O981" s="322" t="s">
        <v>8</v>
      </c>
      <c r="P981" s="322" t="s">
        <v>7</v>
      </c>
      <c r="Q981" s="322" t="s">
        <v>70</v>
      </c>
      <c r="R981" s="322" t="s">
        <v>605</v>
      </c>
      <c r="S981" s="303">
        <f t="shared" si="16"/>
        <v>72013936.971808001</v>
      </c>
      <c r="T981" s="307">
        <f>+IFERROR(VLOOKUP(C981,'Tasas Diarias'!$B:$F,5,FALSE)*G981,0)</f>
        <v>-1.6526116171362604E-7</v>
      </c>
      <c r="U981" s="311" t="str">
        <f ca="1">+VLOOKUP(C981,Spreads!$A$2:$G$345,7,0)</f>
        <v/>
      </c>
    </row>
    <row r="982" spans="1:21" ht="15.75" hidden="1" customHeight="1" thickTop="1" thickBot="1">
      <c r="A982" s="317" t="s">
        <v>2137</v>
      </c>
      <c r="B982" s="318" t="s">
        <v>298</v>
      </c>
      <c r="C982" s="318" t="s">
        <v>609</v>
      </c>
      <c r="D982" s="318" t="s">
        <v>15</v>
      </c>
      <c r="E982" s="319">
        <v>45421812.823600002</v>
      </c>
      <c r="F982" s="319"/>
      <c r="G982" s="314">
        <v>5.1699999999999999E-4</v>
      </c>
      <c r="H982" s="320">
        <v>1.66</v>
      </c>
      <c r="I982" s="318" t="s">
        <v>610</v>
      </c>
      <c r="J982" s="318">
        <v>907</v>
      </c>
      <c r="K982" s="318">
        <v>2.41</v>
      </c>
      <c r="L982" s="318">
        <v>103.93</v>
      </c>
      <c r="M982" s="318" t="s">
        <v>6</v>
      </c>
      <c r="N982" s="318" t="s">
        <v>368</v>
      </c>
      <c r="O982" s="318" t="s">
        <v>8</v>
      </c>
      <c r="P982" s="318" t="s">
        <v>7</v>
      </c>
      <c r="Q982" s="318" t="s">
        <v>28</v>
      </c>
      <c r="R982" s="318" t="s">
        <v>603</v>
      </c>
      <c r="S982" s="303">
        <f t="shared" si="16"/>
        <v>109466568.90487601</v>
      </c>
      <c r="T982" s="307">
        <f>+IFERROR(VLOOKUP(C982,'Tasas Diarias'!$B:$F,5,FALSE)*G982,0)</f>
        <v>0</v>
      </c>
      <c r="U982" s="311" t="str">
        <f ca="1">+VLOOKUP(C982,Spreads!$A$2:$G$345,7,0)</f>
        <v/>
      </c>
    </row>
    <row r="983" spans="1:21" ht="15.75" hidden="1" customHeight="1" thickTop="1" thickBot="1">
      <c r="A983" s="317" t="s">
        <v>2137</v>
      </c>
      <c r="B983" s="318" t="s">
        <v>298</v>
      </c>
      <c r="C983" s="318" t="s">
        <v>601</v>
      </c>
      <c r="D983" s="318" t="s">
        <v>15</v>
      </c>
      <c r="E983" s="319">
        <v>2860237.3577999999</v>
      </c>
      <c r="F983" s="319">
        <v>2723185.6855874602</v>
      </c>
      <c r="G983" s="314">
        <v>3.3000000000000003E-5</v>
      </c>
      <c r="H983" s="320">
        <v>4.2699999999999996</v>
      </c>
      <c r="I983" s="318" t="s">
        <v>602</v>
      </c>
      <c r="J983" s="318">
        <v>953</v>
      </c>
      <c r="K983" s="318">
        <v>2.42</v>
      </c>
      <c r="L983" s="318">
        <v>102.87</v>
      </c>
      <c r="M983" s="318" t="s">
        <v>9</v>
      </c>
      <c r="N983" s="318" t="s">
        <v>368</v>
      </c>
      <c r="O983" s="318" t="s">
        <v>8</v>
      </c>
      <c r="P983" s="318" t="s">
        <v>7</v>
      </c>
      <c r="Q983" s="318" t="s">
        <v>28</v>
      </c>
      <c r="R983" s="318" t="s">
        <v>603</v>
      </c>
      <c r="S983" s="303">
        <f t="shared" si="16"/>
        <v>6921774.4058759995</v>
      </c>
      <c r="T983" s="307">
        <f>+IFERROR(VLOOKUP(C983,'Tasas Diarias'!$B:$F,5,FALSE)*G983,0)</f>
        <v>0</v>
      </c>
      <c r="U983" s="311" t="str">
        <f ca="1">+VLOOKUP(C983,Spreads!$A$2:$G$345,7,0)</f>
        <v/>
      </c>
    </row>
    <row r="984" spans="1:21" ht="15.75" hidden="1" customHeight="1" thickTop="1" thickBot="1">
      <c r="A984" s="317" t="s">
        <v>2137</v>
      </c>
      <c r="B984" s="318" t="s">
        <v>298</v>
      </c>
      <c r="C984" s="318" t="s">
        <v>606</v>
      </c>
      <c r="D984" s="318" t="s">
        <v>24</v>
      </c>
      <c r="E984" s="319">
        <v>28617918.3464</v>
      </c>
      <c r="F984" s="319">
        <v>27297952.860798426</v>
      </c>
      <c r="G984" s="314">
        <v>3.2600000000000001E-4</v>
      </c>
      <c r="H984" s="320">
        <v>4.1399999999999997</v>
      </c>
      <c r="I984" s="318" t="s">
        <v>501</v>
      </c>
      <c r="J984" s="318">
        <v>954</v>
      </c>
      <c r="K984" s="318">
        <v>2.4300000000000002</v>
      </c>
      <c r="L984" s="318">
        <v>102.76</v>
      </c>
      <c r="M984" s="318" t="s">
        <v>9</v>
      </c>
      <c r="N984" s="318" t="s">
        <v>368</v>
      </c>
      <c r="O984" s="318" t="s">
        <v>8</v>
      </c>
      <c r="P984" s="318" t="s">
        <v>392</v>
      </c>
      <c r="Q984" s="318" t="s">
        <v>51</v>
      </c>
      <c r="R984" s="318" t="s">
        <v>414</v>
      </c>
      <c r="S984" s="303">
        <f t="shared" si="16"/>
        <v>69541541.581752002</v>
      </c>
      <c r="T984" s="307">
        <f>+IFERROR(VLOOKUP(C984,'Tasas Diarias'!$B:$F,5,FALSE)*G984,0)</f>
        <v>-8.1151600654200023E-8</v>
      </c>
      <c r="U984" s="311" t="str">
        <f ca="1">+VLOOKUP(C984,Spreads!$A$2:$G$345,7,0)</f>
        <v/>
      </c>
    </row>
    <row r="985" spans="1:21" ht="15.75" hidden="1" customHeight="1" thickTop="1" thickBot="1">
      <c r="A985" s="317" t="s">
        <v>2137</v>
      </c>
      <c r="B985" s="318" t="s">
        <v>298</v>
      </c>
      <c r="C985" s="318" t="s">
        <v>608</v>
      </c>
      <c r="D985" s="318" t="s">
        <v>528</v>
      </c>
      <c r="E985" s="319">
        <v>834094.34629999998</v>
      </c>
      <c r="F985" s="319"/>
      <c r="G985" s="314">
        <v>9.0000000000000002E-6</v>
      </c>
      <c r="H985" s="320">
        <v>2</v>
      </c>
      <c r="I985" s="318" t="s">
        <v>478</v>
      </c>
      <c r="J985" s="318">
        <v>1289</v>
      </c>
      <c r="K985" s="318">
        <v>2.4300000000000002</v>
      </c>
      <c r="L985" s="318">
        <v>104.08</v>
      </c>
      <c r="M985" s="318" t="s">
        <v>6</v>
      </c>
      <c r="N985" s="318" t="s">
        <v>368</v>
      </c>
      <c r="O985" s="318" t="s">
        <v>530</v>
      </c>
      <c r="P985" s="318" t="s">
        <v>7</v>
      </c>
      <c r="Q985" s="318" t="s">
        <v>531</v>
      </c>
      <c r="R985" s="318" t="s">
        <v>532</v>
      </c>
      <c r="S985" s="303">
        <f t="shared" si="16"/>
        <v>2026849.2615090001</v>
      </c>
      <c r="T985" s="307">
        <f>+IFERROR(VLOOKUP(C985,'Tasas Diarias'!$B:$F,5,FALSE)*G985,0)</f>
        <v>0</v>
      </c>
      <c r="U985" s="311" t="str">
        <f ca="1">+VLOOKUP(C985,Spreads!$A$2:$G$345,7,0)</f>
        <v/>
      </c>
    </row>
    <row r="986" spans="1:21" ht="15.75" hidden="1" customHeight="1" thickTop="1" thickBot="1">
      <c r="A986" s="321" t="s">
        <v>2137</v>
      </c>
      <c r="B986" s="322" t="s">
        <v>298</v>
      </c>
      <c r="C986" s="322" t="s">
        <v>611</v>
      </c>
      <c r="D986" s="322" t="s">
        <v>24</v>
      </c>
      <c r="E986" s="323">
        <v>588515999.546</v>
      </c>
      <c r="F986" s="323">
        <v>15000</v>
      </c>
      <c r="G986" s="314">
        <v>6.6990000000000001E-3</v>
      </c>
      <c r="H986" s="324">
        <v>1.72</v>
      </c>
      <c r="I986" s="322" t="s">
        <v>612</v>
      </c>
      <c r="J986" s="322">
        <v>924</v>
      </c>
      <c r="K986" s="322">
        <v>2.4500000000000002</v>
      </c>
      <c r="L986" s="322">
        <v>101.31</v>
      </c>
      <c r="M986" s="322" t="s">
        <v>6</v>
      </c>
      <c r="N986" s="322" t="s">
        <v>368</v>
      </c>
      <c r="O986" s="322" t="s">
        <v>8</v>
      </c>
      <c r="P986" s="322" t="s">
        <v>392</v>
      </c>
      <c r="Q986" s="322" t="s">
        <v>51</v>
      </c>
      <c r="R986" s="322" t="s">
        <v>414</v>
      </c>
      <c r="S986" s="303">
        <f t="shared" si="16"/>
        <v>1441864198.8877001</v>
      </c>
      <c r="T986" s="307">
        <f>+IFERROR(VLOOKUP(C986,'Tasas Diarias'!$B:$F,5,FALSE)*G986,0)</f>
        <v>-1.6795606871823541E-6</v>
      </c>
      <c r="U986" s="311" t="str">
        <f ca="1">+VLOOKUP(C986,Spreads!$A$2:$G$345,7,0)</f>
        <v/>
      </c>
    </row>
    <row r="987" spans="1:21" ht="15.75" hidden="1" customHeight="1" thickTop="1" thickBot="1">
      <c r="A987" s="321" t="s">
        <v>2137</v>
      </c>
      <c r="B987" s="322" t="s">
        <v>298</v>
      </c>
      <c r="C987" s="322" t="s">
        <v>613</v>
      </c>
      <c r="D987" s="322" t="s">
        <v>11</v>
      </c>
      <c r="E987" s="323">
        <v>846488.02159999998</v>
      </c>
      <c r="F987" s="323"/>
      <c r="G987" s="314">
        <v>1.0000000000000001E-5</v>
      </c>
      <c r="H987" s="324">
        <v>1.69</v>
      </c>
      <c r="I987" s="322" t="s">
        <v>1499</v>
      </c>
      <c r="J987" s="322">
        <v>962</v>
      </c>
      <c r="K987" s="322">
        <v>2.5</v>
      </c>
      <c r="L987" s="322">
        <v>105.86</v>
      </c>
      <c r="M987" s="322" t="s">
        <v>6</v>
      </c>
      <c r="N987" s="322" t="s">
        <v>368</v>
      </c>
      <c r="O987" s="322" t="s">
        <v>8</v>
      </c>
      <c r="P987" s="322" t="s">
        <v>7</v>
      </c>
      <c r="Q987" s="322" t="s">
        <v>326</v>
      </c>
      <c r="R987" s="322" t="s">
        <v>404</v>
      </c>
      <c r="S987" s="303">
        <f t="shared" si="16"/>
        <v>2116220.054</v>
      </c>
      <c r="T987" s="307">
        <f>+IFERROR(VLOOKUP(C987,'Tasas Diarias'!$B:$F,5,FALSE)*G987,0)</f>
        <v>2.5548163471311848E-9</v>
      </c>
      <c r="U987" s="311" t="str">
        <f ca="1">+VLOOKUP(C987,Spreads!$A$2:$G$345,7,0)</f>
        <v/>
      </c>
    </row>
    <row r="988" spans="1:21" ht="15.75" hidden="1" customHeight="1" thickTop="1" thickBot="1">
      <c r="A988" s="321" t="s">
        <v>2137</v>
      </c>
      <c r="B988" s="322" t="s">
        <v>298</v>
      </c>
      <c r="C988" s="322" t="s">
        <v>500</v>
      </c>
      <c r="D988" s="322" t="s">
        <v>11</v>
      </c>
      <c r="E988" s="323">
        <v>126558979.6417</v>
      </c>
      <c r="F988" s="323">
        <v>500</v>
      </c>
      <c r="G988" s="314">
        <v>1.4400000000000001E-3</v>
      </c>
      <c r="H988" s="324">
        <v>1.71</v>
      </c>
      <c r="I988" s="322" t="s">
        <v>501</v>
      </c>
      <c r="J988" s="322">
        <v>954</v>
      </c>
      <c r="K988" s="322">
        <v>2.5099999999999998</v>
      </c>
      <c r="L988" s="322">
        <v>103.26</v>
      </c>
      <c r="M988" s="322" t="s">
        <v>6</v>
      </c>
      <c r="N988" s="322" t="s">
        <v>368</v>
      </c>
      <c r="O988" s="322" t="s">
        <v>8</v>
      </c>
      <c r="P988" s="322" t="s">
        <v>7</v>
      </c>
      <c r="Q988" s="322" t="s">
        <v>326</v>
      </c>
      <c r="R988" s="322" t="s">
        <v>404</v>
      </c>
      <c r="S988" s="303">
        <f t="shared" si="16"/>
        <v>317663038.90066695</v>
      </c>
      <c r="T988" s="307">
        <f>+IFERROR(VLOOKUP(C988,'Tasas Diarias'!$B:$F,5,FALSE)*G988,0)</f>
        <v>2.9542518466150987E-6</v>
      </c>
      <c r="U988" s="311" t="str">
        <f ca="1">+VLOOKUP(C988,Spreads!$A$2:$G$345,7,0)</f>
        <v/>
      </c>
    </row>
    <row r="989" spans="1:21" ht="15.75" hidden="1" customHeight="1" thickTop="1" thickBot="1">
      <c r="A989" s="327" t="s">
        <v>2137</v>
      </c>
      <c r="B989" s="328" t="s">
        <v>298</v>
      </c>
      <c r="C989" s="328" t="s">
        <v>1118</v>
      </c>
      <c r="D989" s="328" t="s">
        <v>167</v>
      </c>
      <c r="E989" s="328">
        <v>1633934</v>
      </c>
      <c r="F989" s="328">
        <v>160</v>
      </c>
      <c r="G989" s="328">
        <v>1.8E-5</v>
      </c>
      <c r="H989" s="329">
        <v>2.99</v>
      </c>
      <c r="I989" s="328" t="s">
        <v>695</v>
      </c>
      <c r="J989" s="328">
        <v>1868</v>
      </c>
      <c r="K989" s="328">
        <v>2.54</v>
      </c>
      <c r="L989" s="328">
        <v>105.04</v>
      </c>
      <c r="M989" s="328" t="s">
        <v>6</v>
      </c>
      <c r="N989" s="328" t="s">
        <v>1095</v>
      </c>
      <c r="O989" s="328" t="s">
        <v>8</v>
      </c>
      <c r="P989" s="328" t="s">
        <v>379</v>
      </c>
      <c r="Q989" s="328" t="s">
        <v>77</v>
      </c>
      <c r="R989" s="328" t="s">
        <v>1119</v>
      </c>
      <c r="S989" s="303">
        <f t="shared" si="16"/>
        <v>4150192.36</v>
      </c>
      <c r="T989" s="307">
        <f>+IFERROR(VLOOKUP(C989,'Tasas Diarias'!$B:$F,5,FALSE)*G989,0)</f>
        <v>-9.3466037590033824E-9</v>
      </c>
      <c r="U989" s="311" t="e">
        <f>+VLOOKUP(C989,Spreads!$A$2:$G$345,7,0)</f>
        <v>#N/A</v>
      </c>
    </row>
    <row r="990" spans="1:21" ht="15.75" hidden="1" customHeight="1" thickTop="1" thickBot="1">
      <c r="A990" s="327" t="s">
        <v>2137</v>
      </c>
      <c r="B990" s="328" t="s">
        <v>298</v>
      </c>
      <c r="C990" s="328" t="s">
        <v>1033</v>
      </c>
      <c r="D990" s="328" t="s">
        <v>178</v>
      </c>
      <c r="E990" s="328">
        <v>57489770.385200001</v>
      </c>
      <c r="F990" s="328"/>
      <c r="G990" s="314">
        <v>6.5399999999999996E-4</v>
      </c>
      <c r="H990" s="329">
        <v>2.48</v>
      </c>
      <c r="I990" s="328" t="s">
        <v>503</v>
      </c>
      <c r="J990" s="328">
        <v>985</v>
      </c>
      <c r="K990" s="328">
        <v>2.61</v>
      </c>
      <c r="L990" s="328">
        <v>100.05</v>
      </c>
      <c r="M990" s="328" t="s">
        <v>6</v>
      </c>
      <c r="N990" s="328" t="s">
        <v>368</v>
      </c>
      <c r="O990" s="328" t="s">
        <v>8</v>
      </c>
      <c r="P990" s="328" t="s">
        <v>417</v>
      </c>
      <c r="Q990" s="328" t="s">
        <v>68</v>
      </c>
      <c r="R990" s="328" t="s">
        <v>812</v>
      </c>
      <c r="S990" s="303">
        <f t="shared" si="16"/>
        <v>150048300.70537201</v>
      </c>
      <c r="T990" s="307">
        <f>+IFERROR(VLOOKUP(C990,'Tasas Diarias'!$B:$F,5,FALSE)*G990,0)</f>
        <v>-1.7429540898079338E-7</v>
      </c>
      <c r="U990" s="311" t="str">
        <f ca="1">+VLOOKUP(C990,Spreads!$A$2:$G$345,7,0)</f>
        <v/>
      </c>
    </row>
    <row r="991" spans="1:21" ht="15.75" hidden="1" customHeight="1" thickTop="1" thickBot="1">
      <c r="A991" s="327" t="s">
        <v>2137</v>
      </c>
      <c r="B991" s="328" t="s">
        <v>298</v>
      </c>
      <c r="C991" s="328" t="s">
        <v>616</v>
      </c>
      <c r="D991" s="328" t="s">
        <v>11</v>
      </c>
      <c r="E991" s="328">
        <v>306907543.8563</v>
      </c>
      <c r="F991" s="328">
        <v>295952388.27106929</v>
      </c>
      <c r="G991" s="328">
        <v>3.493E-3</v>
      </c>
      <c r="H991" s="329">
        <v>4.03</v>
      </c>
      <c r="I991" s="328" t="s">
        <v>617</v>
      </c>
      <c r="J991" s="328">
        <v>1016</v>
      </c>
      <c r="K991" s="328">
        <v>2.61</v>
      </c>
      <c r="L991" s="328">
        <v>102.6</v>
      </c>
      <c r="M991" s="328" t="s">
        <v>9</v>
      </c>
      <c r="N991" s="328" t="s">
        <v>368</v>
      </c>
      <c r="O991" s="328" t="s">
        <v>8</v>
      </c>
      <c r="P991" s="328" t="s">
        <v>7</v>
      </c>
      <c r="Q991" s="328" t="s">
        <v>326</v>
      </c>
      <c r="R991" s="328" t="s">
        <v>404</v>
      </c>
      <c r="S991" s="303">
        <f t="shared" si="16"/>
        <v>801028689.46494293</v>
      </c>
      <c r="T991" s="307">
        <f>+IFERROR(VLOOKUP(C991,'Tasas Diarias'!$B:$F,5,FALSE)*G991,0)</f>
        <v>0</v>
      </c>
      <c r="U991" s="311" t="str">
        <f ca="1">+VLOOKUP(C991,Spreads!$A$2:$G$345,7,0)</f>
        <v/>
      </c>
    </row>
    <row r="992" spans="1:21" ht="15.75" hidden="1" customHeight="1" thickTop="1" thickBot="1">
      <c r="A992" s="317" t="s">
        <v>2137</v>
      </c>
      <c r="B992" s="318" t="s">
        <v>298</v>
      </c>
      <c r="C992" s="318" t="s">
        <v>614</v>
      </c>
      <c r="D992" s="318" t="s">
        <v>30</v>
      </c>
      <c r="E992" s="319">
        <v>264015664.5932</v>
      </c>
      <c r="F992" s="319">
        <v>258899383.01192161</v>
      </c>
      <c r="G992" s="314">
        <v>3.0049999999999999E-3</v>
      </c>
      <c r="H992" s="320">
        <v>0</v>
      </c>
      <c r="I992" s="318" t="s">
        <v>615</v>
      </c>
      <c r="J992" s="318">
        <v>1037</v>
      </c>
      <c r="K992" s="318">
        <v>2.61</v>
      </c>
      <c r="L992" s="318">
        <v>100.947</v>
      </c>
      <c r="M992" s="318" t="s">
        <v>9</v>
      </c>
      <c r="N992" s="318" t="s">
        <v>368</v>
      </c>
      <c r="O992" s="318" t="s">
        <v>8</v>
      </c>
      <c r="P992" s="318" t="s">
        <v>379</v>
      </c>
      <c r="Q992" s="318" t="s">
        <v>61</v>
      </c>
      <c r="R992" s="318" t="s">
        <v>394</v>
      </c>
      <c r="S992" s="303">
        <f t="shared" si="16"/>
        <v>689080884.58825195</v>
      </c>
      <c r="T992" s="307">
        <f>+IFERROR(VLOOKUP(C992,'Tasas Diarias'!$B:$F,5,FALSE)*G992,0)</f>
        <v>0</v>
      </c>
      <c r="U992" s="311" t="e">
        <f>+VLOOKUP(C992,Spreads!$A$2:$G$345,7,0)</f>
        <v>#N/A</v>
      </c>
    </row>
    <row r="993" spans="1:21" ht="15.75" hidden="1" customHeight="1" thickTop="1" thickBot="1">
      <c r="A993" s="317" t="s">
        <v>2137</v>
      </c>
      <c r="B993" s="318" t="s">
        <v>298</v>
      </c>
      <c r="C993" s="318" t="s">
        <v>502</v>
      </c>
      <c r="D993" s="318" t="s">
        <v>38</v>
      </c>
      <c r="E993" s="319">
        <v>89950716.088799998</v>
      </c>
      <c r="F993" s="319">
        <v>500</v>
      </c>
      <c r="G993" s="314">
        <v>1.024E-3</v>
      </c>
      <c r="H993" s="320">
        <v>2</v>
      </c>
      <c r="I993" s="318" t="s">
        <v>503</v>
      </c>
      <c r="J993" s="318">
        <v>985</v>
      </c>
      <c r="K993" s="318">
        <v>2.62</v>
      </c>
      <c r="L993" s="318">
        <v>100.51</v>
      </c>
      <c r="M993" s="318" t="s">
        <v>6</v>
      </c>
      <c r="N993" s="318" t="s">
        <v>368</v>
      </c>
      <c r="O993" s="318" t="s">
        <v>8</v>
      </c>
      <c r="P993" s="318" t="s">
        <v>7</v>
      </c>
      <c r="Q993" s="318" t="s">
        <v>76</v>
      </c>
      <c r="R993" s="318" t="s">
        <v>498</v>
      </c>
      <c r="S993" s="303">
        <f t="shared" si="16"/>
        <v>235670876.15265602</v>
      </c>
      <c r="T993" s="307">
        <f>+IFERROR(VLOOKUP(C993,'Tasas Diarias'!$B:$F,5,FALSE)*G993,0)</f>
        <v>2.7405317979802228E-7</v>
      </c>
      <c r="U993" s="311" t="str">
        <f ca="1">+VLOOKUP(C993,Spreads!$A$2:$G$345,7,0)</f>
        <v/>
      </c>
    </row>
    <row r="994" spans="1:21" ht="15.75" hidden="1" customHeight="1" thickTop="1" thickBot="1">
      <c r="A994" s="321" t="s">
        <v>2137</v>
      </c>
      <c r="B994" s="322" t="s">
        <v>298</v>
      </c>
      <c r="C994" s="322" t="s">
        <v>619</v>
      </c>
      <c r="D994" s="322" t="s">
        <v>620</v>
      </c>
      <c r="E994" s="323">
        <v>2390739.9615000002</v>
      </c>
      <c r="F994" s="323"/>
      <c r="G994" s="314">
        <v>2.6999999999999999E-5</v>
      </c>
      <c r="H994" s="324">
        <v>1.73</v>
      </c>
      <c r="I994" s="322" t="s">
        <v>621</v>
      </c>
      <c r="J994" s="322">
        <v>998</v>
      </c>
      <c r="K994" s="322">
        <v>2.66</v>
      </c>
      <c r="L994" s="322">
        <v>100.57</v>
      </c>
      <c r="M994" s="322" t="s">
        <v>6</v>
      </c>
      <c r="N994" s="322" t="s">
        <v>368</v>
      </c>
      <c r="O994" s="322" t="s">
        <v>560</v>
      </c>
      <c r="P994" s="322" t="s">
        <v>7</v>
      </c>
      <c r="Q994" s="322" t="s">
        <v>622</v>
      </c>
      <c r="R994" s="322" t="s">
        <v>623</v>
      </c>
      <c r="S994" s="303">
        <f t="shared" si="16"/>
        <v>6359368.2975900006</v>
      </c>
      <c r="T994" s="307">
        <f>+IFERROR(VLOOKUP(C994,'Tasas Diarias'!$B:$F,5,FALSE)*G994,0)</f>
        <v>2.2036050040953463E-8</v>
      </c>
      <c r="U994" s="311" t="str">
        <f ca="1">+VLOOKUP(C994,Spreads!$A$2:$G$345,7,0)</f>
        <v/>
      </c>
    </row>
    <row r="995" spans="1:21" ht="15.75" hidden="1" customHeight="1" thickTop="1" thickBot="1">
      <c r="A995" s="317" t="s">
        <v>2137</v>
      </c>
      <c r="B995" s="318" t="s">
        <v>298</v>
      </c>
      <c r="C995" s="318" t="s">
        <v>618</v>
      </c>
      <c r="D995" s="318" t="s">
        <v>485</v>
      </c>
      <c r="E995" s="319">
        <v>1239987.2117999999</v>
      </c>
      <c r="F995" s="319"/>
      <c r="G995" s="314">
        <v>1.4E-5</v>
      </c>
      <c r="H995" s="320">
        <v>1.68</v>
      </c>
      <c r="I995" s="318" t="s">
        <v>617</v>
      </c>
      <c r="J995" s="318">
        <v>1016</v>
      </c>
      <c r="K995" s="318">
        <v>2.67</v>
      </c>
      <c r="L995" s="318">
        <v>104.17</v>
      </c>
      <c r="M995" s="318" t="s">
        <v>6</v>
      </c>
      <c r="N995" s="318" t="s">
        <v>368</v>
      </c>
      <c r="O995" s="318" t="s">
        <v>1348</v>
      </c>
      <c r="P995" s="318" t="s">
        <v>392</v>
      </c>
      <c r="Q995" s="318" t="s">
        <v>487</v>
      </c>
      <c r="R995" s="318" t="s">
        <v>488</v>
      </c>
      <c r="S995" s="303">
        <f t="shared" si="16"/>
        <v>3310765.8555059996</v>
      </c>
      <c r="T995" s="307">
        <f>+IFERROR(VLOOKUP(C995,'Tasas Diarias'!$B:$F,5,FALSE)*G995,0)</f>
        <v>0</v>
      </c>
      <c r="U995" s="311" t="str">
        <f ca="1">+VLOOKUP(C995,Spreads!$A$2:$G$345,7,0)</f>
        <v/>
      </c>
    </row>
    <row r="996" spans="1:21" ht="15.75" hidden="1" customHeight="1" thickTop="1" thickBot="1">
      <c r="A996" s="321" t="s">
        <v>2137</v>
      </c>
      <c r="B996" s="322" t="s">
        <v>298</v>
      </c>
      <c r="C996" s="322" t="s">
        <v>2102</v>
      </c>
      <c r="D996" s="322" t="s">
        <v>178</v>
      </c>
      <c r="E996" s="323">
        <v>113694434.97319999</v>
      </c>
      <c r="F996" s="323"/>
      <c r="G996" s="314">
        <v>1.294E-3</v>
      </c>
      <c r="H996" s="324">
        <v>2.48</v>
      </c>
      <c r="I996" s="322" t="s">
        <v>2103</v>
      </c>
      <c r="J996" s="322">
        <v>1025</v>
      </c>
      <c r="K996" s="322">
        <v>2.68</v>
      </c>
      <c r="L996" s="322">
        <v>103.34</v>
      </c>
      <c r="M996" s="322" t="s">
        <v>6</v>
      </c>
      <c r="N996" s="322" t="s">
        <v>368</v>
      </c>
      <c r="O996" s="322" t="s">
        <v>8</v>
      </c>
      <c r="P996" s="322" t="s">
        <v>417</v>
      </c>
      <c r="Q996" s="322" t="s">
        <v>68</v>
      </c>
      <c r="R996" s="322" t="s">
        <v>2104</v>
      </c>
      <c r="S996" s="303">
        <f t="shared" si="16"/>
        <v>304701085.728176</v>
      </c>
      <c r="T996" s="307">
        <f>+IFERROR(VLOOKUP(C996,'Tasas Diarias'!$B:$F,5,FALSE)*G996,0)</f>
        <v>0</v>
      </c>
      <c r="U996" s="311" t="e">
        <f>+VLOOKUP(C996,Spreads!$A$2:$G$345,7,0)</f>
        <v>#N/A</v>
      </c>
    </row>
    <row r="997" spans="1:21" ht="15.75" hidden="1" customHeight="1" thickTop="1" thickBot="1">
      <c r="A997" s="327" t="s">
        <v>2137</v>
      </c>
      <c r="B997" s="328" t="s">
        <v>298</v>
      </c>
      <c r="C997" s="328" t="s">
        <v>624</v>
      </c>
      <c r="D997" s="328" t="s">
        <v>170</v>
      </c>
      <c r="E997" s="328">
        <v>129379106.1364</v>
      </c>
      <c r="F997" s="328"/>
      <c r="G997" s="328">
        <v>1.4729999999999999E-3</v>
      </c>
      <c r="H997" s="329">
        <v>1.91</v>
      </c>
      <c r="I997" s="328" t="s">
        <v>617</v>
      </c>
      <c r="J997" s="328">
        <v>1016</v>
      </c>
      <c r="K997" s="328">
        <v>2.7</v>
      </c>
      <c r="L997" s="328">
        <v>101.03</v>
      </c>
      <c r="M997" s="328" t="s">
        <v>6</v>
      </c>
      <c r="N997" s="328" t="s">
        <v>368</v>
      </c>
      <c r="O997" s="328" t="s">
        <v>8</v>
      </c>
      <c r="P997" s="328" t="s">
        <v>392</v>
      </c>
      <c r="Q997" s="328" t="s">
        <v>88</v>
      </c>
      <c r="R997" s="328" t="s">
        <v>512</v>
      </c>
      <c r="S997" s="303">
        <f t="shared" si="16"/>
        <v>349323586.56828004</v>
      </c>
      <c r="T997" s="307">
        <f>+IFERROR(VLOOKUP(C997,'Tasas Diarias'!$B:$F,5,FALSE)*G997,0)</f>
        <v>4.0621237666901989E-7</v>
      </c>
      <c r="U997" s="311" t="str">
        <f ca="1">+VLOOKUP(C997,Spreads!$A$2:$G$345,7,0)</f>
        <v/>
      </c>
    </row>
    <row r="998" spans="1:21" ht="15.75" hidden="1" customHeight="1" thickTop="1" thickBot="1">
      <c r="A998" s="321" t="s">
        <v>2137</v>
      </c>
      <c r="B998" s="322" t="s">
        <v>298</v>
      </c>
      <c r="C998" s="322" t="s">
        <v>625</v>
      </c>
      <c r="D998" s="322" t="s">
        <v>16</v>
      </c>
      <c r="E998" s="323">
        <v>29721596.892099999</v>
      </c>
      <c r="F998" s="323"/>
      <c r="G998" s="314">
        <v>3.3799999999999998E-4</v>
      </c>
      <c r="H998" s="324">
        <v>1.67</v>
      </c>
      <c r="I998" s="322" t="s">
        <v>617</v>
      </c>
      <c r="J998" s="322">
        <v>1016</v>
      </c>
      <c r="K998" s="322">
        <v>2.7</v>
      </c>
      <c r="L998" s="322">
        <v>101.58</v>
      </c>
      <c r="M998" s="322" t="s">
        <v>6</v>
      </c>
      <c r="N998" s="322" t="s">
        <v>368</v>
      </c>
      <c r="O998" s="322" t="s">
        <v>8</v>
      </c>
      <c r="P998" s="322" t="s">
        <v>379</v>
      </c>
      <c r="Q998" s="322" t="s">
        <v>61</v>
      </c>
      <c r="R998" s="322" t="s">
        <v>394</v>
      </c>
      <c r="S998" s="303">
        <f t="shared" si="16"/>
        <v>80248311.608669996</v>
      </c>
      <c r="T998" s="307">
        <f>+IFERROR(VLOOKUP(C998,'Tasas Diarias'!$B:$F,5,FALSE)*G998,0)</f>
        <v>-1.8652355304595233E-7</v>
      </c>
      <c r="U998" s="311" t="str">
        <f ca="1">+VLOOKUP(C998,Spreads!$A$2:$G$345,7,0)</f>
        <v/>
      </c>
    </row>
    <row r="999" spans="1:21" ht="15.75" hidden="1" customHeight="1" thickTop="1" thickBot="1">
      <c r="A999" s="321" t="s">
        <v>2137</v>
      </c>
      <c r="B999" s="322" t="s">
        <v>298</v>
      </c>
      <c r="C999" s="322" t="s">
        <v>1489</v>
      </c>
      <c r="D999" s="322" t="s">
        <v>39</v>
      </c>
      <c r="E999" s="323">
        <v>72394072.830899999</v>
      </c>
      <c r="F999" s="323"/>
      <c r="G999" s="314">
        <v>8.2399999999999997E-4</v>
      </c>
      <c r="H999" s="324">
        <v>3.04</v>
      </c>
      <c r="I999" s="322" t="s">
        <v>1490</v>
      </c>
      <c r="J999" s="322">
        <v>1507</v>
      </c>
      <c r="K999" s="322">
        <v>2.7</v>
      </c>
      <c r="L999" s="322">
        <v>102.52</v>
      </c>
      <c r="M999" s="322" t="s">
        <v>6</v>
      </c>
      <c r="N999" s="322" t="s">
        <v>368</v>
      </c>
      <c r="O999" s="322" t="s">
        <v>8</v>
      </c>
      <c r="P999" s="322" t="s">
        <v>801</v>
      </c>
      <c r="Q999" s="322" t="s">
        <v>69</v>
      </c>
      <c r="R999" s="322" t="s">
        <v>1491</v>
      </c>
      <c r="S999" s="303">
        <f t="shared" si="16"/>
        <v>195463996.64342999</v>
      </c>
      <c r="T999" s="307">
        <f>+IFERROR(VLOOKUP(C999,'Tasas Diarias'!$B:$F,5,FALSE)*G999,0)</f>
        <v>0</v>
      </c>
      <c r="U999" s="311" t="e">
        <f>+VLOOKUP(C999,Spreads!$A$2:$G$345,7,0)</f>
        <v>#N/A</v>
      </c>
    </row>
    <row r="1000" spans="1:21" ht="15.75" hidden="1" customHeight="1" thickTop="1" thickBot="1">
      <c r="A1000" s="321" t="s">
        <v>2137</v>
      </c>
      <c r="B1000" s="322" t="s">
        <v>298</v>
      </c>
      <c r="C1000" s="322" t="s">
        <v>1216</v>
      </c>
      <c r="D1000" s="322" t="s">
        <v>175</v>
      </c>
      <c r="E1000" s="323">
        <v>623069796.44879997</v>
      </c>
      <c r="F1000" s="323">
        <v>15000</v>
      </c>
      <c r="G1000" s="314">
        <v>7.0910000000000001E-3</v>
      </c>
      <c r="H1000" s="324">
        <v>2.06</v>
      </c>
      <c r="I1000" s="322" t="s">
        <v>1217</v>
      </c>
      <c r="J1000" s="322">
        <v>1107</v>
      </c>
      <c r="K1000" s="322">
        <v>2.84</v>
      </c>
      <c r="L1000" s="322">
        <v>105.48</v>
      </c>
      <c r="M1000" s="322" t="s">
        <v>6</v>
      </c>
      <c r="N1000" s="322" t="s">
        <v>368</v>
      </c>
      <c r="O1000" s="322" t="s">
        <v>8</v>
      </c>
      <c r="P1000" s="322" t="s">
        <v>392</v>
      </c>
      <c r="Q1000" s="322" t="s">
        <v>66</v>
      </c>
      <c r="R1000" s="322" t="s">
        <v>418</v>
      </c>
      <c r="S1000" s="303">
        <f t="shared" si="16"/>
        <v>1769518221.9145918</v>
      </c>
      <c r="T1000" s="307">
        <f>+IFERROR(VLOOKUP(C1000,'Tasas Diarias'!$B:$F,5,FALSE)*G1000,0)</f>
        <v>-2.0557437974722455E-6</v>
      </c>
      <c r="U1000" s="311" t="str">
        <f ca="1">+VLOOKUP(C1000,Spreads!$A$2:$G$345,7,0)</f>
        <v/>
      </c>
    </row>
    <row r="1001" spans="1:21" ht="15.75" hidden="1" customHeight="1" thickTop="1" thickBot="1">
      <c r="A1001" s="321" t="s">
        <v>2137</v>
      </c>
      <c r="B1001" s="322" t="s">
        <v>298</v>
      </c>
      <c r="C1001" s="322" t="s">
        <v>504</v>
      </c>
      <c r="D1001" s="322" t="s">
        <v>295</v>
      </c>
      <c r="E1001" s="323">
        <v>65126639.190499999</v>
      </c>
      <c r="F1001" s="323">
        <v>61537193.741317242</v>
      </c>
      <c r="G1001" s="314">
        <v>7.4200000000000004E-4</v>
      </c>
      <c r="H1001" s="324">
        <v>4.25</v>
      </c>
      <c r="I1001" s="322" t="s">
        <v>505</v>
      </c>
      <c r="J1001" s="322">
        <v>1138</v>
      </c>
      <c r="K1001" s="322">
        <v>2.85</v>
      </c>
      <c r="L1001" s="322">
        <v>103.64</v>
      </c>
      <c r="M1001" s="322" t="s">
        <v>9</v>
      </c>
      <c r="N1001" s="322" t="s">
        <v>368</v>
      </c>
      <c r="O1001" s="322" t="s">
        <v>8</v>
      </c>
      <c r="P1001" s="322" t="s">
        <v>7</v>
      </c>
      <c r="Q1001" s="322" t="s">
        <v>70</v>
      </c>
      <c r="R1001" s="322" t="s">
        <v>506</v>
      </c>
      <c r="S1001" s="303">
        <f t="shared" si="16"/>
        <v>185610921.69292501</v>
      </c>
      <c r="T1001" s="307">
        <f>+IFERROR(VLOOKUP(C1001,'Tasas Diarias'!$B:$F,5,FALSE)*G1001,0)</f>
        <v>-4.3223787234581938E-7</v>
      </c>
      <c r="U1001" s="311" t="str">
        <f ca="1">+VLOOKUP(C1001,Spreads!$A$2:$G$345,7,0)</f>
        <v/>
      </c>
    </row>
    <row r="1002" spans="1:21" ht="15.75" hidden="1" customHeight="1" thickTop="1" thickBot="1">
      <c r="A1002" s="327" t="s">
        <v>2137</v>
      </c>
      <c r="B1002" s="328" t="s">
        <v>298</v>
      </c>
      <c r="C1002" s="328" t="s">
        <v>838</v>
      </c>
      <c r="D1002" s="328" t="s">
        <v>839</v>
      </c>
      <c r="E1002" s="328">
        <v>143149772.7924</v>
      </c>
      <c r="F1002" s="328"/>
      <c r="G1002" s="328">
        <v>1.629E-3</v>
      </c>
      <c r="H1002" s="329">
        <v>3.4</v>
      </c>
      <c r="I1002" s="328" t="s">
        <v>840</v>
      </c>
      <c r="J1002" s="328">
        <v>1451</v>
      </c>
      <c r="K1002" s="328">
        <v>2.87</v>
      </c>
      <c r="L1002" s="328">
        <v>107.03</v>
      </c>
      <c r="M1002" s="328" t="s">
        <v>6</v>
      </c>
      <c r="N1002" s="328" t="s">
        <v>368</v>
      </c>
      <c r="O1002" s="328" t="s">
        <v>1440</v>
      </c>
      <c r="P1002" s="328" t="s">
        <v>801</v>
      </c>
      <c r="Q1002" s="328" t="s">
        <v>841</v>
      </c>
      <c r="R1002" s="328" t="s">
        <v>842</v>
      </c>
      <c r="S1002" s="303">
        <f t="shared" si="16"/>
        <v>410839847.91418803</v>
      </c>
      <c r="T1002" s="307">
        <f>+IFERROR(VLOOKUP(C1002,'Tasas Diarias'!$B:$F,5,FALSE)*G1002,0)</f>
        <v>0</v>
      </c>
      <c r="U1002" s="311" t="str">
        <f ca="1">+VLOOKUP(C1002,Spreads!$A$2:$G$345,7,0)</f>
        <v/>
      </c>
    </row>
    <row r="1003" spans="1:21" ht="15.75" hidden="1" customHeight="1" thickTop="1" thickBot="1">
      <c r="A1003" s="327" t="s">
        <v>2137</v>
      </c>
      <c r="B1003" s="328" t="s">
        <v>298</v>
      </c>
      <c r="C1003" s="328" t="s">
        <v>1120</v>
      </c>
      <c r="D1003" s="328" t="s">
        <v>177</v>
      </c>
      <c r="E1003" s="328">
        <v>70517199</v>
      </c>
      <c r="F1003" s="328">
        <v>14000</v>
      </c>
      <c r="G1003" s="328">
        <v>8.0199999999999998E-4</v>
      </c>
      <c r="H1003" s="329">
        <v>4.66</v>
      </c>
      <c r="I1003" s="328" t="s">
        <v>1121</v>
      </c>
      <c r="J1003" s="328">
        <v>2257</v>
      </c>
      <c r="K1003" s="328">
        <v>2.95</v>
      </c>
      <c r="L1003" s="328">
        <v>100.95</v>
      </c>
      <c r="M1003" s="328" t="s">
        <v>6</v>
      </c>
      <c r="N1003" s="328" t="s">
        <v>368</v>
      </c>
      <c r="O1003" s="328" t="s">
        <v>8</v>
      </c>
      <c r="P1003" s="328" t="s">
        <v>25</v>
      </c>
      <c r="Q1003" s="328" t="s">
        <v>330</v>
      </c>
      <c r="R1003" s="328" t="s">
        <v>1122</v>
      </c>
      <c r="S1003" s="303">
        <f t="shared" si="16"/>
        <v>208025737.05000001</v>
      </c>
      <c r="T1003" s="307">
        <f>+IFERROR(VLOOKUP(C1003,'Tasas Diarias'!$B:$F,5,FALSE)*G1003,0)</f>
        <v>2.4097799578005017E-7</v>
      </c>
      <c r="U1003" s="311" t="str">
        <f ca="1">+VLOOKUP(C1003,Spreads!$A$2:$G$345,7,0)</f>
        <v/>
      </c>
    </row>
    <row r="1004" spans="1:21" ht="15.75" hidden="1" customHeight="1" thickTop="1" thickBot="1">
      <c r="A1004" s="317" t="s">
        <v>2137</v>
      </c>
      <c r="B1004" s="318" t="s">
        <v>298</v>
      </c>
      <c r="C1004" s="318" t="s">
        <v>847</v>
      </c>
      <c r="D1004" s="318" t="s">
        <v>1548</v>
      </c>
      <c r="E1004" s="319">
        <v>5874911.6694999998</v>
      </c>
      <c r="F1004" s="319"/>
      <c r="G1004" s="314">
        <v>6.7000000000000002E-5</v>
      </c>
      <c r="H1004" s="320">
        <v>4.3899999999999997</v>
      </c>
      <c r="I1004" s="318" t="s">
        <v>1549</v>
      </c>
      <c r="J1004" s="318">
        <v>2404</v>
      </c>
      <c r="K1004" s="318">
        <v>3</v>
      </c>
      <c r="L1004" s="318">
        <v>101.03</v>
      </c>
      <c r="M1004" s="318" t="s">
        <v>6</v>
      </c>
      <c r="N1004" s="318" t="s">
        <v>368</v>
      </c>
      <c r="O1004" s="318" t="s">
        <v>1513</v>
      </c>
      <c r="P1004" s="318" t="s">
        <v>802</v>
      </c>
      <c r="Q1004" s="318" t="s">
        <v>1550</v>
      </c>
      <c r="R1004" s="318" t="s">
        <v>1551</v>
      </c>
      <c r="S1004" s="303">
        <f t="shared" si="16"/>
        <v>17624735.008499999</v>
      </c>
      <c r="T1004" s="307">
        <f>+IFERROR(VLOOKUP(C1004,'Tasas Diarias'!$B:$F,5,FALSE)*G1004,0)</f>
        <v>2.0404058740633136E-8</v>
      </c>
      <c r="U1004" s="311" t="str">
        <f ca="1">+VLOOKUP(C1004,Spreads!$A$2:$G$345,7,0)</f>
        <v/>
      </c>
    </row>
    <row r="1005" spans="1:21" ht="15.75" hidden="1" customHeight="1" thickTop="1" thickBot="1">
      <c r="A1005" s="317" t="s">
        <v>2137</v>
      </c>
      <c r="B1005" s="318" t="s">
        <v>298</v>
      </c>
      <c r="C1005" s="318" t="s">
        <v>1218</v>
      </c>
      <c r="D1005" s="318" t="s">
        <v>16</v>
      </c>
      <c r="E1005" s="319">
        <v>57469008.216600001</v>
      </c>
      <c r="F1005" s="319">
        <v>54592707.875299782</v>
      </c>
      <c r="G1005" s="314">
        <v>6.5399999999999996E-4</v>
      </c>
      <c r="H1005" s="320">
        <v>4.2</v>
      </c>
      <c r="I1005" s="318" t="s">
        <v>507</v>
      </c>
      <c r="J1005" s="318">
        <v>1197</v>
      </c>
      <c r="K1005" s="318">
        <v>3.02</v>
      </c>
      <c r="L1005" s="318">
        <v>104.04</v>
      </c>
      <c r="M1005" s="318" t="s">
        <v>9</v>
      </c>
      <c r="N1005" s="318" t="s">
        <v>368</v>
      </c>
      <c r="O1005" s="318" t="s">
        <v>8</v>
      </c>
      <c r="P1005" s="318" t="s">
        <v>379</v>
      </c>
      <c r="Q1005" s="318" t="s">
        <v>61</v>
      </c>
      <c r="R1005" s="318" t="s">
        <v>394</v>
      </c>
      <c r="S1005" s="303">
        <f t="shared" si="16"/>
        <v>173556404.814132</v>
      </c>
      <c r="T1005" s="307">
        <f>+IFERROR(VLOOKUP(C1005,'Tasas Diarias'!$B:$F,5,FALSE)*G1005,0)</f>
        <v>0</v>
      </c>
      <c r="U1005" s="311" t="str">
        <f ca="1">+VLOOKUP(C1005,Spreads!$A$2:$G$345,7,0)</f>
        <v/>
      </c>
    </row>
    <row r="1006" spans="1:21" ht="15.75" hidden="1" customHeight="1" thickTop="1" thickBot="1">
      <c r="A1006" s="317" t="s">
        <v>2137</v>
      </c>
      <c r="B1006" s="318" t="s">
        <v>298</v>
      </c>
      <c r="C1006" s="318" t="s">
        <v>356</v>
      </c>
      <c r="D1006" s="318" t="s">
        <v>115</v>
      </c>
      <c r="E1006" s="319">
        <v>5163486317.8457003</v>
      </c>
      <c r="F1006" s="319">
        <v>4990262942.6591082</v>
      </c>
      <c r="G1006" s="314">
        <v>5.8771999999999998E-2</v>
      </c>
      <c r="H1006" s="320">
        <v>3.72</v>
      </c>
      <c r="I1006" s="318" t="s">
        <v>507</v>
      </c>
      <c r="J1006" s="318">
        <v>1197</v>
      </c>
      <c r="K1006" s="318">
        <v>3.06</v>
      </c>
      <c r="L1006" s="318">
        <v>102.48</v>
      </c>
      <c r="M1006" s="318" t="s">
        <v>9</v>
      </c>
      <c r="N1006" s="318" t="s">
        <v>458</v>
      </c>
      <c r="O1006" s="318" t="s">
        <v>378</v>
      </c>
      <c r="P1006" s="318" t="s">
        <v>379</v>
      </c>
      <c r="Q1006" s="318" t="s">
        <v>2139</v>
      </c>
      <c r="R1006" s="318" t="s">
        <v>885</v>
      </c>
      <c r="S1006" s="303">
        <f t="shared" si="16"/>
        <v>15800268132.607843</v>
      </c>
      <c r="T1006" s="307">
        <f>+IFERROR(VLOOKUP(C1006,'Tasas Diarias'!$B:$F,5,FALSE)*G1006,0)</f>
        <v>-1.8324388029637321E-5</v>
      </c>
      <c r="U1006" s="311" t="str">
        <f>+VLOOKUP(C1006,Spreads!$A$2:$G$345,7,0)</f>
        <v/>
      </c>
    </row>
    <row r="1007" spans="1:21" ht="15.75" hidden="1" customHeight="1" thickTop="1" thickBot="1">
      <c r="A1007" s="317" t="s">
        <v>2137</v>
      </c>
      <c r="B1007" s="318" t="s">
        <v>298</v>
      </c>
      <c r="C1007" s="318" t="s">
        <v>630</v>
      </c>
      <c r="D1007" s="318" t="s">
        <v>631</v>
      </c>
      <c r="E1007" s="319">
        <v>128497474.134</v>
      </c>
      <c r="F1007" s="319">
        <v>124988915.29245219</v>
      </c>
      <c r="G1007" s="314">
        <v>1.4630000000000001E-3</v>
      </c>
      <c r="H1007" s="320">
        <v>5.48</v>
      </c>
      <c r="I1007" s="318" t="s">
        <v>632</v>
      </c>
      <c r="J1007" s="318">
        <v>1562</v>
      </c>
      <c r="K1007" s="318">
        <v>3.07</v>
      </c>
      <c r="L1007" s="318">
        <v>101.52</v>
      </c>
      <c r="M1007" s="318" t="s">
        <v>9</v>
      </c>
      <c r="N1007" s="318" t="s">
        <v>368</v>
      </c>
      <c r="O1007" s="318" t="s">
        <v>8</v>
      </c>
      <c r="P1007" s="318" t="s">
        <v>7</v>
      </c>
      <c r="Q1007" s="318" t="s">
        <v>633</v>
      </c>
      <c r="R1007" s="318" t="s">
        <v>634</v>
      </c>
      <c r="S1007" s="303">
        <f t="shared" si="16"/>
        <v>394487245.59138</v>
      </c>
      <c r="T1007" s="307">
        <f>+IFERROR(VLOOKUP(C1007,'Tasas Diarias'!$B:$F,5,FALSE)*G1007,0)</f>
        <v>-4.5759744121737894E-7</v>
      </c>
      <c r="U1007" s="311" t="str">
        <f ca="1">+VLOOKUP(C1007,Spreads!$A$2:$G$345,7,0)</f>
        <v/>
      </c>
    </row>
    <row r="1008" spans="1:21" ht="15.75" hidden="1" customHeight="1" thickTop="1" thickBot="1">
      <c r="A1008" s="317" t="s">
        <v>2137</v>
      </c>
      <c r="B1008" s="318" t="s">
        <v>298</v>
      </c>
      <c r="C1008" s="318" t="s">
        <v>1003</v>
      </c>
      <c r="D1008" s="318" t="s">
        <v>1004</v>
      </c>
      <c r="E1008" s="319">
        <v>70403179.287400007</v>
      </c>
      <c r="F1008" s="319">
        <v>1000</v>
      </c>
      <c r="G1008" s="314">
        <v>8.0199999999999998E-4</v>
      </c>
      <c r="H1008" s="320">
        <v>1.92</v>
      </c>
      <c r="I1008" s="318" t="s">
        <v>1005</v>
      </c>
      <c r="J1008" s="318">
        <v>2186</v>
      </c>
      <c r="K1008" s="318">
        <v>3.09</v>
      </c>
      <c r="L1008" s="318">
        <v>104.83</v>
      </c>
      <c r="M1008" s="318" t="s">
        <v>6</v>
      </c>
      <c r="N1008" s="318" t="s">
        <v>368</v>
      </c>
      <c r="O1008" s="318" t="s">
        <v>1347</v>
      </c>
      <c r="P1008" s="318" t="s">
        <v>7</v>
      </c>
      <c r="Q1008" s="318" t="s">
        <v>1006</v>
      </c>
      <c r="R1008" s="318" t="s">
        <v>1007</v>
      </c>
      <c r="S1008" s="303">
        <f t="shared" si="16"/>
        <v>217545823.99806601</v>
      </c>
      <c r="T1008" s="307">
        <f>+IFERROR(VLOOKUP(C1008,'Tasas Diarias'!$B:$F,5,FALSE)*G1008,0)</f>
        <v>2.2956976526777616E-7</v>
      </c>
      <c r="U1008" s="311" t="str">
        <f ca="1">+VLOOKUP(C1008,Spreads!$A$2:$G$345,7,0)</f>
        <v/>
      </c>
    </row>
    <row r="1009" spans="1:21" ht="15.75" hidden="1" customHeight="1" thickTop="1" thickBot="1">
      <c r="A1009" s="327" t="s">
        <v>2137</v>
      </c>
      <c r="B1009" s="328" t="s">
        <v>298</v>
      </c>
      <c r="C1009" s="328" t="s">
        <v>1469</v>
      </c>
      <c r="D1009" s="328" t="s">
        <v>808</v>
      </c>
      <c r="E1009" s="328">
        <v>81680223.534299999</v>
      </c>
      <c r="F1009" s="328"/>
      <c r="G1009" s="328">
        <v>9.3000000000000005E-4</v>
      </c>
      <c r="H1009" s="329">
        <v>3.49</v>
      </c>
      <c r="I1009" s="328" t="s">
        <v>1470</v>
      </c>
      <c r="J1009" s="328">
        <v>1221</v>
      </c>
      <c r="K1009" s="328">
        <v>3.13</v>
      </c>
      <c r="L1009" s="328">
        <v>103.09</v>
      </c>
      <c r="M1009" s="328" t="s">
        <v>6</v>
      </c>
      <c r="N1009" s="328" t="s">
        <v>368</v>
      </c>
      <c r="O1009" s="328" t="s">
        <v>429</v>
      </c>
      <c r="P1009" s="328" t="s">
        <v>1307</v>
      </c>
      <c r="Q1009" s="328" t="s">
        <v>809</v>
      </c>
      <c r="R1009" s="328" t="s">
        <v>810</v>
      </c>
      <c r="S1009" s="303">
        <f t="shared" si="16"/>
        <v>255659099.662359</v>
      </c>
      <c r="T1009" s="307">
        <f>+IFERROR(VLOOKUP(C1009,'Tasas Diarias'!$B:$F,5,FALSE)*G1009,0)</f>
        <v>0</v>
      </c>
      <c r="U1009" s="311" t="e">
        <f>+VLOOKUP(C1009,Spreads!$A$2:$G$345,7,0)</f>
        <v>#N/A</v>
      </c>
    </row>
    <row r="1010" spans="1:21" ht="15.75" hidden="1" customHeight="1" thickTop="1" thickBot="1">
      <c r="A1010" s="317" t="s">
        <v>2137</v>
      </c>
      <c r="B1010" s="318" t="s">
        <v>298</v>
      </c>
      <c r="C1010" s="318" t="s">
        <v>1471</v>
      </c>
      <c r="D1010" s="318" t="s">
        <v>808</v>
      </c>
      <c r="E1010" s="319">
        <v>85825062.360499993</v>
      </c>
      <c r="F1010" s="319"/>
      <c r="G1010" s="314">
        <v>9.77E-4</v>
      </c>
      <c r="H1010" s="320">
        <v>3.49</v>
      </c>
      <c r="I1010" s="318" t="s">
        <v>1470</v>
      </c>
      <c r="J1010" s="318">
        <v>1221</v>
      </c>
      <c r="K1010" s="318">
        <v>3.13</v>
      </c>
      <c r="L1010" s="318">
        <v>103.09</v>
      </c>
      <c r="M1010" s="318" t="s">
        <v>6</v>
      </c>
      <c r="N1010" s="318" t="s">
        <v>368</v>
      </c>
      <c r="O1010" s="318" t="s">
        <v>429</v>
      </c>
      <c r="P1010" s="318" t="s">
        <v>1307</v>
      </c>
      <c r="Q1010" s="318" t="s">
        <v>809</v>
      </c>
      <c r="R1010" s="318" t="s">
        <v>810</v>
      </c>
      <c r="S1010" s="303">
        <f t="shared" si="16"/>
        <v>268632445.18836498</v>
      </c>
      <c r="T1010" s="307">
        <f>+IFERROR(VLOOKUP(C1010,'Tasas Diarias'!$B:$F,5,FALSE)*G1010,0)</f>
        <v>0</v>
      </c>
      <c r="U1010" s="311" t="e">
        <f>+VLOOKUP(C1010,Spreads!$A$2:$G$345,7,0)</f>
        <v>#N/A</v>
      </c>
    </row>
    <row r="1011" spans="1:21" ht="15.75" hidden="1" customHeight="1" thickTop="1" thickBot="1">
      <c r="A1011" s="321" t="s">
        <v>2137</v>
      </c>
      <c r="B1011" s="322" t="s">
        <v>298</v>
      </c>
      <c r="C1011" s="322" t="s">
        <v>843</v>
      </c>
      <c r="D1011" s="322" t="s">
        <v>844</v>
      </c>
      <c r="E1011" s="323">
        <v>635175.85809999995</v>
      </c>
      <c r="F1011" s="323"/>
      <c r="G1011" s="314">
        <v>6.9999999999999999E-6</v>
      </c>
      <c r="H1011" s="324">
        <v>1.86</v>
      </c>
      <c r="I1011" s="322" t="s">
        <v>730</v>
      </c>
      <c r="J1011" s="322">
        <v>2446</v>
      </c>
      <c r="K1011" s="322">
        <v>3.18</v>
      </c>
      <c r="L1011" s="322">
        <v>113.12</v>
      </c>
      <c r="M1011" s="322" t="s">
        <v>6</v>
      </c>
      <c r="N1011" s="322" t="s">
        <v>368</v>
      </c>
      <c r="O1011" s="322" t="s">
        <v>1346</v>
      </c>
      <c r="P1011" s="322" t="s">
        <v>392</v>
      </c>
      <c r="Q1011" s="322" t="s">
        <v>845</v>
      </c>
      <c r="R1011" s="322" t="s">
        <v>846</v>
      </c>
      <c r="S1011" s="303">
        <f t="shared" si="16"/>
        <v>2019859.2287580001</v>
      </c>
      <c r="T1011" s="307">
        <f>+IFERROR(VLOOKUP(C1011,'Tasas Diarias'!$B:$F,5,FALSE)*G1011,0)</f>
        <v>0</v>
      </c>
      <c r="U1011" s="311" t="str">
        <f ca="1">+VLOOKUP(C1011,Spreads!$A$2:$G$345,7,0)</f>
        <v/>
      </c>
    </row>
    <row r="1012" spans="1:21" ht="15.75" hidden="1" customHeight="1" thickTop="1" thickBot="1">
      <c r="A1012" s="317" t="s">
        <v>2137</v>
      </c>
      <c r="B1012" s="318" t="s">
        <v>298</v>
      </c>
      <c r="C1012" s="318" t="s">
        <v>159</v>
      </c>
      <c r="D1012" s="318" t="s">
        <v>116</v>
      </c>
      <c r="E1012" s="319">
        <v>11303125633.584101</v>
      </c>
      <c r="F1012" s="319">
        <v>380500</v>
      </c>
      <c r="G1012" s="314">
        <v>0.12865799999999999</v>
      </c>
      <c r="H1012" s="320">
        <v>1.19</v>
      </c>
      <c r="I1012" s="318" t="s">
        <v>507</v>
      </c>
      <c r="J1012" s="318">
        <v>1197</v>
      </c>
      <c r="K1012" s="318">
        <v>3.2</v>
      </c>
      <c r="L1012" s="318">
        <v>101</v>
      </c>
      <c r="M1012" s="318" t="s">
        <v>6</v>
      </c>
      <c r="N1012" s="318" t="s">
        <v>458</v>
      </c>
      <c r="O1012" s="318" t="s">
        <v>378</v>
      </c>
      <c r="P1012" s="318" t="s">
        <v>379</v>
      </c>
      <c r="Q1012" s="318" t="s">
        <v>2139</v>
      </c>
      <c r="R1012" s="318" t="s">
        <v>508</v>
      </c>
      <c r="S1012" s="303">
        <f t="shared" si="16"/>
        <v>36170002027.469124</v>
      </c>
      <c r="T1012" s="307">
        <f>+IFERROR(VLOOKUP(C1012,'Tasas Diarias'!$B:$F,5,FALSE)*G1012,0)</f>
        <v>0</v>
      </c>
      <c r="U1012" s="311" t="str">
        <f>+VLOOKUP(C1012,Spreads!$A$2:$G$345,7,0)</f>
        <v/>
      </c>
    </row>
    <row r="1013" spans="1:21" ht="15.75" hidden="1" customHeight="1" thickTop="1" thickBot="1">
      <c r="A1013" s="317" t="s">
        <v>2137</v>
      </c>
      <c r="B1013" s="318" t="s">
        <v>298</v>
      </c>
      <c r="C1013" s="318" t="s">
        <v>1123</v>
      </c>
      <c r="D1013" s="318" t="s">
        <v>177</v>
      </c>
      <c r="E1013" s="319">
        <v>67375957</v>
      </c>
      <c r="F1013" s="319">
        <v>11000</v>
      </c>
      <c r="G1013" s="314">
        <v>7.6599999999999997E-4</v>
      </c>
      <c r="H1013" s="320">
        <v>6.68</v>
      </c>
      <c r="I1013" s="318" t="s">
        <v>1124</v>
      </c>
      <c r="J1013" s="318">
        <v>2562</v>
      </c>
      <c r="K1013" s="318">
        <v>3.2</v>
      </c>
      <c r="L1013" s="318">
        <v>93.49</v>
      </c>
      <c r="M1013" s="318" t="s">
        <v>6</v>
      </c>
      <c r="N1013" s="318" t="s">
        <v>368</v>
      </c>
      <c r="O1013" s="318" t="s">
        <v>8</v>
      </c>
      <c r="P1013" s="318" t="s">
        <v>25</v>
      </c>
      <c r="Q1013" s="318" t="s">
        <v>330</v>
      </c>
      <c r="R1013" s="318" t="s">
        <v>1125</v>
      </c>
      <c r="S1013" s="303">
        <f t="shared" si="16"/>
        <v>215603062.40000001</v>
      </c>
      <c r="T1013" s="307">
        <f>+IFERROR(VLOOKUP(C1013,'Tasas Diarias'!$B:$F,5,FALSE)*G1013,0)</f>
        <v>2.4958664699717971E-7</v>
      </c>
      <c r="U1013" s="311" t="str">
        <f ca="1">+VLOOKUP(C1013,Spreads!$A$2:$G$345,7,0)</f>
        <v/>
      </c>
    </row>
    <row r="1014" spans="1:21" ht="15.75" hidden="1" customHeight="1" thickTop="1" thickBot="1">
      <c r="A1014" s="317" t="s">
        <v>2137</v>
      </c>
      <c r="B1014" s="318" t="s">
        <v>298</v>
      </c>
      <c r="C1014" s="318" t="s">
        <v>850</v>
      </c>
      <c r="D1014" s="318" t="s">
        <v>851</v>
      </c>
      <c r="E1014" s="319">
        <v>538499533.97370005</v>
      </c>
      <c r="F1014" s="319">
        <v>15000</v>
      </c>
      <c r="G1014" s="314">
        <v>6.1289999999999999E-3</v>
      </c>
      <c r="H1014" s="320">
        <v>3.42</v>
      </c>
      <c r="I1014" s="318" t="s">
        <v>644</v>
      </c>
      <c r="J1014" s="318">
        <v>1319</v>
      </c>
      <c r="K1014" s="318">
        <v>3.24</v>
      </c>
      <c r="L1014" s="318">
        <v>109.09999999999998</v>
      </c>
      <c r="M1014" s="318" t="s">
        <v>6</v>
      </c>
      <c r="N1014" s="318" t="s">
        <v>368</v>
      </c>
      <c r="O1014" s="318" t="s">
        <v>421</v>
      </c>
      <c r="P1014" s="318" t="s">
        <v>417</v>
      </c>
      <c r="Q1014" s="318" t="s">
        <v>851</v>
      </c>
      <c r="R1014" s="318" t="s">
        <v>852</v>
      </c>
      <c r="S1014" s="303">
        <f t="shared" si="16"/>
        <v>1744738490.0747883</v>
      </c>
      <c r="T1014" s="307">
        <f>+IFERROR(VLOOKUP(C1014,'Tasas Diarias'!$B:$F,5,FALSE)*G1014,0)</f>
        <v>0</v>
      </c>
      <c r="U1014" s="311" t="str">
        <f ca="1">+VLOOKUP(C1014,Spreads!$A$2:$G$345,7,0)</f>
        <v/>
      </c>
    </row>
    <row r="1015" spans="1:21" ht="15.75" hidden="1" customHeight="1" thickTop="1" thickBot="1">
      <c r="A1015" s="317" t="s">
        <v>2137</v>
      </c>
      <c r="B1015" s="318" t="s">
        <v>298</v>
      </c>
      <c r="C1015" s="318" t="s">
        <v>627</v>
      </c>
      <c r="D1015" s="318" t="s">
        <v>294</v>
      </c>
      <c r="E1015" s="319">
        <v>106124132.83589999</v>
      </c>
      <c r="F1015" s="319"/>
      <c r="G1015" s="314">
        <v>1.2080000000000001E-3</v>
      </c>
      <c r="H1015" s="320">
        <v>2.13</v>
      </c>
      <c r="I1015" s="318" t="s">
        <v>628</v>
      </c>
      <c r="J1015" s="318">
        <v>2415</v>
      </c>
      <c r="K1015" s="318">
        <v>3.28</v>
      </c>
      <c r="L1015" s="318">
        <v>114.3</v>
      </c>
      <c r="M1015" s="318" t="s">
        <v>6</v>
      </c>
      <c r="N1015" s="318" t="s">
        <v>368</v>
      </c>
      <c r="O1015" s="318" t="s">
        <v>8</v>
      </c>
      <c r="P1015" s="318" t="s">
        <v>7</v>
      </c>
      <c r="Q1015" s="318" t="s">
        <v>74</v>
      </c>
      <c r="R1015" s="318" t="s">
        <v>407</v>
      </c>
      <c r="S1015" s="303">
        <f t="shared" si="16"/>
        <v>348087155.70175195</v>
      </c>
      <c r="T1015" s="307">
        <f>+IFERROR(VLOOKUP(C1015,'Tasas Diarias'!$B:$F,5,FALSE)*G1015,0)</f>
        <v>8.0483026479592011E-7</v>
      </c>
      <c r="U1015" s="311" t="str">
        <f ca="1">+VLOOKUP(C1015,Spreads!$A$2:$G$345,7,0)</f>
        <v/>
      </c>
    </row>
    <row r="1016" spans="1:21" ht="15.75" hidden="1" customHeight="1" thickTop="1" thickBot="1">
      <c r="A1016" s="317" t="s">
        <v>2137</v>
      </c>
      <c r="B1016" s="318" t="s">
        <v>298</v>
      </c>
      <c r="C1016" s="318" t="s">
        <v>641</v>
      </c>
      <c r="D1016" s="318" t="s">
        <v>182</v>
      </c>
      <c r="E1016" s="319">
        <v>154002019.04280001</v>
      </c>
      <c r="F1016" s="319"/>
      <c r="G1016" s="314">
        <v>1.753E-3</v>
      </c>
      <c r="H1016" s="320">
        <v>1.7</v>
      </c>
      <c r="I1016" s="318" t="s">
        <v>642</v>
      </c>
      <c r="J1016" s="318">
        <v>1297</v>
      </c>
      <c r="K1016" s="318">
        <v>3.36</v>
      </c>
      <c r="L1016" s="318">
        <v>104.35</v>
      </c>
      <c r="M1016" s="318" t="s">
        <v>6</v>
      </c>
      <c r="N1016" s="318" t="s">
        <v>368</v>
      </c>
      <c r="O1016" s="318" t="s">
        <v>8</v>
      </c>
      <c r="P1016" s="318" t="s">
        <v>7</v>
      </c>
      <c r="Q1016" s="318" t="s">
        <v>390</v>
      </c>
      <c r="R1016" s="318" t="s">
        <v>402</v>
      </c>
      <c r="S1016" s="303">
        <f t="shared" si="16"/>
        <v>517446783.98380804</v>
      </c>
      <c r="T1016" s="307">
        <f>+IFERROR(VLOOKUP(C1016,'Tasas Diarias'!$B:$F,5,FALSE)*G1016,0)</f>
        <v>4.7901773694927977E-6</v>
      </c>
      <c r="U1016" s="311" t="str">
        <f ca="1">+VLOOKUP(C1016,Spreads!$A$2:$G$345,7,0)</f>
        <v/>
      </c>
    </row>
    <row r="1017" spans="1:21" ht="15.75" hidden="1" customHeight="1" thickTop="1" thickBot="1">
      <c r="A1017" s="321" t="s">
        <v>2137</v>
      </c>
      <c r="B1017" s="322" t="s">
        <v>298</v>
      </c>
      <c r="C1017" s="322" t="s">
        <v>1028</v>
      </c>
      <c r="D1017" s="322" t="s">
        <v>37</v>
      </c>
      <c r="E1017" s="323">
        <v>59865687.745099999</v>
      </c>
      <c r="F1017" s="323">
        <v>58447131.445074148</v>
      </c>
      <c r="G1017" s="314">
        <v>6.8199999999999999E-4</v>
      </c>
      <c r="H1017" s="324">
        <v>4.5</v>
      </c>
      <c r="I1017" s="322" t="s">
        <v>1029</v>
      </c>
      <c r="J1017" s="322">
        <v>1607</v>
      </c>
      <c r="K1017" s="322">
        <v>3.37</v>
      </c>
      <c r="L1017" s="322">
        <v>101.94</v>
      </c>
      <c r="M1017" s="322" t="s">
        <v>9</v>
      </c>
      <c r="N1017" s="322" t="s">
        <v>368</v>
      </c>
      <c r="O1017" s="322" t="s">
        <v>429</v>
      </c>
      <c r="P1017" s="322" t="s">
        <v>7</v>
      </c>
      <c r="Q1017" s="322" t="s">
        <v>329</v>
      </c>
      <c r="R1017" s="322" t="s">
        <v>1032</v>
      </c>
      <c r="S1017" s="303">
        <f t="shared" si="16"/>
        <v>201747367.70098701</v>
      </c>
      <c r="T1017" s="307">
        <f>+IFERROR(VLOOKUP(C1017,'Tasas Diarias'!$B:$F,5,FALSE)*G1017,0)</f>
        <v>0</v>
      </c>
      <c r="U1017" s="311" t="str">
        <f ca="1">+VLOOKUP(C1017,Spreads!$A$2:$G$345,7,0)</f>
        <v/>
      </c>
    </row>
    <row r="1018" spans="1:21" ht="15.75" hidden="1" customHeight="1" thickTop="1" thickBot="1">
      <c r="A1018" s="317" t="s">
        <v>2137</v>
      </c>
      <c r="B1018" s="318" t="s">
        <v>298</v>
      </c>
      <c r="C1018" s="318" t="s">
        <v>1417</v>
      </c>
      <c r="D1018" s="318" t="s">
        <v>173</v>
      </c>
      <c r="E1018" s="319">
        <v>77490669.721300006</v>
      </c>
      <c r="F1018" s="319"/>
      <c r="G1018" s="314">
        <v>8.8199999999999997E-4</v>
      </c>
      <c r="H1018" s="320">
        <v>1.87</v>
      </c>
      <c r="I1018" s="318" t="s">
        <v>1418</v>
      </c>
      <c r="J1018" s="318">
        <v>2354</v>
      </c>
      <c r="K1018" s="318">
        <v>3.38</v>
      </c>
      <c r="L1018" s="318">
        <v>115.83</v>
      </c>
      <c r="M1018" s="318" t="s">
        <v>6</v>
      </c>
      <c r="N1018" s="318" t="s">
        <v>368</v>
      </c>
      <c r="O1018" s="318" t="s">
        <v>8</v>
      </c>
      <c r="P1018" s="318" t="s">
        <v>392</v>
      </c>
      <c r="Q1018" s="318" t="s">
        <v>55</v>
      </c>
      <c r="R1018" s="318" t="s">
        <v>724</v>
      </c>
      <c r="S1018" s="303">
        <f t="shared" si="16"/>
        <v>261918463.657994</v>
      </c>
      <c r="T1018" s="307">
        <f>+IFERROR(VLOOKUP(C1018,'Tasas Diarias'!$B:$F,5,FALSE)*G1018,0)</f>
        <v>2.7981223224971591E-7</v>
      </c>
      <c r="U1018" s="311" t="e">
        <f>+VLOOKUP(C1018,Spreads!$A$2:$G$345,7,0)</f>
        <v>#N/A</v>
      </c>
    </row>
    <row r="1019" spans="1:21" ht="15.75" hidden="1" customHeight="1" thickTop="1" thickBot="1">
      <c r="A1019" s="317" t="s">
        <v>2137</v>
      </c>
      <c r="B1019" s="318" t="s">
        <v>298</v>
      </c>
      <c r="C1019" s="318" t="s">
        <v>1836</v>
      </c>
      <c r="D1019" s="318" t="s">
        <v>178</v>
      </c>
      <c r="E1019" s="319">
        <v>237606967.80450001</v>
      </c>
      <c r="F1019" s="319"/>
      <c r="G1019" s="314">
        <v>2.7049999999999999E-3</v>
      </c>
      <c r="H1019" s="320">
        <v>2.4500000000000002</v>
      </c>
      <c r="I1019" s="318" t="s">
        <v>1837</v>
      </c>
      <c r="J1019" s="318">
        <v>1323</v>
      </c>
      <c r="K1019" s="318">
        <v>3.41</v>
      </c>
      <c r="L1019" s="318">
        <v>102.68</v>
      </c>
      <c r="M1019" s="318" t="s">
        <v>6</v>
      </c>
      <c r="N1019" s="318" t="s">
        <v>368</v>
      </c>
      <c r="O1019" s="318" t="s">
        <v>8</v>
      </c>
      <c r="P1019" s="318" t="s">
        <v>417</v>
      </c>
      <c r="Q1019" s="318" t="s">
        <v>68</v>
      </c>
      <c r="R1019" s="318" t="s">
        <v>812</v>
      </c>
      <c r="S1019" s="303">
        <f t="shared" si="16"/>
        <v>810239760.21334505</v>
      </c>
      <c r="T1019" s="307">
        <f>+IFERROR(VLOOKUP(C1019,'Tasas Diarias'!$B:$F,5,FALSE)*G1019,0)</f>
        <v>0</v>
      </c>
      <c r="U1019" s="311" t="e">
        <f>+VLOOKUP(C1019,Spreads!$A$2:$G$345,7,0)</f>
        <v>#N/A</v>
      </c>
    </row>
    <row r="1020" spans="1:21" ht="15.75" hidden="1" customHeight="1" thickTop="1" thickBot="1">
      <c r="A1020" s="327" t="s">
        <v>2137</v>
      </c>
      <c r="B1020" s="328" t="s">
        <v>298</v>
      </c>
      <c r="C1020" s="328" t="s">
        <v>1019</v>
      </c>
      <c r="D1020" s="328" t="s">
        <v>851</v>
      </c>
      <c r="E1020" s="328">
        <v>548615558.02550006</v>
      </c>
      <c r="F1020" s="328">
        <v>10000</v>
      </c>
      <c r="G1020" s="328">
        <v>6.2440000000000004E-3</v>
      </c>
      <c r="H1020" s="329">
        <v>3.24</v>
      </c>
      <c r="I1020" s="328" t="s">
        <v>656</v>
      </c>
      <c r="J1020" s="328">
        <v>1381</v>
      </c>
      <c r="K1020" s="328">
        <v>3.41</v>
      </c>
      <c r="L1020" s="328">
        <v>110.25</v>
      </c>
      <c r="M1020" s="328" t="s">
        <v>6</v>
      </c>
      <c r="N1020" s="328" t="s">
        <v>368</v>
      </c>
      <c r="O1020" s="328" t="s">
        <v>421</v>
      </c>
      <c r="P1020" s="328" t="s">
        <v>417</v>
      </c>
      <c r="Q1020" s="328" t="s">
        <v>851</v>
      </c>
      <c r="R1020" s="328" t="s">
        <v>852</v>
      </c>
      <c r="S1020" s="303">
        <f t="shared" si="16"/>
        <v>1870779052.8669553</v>
      </c>
      <c r="T1020" s="307">
        <f>+IFERROR(VLOOKUP(C1020,'Tasas Diarias'!$B:$F,5,FALSE)*G1020,0)</f>
        <v>-2.1655107006840766E-6</v>
      </c>
      <c r="U1020" s="311" t="str">
        <f ca="1">+VLOOKUP(C1020,Spreads!$A$2:$G$345,7,0)</f>
        <v/>
      </c>
    </row>
    <row r="1021" spans="1:21" ht="15.75" hidden="1" customHeight="1" thickTop="1" thickBot="1">
      <c r="A1021" s="317" t="s">
        <v>2137</v>
      </c>
      <c r="B1021" s="318" t="s">
        <v>298</v>
      </c>
      <c r="C1021" s="318" t="s">
        <v>1533</v>
      </c>
      <c r="D1021" s="318" t="s">
        <v>11</v>
      </c>
      <c r="E1021" s="319">
        <v>84781166.030000001</v>
      </c>
      <c r="F1021" s="319">
        <v>81906455.043230757</v>
      </c>
      <c r="G1021" s="314">
        <v>9.6500000000000004E-4</v>
      </c>
      <c r="H1021" s="320">
        <v>4.34</v>
      </c>
      <c r="I1021" s="318" t="s">
        <v>656</v>
      </c>
      <c r="J1021" s="318">
        <v>1381</v>
      </c>
      <c r="K1021" s="318">
        <v>3.46</v>
      </c>
      <c r="L1021" s="318">
        <v>102.41</v>
      </c>
      <c r="M1021" s="318" t="s">
        <v>9</v>
      </c>
      <c r="N1021" s="318" t="s">
        <v>368</v>
      </c>
      <c r="O1021" s="318" t="s">
        <v>8</v>
      </c>
      <c r="P1021" s="318" t="s">
        <v>7</v>
      </c>
      <c r="Q1021" s="318" t="s">
        <v>326</v>
      </c>
      <c r="R1021" s="318" t="s">
        <v>404</v>
      </c>
      <c r="S1021" s="303">
        <f t="shared" si="16"/>
        <v>293342834.46380001</v>
      </c>
      <c r="T1021" s="307">
        <f>+IFERROR(VLOOKUP(C1021,'Tasas Diarias'!$B:$F,5,FALSE)*G1021,0)</f>
        <v>-6.7930230607457755E-7</v>
      </c>
      <c r="U1021" s="311" t="e">
        <f>+VLOOKUP(C1021,Spreads!$A$2:$G$345,7,0)</f>
        <v>#N/A</v>
      </c>
    </row>
    <row r="1022" spans="1:21" ht="15.75" hidden="1" customHeight="1" thickTop="1" thickBot="1">
      <c r="A1022" s="321" t="s">
        <v>2137</v>
      </c>
      <c r="B1022" s="322" t="s">
        <v>298</v>
      </c>
      <c r="C1022" s="322" t="s">
        <v>1126</v>
      </c>
      <c r="D1022" s="322" t="s">
        <v>165</v>
      </c>
      <c r="E1022" s="323">
        <v>36918682</v>
      </c>
      <c r="F1022" s="323">
        <v>2840</v>
      </c>
      <c r="G1022" s="314">
        <v>4.2000000000000002E-4</v>
      </c>
      <c r="H1022" s="337">
        <v>2.84</v>
      </c>
      <c r="I1022" s="322" t="s">
        <v>1127</v>
      </c>
      <c r="J1022" s="322">
        <v>2599</v>
      </c>
      <c r="K1022" s="322">
        <v>3.48</v>
      </c>
      <c r="L1022" s="322">
        <v>104.97</v>
      </c>
      <c r="M1022" s="322" t="s">
        <v>6</v>
      </c>
      <c r="N1022" s="322" t="s">
        <v>1095</v>
      </c>
      <c r="O1022" s="322" t="s">
        <v>8</v>
      </c>
      <c r="P1022" s="322" t="s">
        <v>379</v>
      </c>
      <c r="Q1022" s="322" t="s">
        <v>74</v>
      </c>
      <c r="R1022" s="322" t="s">
        <v>1128</v>
      </c>
      <c r="S1022" s="303">
        <f t="shared" si="16"/>
        <v>128477013.36</v>
      </c>
      <c r="T1022" s="307">
        <f>+IFERROR(VLOOKUP(C1022,'Tasas Diarias'!$B:$F,5,FALSE)*G1022,0)</f>
        <v>-1.4865757289202449E-7</v>
      </c>
      <c r="U1022" s="311" t="e">
        <f>+VLOOKUP(C1022,Spreads!$A$2:$G$345,7,0)</f>
        <v>#N/A</v>
      </c>
    </row>
    <row r="1023" spans="1:21" ht="15.75" hidden="1" customHeight="1" thickTop="1" thickBot="1">
      <c r="A1023" s="317" t="s">
        <v>2137</v>
      </c>
      <c r="B1023" s="318" t="s">
        <v>298</v>
      </c>
      <c r="C1023" s="318" t="s">
        <v>1129</v>
      </c>
      <c r="D1023" s="318" t="s">
        <v>174</v>
      </c>
      <c r="E1023" s="319">
        <v>3417445</v>
      </c>
      <c r="F1023" s="319">
        <v>270</v>
      </c>
      <c r="G1023" s="314">
        <v>3.8000000000000002E-5</v>
      </c>
      <c r="H1023" s="320">
        <v>2.92</v>
      </c>
      <c r="I1023" s="318" t="s">
        <v>1127</v>
      </c>
      <c r="J1023" s="318">
        <v>2599</v>
      </c>
      <c r="K1023" s="318">
        <v>3.49</v>
      </c>
      <c r="L1023" s="318">
        <v>103.68</v>
      </c>
      <c r="M1023" s="318" t="s">
        <v>6</v>
      </c>
      <c r="N1023" s="318" t="s">
        <v>1095</v>
      </c>
      <c r="O1023" s="318" t="s">
        <v>8</v>
      </c>
      <c r="P1023" s="318" t="s">
        <v>25</v>
      </c>
      <c r="Q1023" s="318" t="s">
        <v>60</v>
      </c>
      <c r="R1023" s="318" t="s">
        <v>1130</v>
      </c>
      <c r="S1023" s="303">
        <f t="shared" si="16"/>
        <v>11926883.050000001</v>
      </c>
      <c r="T1023" s="307">
        <f>+IFERROR(VLOOKUP(C1023,'Tasas Diarias'!$B:$F,5,FALSE)*G1023,0)</f>
        <v>0</v>
      </c>
      <c r="U1023" s="311" t="e">
        <f>+VLOOKUP(C1023,Spreads!$A$2:$G$345,7,0)</f>
        <v>#N/A</v>
      </c>
    </row>
    <row r="1024" spans="1:21" ht="15.75" hidden="1" customHeight="1" thickTop="1" thickBot="1">
      <c r="A1024" s="317" t="s">
        <v>2137</v>
      </c>
      <c r="B1024" s="318" t="s">
        <v>298</v>
      </c>
      <c r="C1024" s="318" t="s">
        <v>650</v>
      </c>
      <c r="D1024" s="318" t="s">
        <v>651</v>
      </c>
      <c r="E1024" s="319">
        <v>343521810.24070001</v>
      </c>
      <c r="F1024" s="319">
        <v>3500</v>
      </c>
      <c r="G1024" s="314">
        <v>3.9100000000000003E-3</v>
      </c>
      <c r="H1024" s="320">
        <v>1.97</v>
      </c>
      <c r="I1024" s="318" t="s">
        <v>652</v>
      </c>
      <c r="J1024" s="318">
        <v>1333</v>
      </c>
      <c r="K1024" s="318">
        <v>3.5</v>
      </c>
      <c r="L1024" s="318">
        <v>101.13</v>
      </c>
      <c r="M1024" s="318" t="s">
        <v>6</v>
      </c>
      <c r="N1024" s="318" t="s">
        <v>368</v>
      </c>
      <c r="O1024" s="318" t="s">
        <v>1349</v>
      </c>
      <c r="P1024" s="318" t="s">
        <v>392</v>
      </c>
      <c r="Q1024" s="318" t="s">
        <v>653</v>
      </c>
      <c r="R1024" s="318" t="s">
        <v>654</v>
      </c>
      <c r="S1024" s="303">
        <f t="shared" si="16"/>
        <v>1202326335.8424501</v>
      </c>
      <c r="T1024" s="307">
        <f>+IFERROR(VLOOKUP(C1024,'Tasas Diarias'!$B:$F,5,FALSE)*G1024,0)</f>
        <v>0</v>
      </c>
      <c r="U1024" s="311" t="e">
        <f>+VLOOKUP(C1024,Spreads!$A$2:$G$345,7,0)</f>
        <v>#N/A</v>
      </c>
    </row>
    <row r="1025" spans="1:21" ht="15.75" hidden="1" customHeight="1" thickTop="1" thickBot="1">
      <c r="A1025" s="317" t="s">
        <v>2137</v>
      </c>
      <c r="B1025" s="318" t="s">
        <v>298</v>
      </c>
      <c r="C1025" s="318" t="s">
        <v>647</v>
      </c>
      <c r="D1025" s="318" t="s">
        <v>620</v>
      </c>
      <c r="E1025" s="319">
        <v>167743594.17500001</v>
      </c>
      <c r="F1025" s="319">
        <v>163804265.39644</v>
      </c>
      <c r="G1025" s="314">
        <v>1.9090000000000001E-3</v>
      </c>
      <c r="H1025" s="320">
        <v>4.45</v>
      </c>
      <c r="I1025" s="318" t="s">
        <v>648</v>
      </c>
      <c r="J1025" s="318">
        <v>1393</v>
      </c>
      <c r="K1025" s="318">
        <v>3.5</v>
      </c>
      <c r="L1025" s="318">
        <v>101.51</v>
      </c>
      <c r="M1025" s="318" t="s">
        <v>9</v>
      </c>
      <c r="N1025" s="318" t="s">
        <v>368</v>
      </c>
      <c r="O1025" s="318" t="s">
        <v>560</v>
      </c>
      <c r="P1025" s="318" t="s">
        <v>7</v>
      </c>
      <c r="Q1025" s="318" t="s">
        <v>622</v>
      </c>
      <c r="R1025" s="318" t="s">
        <v>623</v>
      </c>
      <c r="S1025" s="303">
        <f t="shared" si="16"/>
        <v>587102579.61250007</v>
      </c>
      <c r="T1025" s="307">
        <f>+IFERROR(VLOOKUP(C1025,'Tasas Diarias'!$B:$F,5,FALSE)*G1025,0)</f>
        <v>-6.7961846338576864E-7</v>
      </c>
      <c r="U1025" s="311" t="str">
        <f ca="1">+VLOOKUP(C1025,Spreads!$A$2:$G$345,7,0)</f>
        <v/>
      </c>
    </row>
    <row r="1026" spans="1:21" ht="15.75" hidden="1" customHeight="1" thickTop="1" thickBot="1">
      <c r="A1026" s="321" t="s">
        <v>2137</v>
      </c>
      <c r="B1026" s="322" t="s">
        <v>298</v>
      </c>
      <c r="C1026" s="322" t="s">
        <v>509</v>
      </c>
      <c r="D1026" s="322" t="s">
        <v>173</v>
      </c>
      <c r="E1026" s="323">
        <v>813882606.75639999</v>
      </c>
      <c r="F1026" s="323">
        <v>30000</v>
      </c>
      <c r="G1026" s="314">
        <v>9.2630000000000004E-3</v>
      </c>
      <c r="H1026" s="324">
        <v>2.4900000000000002</v>
      </c>
      <c r="I1026" s="322" t="s">
        <v>510</v>
      </c>
      <c r="J1026" s="322">
        <v>1350</v>
      </c>
      <c r="K1026" s="322">
        <v>3.52</v>
      </c>
      <c r="L1026" s="322">
        <v>100.43</v>
      </c>
      <c r="M1026" s="322" t="s">
        <v>6</v>
      </c>
      <c r="N1026" s="322" t="s">
        <v>368</v>
      </c>
      <c r="O1026" s="322" t="s">
        <v>8</v>
      </c>
      <c r="P1026" s="322" t="s">
        <v>444</v>
      </c>
      <c r="Q1026" s="322" t="s">
        <v>55</v>
      </c>
      <c r="R1026" s="322" t="s">
        <v>445</v>
      </c>
      <c r="S1026" s="303">
        <f t="shared" si="16"/>
        <v>2864866775.7825279</v>
      </c>
      <c r="T1026" s="307">
        <f>+IFERROR(VLOOKUP(C1026,'Tasas Diarias'!$B:$F,5,FALSE)*G1026,0)</f>
        <v>-2.3221745458093298E-5</v>
      </c>
      <c r="U1026" s="311" t="str">
        <f ca="1">+VLOOKUP(C1026,Spreads!$A$2:$G$345,7,0)</f>
        <v/>
      </c>
    </row>
    <row r="1027" spans="1:21" ht="15.75" hidden="1" customHeight="1" thickTop="1" thickBot="1">
      <c r="A1027" s="317" t="s">
        <v>2137</v>
      </c>
      <c r="B1027" s="318" t="s">
        <v>298</v>
      </c>
      <c r="C1027" s="318" t="s">
        <v>1897</v>
      </c>
      <c r="D1027" s="318" t="s">
        <v>24</v>
      </c>
      <c r="E1027" s="319">
        <v>112342040.1355</v>
      </c>
      <c r="F1027" s="319"/>
      <c r="G1027" s="314">
        <v>1.279E-3</v>
      </c>
      <c r="H1027" s="320">
        <v>1.81</v>
      </c>
      <c r="I1027" s="318" t="s">
        <v>510</v>
      </c>
      <c r="J1027" s="318">
        <v>1350</v>
      </c>
      <c r="K1027" s="318">
        <v>3.54</v>
      </c>
      <c r="L1027" s="318">
        <v>102.11</v>
      </c>
      <c r="M1027" s="318" t="s">
        <v>6</v>
      </c>
      <c r="N1027" s="318" t="s">
        <v>368</v>
      </c>
      <c r="O1027" s="318" t="s">
        <v>8</v>
      </c>
      <c r="P1027" s="318" t="s">
        <v>392</v>
      </c>
      <c r="Q1027" s="318" t="s">
        <v>51</v>
      </c>
      <c r="R1027" s="318" t="s">
        <v>414</v>
      </c>
      <c r="S1027" s="303">
        <f t="shared" ref="S1027:S1090" si="17">+IFERROR(E1027*K1027,0)</f>
        <v>397690822.07967001</v>
      </c>
      <c r="T1027" s="307">
        <f>+IFERROR(VLOOKUP(C1027,'Tasas Diarias'!$B:$F,5,FALSE)*G1027,0)</f>
        <v>-4.598779359398147E-7</v>
      </c>
      <c r="U1027" s="311" t="e">
        <f>+VLOOKUP(C1027,Spreads!$A$2:$G$345,7,0)</f>
        <v>#N/A</v>
      </c>
    </row>
    <row r="1028" spans="1:21" ht="15.75" hidden="1" customHeight="1" thickTop="1" thickBot="1">
      <c r="A1028" s="317" t="s">
        <v>2137</v>
      </c>
      <c r="B1028" s="318" t="s">
        <v>298</v>
      </c>
      <c r="C1028" s="318" t="s">
        <v>1066</v>
      </c>
      <c r="D1028" s="318" t="s">
        <v>1067</v>
      </c>
      <c r="E1028" s="319">
        <v>31648717.703600001</v>
      </c>
      <c r="F1028" s="319"/>
      <c r="G1028" s="314">
        <v>3.6000000000000002E-4</v>
      </c>
      <c r="H1028" s="320">
        <v>0</v>
      </c>
      <c r="I1028" s="318" t="s">
        <v>1068</v>
      </c>
      <c r="J1028" s="318">
        <v>1668</v>
      </c>
      <c r="K1028" s="318">
        <v>3.55</v>
      </c>
      <c r="L1028" s="318">
        <v>107.9584</v>
      </c>
      <c r="M1028" s="318" t="s">
        <v>9</v>
      </c>
      <c r="N1028" s="318" t="s">
        <v>368</v>
      </c>
      <c r="O1028" s="318" t="s">
        <v>672</v>
      </c>
      <c r="P1028" s="318" t="s">
        <v>25</v>
      </c>
      <c r="Q1028" s="318" t="s">
        <v>1069</v>
      </c>
      <c r="R1028" s="318" t="s">
        <v>1070</v>
      </c>
      <c r="S1028" s="303">
        <f t="shared" si="17"/>
        <v>112352947.84777999</v>
      </c>
      <c r="T1028" s="307">
        <f>+IFERROR(VLOOKUP(C1028,'Tasas Diarias'!$B:$F,5,FALSE)*G1028,0)</f>
        <v>0</v>
      </c>
      <c r="U1028" s="311" t="e">
        <f>+VLOOKUP(C1028,Spreads!$A$2:$G$345,7,0)</f>
        <v>#N/A</v>
      </c>
    </row>
    <row r="1029" spans="1:21" ht="15.75" hidden="1" customHeight="1" thickTop="1" thickBot="1">
      <c r="A1029" s="321" t="s">
        <v>2137</v>
      </c>
      <c r="B1029" s="322" t="s">
        <v>298</v>
      </c>
      <c r="C1029" s="322" t="s">
        <v>655</v>
      </c>
      <c r="D1029" s="322" t="s">
        <v>176</v>
      </c>
      <c r="E1029" s="323">
        <v>38877465.390699998</v>
      </c>
      <c r="F1029" s="323"/>
      <c r="G1029" s="314">
        <v>4.4299999999999998E-4</v>
      </c>
      <c r="H1029" s="324">
        <v>1.82</v>
      </c>
      <c r="I1029" s="322" t="s">
        <v>656</v>
      </c>
      <c r="J1029" s="322">
        <v>1381</v>
      </c>
      <c r="K1029" s="322">
        <v>3.56</v>
      </c>
      <c r="L1029" s="322">
        <v>105.99</v>
      </c>
      <c r="M1029" s="322" t="s">
        <v>6</v>
      </c>
      <c r="N1029" s="322" t="s">
        <v>368</v>
      </c>
      <c r="O1029" s="322" t="s">
        <v>8</v>
      </c>
      <c r="P1029" s="322" t="s">
        <v>7</v>
      </c>
      <c r="Q1029" s="322" t="s">
        <v>326</v>
      </c>
      <c r="R1029" s="322" t="s">
        <v>450</v>
      </c>
      <c r="S1029" s="303">
        <f t="shared" si="17"/>
        <v>138403776.790892</v>
      </c>
      <c r="T1029" s="307">
        <f>+IFERROR(VLOOKUP(C1029,'Tasas Diarias'!$B:$F,5,FALSE)*G1029,0)</f>
        <v>4.8071388100636584E-7</v>
      </c>
      <c r="U1029" s="311" t="str">
        <f ca="1">+VLOOKUP(C1029,Spreads!$A$2:$G$345,7,0)</f>
        <v/>
      </c>
    </row>
    <row r="1030" spans="1:21" ht="15.75" hidden="1" customHeight="1" thickTop="1" thickBot="1">
      <c r="A1030" s="321" t="s">
        <v>2137</v>
      </c>
      <c r="B1030" s="322" t="s">
        <v>298</v>
      </c>
      <c r="C1030" s="322" t="s">
        <v>1500</v>
      </c>
      <c r="D1030" s="322" t="s">
        <v>38</v>
      </c>
      <c r="E1030" s="323">
        <v>695380368.77059996</v>
      </c>
      <c r="F1030" s="323">
        <v>680906228.32106435</v>
      </c>
      <c r="G1030" s="314">
        <v>7.9150000000000002E-3</v>
      </c>
      <c r="H1030" s="324">
        <v>4.62</v>
      </c>
      <c r="I1030" s="322" t="s">
        <v>1228</v>
      </c>
      <c r="J1030" s="322">
        <v>1425</v>
      </c>
      <c r="K1030" s="322">
        <v>3.58</v>
      </c>
      <c r="L1030" s="322">
        <v>101.64</v>
      </c>
      <c r="M1030" s="322" t="s">
        <v>9</v>
      </c>
      <c r="N1030" s="322" t="s">
        <v>368</v>
      </c>
      <c r="O1030" s="322" t="s">
        <v>8</v>
      </c>
      <c r="P1030" s="322" t="s">
        <v>7</v>
      </c>
      <c r="Q1030" s="322" t="s">
        <v>76</v>
      </c>
      <c r="R1030" s="322" t="s">
        <v>498</v>
      </c>
      <c r="S1030" s="303">
        <f t="shared" si="17"/>
        <v>2489461720.1987481</v>
      </c>
      <c r="T1030" s="307">
        <f>+IFERROR(VLOOKUP(C1030,'Tasas Diarias'!$B:$F,5,FALSE)*G1030,0)</f>
        <v>-2.8789617720729182E-6</v>
      </c>
      <c r="U1030" s="311" t="e">
        <f>+VLOOKUP(C1030,Spreads!$A$2:$G$345,7,0)</f>
        <v>#N/A</v>
      </c>
    </row>
    <row r="1031" spans="1:21" ht="15.75" hidden="1" customHeight="1" thickTop="1" thickBot="1">
      <c r="A1031" s="317" t="s">
        <v>2137</v>
      </c>
      <c r="B1031" s="318" t="s">
        <v>298</v>
      </c>
      <c r="C1031" s="318" t="s">
        <v>1534</v>
      </c>
      <c r="D1031" s="318" t="s">
        <v>37</v>
      </c>
      <c r="E1031" s="319">
        <v>1191654496.0367999</v>
      </c>
      <c r="F1031" s="319">
        <v>1136512858.3184268</v>
      </c>
      <c r="G1031" s="314">
        <v>1.3563E-2</v>
      </c>
      <c r="H1031" s="320">
        <v>4.42</v>
      </c>
      <c r="I1031" s="318" t="s">
        <v>1535</v>
      </c>
      <c r="J1031" s="318">
        <v>1466</v>
      </c>
      <c r="K1031" s="318">
        <v>3.6</v>
      </c>
      <c r="L1031" s="318">
        <v>102.33</v>
      </c>
      <c r="M1031" s="318" t="s">
        <v>9</v>
      </c>
      <c r="N1031" s="318" t="s">
        <v>368</v>
      </c>
      <c r="O1031" s="318" t="s">
        <v>429</v>
      </c>
      <c r="P1031" s="318" t="s">
        <v>7</v>
      </c>
      <c r="Q1031" s="318" t="s">
        <v>329</v>
      </c>
      <c r="R1031" s="318" t="s">
        <v>1032</v>
      </c>
      <c r="S1031" s="303">
        <f t="shared" si="17"/>
        <v>4289956185.7324796</v>
      </c>
      <c r="T1031" s="307">
        <f>+IFERROR(VLOOKUP(C1031,'Tasas Diarias'!$B:$F,5,FALSE)*G1031,0)</f>
        <v>-9.9339037691403376E-6</v>
      </c>
      <c r="U1031" s="311" t="e">
        <f>+VLOOKUP(C1031,Spreads!$A$2:$G$345,7,0)</f>
        <v>#N/A</v>
      </c>
    </row>
    <row r="1032" spans="1:21" ht="15.75" hidden="1" customHeight="1" thickTop="1" thickBot="1">
      <c r="A1032" s="317" t="s">
        <v>2137</v>
      </c>
      <c r="B1032" s="318" t="s">
        <v>298</v>
      </c>
      <c r="C1032" s="318" t="s">
        <v>863</v>
      </c>
      <c r="D1032" s="318" t="s">
        <v>864</v>
      </c>
      <c r="E1032" s="319">
        <v>102379964.3387</v>
      </c>
      <c r="F1032" s="319"/>
      <c r="G1032" s="314">
        <v>1.165E-3</v>
      </c>
      <c r="H1032" s="320">
        <v>3.61</v>
      </c>
      <c r="I1032" s="318" t="s">
        <v>865</v>
      </c>
      <c r="J1032" s="318">
        <v>2645</v>
      </c>
      <c r="K1032" s="318">
        <v>3.63</v>
      </c>
      <c r="L1032" s="318">
        <v>102.06</v>
      </c>
      <c r="M1032" s="318" t="s">
        <v>6</v>
      </c>
      <c r="N1032" s="318" t="s">
        <v>368</v>
      </c>
      <c r="O1032" s="318" t="s">
        <v>461</v>
      </c>
      <c r="P1032" s="318" t="s">
        <v>814</v>
      </c>
      <c r="Q1032" s="318" t="s">
        <v>866</v>
      </c>
      <c r="R1032" s="318" t="s">
        <v>867</v>
      </c>
      <c r="S1032" s="303">
        <f t="shared" si="17"/>
        <v>371639270.54948097</v>
      </c>
      <c r="T1032" s="307">
        <f>+IFERROR(VLOOKUP(C1032,'Tasas Diarias'!$B:$F,5,FALSE)*G1032,0)</f>
        <v>4.2957886799484558E-7</v>
      </c>
      <c r="U1032" s="311" t="str">
        <f ca="1">+VLOOKUP(C1032,Spreads!$A$2:$G$345,7,0)</f>
        <v/>
      </c>
    </row>
    <row r="1033" spans="1:21" ht="15.75" hidden="1" customHeight="1" thickTop="1" thickBot="1">
      <c r="A1033" s="321" t="s">
        <v>2137</v>
      </c>
      <c r="B1033" s="322" t="s">
        <v>298</v>
      </c>
      <c r="C1033" s="322" t="s">
        <v>853</v>
      </c>
      <c r="D1033" s="322" t="s">
        <v>854</v>
      </c>
      <c r="E1033" s="323">
        <v>40354101.904799998</v>
      </c>
      <c r="F1033" s="323"/>
      <c r="G1033" s="314">
        <v>4.5899999999999999E-4</v>
      </c>
      <c r="H1033" s="324">
        <v>6.1</v>
      </c>
      <c r="I1033" s="322" t="s">
        <v>855</v>
      </c>
      <c r="J1033" s="322">
        <v>2568</v>
      </c>
      <c r="K1033" s="322">
        <v>3.66</v>
      </c>
      <c r="L1033" s="322">
        <v>101.37</v>
      </c>
      <c r="M1033" s="322" t="s">
        <v>6</v>
      </c>
      <c r="N1033" s="322" t="s">
        <v>368</v>
      </c>
      <c r="O1033" s="322" t="s">
        <v>672</v>
      </c>
      <c r="P1033" s="322" t="s">
        <v>814</v>
      </c>
      <c r="Q1033" s="322" t="s">
        <v>856</v>
      </c>
      <c r="R1033" s="322" t="s">
        <v>857</v>
      </c>
      <c r="S1033" s="303">
        <f t="shared" si="17"/>
        <v>147696012.97156799</v>
      </c>
      <c r="T1033" s="307">
        <f>+IFERROR(VLOOKUP(C1033,'Tasas Diarias'!$B:$F,5,FALSE)*G1033,0)</f>
        <v>1.7056442889317105E-7</v>
      </c>
      <c r="U1033" s="311" t="str">
        <f ca="1">+VLOOKUP(C1033,Spreads!$A$2:$G$345,7,0)</f>
        <v/>
      </c>
    </row>
    <row r="1034" spans="1:21" ht="15.75" hidden="1" customHeight="1" thickTop="1" thickBot="1">
      <c r="A1034" s="321" t="s">
        <v>2137</v>
      </c>
      <c r="B1034" s="322" t="s">
        <v>298</v>
      </c>
      <c r="C1034" s="322" t="s">
        <v>1608</v>
      </c>
      <c r="D1034" s="322" t="s">
        <v>1548</v>
      </c>
      <c r="E1034" s="323">
        <v>57905476.934100002</v>
      </c>
      <c r="F1034" s="323"/>
      <c r="G1034" s="314">
        <v>6.5899999999999997E-4</v>
      </c>
      <c r="H1034" s="324">
        <v>0</v>
      </c>
      <c r="I1034" s="322" t="s">
        <v>1609</v>
      </c>
      <c r="J1034" s="322">
        <v>1638</v>
      </c>
      <c r="K1034" s="322">
        <v>3.72</v>
      </c>
      <c r="L1034" s="322">
        <v>107.5051</v>
      </c>
      <c r="M1034" s="322" t="s">
        <v>9</v>
      </c>
      <c r="N1034" s="322" t="s">
        <v>368</v>
      </c>
      <c r="O1034" s="322" t="s">
        <v>1513</v>
      </c>
      <c r="P1034" s="322" t="s">
        <v>802</v>
      </c>
      <c r="Q1034" s="322" t="s">
        <v>1550</v>
      </c>
      <c r="R1034" s="322" t="s">
        <v>1551</v>
      </c>
      <c r="S1034" s="303">
        <f t="shared" si="17"/>
        <v>215408374.19485202</v>
      </c>
      <c r="T1034" s="307">
        <f>+IFERROR(VLOOKUP(C1034,'Tasas Diarias'!$B:$F,5,FALSE)*G1034,0)</f>
        <v>0</v>
      </c>
      <c r="U1034" s="311" t="e">
        <f>+VLOOKUP(C1034,Spreads!$A$2:$G$345,7,0)</f>
        <v>#N/A</v>
      </c>
    </row>
    <row r="1035" spans="1:21" ht="15.75" hidden="1" customHeight="1" thickTop="1" thickBot="1">
      <c r="A1035" s="321" t="s">
        <v>2137</v>
      </c>
      <c r="B1035" s="322" t="s">
        <v>298</v>
      </c>
      <c r="C1035" s="322" t="s">
        <v>657</v>
      </c>
      <c r="D1035" s="322" t="s">
        <v>24</v>
      </c>
      <c r="E1035" s="323">
        <v>197046844</v>
      </c>
      <c r="F1035" s="323">
        <v>7000</v>
      </c>
      <c r="G1035" s="314">
        <v>2.2420000000000001E-3</v>
      </c>
      <c r="H1035" s="324">
        <v>1.84</v>
      </c>
      <c r="I1035" s="322" t="s">
        <v>1570</v>
      </c>
      <c r="J1035" s="322">
        <v>1442</v>
      </c>
      <c r="K1035" s="322">
        <v>3.74</v>
      </c>
      <c r="L1035" s="322">
        <v>105.37</v>
      </c>
      <c r="M1035" s="322" t="s">
        <v>6</v>
      </c>
      <c r="N1035" s="322" t="s">
        <v>368</v>
      </c>
      <c r="O1035" s="322" t="s">
        <v>8</v>
      </c>
      <c r="P1035" s="322" t="s">
        <v>392</v>
      </c>
      <c r="Q1035" s="322" t="s">
        <v>51</v>
      </c>
      <c r="R1035" s="322" t="s">
        <v>414</v>
      </c>
      <c r="S1035" s="303">
        <f t="shared" si="17"/>
        <v>736955196.56000006</v>
      </c>
      <c r="T1035" s="307">
        <f>+IFERROR(VLOOKUP(C1035,'Tasas Diarias'!$B:$F,5,FALSE)*G1035,0)</f>
        <v>0</v>
      </c>
      <c r="U1035" s="311" t="str">
        <f ca="1">+VLOOKUP(C1035,Spreads!$A$2:$G$345,7,0)</f>
        <v/>
      </c>
    </row>
    <row r="1036" spans="1:21" ht="15.75" hidden="1" customHeight="1" thickTop="1" thickBot="1">
      <c r="A1036" s="321" t="s">
        <v>2137</v>
      </c>
      <c r="B1036" s="322" t="s">
        <v>298</v>
      </c>
      <c r="C1036" s="322" t="s">
        <v>1942</v>
      </c>
      <c r="D1036" s="322" t="s">
        <v>175</v>
      </c>
      <c r="E1036" s="323">
        <v>124346585.06730001</v>
      </c>
      <c r="F1036" s="323">
        <v>124668119.10660122</v>
      </c>
      <c r="G1036" s="314">
        <v>1.4159999999999999E-3</v>
      </c>
      <c r="H1036" s="324">
        <v>5.07</v>
      </c>
      <c r="I1036" s="322" t="s">
        <v>1946</v>
      </c>
      <c r="J1036" s="322">
        <v>1770</v>
      </c>
      <c r="K1036" s="322">
        <v>3.74</v>
      </c>
      <c r="L1036" s="322">
        <v>99.04</v>
      </c>
      <c r="M1036" s="322" t="s">
        <v>9</v>
      </c>
      <c r="N1036" s="322" t="s">
        <v>368</v>
      </c>
      <c r="O1036" s="322" t="s">
        <v>8</v>
      </c>
      <c r="P1036" s="322" t="s">
        <v>392</v>
      </c>
      <c r="Q1036" s="322" t="s">
        <v>66</v>
      </c>
      <c r="R1036" s="322" t="s">
        <v>418</v>
      </c>
      <c r="S1036" s="303">
        <f t="shared" si="17"/>
        <v>465056228.15170205</v>
      </c>
      <c r="T1036" s="307">
        <f>+IFERROR(VLOOKUP(C1036,'Tasas Diarias'!$B:$F,5,FALSE)*G1036,0)</f>
        <v>-5.3716697600772269E-7</v>
      </c>
      <c r="U1036" s="311" t="e">
        <f>+VLOOKUP(C1036,Spreads!$A$2:$G$345,7,0)</f>
        <v>#N/A</v>
      </c>
    </row>
    <row r="1037" spans="1:21" ht="15.75" hidden="1" customHeight="1" thickTop="1" thickBot="1">
      <c r="A1037" s="321" t="s">
        <v>2137</v>
      </c>
      <c r="B1037" s="322" t="s">
        <v>298</v>
      </c>
      <c r="C1037" s="322" t="s">
        <v>638</v>
      </c>
      <c r="D1037" s="322" t="s">
        <v>285</v>
      </c>
      <c r="E1037" s="323">
        <v>701964673.56869996</v>
      </c>
      <c r="F1037" s="323">
        <v>20000</v>
      </c>
      <c r="G1037" s="314">
        <v>7.9889999999999996E-3</v>
      </c>
      <c r="H1037" s="324">
        <v>1.89</v>
      </c>
      <c r="I1037" s="322" t="s">
        <v>639</v>
      </c>
      <c r="J1037" s="322">
        <v>2597</v>
      </c>
      <c r="K1037" s="322">
        <v>3.75</v>
      </c>
      <c r="L1037" s="322">
        <v>114.48</v>
      </c>
      <c r="M1037" s="322" t="s">
        <v>6</v>
      </c>
      <c r="N1037" s="322" t="s">
        <v>368</v>
      </c>
      <c r="O1037" s="322" t="s">
        <v>1898</v>
      </c>
      <c r="P1037" s="322" t="s">
        <v>379</v>
      </c>
      <c r="Q1037" s="322" t="s">
        <v>1918</v>
      </c>
      <c r="R1037" s="322" t="s">
        <v>640</v>
      </c>
      <c r="S1037" s="303">
        <f t="shared" si="17"/>
        <v>2632367525.8826246</v>
      </c>
      <c r="T1037" s="307">
        <f>+IFERROR(VLOOKUP(C1037,'Tasas Diarias'!$B:$F,5,FALSE)*G1037,0)</f>
        <v>0</v>
      </c>
      <c r="U1037" s="311" t="str">
        <f ca="1">+VLOOKUP(C1037,Spreads!$A$2:$G$345,7,0)</f>
        <v/>
      </c>
    </row>
    <row r="1038" spans="1:21" ht="15.75" hidden="1" customHeight="1" thickTop="1" thickBot="1">
      <c r="A1038" s="321" t="s">
        <v>2137</v>
      </c>
      <c r="B1038" s="322" t="s">
        <v>298</v>
      </c>
      <c r="C1038" s="322" t="s">
        <v>1198</v>
      </c>
      <c r="D1038" s="322" t="s">
        <v>1227</v>
      </c>
      <c r="E1038" s="323">
        <v>1062942640</v>
      </c>
      <c r="F1038" s="323">
        <v>40000</v>
      </c>
      <c r="G1038" s="314">
        <v>1.2099E-2</v>
      </c>
      <c r="H1038" s="324">
        <v>2.15</v>
      </c>
      <c r="I1038" s="322" t="s">
        <v>1228</v>
      </c>
      <c r="J1038" s="322">
        <v>1425</v>
      </c>
      <c r="K1038" s="322">
        <v>3.77</v>
      </c>
      <c r="L1038" s="322">
        <v>99.44</v>
      </c>
      <c r="M1038" s="322" t="s">
        <v>6</v>
      </c>
      <c r="N1038" s="322" t="s">
        <v>368</v>
      </c>
      <c r="O1038" s="322" t="s">
        <v>429</v>
      </c>
      <c r="P1038" s="322" t="s">
        <v>417</v>
      </c>
      <c r="Q1038" s="322" t="s">
        <v>904</v>
      </c>
      <c r="R1038" s="322" t="s">
        <v>905</v>
      </c>
      <c r="S1038" s="303">
        <f t="shared" si="17"/>
        <v>4007293752.8000002</v>
      </c>
      <c r="T1038" s="307">
        <f>+IFERROR(VLOOKUP(C1038,'Tasas Diarias'!$B:$F,5,FALSE)*G1038,0)</f>
        <v>0</v>
      </c>
      <c r="U1038" s="311" t="str">
        <f ca="1">+VLOOKUP(C1038,Spreads!$A$2:$G$345,7,0)</f>
        <v/>
      </c>
    </row>
    <row r="1039" spans="1:21" ht="15.75" hidden="1" customHeight="1" thickTop="1" thickBot="1">
      <c r="A1039" s="317" t="s">
        <v>2137</v>
      </c>
      <c r="B1039" s="318" t="s">
        <v>298</v>
      </c>
      <c r="C1039" s="318" t="s">
        <v>1950</v>
      </c>
      <c r="D1039" s="318" t="s">
        <v>24</v>
      </c>
      <c r="E1039" s="319">
        <v>1555935313.8002</v>
      </c>
      <c r="F1039" s="319">
        <v>1484855413.7796178</v>
      </c>
      <c r="G1039" s="314">
        <v>1.771E-2</v>
      </c>
      <c r="H1039" s="320">
        <v>4.5</v>
      </c>
      <c r="I1039" s="318" t="s">
        <v>871</v>
      </c>
      <c r="J1039" s="318">
        <v>1534</v>
      </c>
      <c r="K1039" s="318">
        <v>3.77</v>
      </c>
      <c r="L1039" s="318">
        <v>103.14</v>
      </c>
      <c r="M1039" s="318" t="s">
        <v>9</v>
      </c>
      <c r="N1039" s="318" t="s">
        <v>368</v>
      </c>
      <c r="O1039" s="318" t="s">
        <v>8</v>
      </c>
      <c r="P1039" s="318" t="s">
        <v>392</v>
      </c>
      <c r="Q1039" s="318" t="s">
        <v>51</v>
      </c>
      <c r="R1039" s="318" t="s">
        <v>414</v>
      </c>
      <c r="S1039" s="303">
        <f t="shared" si="17"/>
        <v>5865876133.0267544</v>
      </c>
      <c r="T1039" s="307">
        <f>+IFERROR(VLOOKUP(C1039,'Tasas Diarias'!$B:$F,5,FALSE)*G1039,0)</f>
        <v>-1.356671168576566E-5</v>
      </c>
      <c r="U1039" s="311" t="e">
        <f>+VLOOKUP(C1039,Spreads!$A$2:$G$345,7,0)</f>
        <v>#N/A</v>
      </c>
    </row>
    <row r="1040" spans="1:21" ht="15.75" hidden="1" customHeight="1" thickTop="1" thickBot="1">
      <c r="A1040" s="321" t="s">
        <v>2137</v>
      </c>
      <c r="B1040" s="322" t="s">
        <v>298</v>
      </c>
      <c r="C1040" s="322" t="s">
        <v>13</v>
      </c>
      <c r="D1040" s="322" t="s">
        <v>1492</v>
      </c>
      <c r="E1040" s="323">
        <v>136278042.82879999</v>
      </c>
      <c r="F1040" s="323">
        <v>124177691.70653509</v>
      </c>
      <c r="G1040" s="314">
        <v>1.5510000000000001E-3</v>
      </c>
      <c r="H1040" s="324">
        <v>3.88</v>
      </c>
      <c r="I1040" s="322" t="s">
        <v>632</v>
      </c>
      <c r="J1040" s="322">
        <v>1562</v>
      </c>
      <c r="K1040" s="322">
        <v>3.81</v>
      </c>
      <c r="L1040" s="322">
        <v>108.34</v>
      </c>
      <c r="M1040" s="322" t="s">
        <v>9</v>
      </c>
      <c r="N1040" s="322" t="s">
        <v>458</v>
      </c>
      <c r="O1040" s="322" t="s">
        <v>378</v>
      </c>
      <c r="P1040" s="322" t="s">
        <v>379</v>
      </c>
      <c r="Q1040" s="322" t="s">
        <v>59</v>
      </c>
      <c r="R1040" s="322" t="s">
        <v>1493</v>
      </c>
      <c r="S1040" s="303">
        <f t="shared" si="17"/>
        <v>519219343.177728</v>
      </c>
      <c r="T1040" s="307">
        <f>+IFERROR(VLOOKUP(C1040,'Tasas Diarias'!$B:$F,5,FALSE)*G1040,0)</f>
        <v>0</v>
      </c>
      <c r="U1040" s="311" t="str">
        <f>+VLOOKUP(C1040,Spreads!$A$2:$G$345,7,0)</f>
        <v/>
      </c>
    </row>
    <row r="1041" spans="1:21" ht="15.75" hidden="1" customHeight="1" thickTop="1" thickBot="1">
      <c r="A1041" s="317" t="s">
        <v>2137</v>
      </c>
      <c r="B1041" s="318" t="s">
        <v>298</v>
      </c>
      <c r="C1041" s="318" t="s">
        <v>1213</v>
      </c>
      <c r="D1041" s="318" t="s">
        <v>166</v>
      </c>
      <c r="E1041" s="319">
        <v>303942096.91869998</v>
      </c>
      <c r="F1041" s="319">
        <v>302364770.80801153</v>
      </c>
      <c r="G1041" s="314">
        <v>3.4589999999999998E-3</v>
      </c>
      <c r="H1041" s="318">
        <v>4.5999999999999996</v>
      </c>
      <c r="I1041" s="318" t="s">
        <v>1214</v>
      </c>
      <c r="J1041" s="318">
        <v>1813</v>
      </c>
      <c r="K1041" s="318">
        <v>3.87</v>
      </c>
      <c r="L1041" s="318">
        <v>100.37</v>
      </c>
      <c r="M1041" s="318" t="s">
        <v>9</v>
      </c>
      <c r="N1041" s="318" t="s">
        <v>368</v>
      </c>
      <c r="O1041" s="318" t="s">
        <v>429</v>
      </c>
      <c r="P1041" s="318" t="s">
        <v>392</v>
      </c>
      <c r="Q1041" s="318" t="s">
        <v>57</v>
      </c>
      <c r="R1041" s="318" t="s">
        <v>447</v>
      </c>
      <c r="S1041" s="303">
        <f t="shared" si="17"/>
        <v>1176255915.0753689</v>
      </c>
      <c r="T1041" s="307">
        <f>+IFERROR(VLOOKUP(C1041,'Tasas Diarias'!$B:$F,5,FALSE)*G1041,0)</f>
        <v>-2.6522556964617628E-6</v>
      </c>
      <c r="U1041" s="311" t="str">
        <f ca="1">+VLOOKUP(C1041,Spreads!$A$2:$G$345,7,0)</f>
        <v/>
      </c>
    </row>
    <row r="1042" spans="1:21" ht="15.75" hidden="1" customHeight="1" thickTop="1" thickBot="1">
      <c r="A1042" s="321" t="s">
        <v>2137</v>
      </c>
      <c r="B1042" s="322" t="s">
        <v>298</v>
      </c>
      <c r="C1042" s="322" t="s">
        <v>858</v>
      </c>
      <c r="D1042" s="322" t="s">
        <v>859</v>
      </c>
      <c r="E1042" s="323">
        <v>10741123.624700001</v>
      </c>
      <c r="F1042" s="323"/>
      <c r="G1042" s="314">
        <v>1.22E-4</v>
      </c>
      <c r="H1042" s="324">
        <v>2.08</v>
      </c>
      <c r="I1042" s="322" t="s">
        <v>860</v>
      </c>
      <c r="J1042" s="322">
        <v>2933</v>
      </c>
      <c r="K1042" s="322">
        <v>3.87</v>
      </c>
      <c r="L1042" s="322">
        <v>120.49</v>
      </c>
      <c r="M1042" s="322" t="s">
        <v>6</v>
      </c>
      <c r="N1042" s="322" t="s">
        <v>368</v>
      </c>
      <c r="O1042" s="322" t="s">
        <v>1347</v>
      </c>
      <c r="P1042" s="322" t="s">
        <v>25</v>
      </c>
      <c r="Q1042" s="322" t="s">
        <v>861</v>
      </c>
      <c r="R1042" s="322" t="s">
        <v>862</v>
      </c>
      <c r="S1042" s="303">
        <f t="shared" si="17"/>
        <v>41568148.427589007</v>
      </c>
      <c r="T1042" s="307">
        <f>+IFERROR(VLOOKUP(C1042,'Tasas Diarias'!$B:$F,5,FALSE)*G1042,0)</f>
        <v>4.7849549981413719E-8</v>
      </c>
      <c r="U1042" s="311" t="str">
        <f ca="1">+VLOOKUP(C1042,Spreads!$A$2:$G$345,7,0)</f>
        <v/>
      </c>
    </row>
    <row r="1043" spans="1:21" ht="15.75" hidden="1" customHeight="1" thickTop="1" thickBot="1">
      <c r="A1043" s="317" t="s">
        <v>2137</v>
      </c>
      <c r="B1043" s="318" t="s">
        <v>298</v>
      </c>
      <c r="C1043" s="318" t="s">
        <v>1131</v>
      </c>
      <c r="D1043" s="318" t="s">
        <v>1094</v>
      </c>
      <c r="E1043" s="319">
        <v>15929618</v>
      </c>
      <c r="F1043" s="319">
        <v>1060</v>
      </c>
      <c r="G1043" s="314">
        <v>1.8100000000000001E-4</v>
      </c>
      <c r="H1043" s="320">
        <v>3.11</v>
      </c>
      <c r="I1043" s="318" t="s">
        <v>1132</v>
      </c>
      <c r="J1043" s="318">
        <v>2964</v>
      </c>
      <c r="K1043" s="318">
        <v>3.92</v>
      </c>
      <c r="L1043" s="318">
        <v>106.65</v>
      </c>
      <c r="M1043" s="318" t="s">
        <v>6</v>
      </c>
      <c r="N1043" s="318" t="s">
        <v>1095</v>
      </c>
      <c r="O1043" s="318" t="s">
        <v>8</v>
      </c>
      <c r="P1043" s="318" t="s">
        <v>392</v>
      </c>
      <c r="Q1043" s="318" t="s">
        <v>67</v>
      </c>
      <c r="R1043" s="318" t="s">
        <v>1133</v>
      </c>
      <c r="S1043" s="303">
        <f t="shared" si="17"/>
        <v>62444102.560000002</v>
      </c>
      <c r="T1043" s="307">
        <f>+IFERROR(VLOOKUP(C1043,'Tasas Diarias'!$B:$F,5,FALSE)*G1043,0)</f>
        <v>7.193617572118315E-8</v>
      </c>
      <c r="U1043" s="311" t="e">
        <f>+VLOOKUP(C1043,Spreads!$A$2:$G$345,7,0)</f>
        <v>#N/A</v>
      </c>
    </row>
    <row r="1044" spans="1:21" ht="15.75" hidden="1" customHeight="1" thickTop="1" thickBot="1">
      <c r="A1044" s="321" t="s">
        <v>2137</v>
      </c>
      <c r="B1044" s="322" t="s">
        <v>298</v>
      </c>
      <c r="C1044" s="322" t="s">
        <v>1134</v>
      </c>
      <c r="D1044" s="322" t="s">
        <v>1135</v>
      </c>
      <c r="E1044" s="323">
        <v>15460756</v>
      </c>
      <c r="F1044" s="323">
        <v>1050</v>
      </c>
      <c r="G1044" s="314">
        <v>1.75E-4</v>
      </c>
      <c r="H1044" s="324">
        <v>3.1</v>
      </c>
      <c r="I1044" s="322" t="s">
        <v>1132</v>
      </c>
      <c r="J1044" s="322">
        <v>2964</v>
      </c>
      <c r="K1044" s="322">
        <v>3.95</v>
      </c>
      <c r="L1044" s="322">
        <v>105.41</v>
      </c>
      <c r="M1044" s="322" t="s">
        <v>6</v>
      </c>
      <c r="N1044" s="322" t="s">
        <v>1095</v>
      </c>
      <c r="O1044" s="322" t="s">
        <v>8</v>
      </c>
      <c r="P1044" s="322" t="s">
        <v>392</v>
      </c>
      <c r="Q1044" s="322" t="s">
        <v>326</v>
      </c>
      <c r="R1044" s="322" t="s">
        <v>1136</v>
      </c>
      <c r="S1044" s="303">
        <f t="shared" si="17"/>
        <v>61069986.200000003</v>
      </c>
      <c r="T1044" s="307">
        <f>+IFERROR(VLOOKUP(C1044,'Tasas Diarias'!$B:$F,5,FALSE)*G1044,0)</f>
        <v>6.9898058590209745E-8</v>
      </c>
      <c r="U1044" s="311" t="e">
        <f>+VLOOKUP(C1044,Spreads!$A$2:$G$345,7,0)</f>
        <v>#N/A</v>
      </c>
    </row>
    <row r="1045" spans="1:21" ht="15.75" hidden="1" customHeight="1" thickTop="1" thickBot="1">
      <c r="A1045" s="321" t="s">
        <v>2137</v>
      </c>
      <c r="B1045" s="322" t="s">
        <v>298</v>
      </c>
      <c r="C1045" s="322" t="s">
        <v>1137</v>
      </c>
      <c r="D1045" s="322" t="s">
        <v>1138</v>
      </c>
      <c r="E1045" s="323">
        <v>244658409</v>
      </c>
      <c r="F1045" s="323">
        <v>14500</v>
      </c>
      <c r="G1045" s="314">
        <v>2.784E-3</v>
      </c>
      <c r="H1045" s="324">
        <v>3.88</v>
      </c>
      <c r="I1045" s="322" t="s">
        <v>1139</v>
      </c>
      <c r="J1045" s="322">
        <v>3054</v>
      </c>
      <c r="K1045" s="322">
        <v>3.99</v>
      </c>
      <c r="L1045" s="322">
        <v>103.16</v>
      </c>
      <c r="M1045" s="322" t="s">
        <v>6</v>
      </c>
      <c r="N1045" s="322" t="s">
        <v>368</v>
      </c>
      <c r="O1045" s="322" t="s">
        <v>8</v>
      </c>
      <c r="P1045" s="322" t="s">
        <v>379</v>
      </c>
      <c r="Q1045" s="322" t="s">
        <v>80</v>
      </c>
      <c r="R1045" s="322" t="s">
        <v>414</v>
      </c>
      <c r="S1045" s="303">
        <f t="shared" si="17"/>
        <v>976187051.91000009</v>
      </c>
      <c r="T1045" s="307">
        <f>+IFERROR(VLOOKUP(C1045,'Tasas Diarias'!$B:$F,5,FALSE)*G1045,0)</f>
        <v>2.2534125793542909E-6</v>
      </c>
      <c r="U1045" s="311" t="str">
        <f ca="1">+VLOOKUP(C1045,Spreads!$A$2:$G$345,7,0)</f>
        <v/>
      </c>
    </row>
    <row r="1046" spans="1:21" ht="15.75" hidden="1" customHeight="1" thickTop="1" thickBot="1">
      <c r="A1046" s="321" t="s">
        <v>2137</v>
      </c>
      <c r="B1046" s="322" t="s">
        <v>298</v>
      </c>
      <c r="C1046" s="322" t="s">
        <v>1599</v>
      </c>
      <c r="D1046" s="322" t="s">
        <v>1600</v>
      </c>
      <c r="E1046" s="323">
        <v>181926635.14390001</v>
      </c>
      <c r="F1046" s="323"/>
      <c r="G1046" s="314">
        <v>2.0709999999999999E-3</v>
      </c>
      <c r="H1046" s="324">
        <v>3.47</v>
      </c>
      <c r="I1046" s="322" t="s">
        <v>668</v>
      </c>
      <c r="J1046" s="322">
        <v>1654</v>
      </c>
      <c r="K1046" s="322">
        <v>4.0199999999999996</v>
      </c>
      <c r="L1046" s="322">
        <v>107.34</v>
      </c>
      <c r="M1046" s="322" t="s">
        <v>6</v>
      </c>
      <c r="N1046" s="322" t="s">
        <v>368</v>
      </c>
      <c r="O1046" s="322" t="s">
        <v>461</v>
      </c>
      <c r="P1046" s="322" t="s">
        <v>802</v>
      </c>
      <c r="Q1046" s="322" t="s">
        <v>836</v>
      </c>
      <c r="R1046" s="322" t="s">
        <v>837</v>
      </c>
      <c r="S1046" s="303">
        <f t="shared" si="17"/>
        <v>731345073.27847791</v>
      </c>
      <c r="T1046" s="307">
        <f>+IFERROR(VLOOKUP(C1046,'Tasas Diarias'!$B:$F,5,FALSE)*G1046,0)</f>
        <v>0</v>
      </c>
      <c r="U1046" s="311" t="e">
        <f>+VLOOKUP(C1046,Spreads!$A$2:$G$345,7,0)</f>
        <v>#N/A</v>
      </c>
    </row>
    <row r="1047" spans="1:21" ht="15.75" hidden="1" customHeight="1" thickTop="1" thickBot="1">
      <c r="A1047" s="321" t="s">
        <v>2137</v>
      </c>
      <c r="B1047" s="322" t="s">
        <v>298</v>
      </c>
      <c r="C1047" s="322" t="s">
        <v>1203</v>
      </c>
      <c r="D1047" s="322" t="s">
        <v>292</v>
      </c>
      <c r="E1047" s="323">
        <v>997776084.17760003</v>
      </c>
      <c r="F1047" s="323">
        <v>31000</v>
      </c>
      <c r="G1047" s="314">
        <v>1.1357000000000001E-2</v>
      </c>
      <c r="H1047" s="324">
        <v>2.14</v>
      </c>
      <c r="I1047" s="322" t="s">
        <v>1219</v>
      </c>
      <c r="J1047" s="322">
        <v>2202</v>
      </c>
      <c r="K1047" s="322">
        <v>4.03</v>
      </c>
      <c r="L1047" s="322">
        <v>101.42</v>
      </c>
      <c r="M1047" s="322" t="s">
        <v>6</v>
      </c>
      <c r="N1047" s="322" t="s">
        <v>368</v>
      </c>
      <c r="O1047" s="322" t="s">
        <v>551</v>
      </c>
      <c r="P1047" s="322" t="s">
        <v>392</v>
      </c>
      <c r="Q1047" s="322" t="s">
        <v>327</v>
      </c>
      <c r="R1047" s="322" t="s">
        <v>552</v>
      </c>
      <c r="S1047" s="303">
        <f t="shared" si="17"/>
        <v>4021037619.2357283</v>
      </c>
      <c r="T1047" s="307">
        <f>+IFERROR(VLOOKUP(C1047,'Tasas Diarias'!$B:$F,5,FALSE)*G1047,0)</f>
        <v>0</v>
      </c>
      <c r="U1047" s="311" t="str">
        <f ca="1">+VLOOKUP(C1047,Spreads!$A$2:$G$345,7,0)</f>
        <v/>
      </c>
    </row>
    <row r="1048" spans="1:21" ht="15.75" hidden="1" customHeight="1" thickTop="1" thickBot="1">
      <c r="A1048" s="321" t="s">
        <v>2137</v>
      </c>
      <c r="B1048" s="322" t="s">
        <v>298</v>
      </c>
      <c r="C1048" s="322" t="s">
        <v>1563</v>
      </c>
      <c r="D1048" s="322" t="s">
        <v>1523</v>
      </c>
      <c r="E1048" s="323">
        <v>1275762284.8066001</v>
      </c>
      <c r="F1048" s="323">
        <v>1255261698.2244587</v>
      </c>
      <c r="G1048" s="314">
        <v>1.4520999999999999E-2</v>
      </c>
      <c r="H1048" s="324">
        <v>4.6100000000000003</v>
      </c>
      <c r="I1048" s="322" t="s">
        <v>668</v>
      </c>
      <c r="J1048" s="322">
        <v>1654</v>
      </c>
      <c r="K1048" s="322">
        <v>4.07</v>
      </c>
      <c r="L1048" s="322">
        <v>99.56</v>
      </c>
      <c r="M1048" s="322" t="s">
        <v>9</v>
      </c>
      <c r="N1048" s="322" t="s">
        <v>368</v>
      </c>
      <c r="O1048" s="322" t="s">
        <v>8</v>
      </c>
      <c r="P1048" s="322" t="s">
        <v>417</v>
      </c>
      <c r="Q1048" s="322" t="s">
        <v>325</v>
      </c>
      <c r="R1048" s="322" t="s">
        <v>1525</v>
      </c>
      <c r="S1048" s="303">
        <f t="shared" si="17"/>
        <v>5192352499.1628628</v>
      </c>
      <c r="T1048" s="307">
        <f>+IFERROR(VLOOKUP(C1048,'Tasas Diarias'!$B:$F,5,FALSE)*G1048,0)</f>
        <v>0</v>
      </c>
      <c r="U1048" s="311" t="e">
        <f>+VLOOKUP(C1048,Spreads!$A$2:$G$345,7,0)</f>
        <v>#N/A</v>
      </c>
    </row>
    <row r="1049" spans="1:21" ht="15.75" hidden="1" customHeight="1" thickTop="1" thickBot="1">
      <c r="A1049" s="317" t="s">
        <v>2137</v>
      </c>
      <c r="B1049" s="318" t="s">
        <v>298</v>
      </c>
      <c r="C1049" s="318" t="s">
        <v>661</v>
      </c>
      <c r="D1049" s="318" t="s">
        <v>16</v>
      </c>
      <c r="E1049" s="319">
        <v>154699037.28040001</v>
      </c>
      <c r="F1049" s="319">
        <v>1000</v>
      </c>
      <c r="G1049" s="314">
        <v>1.761E-3</v>
      </c>
      <c r="H1049" s="320">
        <v>1.7</v>
      </c>
      <c r="I1049" s="318" t="s">
        <v>660</v>
      </c>
      <c r="J1049" s="318">
        <v>1593</v>
      </c>
      <c r="K1049" s="318">
        <v>4.08</v>
      </c>
      <c r="L1049" s="318">
        <v>107.53</v>
      </c>
      <c r="M1049" s="318" t="s">
        <v>6</v>
      </c>
      <c r="N1049" s="318" t="s">
        <v>368</v>
      </c>
      <c r="O1049" s="318" t="s">
        <v>8</v>
      </c>
      <c r="P1049" s="318" t="s">
        <v>379</v>
      </c>
      <c r="Q1049" s="318" t="s">
        <v>61</v>
      </c>
      <c r="R1049" s="318" t="s">
        <v>394</v>
      </c>
      <c r="S1049" s="303">
        <f t="shared" si="17"/>
        <v>631172072.10403204</v>
      </c>
      <c r="T1049" s="307">
        <f>+IFERROR(VLOOKUP(C1049,'Tasas Diarias'!$B:$F,5,FALSE)*G1049,0)</f>
        <v>1.4565771297620814E-6</v>
      </c>
      <c r="U1049" s="311" t="str">
        <f ca="1">+VLOOKUP(C1049,Spreads!$A$2:$G$345,7,0)</f>
        <v/>
      </c>
    </row>
    <row r="1050" spans="1:21" ht="15.75" hidden="1" customHeight="1" thickTop="1" thickBot="1">
      <c r="A1050" s="321" t="s">
        <v>2137</v>
      </c>
      <c r="B1050" s="322" t="s">
        <v>298</v>
      </c>
      <c r="C1050" s="322" t="s">
        <v>1882</v>
      </c>
      <c r="D1050" s="322" t="s">
        <v>1595</v>
      </c>
      <c r="E1050" s="323">
        <v>513519.85460000002</v>
      </c>
      <c r="F1050" s="323"/>
      <c r="G1050" s="314">
        <v>6.0000000000000002E-6</v>
      </c>
      <c r="H1050" s="324">
        <v>4.74</v>
      </c>
      <c r="I1050" s="322" t="s">
        <v>1883</v>
      </c>
      <c r="J1050" s="322">
        <v>3251</v>
      </c>
      <c r="K1050" s="322">
        <v>4.09</v>
      </c>
      <c r="L1050" s="322">
        <v>100.03</v>
      </c>
      <c r="M1050" s="322" t="s">
        <v>6</v>
      </c>
      <c r="N1050" s="322" t="s">
        <v>368</v>
      </c>
      <c r="O1050" s="322" t="s">
        <v>1348</v>
      </c>
      <c r="P1050" s="322" t="s">
        <v>794</v>
      </c>
      <c r="Q1050" s="322" t="s">
        <v>1597</v>
      </c>
      <c r="R1050" s="322" t="s">
        <v>1607</v>
      </c>
      <c r="S1050" s="303">
        <f t="shared" si="17"/>
        <v>2100296.2053140001</v>
      </c>
      <c r="T1050" s="307">
        <f>+IFERROR(VLOOKUP(C1050,'Tasas Diarias'!$B:$F,5,FALSE)*G1050,0)</f>
        <v>-4.9836557380264941E-9</v>
      </c>
      <c r="U1050" s="311" t="e">
        <f>+VLOOKUP(C1050,Spreads!$A$2:$G$345,7,0)</f>
        <v>#N/A</v>
      </c>
    </row>
    <row r="1051" spans="1:21" ht="15.75" hidden="1" customHeight="1" thickTop="1" thickBot="1">
      <c r="A1051" s="317" t="s">
        <v>2137</v>
      </c>
      <c r="B1051" s="318" t="s">
        <v>298</v>
      </c>
      <c r="C1051" s="318" t="s">
        <v>1392</v>
      </c>
      <c r="D1051" s="318" t="s">
        <v>38</v>
      </c>
      <c r="E1051" s="319">
        <v>360976136.37580001</v>
      </c>
      <c r="F1051" s="319">
        <v>11000</v>
      </c>
      <c r="G1051" s="314">
        <v>4.1079999999999997E-3</v>
      </c>
      <c r="H1051" s="320">
        <v>1.86</v>
      </c>
      <c r="I1051" s="318" t="s">
        <v>632</v>
      </c>
      <c r="J1051" s="318">
        <v>1562</v>
      </c>
      <c r="K1051" s="318">
        <v>4.1100000000000003</v>
      </c>
      <c r="L1051" s="318">
        <v>100.16</v>
      </c>
      <c r="M1051" s="318" t="s">
        <v>6</v>
      </c>
      <c r="N1051" s="318" t="s">
        <v>368</v>
      </c>
      <c r="O1051" s="318" t="s">
        <v>8</v>
      </c>
      <c r="P1051" s="318" t="s">
        <v>7</v>
      </c>
      <c r="Q1051" s="318" t="s">
        <v>76</v>
      </c>
      <c r="R1051" s="318" t="s">
        <v>498</v>
      </c>
      <c r="S1051" s="303">
        <f t="shared" si="17"/>
        <v>1483611920.5045381</v>
      </c>
      <c r="T1051" s="307">
        <f>+IFERROR(VLOOKUP(C1051,'Tasas Diarias'!$B:$F,5,FALSE)*G1051,0)</f>
        <v>1.0280307965656933E-5</v>
      </c>
      <c r="U1051" s="311" t="e">
        <f>+VLOOKUP(C1051,Spreads!$A$2:$G$345,7,0)</f>
        <v>#N/A</v>
      </c>
    </row>
    <row r="1052" spans="1:21" ht="15.75" hidden="1" customHeight="1" thickTop="1" thickBot="1">
      <c r="A1052" s="321" t="s">
        <v>2137</v>
      </c>
      <c r="B1052" s="322" t="s">
        <v>298</v>
      </c>
      <c r="C1052" s="322" t="s">
        <v>1046</v>
      </c>
      <c r="D1052" s="322" t="s">
        <v>288</v>
      </c>
      <c r="E1052" s="323">
        <v>138348437.4161</v>
      </c>
      <c r="F1052" s="323">
        <v>136513690.68304604</v>
      </c>
      <c r="G1052" s="314">
        <v>1.575E-3</v>
      </c>
      <c r="H1052" s="324">
        <v>4.62</v>
      </c>
      <c r="I1052" s="322" t="s">
        <v>1047</v>
      </c>
      <c r="J1052" s="322">
        <v>2125</v>
      </c>
      <c r="K1052" s="322">
        <v>4.12</v>
      </c>
      <c r="L1052" s="322">
        <v>100.51</v>
      </c>
      <c r="M1052" s="322" t="s">
        <v>9</v>
      </c>
      <c r="N1052" s="322" t="s">
        <v>368</v>
      </c>
      <c r="O1052" s="322" t="s">
        <v>1348</v>
      </c>
      <c r="P1052" s="322" t="s">
        <v>392</v>
      </c>
      <c r="Q1052" s="322" t="s">
        <v>83</v>
      </c>
      <c r="R1052" s="322" t="s">
        <v>1048</v>
      </c>
      <c r="S1052" s="303">
        <f t="shared" si="17"/>
        <v>569995562.15433204</v>
      </c>
      <c r="T1052" s="307">
        <f>+IFERROR(VLOOKUP(C1052,'Tasas Diarias'!$B:$F,5,FALSE)*G1052,0)</f>
        <v>-1.3167018807203554E-6</v>
      </c>
      <c r="U1052" s="311" t="str">
        <f ca="1">+VLOOKUP(C1052,Spreads!$A$2:$G$345,7,0)</f>
        <v/>
      </c>
    </row>
    <row r="1053" spans="1:21" ht="15.75" hidden="1" customHeight="1" thickTop="1" thickBot="1">
      <c r="A1053" s="321" t="s">
        <v>2137</v>
      </c>
      <c r="B1053" s="322" t="s">
        <v>298</v>
      </c>
      <c r="C1053" s="322" t="s">
        <v>667</v>
      </c>
      <c r="D1053" s="322" t="s">
        <v>176</v>
      </c>
      <c r="E1053" s="323">
        <v>55479277.8807</v>
      </c>
      <c r="F1053" s="323"/>
      <c r="G1053" s="314">
        <v>6.3100000000000005E-4</v>
      </c>
      <c r="H1053" s="322">
        <v>1.81</v>
      </c>
      <c r="I1053" s="322" t="s">
        <v>668</v>
      </c>
      <c r="J1053" s="322">
        <v>1654</v>
      </c>
      <c r="K1053" s="322">
        <v>4.18</v>
      </c>
      <c r="L1053" s="322">
        <v>107.1</v>
      </c>
      <c r="M1053" s="322" t="s">
        <v>6</v>
      </c>
      <c r="N1053" s="322" t="s">
        <v>368</v>
      </c>
      <c r="O1053" s="322" t="s">
        <v>8</v>
      </c>
      <c r="P1053" s="322" t="s">
        <v>7</v>
      </c>
      <c r="Q1053" s="322" t="s">
        <v>326</v>
      </c>
      <c r="R1053" s="322" t="s">
        <v>450</v>
      </c>
      <c r="S1053" s="303">
        <f t="shared" si="17"/>
        <v>231903381.54132599</v>
      </c>
      <c r="T1053" s="307">
        <f>+IFERROR(VLOOKUP(C1053,'Tasas Diarias'!$B:$F,5,FALSE)*G1053,0)</f>
        <v>0</v>
      </c>
      <c r="U1053" s="311" t="str">
        <f ca="1">+VLOOKUP(C1053,Spreads!$A$2:$G$345,7,0)</f>
        <v/>
      </c>
    </row>
    <row r="1054" spans="1:21" ht="15.75" hidden="1" customHeight="1" thickTop="1" thickBot="1">
      <c r="A1054" s="317" t="s">
        <v>2137</v>
      </c>
      <c r="B1054" s="318" t="s">
        <v>298</v>
      </c>
      <c r="C1054" s="318" t="s">
        <v>1140</v>
      </c>
      <c r="D1054" s="318" t="s">
        <v>168</v>
      </c>
      <c r="E1054" s="319">
        <v>269649062.97500002</v>
      </c>
      <c r="F1054" s="319">
        <v>10000</v>
      </c>
      <c r="G1054" s="314">
        <v>3.0690000000000001E-3</v>
      </c>
      <c r="H1054" s="320">
        <v>2.0499999999999998</v>
      </c>
      <c r="I1054" s="318" t="s">
        <v>1139</v>
      </c>
      <c r="J1054" s="318">
        <v>3054</v>
      </c>
      <c r="K1054" s="318">
        <v>4.24</v>
      </c>
      <c r="L1054" s="318">
        <v>110.4</v>
      </c>
      <c r="M1054" s="318" t="s">
        <v>6</v>
      </c>
      <c r="N1054" s="318" t="s">
        <v>368</v>
      </c>
      <c r="O1054" s="318" t="s">
        <v>8</v>
      </c>
      <c r="P1054" s="318" t="s">
        <v>7</v>
      </c>
      <c r="Q1054" s="318" t="s">
        <v>77</v>
      </c>
      <c r="R1054" s="318" t="s">
        <v>569</v>
      </c>
      <c r="S1054" s="303">
        <f t="shared" si="17"/>
        <v>1143312027.0140002</v>
      </c>
      <c r="T1054" s="307">
        <f>+IFERROR(VLOOKUP(C1054,'Tasas Diarias'!$B:$F,5,FALSE)*G1054,0)</f>
        <v>0</v>
      </c>
      <c r="U1054" s="311" t="str">
        <f ca="1">+VLOOKUP(C1054,Spreads!$A$2:$G$345,7,0)</f>
        <v/>
      </c>
    </row>
    <row r="1055" spans="1:21" ht="15.75" hidden="1" customHeight="1" thickTop="1" thickBot="1">
      <c r="A1055" s="317" t="s">
        <v>2137</v>
      </c>
      <c r="B1055" s="318" t="s">
        <v>298</v>
      </c>
      <c r="C1055" s="318" t="s">
        <v>1504</v>
      </c>
      <c r="D1055" s="318" t="s">
        <v>433</v>
      </c>
      <c r="E1055" s="319">
        <v>801052703.08430004</v>
      </c>
      <c r="F1055" s="319">
        <v>25000</v>
      </c>
      <c r="G1055" s="314">
        <v>9.1179999999999994E-3</v>
      </c>
      <c r="H1055" s="320">
        <v>2.0699999999999998</v>
      </c>
      <c r="I1055" s="318" t="s">
        <v>1505</v>
      </c>
      <c r="J1055" s="318">
        <v>1637</v>
      </c>
      <c r="K1055" s="318">
        <v>4.33</v>
      </c>
      <c r="L1055" s="318">
        <v>97.6</v>
      </c>
      <c r="M1055" s="318" t="s">
        <v>6</v>
      </c>
      <c r="N1055" s="318" t="s">
        <v>368</v>
      </c>
      <c r="O1055" s="318" t="s">
        <v>8</v>
      </c>
      <c r="P1055" s="318" t="s">
        <v>392</v>
      </c>
      <c r="Q1055" s="318" t="s">
        <v>435</v>
      </c>
      <c r="R1055" s="318" t="s">
        <v>436</v>
      </c>
      <c r="S1055" s="303">
        <f t="shared" si="17"/>
        <v>3468558204.3550191</v>
      </c>
      <c r="T1055" s="307">
        <f>+IFERROR(VLOOKUP(C1055,'Tasas Diarias'!$B:$F,5,FALSE)*G1055,0)</f>
        <v>7.9945072648535656E-6</v>
      </c>
      <c r="U1055" s="311" t="e">
        <f>+VLOOKUP(C1055,Spreads!$A$2:$G$345,7,0)</f>
        <v>#N/A</v>
      </c>
    </row>
    <row r="1056" spans="1:21" ht="15.75" hidden="1" customHeight="1" thickTop="1" thickBot="1">
      <c r="A1056" s="321" t="s">
        <v>2137</v>
      </c>
      <c r="B1056" s="322" t="s">
        <v>298</v>
      </c>
      <c r="C1056" s="322" t="s">
        <v>1141</v>
      </c>
      <c r="D1056" s="322" t="s">
        <v>1094</v>
      </c>
      <c r="E1056" s="323">
        <v>331161</v>
      </c>
      <c r="F1056" s="323">
        <v>20</v>
      </c>
      <c r="G1056" s="314">
        <v>3.0000000000000001E-6</v>
      </c>
      <c r="H1056" s="324">
        <v>3.19</v>
      </c>
      <c r="I1056" s="322" t="s">
        <v>1142</v>
      </c>
      <c r="J1056" s="322">
        <v>3329</v>
      </c>
      <c r="K1056" s="322">
        <v>4.37</v>
      </c>
      <c r="L1056" s="322">
        <v>107.02</v>
      </c>
      <c r="M1056" s="322" t="s">
        <v>6</v>
      </c>
      <c r="N1056" s="322" t="s">
        <v>1095</v>
      </c>
      <c r="O1056" s="322" t="s">
        <v>8</v>
      </c>
      <c r="P1056" s="322" t="s">
        <v>392</v>
      </c>
      <c r="Q1056" s="322" t="s">
        <v>67</v>
      </c>
      <c r="R1056" s="322" t="s">
        <v>1143</v>
      </c>
      <c r="S1056" s="303">
        <f t="shared" si="17"/>
        <v>1447173.57</v>
      </c>
      <c r="T1056" s="307">
        <f>+IFERROR(VLOOKUP(C1056,'Tasas Diarias'!$B:$F,5,FALSE)*G1056,0)</f>
        <v>2.6557561242724363E-9</v>
      </c>
      <c r="U1056" s="311" t="e">
        <f>+VLOOKUP(C1056,Spreads!$A$2:$G$345,7,0)</f>
        <v>#N/A</v>
      </c>
    </row>
    <row r="1057" spans="1:21" ht="15.75" hidden="1" customHeight="1" thickTop="1" thickBot="1">
      <c r="A1057" s="317" t="s">
        <v>2137</v>
      </c>
      <c r="B1057" s="318" t="s">
        <v>298</v>
      </c>
      <c r="C1057" s="318" t="s">
        <v>1579</v>
      </c>
      <c r="D1057" s="318" t="s">
        <v>1580</v>
      </c>
      <c r="E1057" s="319">
        <v>46565246.812399998</v>
      </c>
      <c r="F1057" s="319"/>
      <c r="G1057" s="314">
        <v>5.2999999999999998E-4</v>
      </c>
      <c r="H1057" s="320">
        <v>2.14</v>
      </c>
      <c r="I1057" s="318" t="s">
        <v>1581</v>
      </c>
      <c r="J1057" s="318">
        <v>1683</v>
      </c>
      <c r="K1057" s="318">
        <v>4.38</v>
      </c>
      <c r="L1057" s="318">
        <v>101.11</v>
      </c>
      <c r="M1057" s="318" t="s">
        <v>6</v>
      </c>
      <c r="N1057" s="318" t="s">
        <v>368</v>
      </c>
      <c r="O1057" s="318" t="s">
        <v>551</v>
      </c>
      <c r="P1057" s="318" t="s">
        <v>801</v>
      </c>
      <c r="Q1057" s="318" t="s">
        <v>1582</v>
      </c>
      <c r="R1057" s="318" t="s">
        <v>1583</v>
      </c>
      <c r="S1057" s="303">
        <f t="shared" si="17"/>
        <v>203955781.03831199</v>
      </c>
      <c r="T1057" s="307">
        <f>+IFERROR(VLOOKUP(C1057,'Tasas Diarias'!$B:$F,5,FALSE)*G1057,0)</f>
        <v>2.3531526201094013E-7</v>
      </c>
      <c r="U1057" s="311" t="e">
        <f>+VLOOKUP(C1057,Spreads!$A$2:$G$345,7,0)</f>
        <v>#N/A</v>
      </c>
    </row>
    <row r="1058" spans="1:21" ht="15.75" hidden="1" customHeight="1" thickTop="1" thickBot="1">
      <c r="A1058" s="321" t="s">
        <v>2137</v>
      </c>
      <c r="B1058" s="322" t="s">
        <v>298</v>
      </c>
      <c r="C1058" s="322" t="s">
        <v>1943</v>
      </c>
      <c r="D1058" s="322" t="s">
        <v>38</v>
      </c>
      <c r="E1058" s="323">
        <v>13432190</v>
      </c>
      <c r="F1058" s="323">
        <v>500</v>
      </c>
      <c r="G1058" s="314">
        <v>1.5200000000000001E-4</v>
      </c>
      <c r="H1058" s="324">
        <v>1.9</v>
      </c>
      <c r="I1058" s="322" t="s">
        <v>2131</v>
      </c>
      <c r="J1058" s="322">
        <v>1684</v>
      </c>
      <c r="K1058" s="322">
        <v>4.41</v>
      </c>
      <c r="L1058" s="322">
        <v>99.99</v>
      </c>
      <c r="M1058" s="322" t="s">
        <v>6</v>
      </c>
      <c r="N1058" s="322" t="s">
        <v>368</v>
      </c>
      <c r="O1058" s="322" t="s">
        <v>8</v>
      </c>
      <c r="P1058" s="322" t="s">
        <v>7</v>
      </c>
      <c r="Q1058" s="322" t="s">
        <v>76</v>
      </c>
      <c r="R1058" s="322" t="s">
        <v>498</v>
      </c>
      <c r="S1058" s="303">
        <f t="shared" si="17"/>
        <v>59235957.899999999</v>
      </c>
      <c r="T1058" s="307">
        <f>+IFERROR(VLOOKUP(C1058,'Tasas Diarias'!$B:$F,5,FALSE)*G1058,0)</f>
        <v>0</v>
      </c>
      <c r="U1058" s="311" t="e">
        <f>+VLOOKUP(C1058,Spreads!$A$2:$G$345,7,0)</f>
        <v>#N/A</v>
      </c>
    </row>
    <row r="1059" spans="1:21" ht="15.75" hidden="1" customHeight="1" thickTop="1" thickBot="1">
      <c r="A1059" s="327" t="s">
        <v>2137</v>
      </c>
      <c r="B1059" s="328" t="s">
        <v>298</v>
      </c>
      <c r="C1059" s="328" t="s">
        <v>680</v>
      </c>
      <c r="D1059" s="328" t="s">
        <v>173</v>
      </c>
      <c r="E1059" s="328">
        <v>316648269.90069997</v>
      </c>
      <c r="F1059" s="328">
        <v>10000</v>
      </c>
      <c r="G1059" s="328">
        <v>3.6029999999999999E-3</v>
      </c>
      <c r="H1059" s="329">
        <v>2.48</v>
      </c>
      <c r="I1059" s="328" t="s">
        <v>681</v>
      </c>
      <c r="J1059" s="328">
        <v>1715</v>
      </c>
      <c r="K1059" s="328">
        <v>4.42</v>
      </c>
      <c r="L1059" s="328">
        <v>100.58</v>
      </c>
      <c r="M1059" s="328" t="s">
        <v>6</v>
      </c>
      <c r="N1059" s="328" t="s">
        <v>368</v>
      </c>
      <c r="O1059" s="328" t="s">
        <v>8</v>
      </c>
      <c r="P1059" s="328" t="s">
        <v>444</v>
      </c>
      <c r="Q1059" s="328" t="s">
        <v>55</v>
      </c>
      <c r="R1059" s="328" t="s">
        <v>445</v>
      </c>
      <c r="S1059" s="303">
        <f t="shared" si="17"/>
        <v>1399585352.9610939</v>
      </c>
      <c r="T1059" s="307">
        <f>+IFERROR(VLOOKUP(C1059,'Tasas Diarias'!$B:$F,5,FALSE)*G1059,0)</f>
        <v>-1.6135119730990713E-6</v>
      </c>
      <c r="U1059" s="311" t="str">
        <f ca="1">+VLOOKUP(C1059,Spreads!$A$2:$G$345,7,0)</f>
        <v/>
      </c>
    </row>
    <row r="1060" spans="1:21" ht="15.75" hidden="1" customHeight="1" thickTop="1" thickBot="1">
      <c r="A1060" s="317" t="s">
        <v>2137</v>
      </c>
      <c r="B1060" s="318" t="s">
        <v>298</v>
      </c>
      <c r="C1060" s="318" t="s">
        <v>662</v>
      </c>
      <c r="D1060" s="318" t="s">
        <v>663</v>
      </c>
      <c r="E1060" s="319">
        <v>128477509.57799999</v>
      </c>
      <c r="F1060" s="319"/>
      <c r="G1060" s="314">
        <v>1.462E-3</v>
      </c>
      <c r="H1060" s="320">
        <v>1.98</v>
      </c>
      <c r="I1060" s="318" t="s">
        <v>664</v>
      </c>
      <c r="J1060" s="318">
        <v>3207</v>
      </c>
      <c r="K1060" s="318">
        <v>4.5599999999999996</v>
      </c>
      <c r="L1060" s="318">
        <v>121.11</v>
      </c>
      <c r="M1060" s="318" t="s">
        <v>6</v>
      </c>
      <c r="N1060" s="318" t="s">
        <v>368</v>
      </c>
      <c r="O1060" s="318" t="s">
        <v>665</v>
      </c>
      <c r="P1060" s="318" t="s">
        <v>392</v>
      </c>
      <c r="Q1060" s="318" t="s">
        <v>57</v>
      </c>
      <c r="R1060" s="318" t="s">
        <v>666</v>
      </c>
      <c r="S1060" s="303">
        <f t="shared" si="17"/>
        <v>585857443.67567992</v>
      </c>
      <c r="T1060" s="307">
        <f>+IFERROR(VLOOKUP(C1060,'Tasas Diarias'!$B:$F,5,FALSE)*G1060,0)</f>
        <v>1.3472332073329755E-6</v>
      </c>
      <c r="U1060" s="311" t="str">
        <f ca="1">+VLOOKUP(C1060,Spreads!$A$2:$G$345,7,0)</f>
        <v/>
      </c>
    </row>
    <row r="1061" spans="1:21" ht="15.75" hidden="1" customHeight="1" thickTop="1" thickBot="1">
      <c r="A1061" s="317" t="s">
        <v>2137</v>
      </c>
      <c r="B1061" s="318" t="s">
        <v>298</v>
      </c>
      <c r="C1061" s="318" t="s">
        <v>669</v>
      </c>
      <c r="D1061" s="318" t="s">
        <v>670</v>
      </c>
      <c r="E1061" s="319">
        <v>148965514.1302</v>
      </c>
      <c r="F1061" s="319"/>
      <c r="G1061" s="314">
        <v>1.696E-3</v>
      </c>
      <c r="H1061" s="320">
        <v>1.92</v>
      </c>
      <c r="I1061" s="318" t="s">
        <v>671</v>
      </c>
      <c r="J1061" s="318">
        <v>3312</v>
      </c>
      <c r="K1061" s="318">
        <v>4.59</v>
      </c>
      <c r="L1061" s="318">
        <v>115.64</v>
      </c>
      <c r="M1061" s="318" t="s">
        <v>6</v>
      </c>
      <c r="N1061" s="318" t="s">
        <v>368</v>
      </c>
      <c r="O1061" s="318" t="s">
        <v>1898</v>
      </c>
      <c r="P1061" s="318" t="s">
        <v>7</v>
      </c>
      <c r="Q1061" s="318" t="s">
        <v>673</v>
      </c>
      <c r="R1061" s="318" t="s">
        <v>674</v>
      </c>
      <c r="S1061" s="303">
        <f t="shared" si="17"/>
        <v>683751709.85761797</v>
      </c>
      <c r="T1061" s="307">
        <f>+IFERROR(VLOOKUP(C1061,'Tasas Diarias'!$B:$F,5,FALSE)*G1061,0)</f>
        <v>0</v>
      </c>
      <c r="U1061" s="311" t="str">
        <f ca="1">+VLOOKUP(C1061,Spreads!$A$2:$G$345,7,0)</f>
        <v/>
      </c>
    </row>
    <row r="1062" spans="1:21" ht="15.75" hidden="1" customHeight="1" thickTop="1" thickBot="1">
      <c r="A1062" s="321" t="s">
        <v>2137</v>
      </c>
      <c r="B1062" s="322" t="s">
        <v>298</v>
      </c>
      <c r="C1062" s="322" t="s">
        <v>693</v>
      </c>
      <c r="D1062" s="322" t="s">
        <v>24</v>
      </c>
      <c r="E1062" s="323">
        <v>432193708</v>
      </c>
      <c r="F1062" s="323">
        <v>15000</v>
      </c>
      <c r="G1062" s="314">
        <v>4.9189999999999998E-3</v>
      </c>
      <c r="H1062" s="324">
        <v>1.84</v>
      </c>
      <c r="I1062" s="322" t="s">
        <v>1567</v>
      </c>
      <c r="J1062" s="322">
        <v>1807</v>
      </c>
      <c r="K1062" s="322">
        <v>4.5999999999999996</v>
      </c>
      <c r="L1062" s="322">
        <v>107.84</v>
      </c>
      <c r="M1062" s="322" t="s">
        <v>6</v>
      </c>
      <c r="N1062" s="322" t="s">
        <v>368</v>
      </c>
      <c r="O1062" s="322" t="s">
        <v>8</v>
      </c>
      <c r="P1062" s="322" t="s">
        <v>392</v>
      </c>
      <c r="Q1062" s="322" t="s">
        <v>51</v>
      </c>
      <c r="R1062" s="322" t="s">
        <v>414</v>
      </c>
      <c r="S1062" s="303">
        <f t="shared" si="17"/>
        <v>1988091056.8</v>
      </c>
      <c r="T1062" s="307">
        <f>+IFERROR(VLOOKUP(C1062,'Tasas Diarias'!$B:$F,5,FALSE)*G1062,0)</f>
        <v>-2.2523214145584696E-6</v>
      </c>
      <c r="U1062" s="311" t="str">
        <f ca="1">+VLOOKUP(C1062,Spreads!$A$2:$G$345,7,0)</f>
        <v/>
      </c>
    </row>
    <row r="1063" spans="1:21" ht="15.75" hidden="1" customHeight="1" thickTop="1" thickBot="1">
      <c r="A1063" s="317" t="s">
        <v>2137</v>
      </c>
      <c r="B1063" s="318" t="s">
        <v>298</v>
      </c>
      <c r="C1063" s="318" t="s">
        <v>1220</v>
      </c>
      <c r="D1063" s="318" t="s">
        <v>82</v>
      </c>
      <c r="E1063" s="319">
        <v>56940486.096100003</v>
      </c>
      <c r="F1063" s="319"/>
      <c r="G1063" s="314">
        <v>6.4800000000000003E-4</v>
      </c>
      <c r="H1063" s="320">
        <v>2.09</v>
      </c>
      <c r="I1063" s="318" t="s">
        <v>1221</v>
      </c>
      <c r="J1063" s="318">
        <v>3480</v>
      </c>
      <c r="K1063" s="318">
        <v>4.62</v>
      </c>
      <c r="L1063" s="318">
        <v>118.23</v>
      </c>
      <c r="M1063" s="318" t="s">
        <v>6</v>
      </c>
      <c r="N1063" s="318" t="s">
        <v>368</v>
      </c>
      <c r="O1063" s="318" t="s">
        <v>1347</v>
      </c>
      <c r="P1063" s="318" t="s">
        <v>7</v>
      </c>
      <c r="Q1063" s="318" t="s">
        <v>82</v>
      </c>
      <c r="R1063" s="318" t="s">
        <v>679</v>
      </c>
      <c r="S1063" s="303">
        <f t="shared" si="17"/>
        <v>263065045.76398203</v>
      </c>
      <c r="T1063" s="307">
        <f>+IFERROR(VLOOKUP(C1063,'Tasas Diarias'!$B:$F,5,FALSE)*G1063,0)</f>
        <v>0</v>
      </c>
      <c r="U1063" s="311" t="str">
        <f ca="1">+VLOOKUP(C1063,Spreads!$A$2:$G$345,7,0)</f>
        <v/>
      </c>
    </row>
    <row r="1064" spans="1:21" ht="15.75" hidden="1" customHeight="1" thickTop="1" thickBot="1">
      <c r="A1064" s="321" t="s">
        <v>2137</v>
      </c>
      <c r="B1064" s="322" t="s">
        <v>298</v>
      </c>
      <c r="C1064" s="322" t="s">
        <v>1144</v>
      </c>
      <c r="D1064" s="322" t="s">
        <v>1094</v>
      </c>
      <c r="E1064" s="323">
        <v>37165437</v>
      </c>
      <c r="F1064" s="323">
        <v>2260</v>
      </c>
      <c r="G1064" s="314">
        <v>4.2299999999999998E-4</v>
      </c>
      <c r="H1064" s="324">
        <v>2.99</v>
      </c>
      <c r="I1064" s="322" t="s">
        <v>1145</v>
      </c>
      <c r="J1064" s="322">
        <v>3510</v>
      </c>
      <c r="K1064" s="322">
        <v>4.6500000000000004</v>
      </c>
      <c r="L1064" s="322">
        <v>104.61</v>
      </c>
      <c r="M1064" s="322" t="s">
        <v>6</v>
      </c>
      <c r="N1064" s="322" t="s">
        <v>1095</v>
      </c>
      <c r="O1064" s="322" t="s">
        <v>8</v>
      </c>
      <c r="P1064" s="322" t="s">
        <v>392</v>
      </c>
      <c r="Q1064" s="322" t="s">
        <v>67</v>
      </c>
      <c r="R1064" s="322" t="s">
        <v>1146</v>
      </c>
      <c r="S1064" s="303">
        <f t="shared" si="17"/>
        <v>172819282.05000001</v>
      </c>
      <c r="T1064" s="307">
        <f>+IFERROR(VLOOKUP(C1064,'Tasas Diarias'!$B:$F,5,FALSE)*G1064,0)</f>
        <v>5.9726345125696011E-7</v>
      </c>
      <c r="U1064" s="311" t="e">
        <f>+VLOOKUP(C1064,Spreads!$A$2:$G$345,7,0)</f>
        <v>#N/A</v>
      </c>
    </row>
    <row r="1065" spans="1:21" ht="15.75" hidden="1" customHeight="1" thickTop="1" thickBot="1">
      <c r="A1065" s="327" t="s">
        <v>2137</v>
      </c>
      <c r="B1065" s="328" t="s">
        <v>298</v>
      </c>
      <c r="C1065" s="328" t="s">
        <v>1260</v>
      </c>
      <c r="D1065" s="328" t="s">
        <v>1261</v>
      </c>
      <c r="E1065" s="328">
        <v>51437638.135899998</v>
      </c>
      <c r="F1065" s="328"/>
      <c r="G1065" s="328">
        <v>5.8500000000000002E-4</v>
      </c>
      <c r="H1065" s="329">
        <v>1.99</v>
      </c>
      <c r="I1065" s="328" t="s">
        <v>930</v>
      </c>
      <c r="J1065" s="328">
        <v>3846</v>
      </c>
      <c r="K1065" s="328">
        <v>4.6500000000000004</v>
      </c>
      <c r="L1065" s="328">
        <v>118.74</v>
      </c>
      <c r="M1065" s="328" t="s">
        <v>6</v>
      </c>
      <c r="N1065" s="328" t="s">
        <v>368</v>
      </c>
      <c r="O1065" s="328" t="s">
        <v>1347</v>
      </c>
      <c r="P1065" s="328" t="s">
        <v>444</v>
      </c>
      <c r="Q1065" s="328" t="s">
        <v>1262</v>
      </c>
      <c r="R1065" s="328" t="s">
        <v>1263</v>
      </c>
      <c r="S1065" s="303">
        <f t="shared" si="17"/>
        <v>239185017.33193502</v>
      </c>
      <c r="T1065" s="307">
        <f>+IFERROR(VLOOKUP(C1065,'Tasas Diarias'!$B:$F,5,FALSE)*G1065,0)</f>
        <v>5.4696101740695143E-7</v>
      </c>
      <c r="U1065" s="311" t="str">
        <f ca="1">+VLOOKUP(C1065,Spreads!$A$2:$G$345,7,0)</f>
        <v/>
      </c>
    </row>
    <row r="1066" spans="1:21" ht="15.75" hidden="1" customHeight="1" thickTop="1" thickBot="1">
      <c r="A1066" s="321" t="s">
        <v>2137</v>
      </c>
      <c r="B1066" s="322" t="s">
        <v>298</v>
      </c>
      <c r="C1066" s="322" t="s">
        <v>675</v>
      </c>
      <c r="D1066" s="322" t="s">
        <v>294</v>
      </c>
      <c r="E1066" s="323">
        <v>79247228.533399999</v>
      </c>
      <c r="F1066" s="323"/>
      <c r="G1066" s="314">
        <v>9.0200000000000002E-4</v>
      </c>
      <c r="H1066" s="324">
        <v>2.13</v>
      </c>
      <c r="I1066" s="322" t="s">
        <v>676</v>
      </c>
      <c r="J1066" s="322">
        <v>3419</v>
      </c>
      <c r="K1066" s="322">
        <v>4.71</v>
      </c>
      <c r="L1066" s="322">
        <v>111.17</v>
      </c>
      <c r="M1066" s="322" t="s">
        <v>6</v>
      </c>
      <c r="N1066" s="322" t="s">
        <v>368</v>
      </c>
      <c r="O1066" s="322" t="s">
        <v>8</v>
      </c>
      <c r="P1066" s="322" t="s">
        <v>7</v>
      </c>
      <c r="Q1066" s="322" t="s">
        <v>74</v>
      </c>
      <c r="R1066" s="322" t="s">
        <v>677</v>
      </c>
      <c r="S1066" s="303">
        <f t="shared" si="17"/>
        <v>373254446.39231402</v>
      </c>
      <c r="T1066" s="307">
        <f>+IFERROR(VLOOKUP(C1066,'Tasas Diarias'!$B:$F,5,FALSE)*G1066,0)</f>
        <v>8.5877810812837974E-7</v>
      </c>
      <c r="U1066" s="311" t="str">
        <f ca="1">+VLOOKUP(C1066,Spreads!$A$2:$G$345,7,0)</f>
        <v/>
      </c>
    </row>
    <row r="1067" spans="1:21" ht="15.75" hidden="1" customHeight="1" thickTop="1" thickBot="1">
      <c r="A1067" s="327" t="s">
        <v>2137</v>
      </c>
      <c r="B1067" s="328" t="s">
        <v>298</v>
      </c>
      <c r="C1067" s="328" t="s">
        <v>700</v>
      </c>
      <c r="D1067" s="328" t="s">
        <v>168</v>
      </c>
      <c r="E1067" s="328">
        <v>71148404.275700003</v>
      </c>
      <c r="F1067" s="328"/>
      <c r="G1067" s="328">
        <v>8.0999999999999996E-4</v>
      </c>
      <c r="H1067" s="329">
        <v>1.85</v>
      </c>
      <c r="I1067" s="328" t="s">
        <v>701</v>
      </c>
      <c r="J1067" s="328">
        <v>1899</v>
      </c>
      <c r="K1067" s="328">
        <v>4.79</v>
      </c>
      <c r="L1067" s="328">
        <v>107.46</v>
      </c>
      <c r="M1067" s="328" t="s">
        <v>6</v>
      </c>
      <c r="N1067" s="328" t="s">
        <v>368</v>
      </c>
      <c r="O1067" s="328" t="s">
        <v>8</v>
      </c>
      <c r="P1067" s="328" t="s">
        <v>379</v>
      </c>
      <c r="Q1067" s="328" t="s">
        <v>77</v>
      </c>
      <c r="R1067" s="328" t="s">
        <v>453</v>
      </c>
      <c r="S1067" s="303">
        <f t="shared" si="17"/>
        <v>340800856.48060304</v>
      </c>
      <c r="T1067" s="307">
        <f>+IFERROR(VLOOKUP(C1067,'Tasas Diarias'!$B:$F,5,FALSE)*G1067,0)</f>
        <v>-1.1770443469661894E-6</v>
      </c>
      <c r="U1067" s="311" t="str">
        <f ca="1">+VLOOKUP(C1067,Spreads!$A$2:$G$345,7,0)</f>
        <v/>
      </c>
    </row>
    <row r="1068" spans="1:21" ht="15.75" hidden="1" customHeight="1" thickTop="1" thickBot="1">
      <c r="A1068" s="317" t="s">
        <v>2137</v>
      </c>
      <c r="B1068" s="318" t="s">
        <v>298</v>
      </c>
      <c r="C1068" s="318" t="s">
        <v>688</v>
      </c>
      <c r="D1068" s="318" t="s">
        <v>689</v>
      </c>
      <c r="E1068" s="319">
        <v>169235891.9269</v>
      </c>
      <c r="F1068" s="319"/>
      <c r="G1068" s="314">
        <v>1.926E-3</v>
      </c>
      <c r="H1068" s="320">
        <v>1.95</v>
      </c>
      <c r="I1068" s="318" t="s">
        <v>690</v>
      </c>
      <c r="J1068" s="318">
        <v>3774</v>
      </c>
      <c r="K1068" s="318">
        <v>4.8600000000000003</v>
      </c>
      <c r="L1068" s="318">
        <v>109.97</v>
      </c>
      <c r="M1068" s="318" t="s">
        <v>6</v>
      </c>
      <c r="N1068" s="318" t="s">
        <v>368</v>
      </c>
      <c r="O1068" s="318" t="s">
        <v>1494</v>
      </c>
      <c r="P1068" s="318" t="s">
        <v>444</v>
      </c>
      <c r="Q1068" s="318" t="s">
        <v>691</v>
      </c>
      <c r="R1068" s="318" t="s">
        <v>692</v>
      </c>
      <c r="S1068" s="303">
        <f t="shared" si="17"/>
        <v>822486434.76473403</v>
      </c>
      <c r="T1068" s="307">
        <f>+IFERROR(VLOOKUP(C1068,'Tasas Diarias'!$B:$F,5,FALSE)*G1068,0)</f>
        <v>0</v>
      </c>
      <c r="U1068" s="311" t="str">
        <f ca="1">+VLOOKUP(C1068,Spreads!$A$2:$G$345,7,0)</f>
        <v/>
      </c>
    </row>
    <row r="1069" spans="1:21" ht="15.75" hidden="1" customHeight="1" thickTop="1" thickBot="1">
      <c r="A1069" s="327" t="s">
        <v>2137</v>
      </c>
      <c r="B1069" s="328" t="s">
        <v>298</v>
      </c>
      <c r="C1069" s="328" t="s">
        <v>1536</v>
      </c>
      <c r="D1069" s="328" t="s">
        <v>175</v>
      </c>
      <c r="E1069" s="328">
        <v>704867572.87909997</v>
      </c>
      <c r="F1069" s="328">
        <v>23000</v>
      </c>
      <c r="G1069" s="328">
        <v>8.0230000000000006E-3</v>
      </c>
      <c r="H1069" s="329">
        <v>2.39</v>
      </c>
      <c r="I1069" s="328" t="s">
        <v>1537</v>
      </c>
      <c r="J1069" s="328">
        <v>2358</v>
      </c>
      <c r="K1069" s="328">
        <v>4.93</v>
      </c>
      <c r="L1069" s="328">
        <v>99.32</v>
      </c>
      <c r="M1069" s="328" t="s">
        <v>6</v>
      </c>
      <c r="N1069" s="328" t="s">
        <v>368</v>
      </c>
      <c r="O1069" s="328" t="s">
        <v>8</v>
      </c>
      <c r="P1069" s="328" t="s">
        <v>392</v>
      </c>
      <c r="Q1069" s="328" t="s">
        <v>66</v>
      </c>
      <c r="R1069" s="328" t="s">
        <v>418</v>
      </c>
      <c r="S1069" s="303">
        <f t="shared" si="17"/>
        <v>3474997134.2939625</v>
      </c>
      <c r="T1069" s="307">
        <f>+IFERROR(VLOOKUP(C1069,'Tasas Diarias'!$B:$F,5,FALSE)*G1069,0)</f>
        <v>3.9594408689804959E-6</v>
      </c>
      <c r="U1069" s="311" t="e">
        <f>+VLOOKUP(C1069,Spreads!$A$2:$G$345,7,0)</f>
        <v>#N/A</v>
      </c>
    </row>
    <row r="1070" spans="1:21" ht="15.75" hidden="1" customHeight="1" thickTop="1" thickBot="1">
      <c r="A1070" s="327" t="s">
        <v>2137</v>
      </c>
      <c r="B1070" s="328" t="s">
        <v>298</v>
      </c>
      <c r="C1070" s="328" t="s">
        <v>1212</v>
      </c>
      <c r="D1070" s="328" t="s">
        <v>24</v>
      </c>
      <c r="E1070" s="328">
        <v>13975076.042199999</v>
      </c>
      <c r="F1070" s="328"/>
      <c r="G1070" s="328">
        <v>1.5899999999999999E-4</v>
      </c>
      <c r="H1070" s="329">
        <v>2.23</v>
      </c>
      <c r="I1070" s="328" t="s">
        <v>684</v>
      </c>
      <c r="J1070" s="328">
        <v>3815</v>
      </c>
      <c r="K1070" s="328">
        <v>4.95</v>
      </c>
      <c r="L1070" s="328">
        <v>108.72</v>
      </c>
      <c r="M1070" s="328" t="s">
        <v>6</v>
      </c>
      <c r="N1070" s="328" t="s">
        <v>368</v>
      </c>
      <c r="O1070" s="328" t="s">
        <v>8</v>
      </c>
      <c r="P1070" s="328" t="s">
        <v>25</v>
      </c>
      <c r="Q1070" s="328" t="s">
        <v>51</v>
      </c>
      <c r="R1070" s="328" t="s">
        <v>414</v>
      </c>
      <c r="S1070" s="303">
        <f t="shared" si="17"/>
        <v>69176626.408889994</v>
      </c>
      <c r="T1070" s="307">
        <f>+IFERROR(VLOOKUP(C1070,'Tasas Diarias'!$B:$F,5,FALSE)*G1070,0)</f>
        <v>1.4960505719971037E-7</v>
      </c>
      <c r="U1070" s="311" t="str">
        <f ca="1">+VLOOKUP(C1070,Spreads!$A$2:$G$345,7,0)</f>
        <v/>
      </c>
    </row>
    <row r="1071" spans="1:21" ht="15.75" hidden="1" customHeight="1" thickTop="1" thickBot="1">
      <c r="A1071" s="321" t="s">
        <v>2137</v>
      </c>
      <c r="B1071" s="322" t="s">
        <v>298</v>
      </c>
      <c r="C1071" s="322" t="s">
        <v>696</v>
      </c>
      <c r="D1071" s="322" t="s">
        <v>697</v>
      </c>
      <c r="E1071" s="323">
        <v>151701393.34200001</v>
      </c>
      <c r="F1071" s="323"/>
      <c r="G1071" s="314">
        <v>1.727E-3</v>
      </c>
      <c r="H1071" s="324">
        <v>2.1800000000000002</v>
      </c>
      <c r="I1071" s="322" t="s">
        <v>698</v>
      </c>
      <c r="J1071" s="322">
        <v>3829</v>
      </c>
      <c r="K1071" s="322">
        <v>4.99</v>
      </c>
      <c r="L1071" s="322">
        <v>109.06</v>
      </c>
      <c r="M1071" s="322" t="s">
        <v>6</v>
      </c>
      <c r="N1071" s="322" t="s">
        <v>368</v>
      </c>
      <c r="O1071" s="322" t="s">
        <v>1347</v>
      </c>
      <c r="P1071" s="322" t="s">
        <v>392</v>
      </c>
      <c r="Q1071" s="322" t="s">
        <v>691</v>
      </c>
      <c r="R1071" s="322" t="s">
        <v>699</v>
      </c>
      <c r="S1071" s="303">
        <f t="shared" si="17"/>
        <v>756989952.7765801</v>
      </c>
      <c r="T1071" s="307">
        <f>+IFERROR(VLOOKUP(C1071,'Tasas Diarias'!$B:$F,5,FALSE)*G1071,0)</f>
        <v>0</v>
      </c>
      <c r="U1071" s="311" t="str">
        <f ca="1">+VLOOKUP(C1071,Spreads!$A$2:$G$345,7,0)</f>
        <v/>
      </c>
    </row>
    <row r="1072" spans="1:21" ht="15.75" hidden="1" customHeight="1" thickTop="1" thickBot="1">
      <c r="A1072" s="321" t="s">
        <v>2137</v>
      </c>
      <c r="B1072" s="322" t="s">
        <v>298</v>
      </c>
      <c r="C1072" s="322" t="s">
        <v>875</v>
      </c>
      <c r="D1072" s="322" t="s">
        <v>876</v>
      </c>
      <c r="E1072" s="323">
        <v>28928285.140700001</v>
      </c>
      <c r="F1072" s="323"/>
      <c r="G1072" s="314">
        <v>3.2899999999999997E-4</v>
      </c>
      <c r="H1072" s="324">
        <v>0</v>
      </c>
      <c r="I1072" s="322" t="s">
        <v>877</v>
      </c>
      <c r="J1072" s="322">
        <v>2247</v>
      </c>
      <c r="K1072" s="322">
        <v>5.04</v>
      </c>
      <c r="L1072" s="322">
        <v>105.1323</v>
      </c>
      <c r="M1072" s="322" t="s">
        <v>9</v>
      </c>
      <c r="N1072" s="322" t="s">
        <v>368</v>
      </c>
      <c r="O1072" s="322" t="s">
        <v>560</v>
      </c>
      <c r="P1072" s="322" t="s">
        <v>878</v>
      </c>
      <c r="Q1072" s="322" t="s">
        <v>879</v>
      </c>
      <c r="R1072" s="322" t="s">
        <v>880</v>
      </c>
      <c r="S1072" s="303">
        <f t="shared" si="17"/>
        <v>145798557.109128</v>
      </c>
      <c r="T1072" s="307">
        <f>+IFERROR(VLOOKUP(C1072,'Tasas Diarias'!$B:$F,5,FALSE)*G1072,0)</f>
        <v>0</v>
      </c>
      <c r="U1072" s="311" t="e">
        <f>+VLOOKUP(C1072,Spreads!$A$2:$G$345,7,0)</f>
        <v>#N/A</v>
      </c>
    </row>
    <row r="1073" spans="1:21" ht="15.75" hidden="1" customHeight="1" thickTop="1" thickBot="1">
      <c r="A1073" s="317" t="s">
        <v>2137</v>
      </c>
      <c r="B1073" s="318" t="s">
        <v>298</v>
      </c>
      <c r="C1073" s="318" t="s">
        <v>872</v>
      </c>
      <c r="D1073" s="318" t="s">
        <v>15</v>
      </c>
      <c r="E1073" s="319">
        <v>202967158.50049999</v>
      </c>
      <c r="F1073" s="319"/>
      <c r="G1073" s="314">
        <v>2.31E-3</v>
      </c>
      <c r="H1073" s="320">
        <v>2.2799999999999998</v>
      </c>
      <c r="I1073" s="318" t="s">
        <v>873</v>
      </c>
      <c r="J1073" s="318">
        <v>3860</v>
      </c>
      <c r="K1073" s="318">
        <v>5.09</v>
      </c>
      <c r="L1073" s="318">
        <v>108.7</v>
      </c>
      <c r="M1073" s="318" t="s">
        <v>6</v>
      </c>
      <c r="N1073" s="318" t="s">
        <v>368</v>
      </c>
      <c r="O1073" s="318" t="s">
        <v>8</v>
      </c>
      <c r="P1073" s="318" t="s">
        <v>417</v>
      </c>
      <c r="Q1073" s="318" t="s">
        <v>28</v>
      </c>
      <c r="R1073" s="318" t="s">
        <v>874</v>
      </c>
      <c r="S1073" s="303">
        <f t="shared" si="17"/>
        <v>1033102836.767545</v>
      </c>
      <c r="T1073" s="307">
        <f>+IFERROR(VLOOKUP(C1073,'Tasas Diarias'!$B:$F,5,FALSE)*G1073,0)</f>
        <v>1.1891564865671611E-6</v>
      </c>
      <c r="U1073" s="311" t="str">
        <f ca="1">+VLOOKUP(C1073,Spreads!$A$2:$G$345,7,0)</f>
        <v/>
      </c>
    </row>
    <row r="1074" spans="1:21" ht="15.75" hidden="1" customHeight="1" thickTop="1" thickBot="1">
      <c r="A1074" s="321" t="s">
        <v>2137</v>
      </c>
      <c r="B1074" s="322" t="s">
        <v>298</v>
      </c>
      <c r="C1074" s="322" t="s">
        <v>704</v>
      </c>
      <c r="D1074" s="322" t="s">
        <v>24</v>
      </c>
      <c r="E1074" s="323">
        <v>29105394</v>
      </c>
      <c r="F1074" s="323">
        <v>1000</v>
      </c>
      <c r="G1074" s="314">
        <v>3.3100000000000002E-4</v>
      </c>
      <c r="H1074" s="324">
        <v>2.04</v>
      </c>
      <c r="I1074" s="322" t="s">
        <v>2132</v>
      </c>
      <c r="J1074" s="322">
        <v>2141</v>
      </c>
      <c r="K1074" s="322">
        <v>5.34</v>
      </c>
      <c r="L1074" s="322">
        <v>108.59</v>
      </c>
      <c r="M1074" s="322" t="s">
        <v>6</v>
      </c>
      <c r="N1074" s="322" t="s">
        <v>368</v>
      </c>
      <c r="O1074" s="322" t="s">
        <v>8</v>
      </c>
      <c r="P1074" s="322" t="s">
        <v>392</v>
      </c>
      <c r="Q1074" s="322" t="s">
        <v>51</v>
      </c>
      <c r="R1074" s="322" t="s">
        <v>414</v>
      </c>
      <c r="S1074" s="303">
        <f t="shared" si="17"/>
        <v>155422803.96000001</v>
      </c>
      <c r="T1074" s="307">
        <f>+IFERROR(VLOOKUP(C1074,'Tasas Diarias'!$B:$F,5,FALSE)*G1074,0)</f>
        <v>0</v>
      </c>
      <c r="U1074" s="311" t="str">
        <f ca="1">+VLOOKUP(C1074,Spreads!$A$2:$G$345,7,0)</f>
        <v/>
      </c>
    </row>
    <row r="1075" spans="1:21" ht="15.75" hidden="1" customHeight="1" thickTop="1" thickBot="1">
      <c r="A1075" s="321" t="s">
        <v>2137</v>
      </c>
      <c r="B1075" s="322" t="s">
        <v>298</v>
      </c>
      <c r="C1075" s="322" t="s">
        <v>705</v>
      </c>
      <c r="D1075" s="322" t="s">
        <v>620</v>
      </c>
      <c r="E1075" s="323">
        <v>737717804.23829997</v>
      </c>
      <c r="F1075" s="323">
        <v>20000</v>
      </c>
      <c r="G1075" s="314">
        <v>8.397E-3</v>
      </c>
      <c r="H1075" s="324">
        <v>2.09</v>
      </c>
      <c r="I1075" s="322" t="s">
        <v>706</v>
      </c>
      <c r="J1075" s="322">
        <v>2144</v>
      </c>
      <c r="K1075" s="322">
        <v>5.35</v>
      </c>
      <c r="L1075" s="322">
        <v>108.15</v>
      </c>
      <c r="M1075" s="322" t="s">
        <v>6</v>
      </c>
      <c r="N1075" s="322" t="s">
        <v>368</v>
      </c>
      <c r="O1075" s="322" t="s">
        <v>560</v>
      </c>
      <c r="P1075" s="322" t="s">
        <v>7</v>
      </c>
      <c r="Q1075" s="322" t="s">
        <v>622</v>
      </c>
      <c r="R1075" s="322" t="s">
        <v>623</v>
      </c>
      <c r="S1075" s="303">
        <f t="shared" si="17"/>
        <v>3946790252.6749043</v>
      </c>
      <c r="T1075" s="307">
        <f>+IFERROR(VLOOKUP(C1075,'Tasas Diarias'!$B:$F,5,FALSE)*G1075,0)</f>
        <v>4.5438570009129547E-6</v>
      </c>
      <c r="U1075" s="311" t="str">
        <f ca="1">+VLOOKUP(C1075,Spreads!$A$2:$G$345,7,0)</f>
        <v/>
      </c>
    </row>
    <row r="1076" spans="1:21" ht="15.75" hidden="1" customHeight="1" thickTop="1" thickBot="1">
      <c r="A1076" s="321" t="s">
        <v>2137</v>
      </c>
      <c r="B1076" s="322" t="s">
        <v>298</v>
      </c>
      <c r="C1076" s="322" t="s">
        <v>881</v>
      </c>
      <c r="D1076" s="322" t="s">
        <v>292</v>
      </c>
      <c r="E1076" s="323">
        <v>282409158.04570001</v>
      </c>
      <c r="F1076" s="323">
        <v>10000</v>
      </c>
      <c r="G1076" s="314">
        <v>3.2139999999999998E-3</v>
      </c>
      <c r="H1076" s="324">
        <v>2.37</v>
      </c>
      <c r="I1076" s="322" t="s">
        <v>882</v>
      </c>
      <c r="J1076" s="322">
        <v>4181</v>
      </c>
      <c r="K1076" s="322">
        <v>5.36</v>
      </c>
      <c r="L1076" s="322">
        <v>104.63</v>
      </c>
      <c r="M1076" s="322" t="s">
        <v>6</v>
      </c>
      <c r="N1076" s="322" t="s">
        <v>368</v>
      </c>
      <c r="O1076" s="322" t="s">
        <v>551</v>
      </c>
      <c r="P1076" s="322" t="s">
        <v>392</v>
      </c>
      <c r="Q1076" s="322" t="s">
        <v>327</v>
      </c>
      <c r="R1076" s="322" t="s">
        <v>883</v>
      </c>
      <c r="S1076" s="303">
        <f t="shared" si="17"/>
        <v>1513713087.1249521</v>
      </c>
      <c r="T1076" s="307">
        <f>+IFERROR(VLOOKUP(C1076,'Tasas Diarias'!$B:$F,5,FALSE)*G1076,0)</f>
        <v>3.4704982782421663E-6</v>
      </c>
      <c r="U1076" s="311" t="str">
        <f ca="1">+VLOOKUP(C1076,Spreads!$A$2:$G$345,7,0)</f>
        <v/>
      </c>
    </row>
    <row r="1077" spans="1:21" ht="15.75" hidden="1" customHeight="1" thickTop="1" thickBot="1">
      <c r="A1077" s="321" t="s">
        <v>2137</v>
      </c>
      <c r="B1077" s="322" t="s">
        <v>298</v>
      </c>
      <c r="C1077" s="322" t="s">
        <v>709</v>
      </c>
      <c r="D1077" s="322" t="s">
        <v>182</v>
      </c>
      <c r="E1077" s="323">
        <v>14499759</v>
      </c>
      <c r="F1077" s="323">
        <v>500</v>
      </c>
      <c r="G1077" s="314">
        <v>1.65E-4</v>
      </c>
      <c r="H1077" s="322">
        <v>1.95</v>
      </c>
      <c r="I1077" s="322" t="s">
        <v>2133</v>
      </c>
      <c r="J1077" s="322">
        <v>2172</v>
      </c>
      <c r="K1077" s="322">
        <v>5.44</v>
      </c>
      <c r="L1077" s="322">
        <v>108.53</v>
      </c>
      <c r="M1077" s="322" t="s">
        <v>6</v>
      </c>
      <c r="N1077" s="322" t="s">
        <v>368</v>
      </c>
      <c r="O1077" s="322" t="s">
        <v>8</v>
      </c>
      <c r="P1077" s="322" t="s">
        <v>7</v>
      </c>
      <c r="Q1077" s="322" t="s">
        <v>390</v>
      </c>
      <c r="R1077" s="322" t="s">
        <v>402</v>
      </c>
      <c r="S1077" s="303">
        <f t="shared" si="17"/>
        <v>78878688.960000008</v>
      </c>
      <c r="T1077" s="307">
        <f>+IFERROR(VLOOKUP(C1077,'Tasas Diarias'!$B:$F,5,FALSE)*G1077,0)</f>
        <v>0</v>
      </c>
      <c r="U1077" s="311" t="str">
        <f ca="1">+VLOOKUP(C1077,Spreads!$A$2:$G$345,7,0)</f>
        <v/>
      </c>
    </row>
    <row r="1078" spans="1:21" ht="15.75" hidden="1" customHeight="1" thickTop="1" thickBot="1">
      <c r="A1078" s="321" t="s">
        <v>2137</v>
      </c>
      <c r="B1078" s="322" t="s">
        <v>298</v>
      </c>
      <c r="C1078" s="322" t="s">
        <v>2134</v>
      </c>
      <c r="D1078" s="322" t="s">
        <v>58</v>
      </c>
      <c r="E1078" s="323">
        <v>43374078</v>
      </c>
      <c r="F1078" s="323">
        <v>2000</v>
      </c>
      <c r="G1078" s="314">
        <v>4.9299999999999995E-4</v>
      </c>
      <c r="H1078" s="324">
        <v>2.21</v>
      </c>
      <c r="I1078" s="322" t="s">
        <v>2135</v>
      </c>
      <c r="J1078" s="322">
        <v>4211</v>
      </c>
      <c r="K1078" s="322">
        <v>5.52</v>
      </c>
      <c r="L1078" s="322">
        <v>113.23</v>
      </c>
      <c r="M1078" s="322" t="s">
        <v>6</v>
      </c>
      <c r="N1078" s="322" t="s">
        <v>368</v>
      </c>
      <c r="O1078" s="322" t="s">
        <v>8</v>
      </c>
      <c r="P1078" s="322" t="s">
        <v>392</v>
      </c>
      <c r="Q1078" s="322" t="s">
        <v>58</v>
      </c>
      <c r="R1078" s="322" t="s">
        <v>745</v>
      </c>
      <c r="S1078" s="303">
        <f t="shared" si="17"/>
        <v>239424910.55999997</v>
      </c>
      <c r="T1078" s="307">
        <f>+IFERROR(VLOOKUP(C1078,'Tasas Diarias'!$B:$F,5,FALSE)*G1078,0)</f>
        <v>0</v>
      </c>
      <c r="U1078" s="311" t="e">
        <f>+VLOOKUP(C1078,Spreads!$A$2:$G$345,7,0)</f>
        <v>#N/A</v>
      </c>
    </row>
    <row r="1079" spans="1:21" ht="15.75" hidden="1" customHeight="1" thickTop="1" thickBot="1">
      <c r="A1079" s="317" t="s">
        <v>2137</v>
      </c>
      <c r="B1079" s="318" t="s">
        <v>298</v>
      </c>
      <c r="C1079" s="318" t="s">
        <v>1857</v>
      </c>
      <c r="D1079" s="318" t="s">
        <v>1538</v>
      </c>
      <c r="E1079" s="319">
        <v>75456851.963499993</v>
      </c>
      <c r="F1079" s="319"/>
      <c r="G1079" s="314">
        <v>8.5899999999999995E-4</v>
      </c>
      <c r="H1079" s="320">
        <v>0</v>
      </c>
      <c r="I1079" s="318" t="s">
        <v>1858</v>
      </c>
      <c r="J1079" s="318">
        <v>2497</v>
      </c>
      <c r="K1079" s="318">
        <v>5.59</v>
      </c>
      <c r="L1079" s="318">
        <v>102.80589999999999</v>
      </c>
      <c r="M1079" s="318" t="s">
        <v>9</v>
      </c>
      <c r="N1079" s="318" t="s">
        <v>368</v>
      </c>
      <c r="O1079" s="318" t="s">
        <v>1346</v>
      </c>
      <c r="P1079" s="318" t="s">
        <v>109</v>
      </c>
      <c r="Q1079" s="318" t="s">
        <v>1539</v>
      </c>
      <c r="R1079" s="318" t="s">
        <v>1540</v>
      </c>
      <c r="S1079" s="303">
        <f t="shared" si="17"/>
        <v>421803802.47596496</v>
      </c>
      <c r="T1079" s="307">
        <f>+IFERROR(VLOOKUP(C1079,'Tasas Diarias'!$B:$F,5,FALSE)*G1079,0)</f>
        <v>0</v>
      </c>
      <c r="U1079" s="311" t="e">
        <f>+VLOOKUP(C1079,Spreads!$A$2:$G$345,7,0)</f>
        <v>#N/A</v>
      </c>
    </row>
    <row r="1080" spans="1:21" ht="15.75" hidden="1" customHeight="1" thickTop="1" thickBot="1">
      <c r="A1080" s="317" t="s">
        <v>2137</v>
      </c>
      <c r="B1080" s="318" t="s">
        <v>298</v>
      </c>
      <c r="C1080" s="318" t="s">
        <v>1527</v>
      </c>
      <c r="D1080" s="318" t="s">
        <v>168</v>
      </c>
      <c r="E1080" s="319">
        <v>174863098.03299999</v>
      </c>
      <c r="F1080" s="319"/>
      <c r="G1080" s="314">
        <v>1.99E-3</v>
      </c>
      <c r="H1080" s="318">
        <v>1.98</v>
      </c>
      <c r="I1080" s="318" t="s">
        <v>1528</v>
      </c>
      <c r="J1080" s="318">
        <v>2264</v>
      </c>
      <c r="K1080" s="318">
        <v>5.62</v>
      </c>
      <c r="L1080" s="318">
        <v>108.04</v>
      </c>
      <c r="M1080" s="318" t="s">
        <v>6</v>
      </c>
      <c r="N1080" s="318" t="s">
        <v>368</v>
      </c>
      <c r="O1080" s="318" t="s">
        <v>8</v>
      </c>
      <c r="P1080" s="318" t="s">
        <v>379</v>
      </c>
      <c r="Q1080" s="318" t="s">
        <v>77</v>
      </c>
      <c r="R1080" s="318" t="s">
        <v>453</v>
      </c>
      <c r="S1080" s="303">
        <f t="shared" si="17"/>
        <v>982730610.94545996</v>
      </c>
      <c r="T1080" s="307">
        <f>+IFERROR(VLOOKUP(C1080,'Tasas Diarias'!$B:$F,5,FALSE)*G1080,0)</f>
        <v>1.1300757427790271E-6</v>
      </c>
      <c r="U1080" s="311" t="e">
        <f>+VLOOKUP(C1080,Spreads!$A$2:$G$345,7,0)</f>
        <v>#N/A</v>
      </c>
    </row>
    <row r="1081" spans="1:21" ht="15.75" hidden="1" customHeight="1" thickTop="1" thickBot="1">
      <c r="A1081" s="317" t="s">
        <v>2137</v>
      </c>
      <c r="B1081" s="318" t="s">
        <v>298</v>
      </c>
      <c r="C1081" s="318" t="s">
        <v>886</v>
      </c>
      <c r="D1081" s="318" t="s">
        <v>5</v>
      </c>
      <c r="E1081" s="319">
        <v>1238493312.1152999</v>
      </c>
      <c r="F1081" s="319">
        <v>40000</v>
      </c>
      <c r="G1081" s="314">
        <v>1.4097E-2</v>
      </c>
      <c r="H1081" s="318">
        <v>2.54</v>
      </c>
      <c r="I1081" s="318" t="s">
        <v>887</v>
      </c>
      <c r="J1081" s="318">
        <v>4043</v>
      </c>
      <c r="K1081" s="318">
        <v>5.62</v>
      </c>
      <c r="L1081" s="318">
        <v>115.65</v>
      </c>
      <c r="M1081" s="318" t="s">
        <v>6</v>
      </c>
      <c r="N1081" s="318" t="s">
        <v>368</v>
      </c>
      <c r="O1081" s="318" t="s">
        <v>1898</v>
      </c>
      <c r="P1081" s="318" t="s">
        <v>25</v>
      </c>
      <c r="Q1081" s="318" t="s">
        <v>53</v>
      </c>
      <c r="R1081" s="318" t="s">
        <v>888</v>
      </c>
      <c r="S1081" s="303">
        <f t="shared" si="17"/>
        <v>6960332414.087986</v>
      </c>
      <c r="T1081" s="307">
        <f>+IFERROR(VLOOKUP(C1081,'Tasas Diarias'!$B:$F,5,FALSE)*G1081,0)</f>
        <v>0</v>
      </c>
      <c r="U1081" s="311" t="str">
        <f ca="1">+VLOOKUP(C1081,Spreads!$A$2:$G$345,7,0)</f>
        <v/>
      </c>
    </row>
    <row r="1082" spans="1:21" ht="15.75" hidden="1" customHeight="1" thickTop="1" thickBot="1">
      <c r="A1082" s="317" t="s">
        <v>2137</v>
      </c>
      <c r="B1082" s="318" t="s">
        <v>298</v>
      </c>
      <c r="C1082" s="318" t="s">
        <v>1884</v>
      </c>
      <c r="D1082" s="318" t="s">
        <v>1885</v>
      </c>
      <c r="E1082" s="319">
        <v>90458967.7148</v>
      </c>
      <c r="F1082" s="319"/>
      <c r="G1082" s="314">
        <v>1.0300000000000001E-3</v>
      </c>
      <c r="H1082" s="320">
        <v>2.92</v>
      </c>
      <c r="I1082" s="318" t="s">
        <v>1886</v>
      </c>
      <c r="J1082" s="318">
        <v>2764</v>
      </c>
      <c r="K1082" s="318">
        <v>5.66</v>
      </c>
      <c r="L1082" s="318">
        <v>111</v>
      </c>
      <c r="M1082" s="318" t="s">
        <v>6</v>
      </c>
      <c r="N1082" s="318" t="s">
        <v>368</v>
      </c>
      <c r="O1082" s="318" t="s">
        <v>1898</v>
      </c>
      <c r="P1082" s="318" t="s">
        <v>25</v>
      </c>
      <c r="Q1082" s="318" t="s">
        <v>1901</v>
      </c>
      <c r="R1082" s="318" t="s">
        <v>1887</v>
      </c>
      <c r="S1082" s="303">
        <f t="shared" si="17"/>
        <v>511997757.26576799</v>
      </c>
      <c r="T1082" s="307">
        <f>+IFERROR(VLOOKUP(C1082,'Tasas Diarias'!$B:$F,5,FALSE)*G1082,0)</f>
        <v>5.8892659149945212E-7</v>
      </c>
      <c r="U1082" s="311" t="e">
        <f>+VLOOKUP(C1082,Spreads!$A$2:$G$345,7,0)</f>
        <v>#N/A</v>
      </c>
    </row>
    <row r="1083" spans="1:21" ht="15.75" hidden="1" customHeight="1" thickTop="1" thickBot="1">
      <c r="A1083" s="317" t="s">
        <v>2137</v>
      </c>
      <c r="B1083" s="318" t="s">
        <v>298</v>
      </c>
      <c r="C1083" s="318" t="s">
        <v>1954</v>
      </c>
      <c r="D1083" s="318" t="s">
        <v>1595</v>
      </c>
      <c r="E1083" s="319">
        <v>92109567.247299999</v>
      </c>
      <c r="F1083" s="319"/>
      <c r="G1083" s="314">
        <v>1.0480000000000001E-3</v>
      </c>
      <c r="H1083" s="320">
        <v>3.26</v>
      </c>
      <c r="I1083" s="318" t="s">
        <v>720</v>
      </c>
      <c r="J1083" s="318">
        <v>4408</v>
      </c>
      <c r="K1083" s="318">
        <v>5.71</v>
      </c>
      <c r="L1083" s="318">
        <v>112.72</v>
      </c>
      <c r="M1083" s="318" t="s">
        <v>6</v>
      </c>
      <c r="N1083" s="318" t="s">
        <v>368</v>
      </c>
      <c r="O1083" s="318" t="s">
        <v>1348</v>
      </c>
      <c r="P1083" s="318" t="s">
        <v>794</v>
      </c>
      <c r="Q1083" s="318" t="s">
        <v>1597</v>
      </c>
      <c r="R1083" s="318" t="s">
        <v>1607</v>
      </c>
      <c r="S1083" s="303">
        <f t="shared" si="17"/>
        <v>525945628.98208296</v>
      </c>
      <c r="T1083" s="307">
        <f>+IFERROR(VLOOKUP(C1083,'Tasas Diarias'!$B:$F,5,FALSE)*G1083,0)</f>
        <v>1.5640890687334366E-5</v>
      </c>
      <c r="U1083" s="311" t="e">
        <f>+VLOOKUP(C1083,Spreads!$A$2:$G$345,7,0)</f>
        <v>#N/A</v>
      </c>
    </row>
    <row r="1084" spans="1:21" ht="15.75" hidden="1" customHeight="1" thickTop="1" thickBot="1">
      <c r="A1084" s="321" t="s">
        <v>2137</v>
      </c>
      <c r="B1084" s="322" t="s">
        <v>298</v>
      </c>
      <c r="C1084" s="322" t="s">
        <v>1149</v>
      </c>
      <c r="D1084" s="322" t="s">
        <v>1094</v>
      </c>
      <c r="E1084" s="323">
        <v>22278698</v>
      </c>
      <c r="F1084" s="323">
        <v>1229.9949999999999</v>
      </c>
      <c r="G1084" s="314">
        <v>2.5300000000000002E-4</v>
      </c>
      <c r="H1084" s="324">
        <v>3.04</v>
      </c>
      <c r="I1084" s="322" t="s">
        <v>1150</v>
      </c>
      <c r="J1084" s="322">
        <v>4425</v>
      </c>
      <c r="K1084" s="322">
        <v>5.72</v>
      </c>
      <c r="L1084" s="322">
        <v>108.26</v>
      </c>
      <c r="M1084" s="322" t="s">
        <v>6</v>
      </c>
      <c r="N1084" s="322" t="s">
        <v>1095</v>
      </c>
      <c r="O1084" s="322" t="s">
        <v>8</v>
      </c>
      <c r="P1084" s="322" t="s">
        <v>392</v>
      </c>
      <c r="Q1084" s="322" t="s">
        <v>67</v>
      </c>
      <c r="R1084" s="322" t="s">
        <v>1151</v>
      </c>
      <c r="S1084" s="303">
        <f t="shared" si="17"/>
        <v>127434152.55999999</v>
      </c>
      <c r="T1084" s="307">
        <f>+IFERROR(VLOOKUP(C1084,'Tasas Diarias'!$B:$F,5,FALSE)*G1084,0)</f>
        <v>1.4584194746392787E-7</v>
      </c>
      <c r="U1084" s="311" t="e">
        <f>+VLOOKUP(C1084,Spreads!$A$2:$G$345,7,0)</f>
        <v>#N/A</v>
      </c>
    </row>
    <row r="1085" spans="1:21" ht="15.75" hidden="1" customHeight="1" thickTop="1" thickBot="1">
      <c r="A1085" s="317" t="s">
        <v>2137</v>
      </c>
      <c r="B1085" s="318" t="s">
        <v>298</v>
      </c>
      <c r="C1085" s="318" t="s">
        <v>710</v>
      </c>
      <c r="D1085" s="318" t="s">
        <v>166</v>
      </c>
      <c r="E1085" s="319">
        <v>1076913638.9827001</v>
      </c>
      <c r="F1085" s="326">
        <v>25000</v>
      </c>
      <c r="G1085" s="314">
        <v>1.2258E-2</v>
      </c>
      <c r="H1085" s="318">
        <v>2.54</v>
      </c>
      <c r="I1085" s="318" t="s">
        <v>711</v>
      </c>
      <c r="J1085" s="318">
        <v>4347</v>
      </c>
      <c r="K1085" s="318">
        <v>5.73</v>
      </c>
      <c r="L1085" s="318">
        <v>118.42</v>
      </c>
      <c r="M1085" s="318" t="s">
        <v>6</v>
      </c>
      <c r="N1085" s="318" t="s">
        <v>368</v>
      </c>
      <c r="O1085" s="318" t="s">
        <v>429</v>
      </c>
      <c r="P1085" s="318" t="s">
        <v>392</v>
      </c>
      <c r="Q1085" s="318" t="s">
        <v>57</v>
      </c>
      <c r="R1085" s="318" t="s">
        <v>447</v>
      </c>
      <c r="S1085" s="303">
        <f t="shared" si="17"/>
        <v>6170715151.3708725</v>
      </c>
      <c r="T1085" s="307">
        <f>+IFERROR(VLOOKUP(C1085,'Tasas Diarias'!$B:$F,5,FALSE)*G1085,0)</f>
        <v>0</v>
      </c>
      <c r="U1085" s="311" t="str">
        <f ca="1">+VLOOKUP(C1085,Spreads!$A$2:$G$345,7,0)</f>
        <v/>
      </c>
    </row>
    <row r="1086" spans="1:21" ht="15.75" hidden="1" customHeight="1" thickTop="1" thickBot="1">
      <c r="A1086" s="317" t="s">
        <v>2137</v>
      </c>
      <c r="B1086" s="318" t="s">
        <v>298</v>
      </c>
      <c r="C1086" s="318" t="s">
        <v>716</v>
      </c>
      <c r="D1086" s="318" t="s">
        <v>295</v>
      </c>
      <c r="E1086" s="319">
        <v>85138695.6998</v>
      </c>
      <c r="F1086" s="319"/>
      <c r="G1086" s="314">
        <v>9.6900000000000003E-4</v>
      </c>
      <c r="H1086" s="320">
        <v>2.0499999999999998</v>
      </c>
      <c r="I1086" s="318" t="s">
        <v>717</v>
      </c>
      <c r="J1086" s="318">
        <v>2293</v>
      </c>
      <c r="K1086" s="318">
        <v>5.75</v>
      </c>
      <c r="L1086" s="318">
        <v>105.6</v>
      </c>
      <c r="M1086" s="318" t="s">
        <v>6</v>
      </c>
      <c r="N1086" s="318" t="s">
        <v>368</v>
      </c>
      <c r="O1086" s="318" t="s">
        <v>8</v>
      </c>
      <c r="P1086" s="318" t="s">
        <v>7</v>
      </c>
      <c r="Q1086" s="318" t="s">
        <v>70</v>
      </c>
      <c r="R1086" s="318" t="s">
        <v>506</v>
      </c>
      <c r="S1086" s="303">
        <f t="shared" si="17"/>
        <v>489547500.27385002</v>
      </c>
      <c r="T1086" s="307">
        <f>+IFERROR(VLOOKUP(C1086,'Tasas Diarias'!$B:$F,5,FALSE)*G1086,0)</f>
        <v>0</v>
      </c>
      <c r="U1086" s="311" t="str">
        <f ca="1">+VLOOKUP(C1086,Spreads!$A$2:$G$345,7,0)</f>
        <v/>
      </c>
    </row>
    <row r="1087" spans="1:21" ht="15.75" hidden="1" customHeight="1" thickTop="1" thickBot="1">
      <c r="A1087" s="317" t="s">
        <v>2137</v>
      </c>
      <c r="B1087" s="318" t="s">
        <v>298</v>
      </c>
      <c r="C1087" s="318" t="s">
        <v>712</v>
      </c>
      <c r="D1087" s="318" t="s">
        <v>40</v>
      </c>
      <c r="E1087" s="319">
        <v>86055837.026500002</v>
      </c>
      <c r="F1087" s="319"/>
      <c r="G1087" s="314">
        <v>9.7999999999999997E-4</v>
      </c>
      <c r="H1087" s="320">
        <v>2.2799999999999998</v>
      </c>
      <c r="I1087" s="318" t="s">
        <v>713</v>
      </c>
      <c r="J1087" s="318">
        <v>4240</v>
      </c>
      <c r="K1087" s="318">
        <v>5.78</v>
      </c>
      <c r="L1087" s="318">
        <v>115.95</v>
      </c>
      <c r="M1087" s="318" t="s">
        <v>6</v>
      </c>
      <c r="N1087" s="318" t="s">
        <v>368</v>
      </c>
      <c r="O1087" s="318" t="s">
        <v>1346</v>
      </c>
      <c r="P1087" s="318" t="s">
        <v>392</v>
      </c>
      <c r="Q1087" s="318" t="s">
        <v>714</v>
      </c>
      <c r="R1087" s="318" t="s">
        <v>715</v>
      </c>
      <c r="S1087" s="303">
        <f t="shared" si="17"/>
        <v>497402738.01317</v>
      </c>
      <c r="T1087" s="307">
        <f>+IFERROR(VLOOKUP(C1087,'Tasas Diarias'!$B:$F,5,FALSE)*G1087,0)</f>
        <v>-5.7222426920323735E-7</v>
      </c>
      <c r="U1087" s="311" t="str">
        <f ca="1">+VLOOKUP(C1087,Spreads!$A$2:$G$345,7,0)</f>
        <v/>
      </c>
    </row>
    <row r="1088" spans="1:21" ht="15.75" hidden="1" customHeight="1" thickTop="1" thickBot="1">
      <c r="A1088" s="317" t="s">
        <v>2137</v>
      </c>
      <c r="B1088" s="318" t="s">
        <v>298</v>
      </c>
      <c r="C1088" s="318" t="s">
        <v>1919</v>
      </c>
      <c r="D1088" s="318" t="s">
        <v>176</v>
      </c>
      <c r="E1088" s="319">
        <v>120161058.56479999</v>
      </c>
      <c r="F1088" s="319"/>
      <c r="G1088" s="314">
        <v>1.3680000000000001E-3</v>
      </c>
      <c r="H1088" s="320">
        <v>2.1</v>
      </c>
      <c r="I1088" s="318" t="s">
        <v>1920</v>
      </c>
      <c r="J1088" s="318">
        <v>2385</v>
      </c>
      <c r="K1088" s="318">
        <v>5.85</v>
      </c>
      <c r="L1088" s="318">
        <v>108.24</v>
      </c>
      <c r="M1088" s="318" t="s">
        <v>6</v>
      </c>
      <c r="N1088" s="318" t="s">
        <v>368</v>
      </c>
      <c r="O1088" s="318" t="s">
        <v>8</v>
      </c>
      <c r="P1088" s="318" t="s">
        <v>7</v>
      </c>
      <c r="Q1088" s="318" t="s">
        <v>326</v>
      </c>
      <c r="R1088" s="318" t="s">
        <v>450</v>
      </c>
      <c r="S1088" s="303">
        <f t="shared" si="17"/>
        <v>702942192.60407996</v>
      </c>
      <c r="T1088" s="307">
        <f>+IFERROR(VLOOKUP(C1088,'Tasas Diarias'!$B:$F,5,FALSE)*G1088,0)</f>
        <v>0</v>
      </c>
      <c r="U1088" s="311" t="e">
        <f>+VLOOKUP(C1088,Spreads!$A$2:$G$345,7,0)</f>
        <v>#N/A</v>
      </c>
    </row>
    <row r="1089" spans="1:21" ht="15.75" hidden="1" customHeight="1" thickTop="1" thickBot="1">
      <c r="A1089" s="321" t="s">
        <v>2137</v>
      </c>
      <c r="B1089" s="322" t="s">
        <v>298</v>
      </c>
      <c r="C1089" s="322" t="s">
        <v>719</v>
      </c>
      <c r="D1089" s="322" t="s">
        <v>172</v>
      </c>
      <c r="E1089" s="323">
        <v>154281824.87130001</v>
      </c>
      <c r="F1089" s="323"/>
      <c r="G1089" s="314">
        <v>1.756E-3</v>
      </c>
      <c r="H1089" s="324">
        <v>2.1800000000000002</v>
      </c>
      <c r="I1089" s="322" t="s">
        <v>720</v>
      </c>
      <c r="J1089" s="322">
        <v>4408</v>
      </c>
      <c r="K1089" s="322">
        <v>5.9</v>
      </c>
      <c r="L1089" s="322">
        <v>115.38</v>
      </c>
      <c r="M1089" s="322" t="s">
        <v>6</v>
      </c>
      <c r="N1089" s="322" t="s">
        <v>368</v>
      </c>
      <c r="O1089" s="322" t="s">
        <v>1346</v>
      </c>
      <c r="P1089" s="322" t="s">
        <v>7</v>
      </c>
      <c r="Q1089" s="322" t="s">
        <v>81</v>
      </c>
      <c r="R1089" s="322" t="s">
        <v>721</v>
      </c>
      <c r="S1089" s="303">
        <f t="shared" si="17"/>
        <v>910262766.74067008</v>
      </c>
      <c r="T1089" s="307">
        <f>+IFERROR(VLOOKUP(C1089,'Tasas Diarias'!$B:$F,5,FALSE)*G1089,0)</f>
        <v>3.1251171936037883E-6</v>
      </c>
      <c r="U1089" s="311" t="str">
        <f ca="1">+VLOOKUP(C1089,Spreads!$A$2:$G$345,7,0)</f>
        <v/>
      </c>
    </row>
    <row r="1090" spans="1:21" ht="15.75" hidden="1" customHeight="1" thickTop="1" thickBot="1">
      <c r="A1090" s="317" t="s">
        <v>2137</v>
      </c>
      <c r="B1090" s="318" t="s">
        <v>298</v>
      </c>
      <c r="C1090" s="318" t="s">
        <v>1461</v>
      </c>
      <c r="D1090" s="318" t="s">
        <v>1462</v>
      </c>
      <c r="E1090" s="319">
        <v>1355723335.3657999</v>
      </c>
      <c r="F1090" s="319">
        <v>35000</v>
      </c>
      <c r="G1090" s="314">
        <v>1.5431E-2</v>
      </c>
      <c r="H1090" s="320">
        <v>2.57</v>
      </c>
      <c r="I1090" s="318" t="s">
        <v>1463</v>
      </c>
      <c r="J1090" s="318">
        <v>4429</v>
      </c>
      <c r="K1090" s="318">
        <v>5.9</v>
      </c>
      <c r="L1090" s="318">
        <v>113.83</v>
      </c>
      <c r="M1090" s="318" t="s">
        <v>6</v>
      </c>
      <c r="N1090" s="318" t="s">
        <v>368</v>
      </c>
      <c r="O1090" s="318" t="s">
        <v>1348</v>
      </c>
      <c r="P1090" s="318" t="s">
        <v>417</v>
      </c>
      <c r="Q1090" s="318" t="s">
        <v>1464</v>
      </c>
      <c r="R1090" s="318" t="s">
        <v>1465</v>
      </c>
      <c r="S1090" s="303">
        <f t="shared" si="17"/>
        <v>7998767678.6582203</v>
      </c>
      <c r="T1090" s="307">
        <f>+IFERROR(VLOOKUP(C1090,'Tasas Diarias'!$B:$F,5,FALSE)*G1090,0)</f>
        <v>9.1877774129566875E-6</v>
      </c>
      <c r="U1090" s="311" t="e">
        <f>+VLOOKUP(C1090,Spreads!$A$2:$G$345,7,0)</f>
        <v>#N/A</v>
      </c>
    </row>
    <row r="1091" spans="1:21" ht="15.75" hidden="1" customHeight="1" thickTop="1" thickBot="1">
      <c r="A1091" s="327" t="s">
        <v>2137</v>
      </c>
      <c r="B1091" s="328" t="s">
        <v>298</v>
      </c>
      <c r="C1091" s="328" t="s">
        <v>725</v>
      </c>
      <c r="D1091" s="328" t="s">
        <v>485</v>
      </c>
      <c r="E1091" s="328">
        <v>158973734.4492</v>
      </c>
      <c r="F1091" s="328">
        <v>500</v>
      </c>
      <c r="G1091" s="328">
        <v>1.8090000000000001E-3</v>
      </c>
      <c r="H1091" s="329">
        <v>2.14</v>
      </c>
      <c r="I1091" s="328" t="s">
        <v>726</v>
      </c>
      <c r="J1091" s="328">
        <v>4362</v>
      </c>
      <c r="K1091" s="328">
        <v>5.95</v>
      </c>
      <c r="L1091" s="328">
        <v>112.66</v>
      </c>
      <c r="M1091" s="328" t="s">
        <v>6</v>
      </c>
      <c r="N1091" s="328" t="s">
        <v>368</v>
      </c>
      <c r="O1091" s="328" t="s">
        <v>1348</v>
      </c>
      <c r="P1091" s="328" t="s">
        <v>392</v>
      </c>
      <c r="Q1091" s="328" t="s">
        <v>487</v>
      </c>
      <c r="R1091" s="328" t="s">
        <v>488</v>
      </c>
      <c r="S1091" s="303">
        <f t="shared" ref="S1091:S1154" si="18">+IFERROR(E1091*K1091,0)</f>
        <v>945893719.97274005</v>
      </c>
      <c r="T1091" s="307">
        <f>+IFERROR(VLOOKUP(C1091,'Tasas Diarias'!$B:$F,5,FALSE)*G1091,0)</f>
        <v>1.0825378848626179E-6</v>
      </c>
      <c r="U1091" s="311" t="str">
        <f ca="1">+VLOOKUP(C1091,Spreads!$A$2:$G$345,7,0)</f>
        <v/>
      </c>
    </row>
    <row r="1092" spans="1:21" ht="15.75" hidden="1" customHeight="1" thickTop="1" thickBot="1">
      <c r="A1092" s="327" t="s">
        <v>2137</v>
      </c>
      <c r="B1092" s="328" t="s">
        <v>298</v>
      </c>
      <c r="C1092" s="328" t="s">
        <v>1153</v>
      </c>
      <c r="D1092" s="328" t="s">
        <v>24</v>
      </c>
      <c r="E1092" s="328">
        <v>978929400</v>
      </c>
      <c r="F1092" s="328">
        <v>35000</v>
      </c>
      <c r="G1092" s="332">
        <v>1.1142000000000001E-2</v>
      </c>
      <c r="H1092" s="329">
        <v>2.17</v>
      </c>
      <c r="I1092" s="328" t="s">
        <v>1920</v>
      </c>
      <c r="J1092" s="328">
        <v>2385</v>
      </c>
      <c r="K1092" s="328">
        <v>5.96</v>
      </c>
      <c r="L1092" s="328">
        <v>103.53</v>
      </c>
      <c r="M1092" s="328" t="s">
        <v>6</v>
      </c>
      <c r="N1092" s="328" t="s">
        <v>368</v>
      </c>
      <c r="O1092" s="328" t="s">
        <v>8</v>
      </c>
      <c r="P1092" s="328" t="s">
        <v>392</v>
      </c>
      <c r="Q1092" s="328" t="s">
        <v>51</v>
      </c>
      <c r="R1092" s="328" t="s">
        <v>414</v>
      </c>
      <c r="S1092" s="303">
        <f t="shared" si="18"/>
        <v>5834419224</v>
      </c>
      <c r="T1092" s="307">
        <f>+IFERROR(VLOOKUP(C1092,'Tasas Diarias'!$B:$F,5,FALSE)*G1092,0)</f>
        <v>0</v>
      </c>
      <c r="U1092" s="311" t="str">
        <f ca="1">+VLOOKUP(C1092,Spreads!$A$2:$G$345,7,0)</f>
        <v/>
      </c>
    </row>
    <row r="1093" spans="1:21" ht="15.75" hidden="1" customHeight="1" thickTop="1" thickBot="1">
      <c r="A1093" s="321" t="s">
        <v>2137</v>
      </c>
      <c r="B1093" s="322" t="s">
        <v>298</v>
      </c>
      <c r="C1093" s="322" t="s">
        <v>727</v>
      </c>
      <c r="D1093" s="322" t="s">
        <v>82</v>
      </c>
      <c r="E1093" s="323">
        <v>217575302</v>
      </c>
      <c r="F1093" s="323">
        <v>7000</v>
      </c>
      <c r="G1093" s="314">
        <v>2.4759999999999999E-3</v>
      </c>
      <c r="H1093" s="324">
        <v>2.4500000000000002</v>
      </c>
      <c r="I1093" s="322" t="s">
        <v>728</v>
      </c>
      <c r="J1093" s="322">
        <v>4451</v>
      </c>
      <c r="K1093" s="322">
        <v>5.97</v>
      </c>
      <c r="L1093" s="322">
        <v>114.78</v>
      </c>
      <c r="M1093" s="322" t="s">
        <v>6</v>
      </c>
      <c r="N1093" s="322" t="s">
        <v>368</v>
      </c>
      <c r="O1093" s="322" t="s">
        <v>1347</v>
      </c>
      <c r="P1093" s="322" t="s">
        <v>7</v>
      </c>
      <c r="Q1093" s="322" t="s">
        <v>82</v>
      </c>
      <c r="R1093" s="322" t="s">
        <v>679</v>
      </c>
      <c r="S1093" s="303">
        <f t="shared" si="18"/>
        <v>1298924552.9400001</v>
      </c>
      <c r="T1093" s="307">
        <f>+IFERROR(VLOOKUP(C1093,'Tasas Diarias'!$B:$F,5,FALSE)*G1093,0)</f>
        <v>1.4910244597136491E-6</v>
      </c>
      <c r="U1093" s="311" t="str">
        <f ca="1">+VLOOKUP(C1093,Spreads!$A$2:$G$345,7,0)</f>
        <v/>
      </c>
    </row>
    <row r="1094" spans="1:21" ht="15.75" hidden="1" customHeight="1" thickTop="1" thickBot="1">
      <c r="A1094" s="317" t="s">
        <v>2137</v>
      </c>
      <c r="B1094" s="318" t="s">
        <v>298</v>
      </c>
      <c r="C1094" s="318" t="s">
        <v>892</v>
      </c>
      <c r="D1094" s="318" t="s">
        <v>893</v>
      </c>
      <c r="E1094" s="319">
        <v>22600986.932599999</v>
      </c>
      <c r="F1094" s="319"/>
      <c r="G1094" s="314">
        <v>2.5700000000000001E-4</v>
      </c>
      <c r="H1094" s="320">
        <v>0</v>
      </c>
      <c r="I1094" s="318" t="s">
        <v>894</v>
      </c>
      <c r="J1094" s="318">
        <v>2536</v>
      </c>
      <c r="K1094" s="318">
        <v>5.99</v>
      </c>
      <c r="L1094" s="318">
        <v>104.7458</v>
      </c>
      <c r="M1094" s="318" t="s">
        <v>9</v>
      </c>
      <c r="N1094" s="318" t="s">
        <v>368</v>
      </c>
      <c r="O1094" s="318" t="s">
        <v>895</v>
      </c>
      <c r="P1094" s="318" t="s">
        <v>417</v>
      </c>
      <c r="Q1094" s="318" t="s">
        <v>893</v>
      </c>
      <c r="R1094" s="318" t="s">
        <v>896</v>
      </c>
      <c r="S1094" s="303">
        <f t="shared" si="18"/>
        <v>135379911.72627401</v>
      </c>
      <c r="T1094" s="307">
        <f>+IFERROR(VLOOKUP(C1094,'Tasas Diarias'!$B:$F,5,FALSE)*G1094,0)</f>
        <v>0</v>
      </c>
      <c r="U1094" s="311" t="e">
        <f>+VLOOKUP(C1094,Spreads!$A$2:$G$345,7,0)</f>
        <v>#N/A</v>
      </c>
    </row>
    <row r="1095" spans="1:21" ht="15.75" hidden="1" customHeight="1" thickTop="1" thickBot="1">
      <c r="A1095" s="327" t="s">
        <v>2137</v>
      </c>
      <c r="B1095" s="328" t="s">
        <v>298</v>
      </c>
      <c r="C1095" s="328" t="s">
        <v>1445</v>
      </c>
      <c r="D1095" s="328" t="s">
        <v>420</v>
      </c>
      <c r="E1095" s="328">
        <v>143199941.46329999</v>
      </c>
      <c r="F1095" s="328"/>
      <c r="G1095" s="332">
        <v>1.6299999999999999E-3</v>
      </c>
      <c r="H1095" s="329">
        <v>2.4500000000000002</v>
      </c>
      <c r="I1095" s="328" t="s">
        <v>1446</v>
      </c>
      <c r="J1095" s="328">
        <v>4498</v>
      </c>
      <c r="K1095" s="328">
        <v>6.06</v>
      </c>
      <c r="L1095" s="328">
        <v>117.61</v>
      </c>
      <c r="M1095" s="328" t="s">
        <v>6</v>
      </c>
      <c r="N1095" s="328" t="s">
        <v>368</v>
      </c>
      <c r="O1095" s="328" t="s">
        <v>421</v>
      </c>
      <c r="P1095" s="328" t="s">
        <v>417</v>
      </c>
      <c r="Q1095" s="328" t="s">
        <v>422</v>
      </c>
      <c r="R1095" s="328" t="s">
        <v>423</v>
      </c>
      <c r="S1095" s="303">
        <f t="shared" si="18"/>
        <v>867791645.26759791</v>
      </c>
      <c r="T1095" s="307">
        <f>+IFERROR(VLOOKUP(C1095,'Tasas Diarias'!$B:$F,5,FALSE)*G1095,0)</f>
        <v>1.9906015649195934E-6</v>
      </c>
      <c r="U1095" s="311" t="e">
        <f>+VLOOKUP(C1095,Spreads!$A$2:$G$345,7,0)</f>
        <v>#N/A</v>
      </c>
    </row>
    <row r="1096" spans="1:21" ht="15.75" hidden="1" customHeight="1" thickTop="1" thickBot="1">
      <c r="A1096" s="321" t="s">
        <v>2137</v>
      </c>
      <c r="B1096" s="322" t="s">
        <v>298</v>
      </c>
      <c r="C1096" s="322" t="s">
        <v>729</v>
      </c>
      <c r="D1096" s="322" t="s">
        <v>32</v>
      </c>
      <c r="E1096" s="323">
        <v>85247509.077500001</v>
      </c>
      <c r="F1096" s="323"/>
      <c r="G1096" s="314">
        <v>9.7000000000000005E-4</v>
      </c>
      <c r="H1096" s="324">
        <v>2.12</v>
      </c>
      <c r="I1096" s="322" t="s">
        <v>730</v>
      </c>
      <c r="J1096" s="322">
        <v>2446</v>
      </c>
      <c r="K1096" s="322">
        <v>6.09</v>
      </c>
      <c r="L1096" s="322">
        <v>105.48</v>
      </c>
      <c r="M1096" s="322" t="s">
        <v>6</v>
      </c>
      <c r="N1096" s="322" t="s">
        <v>368</v>
      </c>
      <c r="O1096" s="322" t="s">
        <v>8</v>
      </c>
      <c r="P1096" s="322" t="s">
        <v>379</v>
      </c>
      <c r="Q1096" s="322" t="s">
        <v>67</v>
      </c>
      <c r="R1096" s="322" t="s">
        <v>389</v>
      </c>
      <c r="S1096" s="303">
        <f t="shared" si="18"/>
        <v>519157330.28197497</v>
      </c>
      <c r="T1096" s="307">
        <f>+IFERROR(VLOOKUP(C1096,'Tasas Diarias'!$B:$F,5,FALSE)*G1096,0)</f>
        <v>5.9599865176171393E-7</v>
      </c>
      <c r="U1096" s="311" t="str">
        <f ca="1">+VLOOKUP(C1096,Spreads!$A$2:$G$345,7,0)</f>
        <v/>
      </c>
    </row>
    <row r="1097" spans="1:21" ht="15.75" hidden="1" customHeight="1" thickTop="1" thickBot="1">
      <c r="A1097" s="321" t="s">
        <v>2137</v>
      </c>
      <c r="B1097" s="322" t="s">
        <v>298</v>
      </c>
      <c r="C1097" s="322" t="s">
        <v>722</v>
      </c>
      <c r="D1097" s="322" t="s">
        <v>173</v>
      </c>
      <c r="E1097" s="323">
        <v>82484521.426200002</v>
      </c>
      <c r="F1097" s="323"/>
      <c r="G1097" s="314">
        <v>9.3899999999999995E-4</v>
      </c>
      <c r="H1097" s="322">
        <v>2.35</v>
      </c>
      <c r="I1097" s="322" t="s">
        <v>723</v>
      </c>
      <c r="J1097" s="322">
        <v>4759</v>
      </c>
      <c r="K1097" s="322">
        <v>6.18</v>
      </c>
      <c r="L1097" s="322">
        <v>113.32</v>
      </c>
      <c r="M1097" s="322" t="s">
        <v>6</v>
      </c>
      <c r="N1097" s="322" t="s">
        <v>368</v>
      </c>
      <c r="O1097" s="322" t="s">
        <v>8</v>
      </c>
      <c r="P1097" s="322" t="s">
        <v>392</v>
      </c>
      <c r="Q1097" s="322" t="s">
        <v>55</v>
      </c>
      <c r="R1097" s="322" t="s">
        <v>724</v>
      </c>
      <c r="S1097" s="303">
        <f t="shared" si="18"/>
        <v>509754342.41391599</v>
      </c>
      <c r="T1097" s="307">
        <f>+IFERROR(VLOOKUP(C1097,'Tasas Diarias'!$B:$F,5,FALSE)*G1097,0)</f>
        <v>1.1700336877102805E-6</v>
      </c>
      <c r="U1097" s="311" t="str">
        <f ca="1">+VLOOKUP(C1097,Spreads!$A$2:$G$345,7,0)</f>
        <v/>
      </c>
    </row>
    <row r="1098" spans="1:21" ht="15.75" hidden="1" customHeight="1" thickTop="1" thickBot="1">
      <c r="A1098" s="321" t="s">
        <v>2137</v>
      </c>
      <c r="B1098" s="322" t="s">
        <v>298</v>
      </c>
      <c r="C1098" s="322" t="s">
        <v>1593</v>
      </c>
      <c r="D1098" s="322" t="s">
        <v>173</v>
      </c>
      <c r="E1098" s="323">
        <v>59272201.333400004</v>
      </c>
      <c r="F1098" s="323"/>
      <c r="G1098" s="314">
        <v>6.7500000000000004E-4</v>
      </c>
      <c r="H1098" s="322">
        <v>2.35</v>
      </c>
      <c r="I1098" s="322" t="s">
        <v>723</v>
      </c>
      <c r="J1098" s="322">
        <v>4759</v>
      </c>
      <c r="K1098" s="322">
        <v>6.18</v>
      </c>
      <c r="L1098" s="322">
        <v>113.32</v>
      </c>
      <c r="M1098" s="322" t="s">
        <v>6</v>
      </c>
      <c r="N1098" s="322" t="s">
        <v>368</v>
      </c>
      <c r="O1098" s="322" t="s">
        <v>8</v>
      </c>
      <c r="P1098" s="322" t="s">
        <v>392</v>
      </c>
      <c r="Q1098" s="322" t="s">
        <v>55</v>
      </c>
      <c r="R1098" s="322" t="s">
        <v>724</v>
      </c>
      <c r="S1098" s="303">
        <f t="shared" si="18"/>
        <v>366302204.240412</v>
      </c>
      <c r="T1098" s="307">
        <f>+IFERROR(VLOOKUP(C1098,'Tasas Diarias'!$B:$F,5,FALSE)*G1098,0)</f>
        <v>8.4107852950419522E-7</v>
      </c>
      <c r="U1098" s="311" t="e">
        <f>+VLOOKUP(C1098,Spreads!$A$2:$G$345,7,0)</f>
        <v>#N/A</v>
      </c>
    </row>
    <row r="1099" spans="1:21" ht="15.75" hidden="1" customHeight="1" thickTop="1" thickBot="1">
      <c r="A1099" s="321" t="s">
        <v>2137</v>
      </c>
      <c r="B1099" s="322" t="s">
        <v>298</v>
      </c>
      <c r="C1099" s="322" t="s">
        <v>897</v>
      </c>
      <c r="D1099" s="322" t="s">
        <v>50</v>
      </c>
      <c r="E1099" s="323">
        <v>41809074.826099999</v>
      </c>
      <c r="F1099" s="323"/>
      <c r="G1099" s="314">
        <v>4.7600000000000002E-4</v>
      </c>
      <c r="H1099" s="324">
        <v>2.34</v>
      </c>
      <c r="I1099" s="322" t="s">
        <v>898</v>
      </c>
      <c r="J1099" s="322">
        <v>4537</v>
      </c>
      <c r="K1099" s="322">
        <v>6.2</v>
      </c>
      <c r="L1099" s="322">
        <v>117.78</v>
      </c>
      <c r="M1099" s="322" t="s">
        <v>6</v>
      </c>
      <c r="N1099" s="322" t="s">
        <v>368</v>
      </c>
      <c r="O1099" s="322" t="s">
        <v>429</v>
      </c>
      <c r="P1099" s="322" t="s">
        <v>25</v>
      </c>
      <c r="Q1099" s="322" t="s">
        <v>899</v>
      </c>
      <c r="R1099" s="322" t="s">
        <v>900</v>
      </c>
      <c r="S1099" s="303">
        <f t="shared" si="18"/>
        <v>259216263.92182001</v>
      </c>
      <c r="T1099" s="307">
        <f>+IFERROR(VLOOKUP(C1099,'Tasas Diarias'!$B:$F,5,FALSE)*G1099,0)</f>
        <v>2.9763384003351334E-7</v>
      </c>
      <c r="U1099" s="311" t="str">
        <f ca="1">+VLOOKUP(C1099,Spreads!$A$2:$G$345,7,0)</f>
        <v/>
      </c>
    </row>
    <row r="1100" spans="1:21" ht="15.75" hidden="1" customHeight="1" thickTop="1" thickBot="1">
      <c r="A1100" s="317" t="s">
        <v>2137</v>
      </c>
      <c r="B1100" s="318" t="s">
        <v>298</v>
      </c>
      <c r="C1100" s="318" t="s">
        <v>901</v>
      </c>
      <c r="D1100" s="318" t="s">
        <v>902</v>
      </c>
      <c r="E1100" s="319">
        <v>108028682.73890001</v>
      </c>
      <c r="F1100" s="319"/>
      <c r="G1100" s="314">
        <v>1.23E-3</v>
      </c>
      <c r="H1100" s="320">
        <v>2.48</v>
      </c>
      <c r="I1100" s="318" t="s">
        <v>903</v>
      </c>
      <c r="J1100" s="318">
        <v>4585</v>
      </c>
      <c r="K1100" s="318">
        <v>6.2</v>
      </c>
      <c r="L1100" s="318">
        <v>115.83</v>
      </c>
      <c r="M1100" s="318" t="s">
        <v>6</v>
      </c>
      <c r="N1100" s="318" t="s">
        <v>368</v>
      </c>
      <c r="O1100" s="318" t="s">
        <v>429</v>
      </c>
      <c r="P1100" s="318" t="s">
        <v>25</v>
      </c>
      <c r="Q1100" s="318" t="s">
        <v>904</v>
      </c>
      <c r="R1100" s="318" t="s">
        <v>905</v>
      </c>
      <c r="S1100" s="303">
        <f t="shared" si="18"/>
        <v>669777832.98118007</v>
      </c>
      <c r="T1100" s="307">
        <f>+IFERROR(VLOOKUP(C1100,'Tasas Diarias'!$B:$F,5,FALSE)*G1100,0)</f>
        <v>7.6882251859145441E-7</v>
      </c>
      <c r="U1100" s="311" t="str">
        <f ca="1">+VLOOKUP(C1100,Spreads!$A$2:$G$345,7,0)</f>
        <v/>
      </c>
    </row>
    <row r="1101" spans="1:21" ht="15.75" hidden="1" customHeight="1" thickTop="1" thickBot="1">
      <c r="A1101" s="317" t="s">
        <v>2137</v>
      </c>
      <c r="B1101" s="318" t="s">
        <v>298</v>
      </c>
      <c r="C1101" s="318" t="s">
        <v>732</v>
      </c>
      <c r="D1101" s="318" t="s">
        <v>469</v>
      </c>
      <c r="E1101" s="319">
        <v>123534273.2748</v>
      </c>
      <c r="F1101" s="319"/>
      <c r="G1101" s="314">
        <v>1.4059999999999999E-3</v>
      </c>
      <c r="H1101" s="320">
        <v>2.4700000000000002</v>
      </c>
      <c r="I1101" s="318" t="s">
        <v>733</v>
      </c>
      <c r="J1101" s="318">
        <v>4546</v>
      </c>
      <c r="K1101" s="318">
        <v>6.28</v>
      </c>
      <c r="L1101" s="318">
        <v>112.86</v>
      </c>
      <c r="M1101" s="318" t="s">
        <v>6</v>
      </c>
      <c r="N1101" s="318" t="s">
        <v>368</v>
      </c>
      <c r="O1101" s="318" t="s">
        <v>429</v>
      </c>
      <c r="P1101" s="318" t="s">
        <v>7</v>
      </c>
      <c r="Q1101" s="318" t="s">
        <v>471</v>
      </c>
      <c r="R1101" s="318" t="s">
        <v>472</v>
      </c>
      <c r="S1101" s="303">
        <f t="shared" si="18"/>
        <v>775795236.16574407</v>
      </c>
      <c r="T1101" s="307">
        <f>+IFERROR(VLOOKUP(C1101,'Tasas Diarias'!$B:$F,5,FALSE)*G1101,0)</f>
        <v>0</v>
      </c>
      <c r="U1101" s="311" t="str">
        <f ca="1">+VLOOKUP(C1101,Spreads!$A$2:$G$345,7,0)</f>
        <v/>
      </c>
    </row>
    <row r="1102" spans="1:21" ht="15.75" hidden="1" customHeight="1" thickTop="1" thickBot="1">
      <c r="A1102" s="321" t="s">
        <v>2137</v>
      </c>
      <c r="B1102" s="322" t="s">
        <v>298</v>
      </c>
      <c r="C1102" s="322" t="s">
        <v>734</v>
      </c>
      <c r="D1102" s="322" t="s">
        <v>288</v>
      </c>
      <c r="E1102" s="323">
        <v>264565429.71360001</v>
      </c>
      <c r="F1102" s="323">
        <v>7000</v>
      </c>
      <c r="G1102" s="314">
        <v>3.0109999999999998E-3</v>
      </c>
      <c r="H1102" s="324">
        <v>2.2000000000000002</v>
      </c>
      <c r="I1102" s="322" t="s">
        <v>735</v>
      </c>
      <c r="J1102" s="322">
        <v>2521</v>
      </c>
      <c r="K1102" s="322">
        <v>6.35</v>
      </c>
      <c r="L1102" s="322">
        <v>103.13</v>
      </c>
      <c r="M1102" s="322" t="s">
        <v>6</v>
      </c>
      <c r="N1102" s="322" t="s">
        <v>368</v>
      </c>
      <c r="O1102" s="322" t="s">
        <v>1348</v>
      </c>
      <c r="P1102" s="322" t="s">
        <v>392</v>
      </c>
      <c r="Q1102" s="322" t="s">
        <v>83</v>
      </c>
      <c r="R1102" s="322" t="s">
        <v>736</v>
      </c>
      <c r="S1102" s="303">
        <f t="shared" si="18"/>
        <v>1679990478.68136</v>
      </c>
      <c r="T1102" s="307">
        <f>+IFERROR(VLOOKUP(C1102,'Tasas Diarias'!$B:$F,5,FALSE)*G1102,0)</f>
        <v>3.8529241232277404E-6</v>
      </c>
      <c r="U1102" s="311" t="str">
        <f ca="1">+VLOOKUP(C1102,Spreads!$A$2:$G$345,7,0)</f>
        <v/>
      </c>
    </row>
    <row r="1103" spans="1:21" ht="15.75" hidden="1" customHeight="1" thickTop="1" thickBot="1">
      <c r="A1103" s="321" t="s">
        <v>2137</v>
      </c>
      <c r="B1103" s="322" t="s">
        <v>298</v>
      </c>
      <c r="C1103" s="322" t="s">
        <v>1419</v>
      </c>
      <c r="D1103" s="322" t="s">
        <v>16</v>
      </c>
      <c r="E1103" s="323">
        <v>76138274.883599997</v>
      </c>
      <c r="F1103" s="323"/>
      <c r="G1103" s="314">
        <v>8.6700000000000004E-4</v>
      </c>
      <c r="H1103" s="324">
        <v>2.15</v>
      </c>
      <c r="I1103" s="322" t="s">
        <v>855</v>
      </c>
      <c r="J1103" s="322">
        <v>2568</v>
      </c>
      <c r="K1103" s="322">
        <v>6.4</v>
      </c>
      <c r="L1103" s="322">
        <v>103.27</v>
      </c>
      <c r="M1103" s="322" t="s">
        <v>6</v>
      </c>
      <c r="N1103" s="322" t="s">
        <v>368</v>
      </c>
      <c r="O1103" s="322" t="s">
        <v>8</v>
      </c>
      <c r="P1103" s="322" t="s">
        <v>379</v>
      </c>
      <c r="Q1103" s="322" t="s">
        <v>61</v>
      </c>
      <c r="R1103" s="322" t="s">
        <v>394</v>
      </c>
      <c r="S1103" s="303">
        <f t="shared" si="18"/>
        <v>487284959.25503999</v>
      </c>
      <c r="T1103" s="307">
        <f>+IFERROR(VLOOKUP(C1103,'Tasas Diarias'!$B:$F,5,FALSE)*G1103,0)</f>
        <v>1.119615231771053E-6</v>
      </c>
      <c r="U1103" s="311" t="e">
        <f>+VLOOKUP(C1103,Spreads!$A$2:$G$345,7,0)</f>
        <v>#N/A</v>
      </c>
    </row>
    <row r="1104" spans="1:21" ht="15.75" hidden="1" customHeight="1" thickTop="1" thickBot="1">
      <c r="A1104" s="321" t="s">
        <v>2137</v>
      </c>
      <c r="B1104" s="322" t="s">
        <v>298</v>
      </c>
      <c r="C1104" s="322" t="s">
        <v>739</v>
      </c>
      <c r="D1104" s="322" t="s">
        <v>173</v>
      </c>
      <c r="E1104" s="323">
        <v>215481577.46759999</v>
      </c>
      <c r="F1104" s="323"/>
      <c r="G1104" s="314">
        <v>2.4529999999999999E-3</v>
      </c>
      <c r="H1104" s="324">
        <v>2.27</v>
      </c>
      <c r="I1104" s="322" t="s">
        <v>740</v>
      </c>
      <c r="J1104" s="322">
        <v>2507</v>
      </c>
      <c r="K1104" s="322">
        <v>6.43</v>
      </c>
      <c r="L1104" s="322">
        <v>98.37</v>
      </c>
      <c r="M1104" s="322" t="s">
        <v>6</v>
      </c>
      <c r="N1104" s="322" t="s">
        <v>368</v>
      </c>
      <c r="O1104" s="322" t="s">
        <v>8</v>
      </c>
      <c r="P1104" s="322" t="s">
        <v>444</v>
      </c>
      <c r="Q1104" s="322" t="s">
        <v>55</v>
      </c>
      <c r="R1104" s="322" t="s">
        <v>445</v>
      </c>
      <c r="S1104" s="303">
        <f t="shared" si="18"/>
        <v>1385546543.1166677</v>
      </c>
      <c r="T1104" s="307">
        <f>+IFERROR(VLOOKUP(C1104,'Tasas Diarias'!$B:$F,5,FALSE)*G1104,0)</f>
        <v>1.5916693337249801E-6</v>
      </c>
      <c r="U1104" s="311" t="str">
        <f ca="1">+VLOOKUP(C1104,Spreads!$A$2:$G$345,7,0)</f>
        <v/>
      </c>
    </row>
    <row r="1105" spans="1:21" ht="15.75" hidden="1" customHeight="1" thickTop="1" thickBot="1">
      <c r="A1105" s="317" t="s">
        <v>2137</v>
      </c>
      <c r="B1105" s="318" t="s">
        <v>298</v>
      </c>
      <c r="C1105" s="318" t="s">
        <v>909</v>
      </c>
      <c r="D1105" s="318" t="s">
        <v>910</v>
      </c>
      <c r="E1105" s="319">
        <v>5685398.3898999998</v>
      </c>
      <c r="F1105" s="319"/>
      <c r="G1105" s="314">
        <v>6.4999999999999994E-5</v>
      </c>
      <c r="H1105" s="320">
        <v>2.86</v>
      </c>
      <c r="I1105" s="318" t="s">
        <v>911</v>
      </c>
      <c r="J1105" s="318">
        <v>4682</v>
      </c>
      <c r="K1105" s="318">
        <v>6.49</v>
      </c>
      <c r="L1105" s="318">
        <v>109.98</v>
      </c>
      <c r="M1105" s="318" t="s">
        <v>6</v>
      </c>
      <c r="N1105" s="318" t="s">
        <v>368</v>
      </c>
      <c r="O1105" s="318" t="s">
        <v>429</v>
      </c>
      <c r="P1105" s="318" t="s">
        <v>417</v>
      </c>
      <c r="Q1105" s="318" t="s">
        <v>912</v>
      </c>
      <c r="R1105" s="318" t="s">
        <v>913</v>
      </c>
      <c r="S1105" s="303">
        <f t="shared" si="18"/>
        <v>36898235.550451003</v>
      </c>
      <c r="T1105" s="307">
        <f>+IFERROR(VLOOKUP(C1105,'Tasas Diarias'!$B:$F,5,FALSE)*G1105,0)</f>
        <v>4.256752144873513E-8</v>
      </c>
      <c r="U1105" s="311" t="str">
        <f ca="1">+VLOOKUP(C1105,Spreads!$A$2:$G$345,7,0)</f>
        <v/>
      </c>
    </row>
    <row r="1106" spans="1:21" ht="15.75" hidden="1" customHeight="1" thickTop="1" thickBot="1">
      <c r="A1106" s="321" t="s">
        <v>2137</v>
      </c>
      <c r="B1106" s="322" t="s">
        <v>298</v>
      </c>
      <c r="C1106" s="322" t="s">
        <v>1529</v>
      </c>
      <c r="D1106" s="322" t="s">
        <v>294</v>
      </c>
      <c r="E1106" s="323">
        <v>122433328.85430001</v>
      </c>
      <c r="F1106" s="323">
        <v>500</v>
      </c>
      <c r="G1106" s="314">
        <v>1.3929999999999999E-3</v>
      </c>
      <c r="H1106" s="324">
        <v>2.16</v>
      </c>
      <c r="I1106" s="322" t="s">
        <v>742</v>
      </c>
      <c r="J1106" s="322">
        <v>2658</v>
      </c>
      <c r="K1106" s="322">
        <v>6.58</v>
      </c>
      <c r="L1106" s="322">
        <v>105.52</v>
      </c>
      <c r="M1106" s="322" t="s">
        <v>6</v>
      </c>
      <c r="N1106" s="322" t="s">
        <v>368</v>
      </c>
      <c r="O1106" s="322" t="s">
        <v>8</v>
      </c>
      <c r="P1106" s="322" t="s">
        <v>379</v>
      </c>
      <c r="Q1106" s="322" t="s">
        <v>74</v>
      </c>
      <c r="R1106" s="322" t="s">
        <v>407</v>
      </c>
      <c r="S1106" s="303">
        <f t="shared" si="18"/>
        <v>805611303.86129403</v>
      </c>
      <c r="T1106" s="307">
        <f>+IFERROR(VLOOKUP(C1106,'Tasas Diarias'!$B:$F,5,FALSE)*G1106,0)</f>
        <v>9.2479296244986503E-7</v>
      </c>
      <c r="U1106" s="311" t="e">
        <f>+VLOOKUP(C1106,Spreads!$A$2:$G$345,7,0)</f>
        <v>#N/A</v>
      </c>
    </row>
    <row r="1107" spans="1:21" ht="15.75" hidden="1" customHeight="1" thickTop="1" thickBot="1">
      <c r="A1107" s="317" t="s">
        <v>2137</v>
      </c>
      <c r="B1107" s="318" t="s">
        <v>298</v>
      </c>
      <c r="C1107" s="318" t="s">
        <v>738</v>
      </c>
      <c r="D1107" s="318" t="s">
        <v>290</v>
      </c>
      <c r="E1107" s="319">
        <v>1355219515.3064001</v>
      </c>
      <c r="F1107" s="319">
        <v>40000</v>
      </c>
      <c r="G1107" s="314">
        <v>1.5424999999999999E-2</v>
      </c>
      <c r="H1107" s="320">
        <v>2.46</v>
      </c>
      <c r="I1107" s="318" t="s">
        <v>723</v>
      </c>
      <c r="J1107" s="318">
        <v>4759</v>
      </c>
      <c r="K1107" s="318">
        <v>6.61</v>
      </c>
      <c r="L1107" s="318">
        <v>113.63</v>
      </c>
      <c r="M1107" s="318" t="s">
        <v>6</v>
      </c>
      <c r="N1107" s="318" t="s">
        <v>368</v>
      </c>
      <c r="O1107" s="318" t="s">
        <v>1350</v>
      </c>
      <c r="P1107" s="318" t="s">
        <v>392</v>
      </c>
      <c r="Q1107" s="318" t="s">
        <v>84</v>
      </c>
      <c r="R1107" s="318" t="s">
        <v>582</v>
      </c>
      <c r="S1107" s="303">
        <f t="shared" si="18"/>
        <v>8958000996.1753044</v>
      </c>
      <c r="T1107" s="307">
        <f>+IFERROR(VLOOKUP(C1107,'Tasas Diarias'!$B:$F,5,FALSE)*G1107,0)</f>
        <v>1.0272478165661078E-5</v>
      </c>
      <c r="U1107" s="311" t="str">
        <f ca="1">+VLOOKUP(C1107,Spreads!$A$2:$G$345,7,0)</f>
        <v/>
      </c>
    </row>
    <row r="1108" spans="1:21" ht="15.75" hidden="1" customHeight="1" thickTop="1" thickBot="1">
      <c r="A1108" s="321" t="s">
        <v>2137</v>
      </c>
      <c r="B1108" s="322" t="s">
        <v>298</v>
      </c>
      <c r="C1108" s="322" t="s">
        <v>906</v>
      </c>
      <c r="D1108" s="322" t="s">
        <v>24</v>
      </c>
      <c r="E1108" s="323">
        <v>64165528.494599998</v>
      </c>
      <c r="F1108" s="323"/>
      <c r="G1108" s="314">
        <v>7.2999999999999996E-4</v>
      </c>
      <c r="H1108" s="324">
        <v>2.44</v>
      </c>
      <c r="I1108" s="322" t="s">
        <v>907</v>
      </c>
      <c r="J1108" s="322">
        <v>5124</v>
      </c>
      <c r="K1108" s="322">
        <v>6.61</v>
      </c>
      <c r="L1108" s="322">
        <v>103.63</v>
      </c>
      <c r="M1108" s="322" t="s">
        <v>6</v>
      </c>
      <c r="N1108" s="322" t="s">
        <v>368</v>
      </c>
      <c r="O1108" s="322" t="s">
        <v>8</v>
      </c>
      <c r="P1108" s="322" t="s">
        <v>25</v>
      </c>
      <c r="Q1108" s="322" t="s">
        <v>51</v>
      </c>
      <c r="R1108" s="322" t="s">
        <v>908</v>
      </c>
      <c r="S1108" s="303">
        <f t="shared" si="18"/>
        <v>424134143.34930599</v>
      </c>
      <c r="T1108" s="307">
        <f>+IFERROR(VLOOKUP(C1108,'Tasas Diarias'!$B:$F,5,FALSE)*G1108,0)</f>
        <v>0</v>
      </c>
      <c r="U1108" s="311" t="str">
        <f ca="1">+VLOOKUP(C1108,Spreads!$A$2:$G$345,7,0)</f>
        <v/>
      </c>
    </row>
    <row r="1109" spans="1:21" ht="15.75" hidden="1" customHeight="1" thickTop="1" thickBot="1">
      <c r="A1109" s="317" t="s">
        <v>2137</v>
      </c>
      <c r="B1109" s="318" t="s">
        <v>298</v>
      </c>
      <c r="C1109" s="318" t="s">
        <v>741</v>
      </c>
      <c r="D1109" s="318" t="s">
        <v>24</v>
      </c>
      <c r="E1109" s="319">
        <v>348268896.67210001</v>
      </c>
      <c r="F1109" s="319">
        <v>6000</v>
      </c>
      <c r="G1109" s="314">
        <v>3.9630000000000004E-3</v>
      </c>
      <c r="H1109" s="318">
        <v>2.25</v>
      </c>
      <c r="I1109" s="318" t="s">
        <v>742</v>
      </c>
      <c r="J1109" s="318">
        <v>2658</v>
      </c>
      <c r="K1109" s="318">
        <v>6.62</v>
      </c>
      <c r="L1109" s="318">
        <v>103.4</v>
      </c>
      <c r="M1109" s="318" t="s">
        <v>6</v>
      </c>
      <c r="N1109" s="318" t="s">
        <v>368</v>
      </c>
      <c r="O1109" s="318" t="s">
        <v>8</v>
      </c>
      <c r="P1109" s="318" t="s">
        <v>392</v>
      </c>
      <c r="Q1109" s="318" t="s">
        <v>51</v>
      </c>
      <c r="R1109" s="318" t="s">
        <v>414</v>
      </c>
      <c r="S1109" s="303">
        <f t="shared" si="18"/>
        <v>2305540095.9693022</v>
      </c>
      <c r="T1109" s="307">
        <f>+IFERROR(VLOOKUP(C1109,'Tasas Diarias'!$B:$F,5,FALSE)*G1109,0)</f>
        <v>2.6468374187192282E-6</v>
      </c>
      <c r="U1109" s="311" t="str">
        <f ca="1">+VLOOKUP(C1109,Spreads!$A$2:$G$345,7,0)</f>
        <v/>
      </c>
    </row>
    <row r="1110" spans="1:21" ht="15.75" hidden="1" customHeight="1" thickTop="1" thickBot="1">
      <c r="A1110" s="317" t="s">
        <v>2137</v>
      </c>
      <c r="B1110" s="318" t="s">
        <v>298</v>
      </c>
      <c r="C1110" s="318" t="s">
        <v>746</v>
      </c>
      <c r="D1110" s="318" t="s">
        <v>182</v>
      </c>
      <c r="E1110" s="319">
        <v>161012709.52309999</v>
      </c>
      <c r="F1110" s="319"/>
      <c r="G1110" s="314">
        <v>1.833E-3</v>
      </c>
      <c r="H1110" s="320">
        <v>2.16</v>
      </c>
      <c r="I1110" s="318" t="s">
        <v>747</v>
      </c>
      <c r="J1110" s="318">
        <v>2780</v>
      </c>
      <c r="K1110" s="318">
        <v>6.72</v>
      </c>
      <c r="L1110" s="318">
        <v>109.1</v>
      </c>
      <c r="M1110" s="318" t="s">
        <v>6</v>
      </c>
      <c r="N1110" s="318" t="s">
        <v>368</v>
      </c>
      <c r="O1110" s="318" t="s">
        <v>8</v>
      </c>
      <c r="P1110" s="318" t="s">
        <v>7</v>
      </c>
      <c r="Q1110" s="318" t="s">
        <v>390</v>
      </c>
      <c r="R1110" s="318" t="s">
        <v>402</v>
      </c>
      <c r="S1110" s="303">
        <f t="shared" si="18"/>
        <v>1082005407.9952319</v>
      </c>
      <c r="T1110" s="307">
        <f>+IFERROR(VLOOKUP(C1110,'Tasas Diarias'!$B:$F,5,FALSE)*G1110,0)</f>
        <v>2.4831570330622083E-6</v>
      </c>
      <c r="U1110" s="311" t="str">
        <f ca="1">+VLOOKUP(C1110,Spreads!$A$2:$G$345,7,0)</f>
        <v/>
      </c>
    </row>
    <row r="1111" spans="1:21" ht="15.75" hidden="1" customHeight="1" thickTop="1" thickBot="1">
      <c r="A1111" s="317" t="s">
        <v>2137</v>
      </c>
      <c r="B1111" s="318" t="s">
        <v>298</v>
      </c>
      <c r="C1111" s="318" t="s">
        <v>748</v>
      </c>
      <c r="D1111" s="318" t="s">
        <v>32</v>
      </c>
      <c r="E1111" s="319">
        <v>130078620.7076</v>
      </c>
      <c r="F1111" s="319"/>
      <c r="G1111" s="314">
        <v>1.4809999999999999E-3</v>
      </c>
      <c r="H1111" s="320">
        <v>2.29</v>
      </c>
      <c r="I1111" s="318" t="s">
        <v>749</v>
      </c>
      <c r="J1111" s="318">
        <v>2719</v>
      </c>
      <c r="K1111" s="318">
        <v>6.74</v>
      </c>
      <c r="L1111" s="318">
        <v>104.92</v>
      </c>
      <c r="M1111" s="318" t="s">
        <v>6</v>
      </c>
      <c r="N1111" s="318" t="s">
        <v>368</v>
      </c>
      <c r="O1111" s="318" t="s">
        <v>8</v>
      </c>
      <c r="P1111" s="318" t="s">
        <v>379</v>
      </c>
      <c r="Q1111" s="318" t="s">
        <v>67</v>
      </c>
      <c r="R1111" s="318" t="s">
        <v>389</v>
      </c>
      <c r="S1111" s="303">
        <f t="shared" si="18"/>
        <v>876729903.569224</v>
      </c>
      <c r="T1111" s="307">
        <f>+IFERROR(VLOOKUP(C1111,'Tasas Diarias'!$B:$F,5,FALSE)*G1111,0)</f>
        <v>1.9854203366492192E-6</v>
      </c>
      <c r="U1111" s="311" t="str">
        <f ca="1">+VLOOKUP(C1111,Spreads!$A$2:$G$345,7,0)</f>
        <v/>
      </c>
    </row>
    <row r="1112" spans="1:21" ht="15.75" hidden="1" customHeight="1" thickTop="1" thickBot="1">
      <c r="A1112" s="317" t="s">
        <v>2137</v>
      </c>
      <c r="B1112" s="318" t="s">
        <v>298</v>
      </c>
      <c r="C1112" s="318" t="s">
        <v>1501</v>
      </c>
      <c r="D1112" s="318" t="s">
        <v>294</v>
      </c>
      <c r="E1112" s="319">
        <v>195024662.45199999</v>
      </c>
      <c r="F1112" s="319"/>
      <c r="G1112" s="314">
        <v>2.2200000000000002E-3</v>
      </c>
      <c r="H1112" s="320">
        <v>2.16</v>
      </c>
      <c r="I1112" s="318" t="s">
        <v>1502</v>
      </c>
      <c r="J1112" s="318">
        <v>2750</v>
      </c>
      <c r="K1112" s="318">
        <v>6.74</v>
      </c>
      <c r="L1112" s="318">
        <v>105.65</v>
      </c>
      <c r="M1112" s="318" t="s">
        <v>6</v>
      </c>
      <c r="N1112" s="318" t="s">
        <v>368</v>
      </c>
      <c r="O1112" s="318" t="s">
        <v>8</v>
      </c>
      <c r="P1112" s="318" t="s">
        <v>379</v>
      </c>
      <c r="Q1112" s="318" t="s">
        <v>74</v>
      </c>
      <c r="R1112" s="318" t="s">
        <v>407</v>
      </c>
      <c r="S1112" s="303">
        <f t="shared" si="18"/>
        <v>1314466224.9264801</v>
      </c>
      <c r="T1112" s="307">
        <f>+IFERROR(VLOOKUP(C1112,'Tasas Diarias'!$B:$F,5,FALSE)*G1112,0)</f>
        <v>3.0156353361134993E-6</v>
      </c>
      <c r="U1112" s="311" t="e">
        <f>+VLOOKUP(C1112,Spreads!$A$2:$G$345,7,0)</f>
        <v>#N/A</v>
      </c>
    </row>
    <row r="1113" spans="1:21" ht="15.75" hidden="1" customHeight="1" thickTop="1" thickBot="1">
      <c r="A1113" s="321" t="s">
        <v>2137</v>
      </c>
      <c r="B1113" s="322" t="s">
        <v>298</v>
      </c>
      <c r="C1113" s="322" t="s">
        <v>2105</v>
      </c>
      <c r="D1113" s="322" t="s">
        <v>11</v>
      </c>
      <c r="E1113" s="323">
        <v>155043518.51550001</v>
      </c>
      <c r="F1113" s="323"/>
      <c r="G1113" s="314">
        <v>1.7650000000000001E-3</v>
      </c>
      <c r="H1113" s="324">
        <v>2.25</v>
      </c>
      <c r="I1113" s="322" t="s">
        <v>747</v>
      </c>
      <c r="J1113" s="322">
        <v>2780</v>
      </c>
      <c r="K1113" s="322">
        <v>6.82</v>
      </c>
      <c r="L1113" s="322">
        <v>105.24</v>
      </c>
      <c r="M1113" s="322" t="s">
        <v>6</v>
      </c>
      <c r="N1113" s="322" t="s">
        <v>368</v>
      </c>
      <c r="O1113" s="322" t="s">
        <v>8</v>
      </c>
      <c r="P1113" s="322" t="s">
        <v>7</v>
      </c>
      <c r="Q1113" s="322" t="s">
        <v>326</v>
      </c>
      <c r="R1113" s="322" t="s">
        <v>450</v>
      </c>
      <c r="S1113" s="303">
        <f t="shared" si="18"/>
        <v>1057396796.2757101</v>
      </c>
      <c r="T1113" s="307">
        <f>+IFERROR(VLOOKUP(C1113,'Tasas Diarias'!$B:$F,5,FALSE)*G1113,0)</f>
        <v>0</v>
      </c>
      <c r="U1113" s="311" t="e">
        <f>+VLOOKUP(C1113,Spreads!$A$2:$G$345,7,0)</f>
        <v>#N/A</v>
      </c>
    </row>
    <row r="1114" spans="1:21" ht="15.75" hidden="1" customHeight="1" thickTop="1" thickBot="1">
      <c r="A1114" s="317" t="s">
        <v>2137</v>
      </c>
      <c r="B1114" s="318" t="s">
        <v>298</v>
      </c>
      <c r="C1114" s="318" t="s">
        <v>914</v>
      </c>
      <c r="D1114" s="318" t="s">
        <v>844</v>
      </c>
      <c r="E1114" s="319">
        <v>30578884.6732</v>
      </c>
      <c r="F1114" s="319"/>
      <c r="G1114" s="314">
        <v>3.48E-4</v>
      </c>
      <c r="H1114" s="320">
        <v>2.37</v>
      </c>
      <c r="I1114" s="318" t="s">
        <v>915</v>
      </c>
      <c r="J1114" s="318">
        <v>3115</v>
      </c>
      <c r="K1114" s="318">
        <v>6.82</v>
      </c>
      <c r="L1114" s="318">
        <v>130.13999999999999</v>
      </c>
      <c r="M1114" s="318" t="s">
        <v>6</v>
      </c>
      <c r="N1114" s="318" t="s">
        <v>368</v>
      </c>
      <c r="O1114" s="318" t="s">
        <v>1346</v>
      </c>
      <c r="P1114" s="318" t="s">
        <v>392</v>
      </c>
      <c r="Q1114" s="318" t="s">
        <v>845</v>
      </c>
      <c r="R1114" s="318" t="s">
        <v>846</v>
      </c>
      <c r="S1114" s="303">
        <f t="shared" si="18"/>
        <v>208547993.47122401</v>
      </c>
      <c r="T1114" s="307">
        <f>+IFERROR(VLOOKUP(C1114,'Tasas Diarias'!$B:$F,5,FALSE)*G1114,0)</f>
        <v>4.7827998446875551E-7</v>
      </c>
      <c r="U1114" s="311" t="str">
        <f ca="1">+VLOOKUP(C1114,Spreads!$A$2:$G$345,7,0)</f>
        <v/>
      </c>
    </row>
    <row r="1115" spans="1:21" ht="15.75" hidden="1" customHeight="1" thickTop="1" thickBot="1">
      <c r="A1115" s="317" t="s">
        <v>2137</v>
      </c>
      <c r="B1115" s="318" t="s">
        <v>298</v>
      </c>
      <c r="C1115" s="318" t="s">
        <v>1266</v>
      </c>
      <c r="D1115" s="318" t="s">
        <v>176</v>
      </c>
      <c r="E1115" s="319">
        <v>120658491.1487</v>
      </c>
      <c r="F1115" s="319"/>
      <c r="G1115" s="314">
        <v>1.3730000000000001E-3</v>
      </c>
      <c r="H1115" s="320">
        <v>2.5499999999999998</v>
      </c>
      <c r="I1115" s="318" t="s">
        <v>1267</v>
      </c>
      <c r="J1115" s="318">
        <v>5611</v>
      </c>
      <c r="K1115" s="318">
        <v>6.83</v>
      </c>
      <c r="L1115" s="318">
        <v>106.4</v>
      </c>
      <c r="M1115" s="318" t="s">
        <v>6</v>
      </c>
      <c r="N1115" s="318" t="s">
        <v>368</v>
      </c>
      <c r="O1115" s="318" t="s">
        <v>8</v>
      </c>
      <c r="P1115" s="318" t="s">
        <v>392</v>
      </c>
      <c r="Q1115" s="318" t="s">
        <v>326</v>
      </c>
      <c r="R1115" s="318" t="s">
        <v>1268</v>
      </c>
      <c r="S1115" s="303">
        <f t="shared" si="18"/>
        <v>824097494.54562104</v>
      </c>
      <c r="T1115" s="307">
        <f>+IFERROR(VLOOKUP(C1115,'Tasas Diarias'!$B:$F,5,FALSE)*G1115,0)</f>
        <v>0</v>
      </c>
      <c r="U1115" s="311" t="str">
        <f ca="1">+VLOOKUP(C1115,Spreads!$A$2:$G$345,7,0)</f>
        <v/>
      </c>
    </row>
    <row r="1116" spans="1:21" ht="15.75" hidden="1" customHeight="1" thickTop="1" thickBot="1">
      <c r="A1116" s="321" t="s">
        <v>2137</v>
      </c>
      <c r="B1116" s="322" t="s">
        <v>298</v>
      </c>
      <c r="C1116" s="322" t="s">
        <v>2147</v>
      </c>
      <c r="D1116" s="322" t="s">
        <v>1523</v>
      </c>
      <c r="E1116" s="323">
        <v>39204795.563600004</v>
      </c>
      <c r="F1116" s="323"/>
      <c r="G1116" s="314">
        <v>4.46E-4</v>
      </c>
      <c r="H1116" s="324">
        <v>2.54</v>
      </c>
      <c r="I1116" s="322" t="s">
        <v>751</v>
      </c>
      <c r="J1116" s="322">
        <v>4863</v>
      </c>
      <c r="K1116" s="322">
        <v>6.89</v>
      </c>
      <c r="L1116" s="322">
        <v>113.67</v>
      </c>
      <c r="M1116" s="322" t="s">
        <v>6</v>
      </c>
      <c r="N1116" s="322" t="s">
        <v>368</v>
      </c>
      <c r="O1116" s="322" t="s">
        <v>8</v>
      </c>
      <c r="P1116" s="322" t="s">
        <v>25</v>
      </c>
      <c r="Q1116" s="322" t="s">
        <v>325</v>
      </c>
      <c r="R1116" s="322" t="s">
        <v>1525</v>
      </c>
      <c r="S1116" s="303">
        <f t="shared" si="18"/>
        <v>270121041.433204</v>
      </c>
      <c r="T1116" s="307">
        <f>+IFERROR(VLOOKUP(C1116,'Tasas Diarias'!$B:$F,5,FALSE)*G1116,0)</f>
        <v>0</v>
      </c>
      <c r="U1116" s="311" t="e">
        <f>+VLOOKUP(C1116,Spreads!$A$2:$G$345,7,0)</f>
        <v>#N/A</v>
      </c>
    </row>
    <row r="1117" spans="1:21" ht="15.75" hidden="1" customHeight="1" thickTop="1" thickBot="1">
      <c r="A1117" s="321" t="s">
        <v>2137</v>
      </c>
      <c r="B1117" s="322" t="s">
        <v>298</v>
      </c>
      <c r="C1117" s="322" t="s">
        <v>752</v>
      </c>
      <c r="D1117" s="322" t="s">
        <v>286</v>
      </c>
      <c r="E1117" s="323">
        <v>889259792.28729999</v>
      </c>
      <c r="F1117" s="323">
        <v>22000</v>
      </c>
      <c r="G1117" s="314">
        <v>1.0122000000000001E-2</v>
      </c>
      <c r="H1117" s="324">
        <v>2.3199999999999998</v>
      </c>
      <c r="I1117" s="322" t="s">
        <v>753</v>
      </c>
      <c r="J1117" s="322">
        <v>2842</v>
      </c>
      <c r="K1117" s="322">
        <v>7.01</v>
      </c>
      <c r="L1117" s="322">
        <v>104.02</v>
      </c>
      <c r="M1117" s="322" t="s">
        <v>6</v>
      </c>
      <c r="N1117" s="322" t="s">
        <v>368</v>
      </c>
      <c r="O1117" s="322" t="s">
        <v>1346</v>
      </c>
      <c r="P1117" s="322" t="s">
        <v>392</v>
      </c>
      <c r="Q1117" s="322" t="s">
        <v>286</v>
      </c>
      <c r="R1117" s="322" t="s">
        <v>754</v>
      </c>
      <c r="S1117" s="303">
        <f t="shared" si="18"/>
        <v>6233711143.9339724</v>
      </c>
      <c r="T1117" s="307">
        <f>+IFERROR(VLOOKUP(C1117,'Tasas Diarias'!$B:$F,5,FALSE)*G1117,0)</f>
        <v>0</v>
      </c>
      <c r="U1117" s="311" t="str">
        <f ca="1">+VLOOKUP(C1117,Spreads!$A$2:$G$345,7,0)</f>
        <v/>
      </c>
    </row>
    <row r="1118" spans="1:21" ht="15.75" hidden="1" customHeight="1" thickTop="1" thickBot="1">
      <c r="A1118" s="321" t="s">
        <v>2137</v>
      </c>
      <c r="B1118" s="322" t="s">
        <v>298</v>
      </c>
      <c r="C1118" s="322" t="s">
        <v>750</v>
      </c>
      <c r="D1118" s="322" t="s">
        <v>396</v>
      </c>
      <c r="E1118" s="323">
        <v>1514484142.0420001</v>
      </c>
      <c r="F1118" s="323">
        <v>37000</v>
      </c>
      <c r="G1118" s="314">
        <v>1.7239000000000001E-2</v>
      </c>
      <c r="H1118" s="322">
        <v>2.42</v>
      </c>
      <c r="I1118" s="322" t="s">
        <v>751</v>
      </c>
      <c r="J1118" s="322">
        <v>4863</v>
      </c>
      <c r="K1118" s="322">
        <v>7.02</v>
      </c>
      <c r="L1118" s="322">
        <v>114.83999999999999</v>
      </c>
      <c r="M1118" s="322" t="s">
        <v>6</v>
      </c>
      <c r="N1118" s="322" t="s">
        <v>368</v>
      </c>
      <c r="O1118" s="322" t="s">
        <v>8</v>
      </c>
      <c r="P1118" s="322" t="s">
        <v>392</v>
      </c>
      <c r="Q1118" s="322" t="s">
        <v>398</v>
      </c>
      <c r="R1118" s="322" t="s">
        <v>399</v>
      </c>
      <c r="S1118" s="303">
        <f t="shared" si="18"/>
        <v>10631678677.13484</v>
      </c>
      <c r="T1118" s="307">
        <f>+IFERROR(VLOOKUP(C1118,'Tasas Diarias'!$B:$F,5,FALSE)*G1118,0)</f>
        <v>2.4394277155086649E-5</v>
      </c>
      <c r="U1118" s="311" t="str">
        <f ca="1">+VLOOKUP(C1118,Spreads!$A$2:$G$345,7,0)</f>
        <v/>
      </c>
    </row>
    <row r="1119" spans="1:21" ht="15.75" hidden="1" customHeight="1" thickTop="1" thickBot="1">
      <c r="A1119" s="317" t="s">
        <v>2137</v>
      </c>
      <c r="B1119" s="318" t="s">
        <v>298</v>
      </c>
      <c r="C1119" s="318" t="s">
        <v>1899</v>
      </c>
      <c r="D1119" s="318" t="s">
        <v>24</v>
      </c>
      <c r="E1119" s="319">
        <v>37727152.540299997</v>
      </c>
      <c r="F1119" s="319"/>
      <c r="G1119" s="314">
        <v>4.2900000000000002E-4</v>
      </c>
      <c r="H1119" s="320">
        <v>2.33</v>
      </c>
      <c r="I1119" s="318" t="s">
        <v>753</v>
      </c>
      <c r="J1119" s="318">
        <v>2842</v>
      </c>
      <c r="K1119" s="318">
        <v>7.04</v>
      </c>
      <c r="L1119" s="318">
        <v>103.04</v>
      </c>
      <c r="M1119" s="318" t="s">
        <v>6</v>
      </c>
      <c r="N1119" s="318" t="s">
        <v>368</v>
      </c>
      <c r="O1119" s="318" t="s">
        <v>8</v>
      </c>
      <c r="P1119" s="318" t="s">
        <v>392</v>
      </c>
      <c r="Q1119" s="318" t="s">
        <v>51</v>
      </c>
      <c r="R1119" s="318" t="s">
        <v>414</v>
      </c>
      <c r="S1119" s="303">
        <f t="shared" si="18"/>
        <v>265599153.88371196</v>
      </c>
      <c r="T1119" s="307">
        <f>+IFERROR(VLOOKUP(C1119,'Tasas Diarias'!$B:$F,5,FALSE)*G1119,0)</f>
        <v>3.0414172258545712E-7</v>
      </c>
      <c r="U1119" s="311" t="e">
        <f>+VLOOKUP(C1119,Spreads!$A$2:$G$345,7,0)</f>
        <v>#N/A</v>
      </c>
    </row>
    <row r="1120" spans="1:21" ht="15.75" hidden="1" customHeight="1" thickTop="1" thickBot="1">
      <c r="A1120" s="321" t="s">
        <v>2137</v>
      </c>
      <c r="B1120" s="322" t="s">
        <v>298</v>
      </c>
      <c r="C1120" s="322" t="s">
        <v>1420</v>
      </c>
      <c r="D1120" s="322" t="s">
        <v>32</v>
      </c>
      <c r="E1120" s="323">
        <v>115233367.0298</v>
      </c>
      <c r="F1120" s="323"/>
      <c r="G1120" s="314">
        <v>1.312E-3</v>
      </c>
      <c r="H1120" s="324">
        <v>2.2999999999999998</v>
      </c>
      <c r="I1120" s="322" t="s">
        <v>1421</v>
      </c>
      <c r="J1120" s="322">
        <v>2872</v>
      </c>
      <c r="K1120" s="322">
        <v>7.06</v>
      </c>
      <c r="L1120" s="322">
        <v>105.07</v>
      </c>
      <c r="M1120" s="322" t="s">
        <v>6</v>
      </c>
      <c r="N1120" s="322" t="s">
        <v>368</v>
      </c>
      <c r="O1120" s="322" t="s">
        <v>8</v>
      </c>
      <c r="P1120" s="322" t="s">
        <v>379</v>
      </c>
      <c r="Q1120" s="322" t="s">
        <v>67</v>
      </c>
      <c r="R1120" s="322" t="s">
        <v>389</v>
      </c>
      <c r="S1120" s="303">
        <f t="shared" si="18"/>
        <v>813547571.23038793</v>
      </c>
      <c r="T1120" s="307">
        <f>+IFERROR(VLOOKUP(C1120,'Tasas Diarias'!$B:$F,5,FALSE)*G1120,0)</f>
        <v>9.3440102646320179E-7</v>
      </c>
      <c r="U1120" s="311" t="e">
        <f>+VLOOKUP(C1120,Spreads!$A$2:$G$345,7,0)</f>
        <v>#N/A</v>
      </c>
    </row>
    <row r="1121" spans="1:21" ht="15.75" hidden="1" customHeight="1" thickTop="1" thickBot="1">
      <c r="A1121" s="321" t="s">
        <v>2137</v>
      </c>
      <c r="B1121" s="322" t="s">
        <v>298</v>
      </c>
      <c r="C1121" s="322" t="s">
        <v>743</v>
      </c>
      <c r="D1121" s="322" t="s">
        <v>58</v>
      </c>
      <c r="E1121" s="323">
        <v>933181297.51610005</v>
      </c>
      <c r="F1121" s="323">
        <v>33500</v>
      </c>
      <c r="G1121" s="314">
        <v>1.0621999999999999E-2</v>
      </c>
      <c r="H1121" s="324">
        <v>2.6</v>
      </c>
      <c r="I1121" s="322" t="s">
        <v>744</v>
      </c>
      <c r="J1121" s="322">
        <v>6076</v>
      </c>
      <c r="K1121" s="322">
        <v>7.11</v>
      </c>
      <c r="L1121" s="322">
        <v>108.78000000000002</v>
      </c>
      <c r="M1121" s="322" t="s">
        <v>6</v>
      </c>
      <c r="N1121" s="322" t="s">
        <v>368</v>
      </c>
      <c r="O1121" s="322" t="s">
        <v>8</v>
      </c>
      <c r="P1121" s="322" t="s">
        <v>392</v>
      </c>
      <c r="Q1121" s="322" t="s">
        <v>58</v>
      </c>
      <c r="R1121" s="322" t="s">
        <v>745</v>
      </c>
      <c r="S1121" s="303">
        <f t="shared" si="18"/>
        <v>6634919025.3394718</v>
      </c>
      <c r="T1121" s="307">
        <f>+IFERROR(VLOOKUP(C1121,'Tasas Diarias'!$B:$F,5,FALSE)*G1121,0)</f>
        <v>7.6000728233153305E-6</v>
      </c>
      <c r="U1121" s="311" t="str">
        <f ca="1">+VLOOKUP(C1121,Spreads!$A$2:$G$345,7,0)</f>
        <v/>
      </c>
    </row>
    <row r="1122" spans="1:21" ht="15.75" hidden="1" customHeight="1" thickTop="1" thickBot="1">
      <c r="A1122" s="321" t="s">
        <v>2137</v>
      </c>
      <c r="B1122" s="322" t="s">
        <v>298</v>
      </c>
      <c r="C1122" s="322" t="s">
        <v>755</v>
      </c>
      <c r="D1122" s="322" t="s">
        <v>514</v>
      </c>
      <c r="E1122" s="323">
        <v>24809450.125399999</v>
      </c>
      <c r="F1122" s="323"/>
      <c r="G1122" s="314">
        <v>2.8200000000000002E-4</v>
      </c>
      <c r="H1122" s="324">
        <v>2.31</v>
      </c>
      <c r="I1122" s="322" t="s">
        <v>756</v>
      </c>
      <c r="J1122" s="322">
        <v>5016</v>
      </c>
      <c r="K1122" s="322">
        <v>7.29</v>
      </c>
      <c r="L1122" s="322">
        <v>112.46</v>
      </c>
      <c r="M1122" s="322" t="s">
        <v>6</v>
      </c>
      <c r="N1122" s="322" t="s">
        <v>368</v>
      </c>
      <c r="O1122" s="322" t="s">
        <v>421</v>
      </c>
      <c r="P1122" s="322" t="s">
        <v>7</v>
      </c>
      <c r="Q1122" s="322" t="s">
        <v>515</v>
      </c>
      <c r="R1122" s="322" t="s">
        <v>516</v>
      </c>
      <c r="S1122" s="303">
        <f t="shared" si="18"/>
        <v>180860891.414166</v>
      </c>
      <c r="T1122" s="307">
        <f>+IFERROR(VLOOKUP(C1122,'Tasas Diarias'!$B:$F,5,FALSE)*G1122,0)</f>
        <v>2.0706430773675191E-7</v>
      </c>
      <c r="U1122" s="311" t="str">
        <f ca="1">+VLOOKUP(C1122,Spreads!$A$2:$G$345,7,0)</f>
        <v/>
      </c>
    </row>
    <row r="1123" spans="1:21" ht="15.75" hidden="1" customHeight="1" thickTop="1" thickBot="1">
      <c r="A1123" s="317" t="s">
        <v>2137</v>
      </c>
      <c r="B1123" s="318" t="s">
        <v>298</v>
      </c>
      <c r="C1123" s="318" t="s">
        <v>2136</v>
      </c>
      <c r="D1123" s="318" t="s">
        <v>176</v>
      </c>
      <c r="E1123" s="319">
        <v>29855338</v>
      </c>
      <c r="F1123" s="319">
        <v>1000</v>
      </c>
      <c r="G1123" s="314">
        <v>3.39E-4</v>
      </c>
      <c r="H1123" s="320">
        <v>2.4</v>
      </c>
      <c r="I1123" s="318" t="s">
        <v>915</v>
      </c>
      <c r="J1123" s="318">
        <v>3115</v>
      </c>
      <c r="K1123" s="318">
        <v>7.34</v>
      </c>
      <c r="L1123" s="318">
        <v>110.02</v>
      </c>
      <c r="M1123" s="318" t="s">
        <v>6</v>
      </c>
      <c r="N1123" s="318" t="s">
        <v>368</v>
      </c>
      <c r="O1123" s="318" t="s">
        <v>8</v>
      </c>
      <c r="P1123" s="318" t="s">
        <v>7</v>
      </c>
      <c r="Q1123" s="318" t="s">
        <v>326</v>
      </c>
      <c r="R1123" s="318" t="s">
        <v>450</v>
      </c>
      <c r="S1123" s="303">
        <f t="shared" si="18"/>
        <v>219138180.91999999</v>
      </c>
      <c r="T1123" s="307">
        <f>+IFERROR(VLOOKUP(C1123,'Tasas Diarias'!$B:$F,5,FALSE)*G1123,0)</f>
        <v>0</v>
      </c>
      <c r="U1123" s="311" t="e">
        <f>+VLOOKUP(C1123,Spreads!$A$2:$G$345,7,0)</f>
        <v>#N/A</v>
      </c>
    </row>
    <row r="1124" spans="1:21" ht="15.75" hidden="1" customHeight="1" thickTop="1" thickBot="1">
      <c r="A1124" s="321" t="s">
        <v>2137</v>
      </c>
      <c r="B1124" s="322" t="s">
        <v>298</v>
      </c>
      <c r="C1124" s="322" t="s">
        <v>1045</v>
      </c>
      <c r="D1124" s="322" t="s">
        <v>16</v>
      </c>
      <c r="E1124" s="323">
        <v>537682932.84619999</v>
      </c>
      <c r="F1124" s="323">
        <v>10000</v>
      </c>
      <c r="G1124" s="314">
        <v>6.1199999999999996E-3</v>
      </c>
      <c r="H1124" s="337">
        <v>2.36</v>
      </c>
      <c r="I1124" s="322" t="s">
        <v>664</v>
      </c>
      <c r="J1124" s="322">
        <v>3207</v>
      </c>
      <c r="K1124" s="322">
        <v>7.36</v>
      </c>
      <c r="L1124" s="322">
        <v>119.16000000000001</v>
      </c>
      <c r="M1124" s="322" t="s">
        <v>6</v>
      </c>
      <c r="N1124" s="322" t="s">
        <v>368</v>
      </c>
      <c r="O1124" s="322" t="s">
        <v>8</v>
      </c>
      <c r="P1124" s="322" t="s">
        <v>7</v>
      </c>
      <c r="Q1124" s="322" t="s">
        <v>61</v>
      </c>
      <c r="R1124" s="322" t="s">
        <v>394</v>
      </c>
      <c r="S1124" s="303">
        <f t="shared" si="18"/>
        <v>3957346385.7480321</v>
      </c>
      <c r="T1124" s="307">
        <f>+IFERROR(VLOOKUP(C1124,'Tasas Diarias'!$B:$F,5,FALSE)*G1124,0)</f>
        <v>4.5366263907259497E-6</v>
      </c>
      <c r="U1124" s="311" t="str">
        <f ca="1">+VLOOKUP(C1124,Spreads!$A$2:$G$345,7,0)</f>
        <v/>
      </c>
    </row>
    <row r="1125" spans="1:21" ht="15.75" hidden="1" customHeight="1" thickTop="1" thickBot="1">
      <c r="A1125" s="317" t="s">
        <v>2137</v>
      </c>
      <c r="B1125" s="318" t="s">
        <v>298</v>
      </c>
      <c r="C1125" s="318" t="s">
        <v>763</v>
      </c>
      <c r="D1125" s="318" t="s">
        <v>764</v>
      </c>
      <c r="E1125" s="319">
        <v>33754232.705899999</v>
      </c>
      <c r="F1125" s="319"/>
      <c r="G1125" s="314">
        <v>3.8400000000000001E-4</v>
      </c>
      <c r="H1125" s="320">
        <v>2.61</v>
      </c>
      <c r="I1125" s="318" t="s">
        <v>765</v>
      </c>
      <c r="J1125" s="318">
        <v>4282</v>
      </c>
      <c r="K1125" s="318">
        <v>7.5</v>
      </c>
      <c r="L1125" s="318">
        <v>115.68</v>
      </c>
      <c r="M1125" s="318" t="s">
        <v>6</v>
      </c>
      <c r="N1125" s="318" t="s">
        <v>368</v>
      </c>
      <c r="O1125" s="318" t="s">
        <v>1347</v>
      </c>
      <c r="P1125" s="318" t="s">
        <v>392</v>
      </c>
      <c r="Q1125" s="318" t="s">
        <v>766</v>
      </c>
      <c r="R1125" s="318" t="s">
        <v>767</v>
      </c>
      <c r="S1125" s="303">
        <f t="shared" si="18"/>
        <v>253156745.29424998</v>
      </c>
      <c r="T1125" s="307">
        <f>+IFERROR(VLOOKUP(C1125,'Tasas Diarias'!$B:$F,5,FALSE)*G1125,0)</f>
        <v>5.8042088403307064E-7</v>
      </c>
      <c r="U1125" s="311" t="str">
        <f ca="1">+VLOOKUP(C1125,Spreads!$A$2:$G$345,7,0)</f>
        <v/>
      </c>
    </row>
    <row r="1126" spans="1:21" ht="15.75" hidden="1" customHeight="1" thickTop="1" thickBot="1">
      <c r="A1126" s="327" t="s">
        <v>2137</v>
      </c>
      <c r="B1126" s="328" t="s">
        <v>298</v>
      </c>
      <c r="C1126" s="328" t="s">
        <v>760</v>
      </c>
      <c r="D1126" s="328" t="s">
        <v>181</v>
      </c>
      <c r="E1126" s="328">
        <v>789138088.6473</v>
      </c>
      <c r="F1126" s="328">
        <v>16000</v>
      </c>
      <c r="G1126" s="328">
        <v>8.9820000000000004E-3</v>
      </c>
      <c r="H1126" s="329">
        <v>2.48</v>
      </c>
      <c r="I1126" s="328" t="s">
        <v>761</v>
      </c>
      <c r="J1126" s="328">
        <v>5504</v>
      </c>
      <c r="K1126" s="328">
        <v>7.51</v>
      </c>
      <c r="L1126" s="328">
        <v>116.99</v>
      </c>
      <c r="M1126" s="328" t="s">
        <v>6</v>
      </c>
      <c r="N1126" s="328" t="s">
        <v>368</v>
      </c>
      <c r="O1126" s="328" t="s">
        <v>530</v>
      </c>
      <c r="P1126" s="328" t="s">
        <v>392</v>
      </c>
      <c r="Q1126" s="328" t="s">
        <v>85</v>
      </c>
      <c r="R1126" s="328" t="s">
        <v>762</v>
      </c>
      <c r="S1126" s="303">
        <f t="shared" si="18"/>
        <v>5926427045.7412233</v>
      </c>
      <c r="T1126" s="307">
        <f>+IFERROR(VLOOKUP(C1126,'Tasas Diarias'!$B:$F,5,FALSE)*G1126,0)</f>
        <v>6.7621091355393421E-6</v>
      </c>
      <c r="U1126" s="311" t="str">
        <f ca="1">+VLOOKUP(C1126,Spreads!$A$2:$G$345,7,0)</f>
        <v/>
      </c>
    </row>
    <row r="1127" spans="1:21" ht="15.75" hidden="1" customHeight="1" thickTop="1" thickBot="1">
      <c r="A1127" s="321" t="s">
        <v>2137</v>
      </c>
      <c r="B1127" s="322" t="s">
        <v>298</v>
      </c>
      <c r="C1127" s="322" t="s">
        <v>1522</v>
      </c>
      <c r="D1127" s="322" t="s">
        <v>1523</v>
      </c>
      <c r="E1127" s="323">
        <v>64037148.531000003</v>
      </c>
      <c r="F1127" s="323"/>
      <c r="G1127" s="314">
        <v>7.2900000000000005E-4</v>
      </c>
      <c r="H1127" s="324">
        <v>2.58</v>
      </c>
      <c r="I1127" s="322" t="s">
        <v>1524</v>
      </c>
      <c r="J1127" s="322">
        <v>5169</v>
      </c>
      <c r="K1127" s="322">
        <v>7.54</v>
      </c>
      <c r="L1127" s="322">
        <v>110.75</v>
      </c>
      <c r="M1127" s="322" t="s">
        <v>6</v>
      </c>
      <c r="N1127" s="322" t="s">
        <v>368</v>
      </c>
      <c r="O1127" s="322" t="s">
        <v>8</v>
      </c>
      <c r="P1127" s="322" t="s">
        <v>25</v>
      </c>
      <c r="Q1127" s="322" t="s">
        <v>325</v>
      </c>
      <c r="R1127" s="322" t="s">
        <v>1525</v>
      </c>
      <c r="S1127" s="303">
        <f t="shared" si="18"/>
        <v>482840099.92374003</v>
      </c>
      <c r="T1127" s="307">
        <f>+IFERROR(VLOOKUP(C1127,'Tasas Diarias'!$B:$F,5,FALSE)*G1127,0)</f>
        <v>5.5424746374225734E-7</v>
      </c>
      <c r="U1127" s="311" t="e">
        <f>+VLOOKUP(C1127,Spreads!$A$2:$G$345,7,0)</f>
        <v>#N/A</v>
      </c>
    </row>
    <row r="1128" spans="1:21" ht="15.75" hidden="1" customHeight="1" thickTop="1" thickBot="1">
      <c r="A1128" s="321" t="s">
        <v>2137</v>
      </c>
      <c r="B1128" s="322" t="s">
        <v>298</v>
      </c>
      <c r="C1128" s="322" t="s">
        <v>768</v>
      </c>
      <c r="D1128" s="322" t="s">
        <v>168</v>
      </c>
      <c r="E1128" s="323">
        <v>75233419.442499995</v>
      </c>
      <c r="F1128" s="323">
        <v>2000</v>
      </c>
      <c r="G1128" s="314">
        <v>8.5599999999999999E-4</v>
      </c>
      <c r="H1128" s="324">
        <v>2.34</v>
      </c>
      <c r="I1128" s="322" t="s">
        <v>769</v>
      </c>
      <c r="J1128" s="322">
        <v>3176</v>
      </c>
      <c r="K1128" s="322">
        <v>7.55</v>
      </c>
      <c r="L1128" s="322">
        <v>109.61</v>
      </c>
      <c r="M1128" s="322" t="s">
        <v>6</v>
      </c>
      <c r="N1128" s="322" t="s">
        <v>368</v>
      </c>
      <c r="O1128" s="322" t="s">
        <v>8</v>
      </c>
      <c r="P1128" s="322" t="s">
        <v>379</v>
      </c>
      <c r="Q1128" s="322" t="s">
        <v>77</v>
      </c>
      <c r="R1128" s="322" t="s">
        <v>453</v>
      </c>
      <c r="S1128" s="303">
        <f t="shared" si="18"/>
        <v>568012316.79087496</v>
      </c>
      <c r="T1128" s="307">
        <f>+IFERROR(VLOOKUP(C1128,'Tasas Diarias'!$B:$F,5,FALSE)*G1128,0)</f>
        <v>6.509041564515696E-7</v>
      </c>
      <c r="U1128" s="311" t="str">
        <f ca="1">+VLOOKUP(C1128,Spreads!$A$2:$G$345,7,0)</f>
        <v/>
      </c>
    </row>
    <row r="1129" spans="1:21" ht="15.75" hidden="1" customHeight="1" thickTop="1" thickBot="1">
      <c r="A1129" s="321" t="s">
        <v>2137</v>
      </c>
      <c r="B1129" s="322" t="s">
        <v>298</v>
      </c>
      <c r="C1129" s="322" t="s">
        <v>1422</v>
      </c>
      <c r="D1129" s="322" t="s">
        <v>11</v>
      </c>
      <c r="E1129" s="323">
        <v>277225396.95270002</v>
      </c>
      <c r="F1129" s="323"/>
      <c r="G1129" s="314">
        <v>3.156E-3</v>
      </c>
      <c r="H1129" s="324">
        <v>2.42</v>
      </c>
      <c r="I1129" s="322" t="s">
        <v>1423</v>
      </c>
      <c r="J1129" s="322">
        <v>3145</v>
      </c>
      <c r="K1129" s="322">
        <v>7.6</v>
      </c>
      <c r="L1129" s="322">
        <v>104.53</v>
      </c>
      <c r="M1129" s="322" t="s">
        <v>6</v>
      </c>
      <c r="N1129" s="322" t="s">
        <v>368</v>
      </c>
      <c r="O1129" s="322" t="s">
        <v>8</v>
      </c>
      <c r="P1129" s="322" t="s">
        <v>7</v>
      </c>
      <c r="Q1129" s="322" t="s">
        <v>326</v>
      </c>
      <c r="R1129" s="322" t="s">
        <v>404</v>
      </c>
      <c r="S1129" s="303">
        <f t="shared" si="18"/>
        <v>2106913016.8405201</v>
      </c>
      <c r="T1129" s="307">
        <f>+IFERROR(VLOOKUP(C1129,'Tasas Diarias'!$B:$F,5,FALSE)*G1129,0)</f>
        <v>9.6579197960456175E-6</v>
      </c>
      <c r="U1129" s="311" t="e">
        <f>+VLOOKUP(C1129,Spreads!$A$2:$G$345,7,0)</f>
        <v>#N/A</v>
      </c>
    </row>
    <row r="1130" spans="1:21" ht="15.75" hidden="1" customHeight="1" thickTop="1" thickBot="1">
      <c r="A1130" s="317" t="s">
        <v>2137</v>
      </c>
      <c r="B1130" s="318" t="s">
        <v>298</v>
      </c>
      <c r="C1130" s="318" t="s">
        <v>1424</v>
      </c>
      <c r="D1130" s="318" t="s">
        <v>1236</v>
      </c>
      <c r="E1130" s="319">
        <v>105782147.93440001</v>
      </c>
      <c r="F1130" s="319"/>
      <c r="G1130" s="314">
        <v>1.204E-3</v>
      </c>
      <c r="H1130" s="320">
        <v>0</v>
      </c>
      <c r="I1130" s="318" t="s">
        <v>1425</v>
      </c>
      <c r="J1130" s="318">
        <v>3422</v>
      </c>
      <c r="K1130" s="318">
        <v>7.77</v>
      </c>
      <c r="L1130" s="318">
        <v>102.0819</v>
      </c>
      <c r="M1130" s="318" t="s">
        <v>9</v>
      </c>
      <c r="N1130" s="318" t="s">
        <v>368</v>
      </c>
      <c r="O1130" s="318" t="s">
        <v>1348</v>
      </c>
      <c r="P1130" s="318" t="s">
        <v>7</v>
      </c>
      <c r="Q1130" s="318" t="s">
        <v>86</v>
      </c>
      <c r="R1130" s="318" t="s">
        <v>1352</v>
      </c>
      <c r="S1130" s="303">
        <f t="shared" si="18"/>
        <v>821927289.45028806</v>
      </c>
      <c r="T1130" s="307">
        <f>+IFERROR(VLOOKUP(C1130,'Tasas Diarias'!$B:$F,5,FALSE)*G1130,0)</f>
        <v>0</v>
      </c>
      <c r="U1130" s="311" t="e">
        <f>+VLOOKUP(C1130,Spreads!$A$2:$G$345,7,0)</f>
        <v>#N/A</v>
      </c>
    </row>
    <row r="1131" spans="1:21" ht="15.75" hidden="1" customHeight="1" thickTop="1" thickBot="1">
      <c r="A1131" s="317" t="s">
        <v>2137</v>
      </c>
      <c r="B1131" s="318" t="s">
        <v>298</v>
      </c>
      <c r="C1131" s="318" t="s">
        <v>1610</v>
      </c>
      <c r="D1131" s="318" t="s">
        <v>1600</v>
      </c>
      <c r="E1131" s="319">
        <v>65064188.240099996</v>
      </c>
      <c r="F1131" s="319"/>
      <c r="G1131" s="314">
        <v>7.4100000000000001E-4</v>
      </c>
      <c r="H1131" s="320">
        <v>4.3899999999999997</v>
      </c>
      <c r="I1131" s="318" t="s">
        <v>1611</v>
      </c>
      <c r="J1131" s="318">
        <v>3694</v>
      </c>
      <c r="K1131" s="318">
        <v>7.77</v>
      </c>
      <c r="L1131" s="318">
        <v>111.09</v>
      </c>
      <c r="M1131" s="318" t="s">
        <v>6</v>
      </c>
      <c r="N1131" s="318" t="s">
        <v>368</v>
      </c>
      <c r="O1131" s="318" t="s">
        <v>461</v>
      </c>
      <c r="P1131" s="318" t="s">
        <v>802</v>
      </c>
      <c r="Q1131" s="318" t="s">
        <v>836</v>
      </c>
      <c r="R1131" s="318" t="s">
        <v>837</v>
      </c>
      <c r="S1131" s="303">
        <f t="shared" si="18"/>
        <v>505548742.62557697</v>
      </c>
      <c r="T1131" s="307">
        <f>+IFERROR(VLOOKUP(C1131,'Tasas Diarias'!$B:$F,5,FALSE)*G1131,0)</f>
        <v>1.1597118206529074E-6</v>
      </c>
      <c r="U1131" s="311" t="e">
        <f>+VLOOKUP(C1131,Spreads!$A$2:$G$345,7,0)</f>
        <v>#N/A</v>
      </c>
    </row>
    <row r="1132" spans="1:21" ht="15.75" hidden="1" customHeight="1" thickTop="1" thickBot="1">
      <c r="A1132" s="321" t="s">
        <v>2137</v>
      </c>
      <c r="B1132" s="322" t="s">
        <v>298</v>
      </c>
      <c r="C1132" s="322" t="s">
        <v>19</v>
      </c>
      <c r="D1132" s="322" t="s">
        <v>116</v>
      </c>
      <c r="E1132" s="323">
        <v>7717435715.8625002</v>
      </c>
      <c r="F1132" s="323">
        <v>274500</v>
      </c>
      <c r="G1132" s="314">
        <v>8.7844000000000005E-2</v>
      </c>
      <c r="H1132" s="324">
        <v>1.76</v>
      </c>
      <c r="I1132" s="322" t="s">
        <v>770</v>
      </c>
      <c r="J1132" s="322">
        <v>3023</v>
      </c>
      <c r="K1132" s="322">
        <v>7.79</v>
      </c>
      <c r="L1132" s="322">
        <v>98.07</v>
      </c>
      <c r="M1132" s="322" t="s">
        <v>6</v>
      </c>
      <c r="N1132" s="322" t="s">
        <v>458</v>
      </c>
      <c r="O1132" s="322" t="s">
        <v>378</v>
      </c>
      <c r="P1132" s="322" t="s">
        <v>379</v>
      </c>
      <c r="Q1132" s="322" t="s">
        <v>2139</v>
      </c>
      <c r="R1132" s="322" t="s">
        <v>508</v>
      </c>
      <c r="S1132" s="303">
        <f t="shared" si="18"/>
        <v>60118824226.568878</v>
      </c>
      <c r="T1132" s="307">
        <f>+IFERROR(VLOOKUP(C1132,'Tasas Diarias'!$B:$F,5,FALSE)*G1132,0)</f>
        <v>2.0677484453535759E-4</v>
      </c>
      <c r="U1132" s="311" t="str">
        <f>+VLOOKUP(C1132,Spreads!$A$2:$G$345,7,0)</f>
        <v/>
      </c>
    </row>
    <row r="1133" spans="1:21" ht="15.75" hidden="1" customHeight="1" thickTop="1" thickBot="1">
      <c r="A1133" s="317" t="s">
        <v>2137</v>
      </c>
      <c r="B1133" s="318" t="s">
        <v>298</v>
      </c>
      <c r="C1133" s="318" t="s">
        <v>920</v>
      </c>
      <c r="D1133" s="318" t="s">
        <v>295</v>
      </c>
      <c r="E1133" s="319">
        <v>38984715.626000002</v>
      </c>
      <c r="F1133" s="319"/>
      <c r="G1133" s="314">
        <v>4.44E-4</v>
      </c>
      <c r="H1133" s="320">
        <v>2.46</v>
      </c>
      <c r="I1133" s="318" t="s">
        <v>921</v>
      </c>
      <c r="J1133" s="318">
        <v>3360</v>
      </c>
      <c r="K1133" s="318">
        <v>7.81</v>
      </c>
      <c r="L1133" s="318">
        <v>112.56</v>
      </c>
      <c r="M1133" s="318" t="s">
        <v>6</v>
      </c>
      <c r="N1133" s="318" t="s">
        <v>368</v>
      </c>
      <c r="O1133" s="318" t="s">
        <v>8</v>
      </c>
      <c r="P1133" s="318" t="s">
        <v>417</v>
      </c>
      <c r="Q1133" s="318" t="s">
        <v>70</v>
      </c>
      <c r="R1133" s="318" t="s">
        <v>922</v>
      </c>
      <c r="S1133" s="303">
        <f t="shared" si="18"/>
        <v>304470629.03906</v>
      </c>
      <c r="T1133" s="307">
        <f>+IFERROR(VLOOKUP(C1133,'Tasas Diarias'!$B:$F,5,FALSE)*G1133,0)</f>
        <v>3.4919373990216275E-7</v>
      </c>
      <c r="U1133" s="311" t="str">
        <f ca="1">+VLOOKUP(C1133,Spreads!$A$2:$G$345,7,0)</f>
        <v/>
      </c>
    </row>
    <row r="1134" spans="1:21" ht="15.75" hidden="1" customHeight="1" thickTop="1" thickBot="1">
      <c r="A1134" s="321" t="s">
        <v>2137</v>
      </c>
      <c r="B1134" s="322" t="s">
        <v>298</v>
      </c>
      <c r="C1134" s="322" t="s">
        <v>1154</v>
      </c>
      <c r="D1134" s="322" t="s">
        <v>166</v>
      </c>
      <c r="E1134" s="323">
        <v>1115394520</v>
      </c>
      <c r="F1134" s="323">
        <v>35000</v>
      </c>
      <c r="G1134" s="314">
        <v>1.2696000000000001E-2</v>
      </c>
      <c r="H1134" s="324">
        <v>2.64</v>
      </c>
      <c r="I1134" s="322" t="s">
        <v>1155</v>
      </c>
      <c r="J1134" s="322">
        <v>4572</v>
      </c>
      <c r="K1134" s="322">
        <v>7.97</v>
      </c>
      <c r="L1134" s="322">
        <v>116.88</v>
      </c>
      <c r="M1134" s="322" t="s">
        <v>6</v>
      </c>
      <c r="N1134" s="322" t="s">
        <v>368</v>
      </c>
      <c r="O1134" s="322" t="s">
        <v>429</v>
      </c>
      <c r="P1134" s="322" t="s">
        <v>392</v>
      </c>
      <c r="Q1134" s="322" t="s">
        <v>57</v>
      </c>
      <c r="R1134" s="322" t="s">
        <v>447</v>
      </c>
      <c r="S1134" s="303">
        <f t="shared" si="18"/>
        <v>8889694324.3999996</v>
      </c>
      <c r="T1134" s="307">
        <f>+IFERROR(VLOOKUP(C1134,'Tasas Diarias'!$B:$F,5,FALSE)*G1134,0)</f>
        <v>0</v>
      </c>
      <c r="U1134" s="311" t="str">
        <f ca="1">+VLOOKUP(C1134,Spreads!$A$2:$G$345,7,0)</f>
        <v/>
      </c>
    </row>
    <row r="1135" spans="1:21" ht="15.75" hidden="1" customHeight="1" thickTop="1" thickBot="1">
      <c r="A1135" s="321" t="s">
        <v>2137</v>
      </c>
      <c r="B1135" s="322" t="s">
        <v>298</v>
      </c>
      <c r="C1135" s="322" t="s">
        <v>1201</v>
      </c>
      <c r="D1135" s="322" t="s">
        <v>1222</v>
      </c>
      <c r="E1135" s="323">
        <v>351676951.54409999</v>
      </c>
      <c r="F1135" s="323">
        <v>10000</v>
      </c>
      <c r="G1135" s="314">
        <v>4.0029999999999996E-3</v>
      </c>
      <c r="H1135" s="324">
        <v>2.5</v>
      </c>
      <c r="I1135" s="322" t="s">
        <v>671</v>
      </c>
      <c r="J1135" s="322">
        <v>3312</v>
      </c>
      <c r="K1135" s="322">
        <v>8</v>
      </c>
      <c r="L1135" s="322">
        <v>102.35</v>
      </c>
      <c r="M1135" s="322" t="s">
        <v>6</v>
      </c>
      <c r="N1135" s="322" t="s">
        <v>368</v>
      </c>
      <c r="O1135" s="322" t="s">
        <v>421</v>
      </c>
      <c r="P1135" s="322" t="s">
        <v>392</v>
      </c>
      <c r="Q1135" s="322" t="s">
        <v>1223</v>
      </c>
      <c r="R1135" s="322" t="s">
        <v>1224</v>
      </c>
      <c r="S1135" s="303">
        <f t="shared" si="18"/>
        <v>2813415612.3527999</v>
      </c>
      <c r="T1135" s="307">
        <f>+IFERROR(VLOOKUP(C1135,'Tasas Diarias'!$B:$F,5,FALSE)*G1135,0)</f>
        <v>3.2265770564154637E-6</v>
      </c>
      <c r="U1135" s="311" t="str">
        <f ca="1">+VLOOKUP(C1135,Spreads!$A$2:$G$345,7,0)</f>
        <v/>
      </c>
    </row>
    <row r="1136" spans="1:21" ht="15.75" hidden="1" customHeight="1" thickTop="1" thickBot="1">
      <c r="A1136" s="327" t="s">
        <v>2137</v>
      </c>
      <c r="B1136" s="328" t="s">
        <v>298</v>
      </c>
      <c r="C1136" s="328" t="s">
        <v>771</v>
      </c>
      <c r="D1136" s="328" t="s">
        <v>521</v>
      </c>
      <c r="E1136" s="328">
        <v>994915850.31379998</v>
      </c>
      <c r="F1136" s="328">
        <v>20000</v>
      </c>
      <c r="G1136" s="328">
        <v>1.1324000000000001E-2</v>
      </c>
      <c r="H1136" s="329">
        <v>2.59</v>
      </c>
      <c r="I1136" s="328" t="s">
        <v>772</v>
      </c>
      <c r="J1136" s="328">
        <v>5399</v>
      </c>
      <c r="K1136" s="328">
        <v>8.07</v>
      </c>
      <c r="L1136" s="328">
        <v>109.8</v>
      </c>
      <c r="M1136" s="328" t="s">
        <v>6</v>
      </c>
      <c r="N1136" s="328" t="s">
        <v>368</v>
      </c>
      <c r="O1136" s="328" t="s">
        <v>429</v>
      </c>
      <c r="P1136" s="328" t="s">
        <v>392</v>
      </c>
      <c r="Q1136" s="328" t="s">
        <v>522</v>
      </c>
      <c r="R1136" s="328" t="s">
        <v>523</v>
      </c>
      <c r="S1136" s="303">
        <f t="shared" si="18"/>
        <v>8028970912.0323658</v>
      </c>
      <c r="T1136" s="307">
        <f>+IFERROR(VLOOKUP(C1136,'Tasas Diarias'!$B:$F,5,FALSE)*G1136,0)</f>
        <v>9.2008779805809431E-6</v>
      </c>
      <c r="U1136" s="311" t="str">
        <f ca="1">+VLOOKUP(C1136,Spreads!$A$2:$G$345,7,0)</f>
        <v/>
      </c>
    </row>
    <row r="1137" spans="1:21" ht="15.75" hidden="1" customHeight="1" thickTop="1" thickBot="1">
      <c r="A1137" s="321" t="s">
        <v>2137</v>
      </c>
      <c r="B1137" s="322" t="s">
        <v>298</v>
      </c>
      <c r="C1137" s="322" t="s">
        <v>773</v>
      </c>
      <c r="D1137" s="322" t="s">
        <v>528</v>
      </c>
      <c r="E1137" s="323">
        <v>82527174.633900002</v>
      </c>
      <c r="F1137" s="323"/>
      <c r="G1137" s="314">
        <v>9.3899999999999995E-4</v>
      </c>
      <c r="H1137" s="324">
        <v>2.46</v>
      </c>
      <c r="I1137" s="322" t="s">
        <v>774</v>
      </c>
      <c r="J1137" s="322">
        <v>5307</v>
      </c>
      <c r="K1137" s="322">
        <v>8.08</v>
      </c>
      <c r="L1137" s="322">
        <v>111.34</v>
      </c>
      <c r="M1137" s="322" t="s">
        <v>6</v>
      </c>
      <c r="N1137" s="322" t="s">
        <v>368</v>
      </c>
      <c r="O1137" s="322" t="s">
        <v>530</v>
      </c>
      <c r="P1137" s="322" t="s">
        <v>7</v>
      </c>
      <c r="Q1137" s="322" t="s">
        <v>531</v>
      </c>
      <c r="R1137" s="322" t="s">
        <v>532</v>
      </c>
      <c r="S1137" s="303">
        <f t="shared" si="18"/>
        <v>666819571.04191196</v>
      </c>
      <c r="T1137" s="307">
        <f>+IFERROR(VLOOKUP(C1137,'Tasas Diarias'!$B:$F,5,FALSE)*G1137,0)</f>
        <v>7.6312576921943504E-7</v>
      </c>
      <c r="U1137" s="311" t="str">
        <f ca="1">+VLOOKUP(C1137,Spreads!$A$2:$G$345,7,0)</f>
        <v/>
      </c>
    </row>
    <row r="1138" spans="1:21" ht="15.75" hidden="1" customHeight="1" thickTop="1" thickBot="1">
      <c r="A1138" s="321" t="s">
        <v>2137</v>
      </c>
      <c r="B1138" s="322" t="s">
        <v>298</v>
      </c>
      <c r="C1138" s="322" t="s">
        <v>1008</v>
      </c>
      <c r="D1138" s="322" t="s">
        <v>485</v>
      </c>
      <c r="E1138" s="323">
        <v>668079315.76160002</v>
      </c>
      <c r="F1138" s="323">
        <v>20000</v>
      </c>
      <c r="G1138" s="314">
        <v>7.6039999999999996E-3</v>
      </c>
      <c r="H1138" s="324">
        <v>2.46</v>
      </c>
      <c r="I1138" s="322" t="s">
        <v>1009</v>
      </c>
      <c r="J1138" s="322">
        <v>3282</v>
      </c>
      <c r="K1138" s="322">
        <v>8.14</v>
      </c>
      <c r="L1138" s="322">
        <v>99.51</v>
      </c>
      <c r="M1138" s="322" t="s">
        <v>6</v>
      </c>
      <c r="N1138" s="322" t="s">
        <v>368</v>
      </c>
      <c r="O1138" s="322" t="s">
        <v>1348</v>
      </c>
      <c r="P1138" s="322" t="s">
        <v>392</v>
      </c>
      <c r="Q1138" s="322" t="s">
        <v>487</v>
      </c>
      <c r="R1138" s="322" t="s">
        <v>488</v>
      </c>
      <c r="S1138" s="303">
        <f t="shared" si="18"/>
        <v>5438165630.2994242</v>
      </c>
      <c r="T1138" s="307">
        <f>+IFERROR(VLOOKUP(C1138,'Tasas Diarias'!$B:$F,5,FALSE)*G1138,0)</f>
        <v>1.8463439992472784E-5</v>
      </c>
      <c r="U1138" s="311" t="str">
        <f ca="1">+VLOOKUP(C1138,Spreads!$A$2:$G$345,7,0)</f>
        <v/>
      </c>
    </row>
    <row r="1139" spans="1:21" ht="15.75" hidden="1" customHeight="1" thickTop="1" thickBot="1">
      <c r="A1139" s="321" t="s">
        <v>2137</v>
      </c>
      <c r="B1139" s="322" t="s">
        <v>298</v>
      </c>
      <c r="C1139" s="322" t="s">
        <v>923</v>
      </c>
      <c r="D1139" s="322" t="s">
        <v>859</v>
      </c>
      <c r="E1139" s="323">
        <v>5813778.3535000002</v>
      </c>
      <c r="F1139" s="323"/>
      <c r="G1139" s="314">
        <v>6.6000000000000005E-5</v>
      </c>
      <c r="H1139" s="324">
        <v>3.34</v>
      </c>
      <c r="I1139" s="322" t="s">
        <v>924</v>
      </c>
      <c r="J1139" s="322">
        <v>3938</v>
      </c>
      <c r="K1139" s="322">
        <v>8.14</v>
      </c>
      <c r="L1139" s="322">
        <v>101.26</v>
      </c>
      <c r="M1139" s="322" t="s">
        <v>6</v>
      </c>
      <c r="N1139" s="322" t="s">
        <v>368</v>
      </c>
      <c r="O1139" s="322" t="s">
        <v>1347</v>
      </c>
      <c r="P1139" s="322" t="s">
        <v>25</v>
      </c>
      <c r="Q1139" s="322" t="s">
        <v>861</v>
      </c>
      <c r="R1139" s="322" t="s">
        <v>862</v>
      </c>
      <c r="S1139" s="303">
        <f t="shared" si="18"/>
        <v>47324155.797490008</v>
      </c>
      <c r="T1139" s="307">
        <f>+IFERROR(VLOOKUP(C1139,'Tasas Diarias'!$B:$F,5,FALSE)*G1139,0)</f>
        <v>0</v>
      </c>
      <c r="U1139" s="311" t="str">
        <f ca="1">+VLOOKUP(C1139,Spreads!$A$2:$G$345,7,0)</f>
        <v/>
      </c>
    </row>
    <row r="1140" spans="1:21" ht="15.75" hidden="1" customHeight="1" thickTop="1" thickBot="1">
      <c r="A1140" s="317" t="s">
        <v>2137</v>
      </c>
      <c r="B1140" s="318" t="s">
        <v>298</v>
      </c>
      <c r="C1140" s="318" t="s">
        <v>1598</v>
      </c>
      <c r="D1140" s="318" t="s">
        <v>485</v>
      </c>
      <c r="E1140" s="319">
        <v>145847521.521</v>
      </c>
      <c r="F1140" s="319"/>
      <c r="G1140" s="314">
        <v>1.66E-3</v>
      </c>
      <c r="H1140" s="320">
        <v>2.5299999999999998</v>
      </c>
      <c r="I1140" s="318" t="s">
        <v>952</v>
      </c>
      <c r="J1140" s="318">
        <v>5474</v>
      </c>
      <c r="K1140" s="318">
        <v>8.24</v>
      </c>
      <c r="L1140" s="318">
        <v>112.27</v>
      </c>
      <c r="M1140" s="318" t="s">
        <v>6</v>
      </c>
      <c r="N1140" s="318" t="s">
        <v>368</v>
      </c>
      <c r="O1140" s="318" t="s">
        <v>1348</v>
      </c>
      <c r="P1140" s="318" t="s">
        <v>392</v>
      </c>
      <c r="Q1140" s="318" t="s">
        <v>487</v>
      </c>
      <c r="R1140" s="318" t="s">
        <v>488</v>
      </c>
      <c r="S1140" s="303">
        <f t="shared" si="18"/>
        <v>1201783577.33304</v>
      </c>
      <c r="T1140" s="307">
        <f>+IFERROR(VLOOKUP(C1140,'Tasas Diarias'!$B:$F,5,FALSE)*G1140,0)</f>
        <v>0</v>
      </c>
      <c r="U1140" s="311" t="e">
        <f>+VLOOKUP(C1140,Spreads!$A$2:$G$345,7,0)</f>
        <v>#N/A</v>
      </c>
    </row>
    <row r="1141" spans="1:21" ht="15.75" hidden="1" customHeight="1" thickTop="1" thickBot="1">
      <c r="A1141" s="317" t="s">
        <v>2137</v>
      </c>
      <c r="B1141" s="318" t="s">
        <v>298</v>
      </c>
      <c r="C1141" s="318" t="s">
        <v>775</v>
      </c>
      <c r="D1141" s="318" t="s">
        <v>776</v>
      </c>
      <c r="E1141" s="319">
        <v>354662727.1767</v>
      </c>
      <c r="F1141" s="319"/>
      <c r="G1141" s="314">
        <v>4.0369999999999998E-3</v>
      </c>
      <c r="H1141" s="320">
        <v>2.54</v>
      </c>
      <c r="I1141" s="318" t="s">
        <v>777</v>
      </c>
      <c r="J1141" s="318">
        <v>3677</v>
      </c>
      <c r="K1141" s="318">
        <v>8.32</v>
      </c>
      <c r="L1141" s="318">
        <v>114.59</v>
      </c>
      <c r="M1141" s="318" t="s">
        <v>6</v>
      </c>
      <c r="N1141" s="318" t="s">
        <v>368</v>
      </c>
      <c r="O1141" s="318" t="s">
        <v>1347</v>
      </c>
      <c r="P1141" s="318" t="s">
        <v>392</v>
      </c>
      <c r="Q1141" s="318" t="s">
        <v>778</v>
      </c>
      <c r="R1141" s="318" t="s">
        <v>779</v>
      </c>
      <c r="S1141" s="303">
        <f t="shared" si="18"/>
        <v>2950793890.1101441</v>
      </c>
      <c r="T1141" s="307">
        <f>+IFERROR(VLOOKUP(C1141,'Tasas Diarias'!$B:$F,5,FALSE)*G1141,0)</f>
        <v>3.3821371637814743E-6</v>
      </c>
      <c r="U1141" s="311" t="str">
        <f ca="1">+VLOOKUP(C1141,Spreads!$A$2:$G$345,7,0)</f>
        <v/>
      </c>
    </row>
    <row r="1142" spans="1:21" ht="15.75" hidden="1" customHeight="1" thickTop="1" thickBot="1">
      <c r="A1142" s="321" t="s">
        <v>2137</v>
      </c>
      <c r="B1142" s="322" t="s">
        <v>298</v>
      </c>
      <c r="C1142" s="322" t="s">
        <v>925</v>
      </c>
      <c r="D1142" s="322" t="s">
        <v>859</v>
      </c>
      <c r="E1142" s="323">
        <v>50104865.810000002</v>
      </c>
      <c r="F1142" s="323"/>
      <c r="G1142" s="314">
        <v>5.6999999999999998E-4</v>
      </c>
      <c r="H1142" s="324">
        <v>2.74</v>
      </c>
      <c r="I1142" s="322" t="s">
        <v>926</v>
      </c>
      <c r="J1142" s="322">
        <v>4119</v>
      </c>
      <c r="K1142" s="322">
        <v>8.4</v>
      </c>
      <c r="L1142" s="322">
        <v>144.13999999999999</v>
      </c>
      <c r="M1142" s="322" t="s">
        <v>6</v>
      </c>
      <c r="N1142" s="322" t="s">
        <v>368</v>
      </c>
      <c r="O1142" s="322" t="s">
        <v>1347</v>
      </c>
      <c r="P1142" s="322" t="s">
        <v>25</v>
      </c>
      <c r="Q1142" s="322" t="s">
        <v>861</v>
      </c>
      <c r="R1142" s="322" t="s">
        <v>862</v>
      </c>
      <c r="S1142" s="303">
        <f t="shared" si="18"/>
        <v>420880872.80400002</v>
      </c>
      <c r="T1142" s="307">
        <f>+IFERROR(VLOOKUP(C1142,'Tasas Diarias'!$B:$F,5,FALSE)*G1142,0)</f>
        <v>4.8187788851674922E-7</v>
      </c>
      <c r="U1142" s="311" t="str">
        <f ca="1">+VLOOKUP(C1142,Spreads!$A$2:$G$345,7,0)</f>
        <v/>
      </c>
    </row>
    <row r="1143" spans="1:21" ht="15.75" hidden="1" customHeight="1" thickTop="1" thickBot="1">
      <c r="A1143" s="317" t="s">
        <v>2137</v>
      </c>
      <c r="B1143" s="318" t="s">
        <v>298</v>
      </c>
      <c r="C1143" s="318" t="s">
        <v>780</v>
      </c>
      <c r="D1143" s="318" t="s">
        <v>420</v>
      </c>
      <c r="E1143" s="319">
        <v>176230730.42359999</v>
      </c>
      <c r="F1143" s="319"/>
      <c r="G1143" s="314">
        <v>2.006E-3</v>
      </c>
      <c r="H1143" s="320">
        <v>2.62</v>
      </c>
      <c r="I1143" s="318" t="s">
        <v>781</v>
      </c>
      <c r="J1143" s="318">
        <v>5594</v>
      </c>
      <c r="K1143" s="318">
        <v>8.42</v>
      </c>
      <c r="L1143" s="318">
        <v>111.73</v>
      </c>
      <c r="M1143" s="318" t="s">
        <v>6</v>
      </c>
      <c r="N1143" s="318" t="s">
        <v>368</v>
      </c>
      <c r="O1143" s="318" t="s">
        <v>421</v>
      </c>
      <c r="P1143" s="318" t="s">
        <v>417</v>
      </c>
      <c r="Q1143" s="318" t="s">
        <v>422</v>
      </c>
      <c r="R1143" s="318" t="s">
        <v>423</v>
      </c>
      <c r="S1143" s="303">
        <f t="shared" si="18"/>
        <v>1483862750.1667118</v>
      </c>
      <c r="T1143" s="307">
        <f>+IFERROR(VLOOKUP(C1143,'Tasas Diarias'!$B:$F,5,FALSE)*G1143,0)</f>
        <v>1.6985164488215447E-6</v>
      </c>
      <c r="U1143" s="311" t="str">
        <f ca="1">+VLOOKUP(C1143,Spreads!$A$2:$G$345,7,0)</f>
        <v/>
      </c>
    </row>
    <row r="1144" spans="1:21" ht="15.75" hidden="1" customHeight="1" thickTop="1" thickBot="1">
      <c r="A1144" s="317" t="s">
        <v>2137</v>
      </c>
      <c r="B1144" s="318" t="s">
        <v>298</v>
      </c>
      <c r="C1144" s="318" t="s">
        <v>928</v>
      </c>
      <c r="D1144" s="318" t="s">
        <v>929</v>
      </c>
      <c r="E1144" s="319">
        <v>617446.49179999996</v>
      </c>
      <c r="F1144" s="319"/>
      <c r="G1144" s="314">
        <v>6.9999999999999999E-6</v>
      </c>
      <c r="H1144" s="320">
        <v>3.43</v>
      </c>
      <c r="I1144" s="318" t="s">
        <v>930</v>
      </c>
      <c r="J1144" s="318">
        <v>3846</v>
      </c>
      <c r="K1144" s="318">
        <v>8.5399999999999991</v>
      </c>
      <c r="L1144" s="318">
        <v>106.91</v>
      </c>
      <c r="M1144" s="318" t="s">
        <v>6</v>
      </c>
      <c r="N1144" s="318" t="s">
        <v>368</v>
      </c>
      <c r="O1144" s="318" t="s">
        <v>1348</v>
      </c>
      <c r="P1144" s="318" t="s">
        <v>417</v>
      </c>
      <c r="Q1144" s="318" t="s">
        <v>929</v>
      </c>
      <c r="R1144" s="318" t="s">
        <v>931</v>
      </c>
      <c r="S1144" s="303">
        <f t="shared" si="18"/>
        <v>5272993.0399719989</v>
      </c>
      <c r="T1144" s="307">
        <f>+IFERROR(VLOOKUP(C1144,'Tasas Diarias'!$B:$F,5,FALSE)*G1144,0)</f>
        <v>1.203447316271327E-8</v>
      </c>
      <c r="U1144" s="311" t="str">
        <f ca="1">+VLOOKUP(C1144,Spreads!$A$2:$G$345,7,0)</f>
        <v/>
      </c>
    </row>
    <row r="1145" spans="1:21" ht="15.75" hidden="1" customHeight="1" thickTop="1" thickBot="1">
      <c r="A1145" s="321" t="s">
        <v>2137</v>
      </c>
      <c r="B1145" s="322" t="s">
        <v>298</v>
      </c>
      <c r="C1145" s="322" t="s">
        <v>1156</v>
      </c>
      <c r="D1145" s="322" t="s">
        <v>165</v>
      </c>
      <c r="E1145" s="323">
        <v>10716413</v>
      </c>
      <c r="F1145" s="323">
        <v>470</v>
      </c>
      <c r="G1145" s="314">
        <v>1.21E-4</v>
      </c>
      <c r="H1145" s="324">
        <v>3.43</v>
      </c>
      <c r="I1145" s="322" t="s">
        <v>1157</v>
      </c>
      <c r="J1145" s="322">
        <v>6982</v>
      </c>
      <c r="K1145" s="322">
        <v>8.57</v>
      </c>
      <c r="L1145" s="322">
        <v>109.08</v>
      </c>
      <c r="M1145" s="322" t="s">
        <v>6</v>
      </c>
      <c r="N1145" s="322" t="s">
        <v>1095</v>
      </c>
      <c r="O1145" s="322" t="s">
        <v>8</v>
      </c>
      <c r="P1145" s="322" t="s">
        <v>379</v>
      </c>
      <c r="Q1145" s="322" t="s">
        <v>74</v>
      </c>
      <c r="R1145" s="322" t="s">
        <v>1158</v>
      </c>
      <c r="S1145" s="303">
        <f t="shared" si="18"/>
        <v>91839659.409999996</v>
      </c>
      <c r="T1145" s="307">
        <f>+IFERROR(VLOOKUP(C1145,'Tasas Diarias'!$B:$F,5,FALSE)*G1145,0)</f>
        <v>6.2573372857144268E-7</v>
      </c>
      <c r="U1145" s="311" t="e">
        <f>+VLOOKUP(C1145,Spreads!$A$2:$G$345,7,0)</f>
        <v>#N/A</v>
      </c>
    </row>
    <row r="1146" spans="1:21" ht="15.75" hidden="1" customHeight="1" thickTop="1" thickBot="1">
      <c r="A1146" s="321" t="s">
        <v>2137</v>
      </c>
      <c r="B1146" s="322" t="s">
        <v>298</v>
      </c>
      <c r="C1146" s="322" t="s">
        <v>784</v>
      </c>
      <c r="D1146" s="322" t="s">
        <v>166</v>
      </c>
      <c r="E1146" s="323">
        <v>1302554725.5021</v>
      </c>
      <c r="F1146" s="323">
        <v>1251061613.4898617</v>
      </c>
      <c r="G1146" s="314">
        <v>1.4826000000000001E-2</v>
      </c>
      <c r="H1146" s="324">
        <v>6.89</v>
      </c>
      <c r="I1146" s="322" t="s">
        <v>785</v>
      </c>
      <c r="J1146" s="322">
        <v>4941</v>
      </c>
      <c r="K1146" s="322">
        <v>8.76</v>
      </c>
      <c r="L1146" s="322">
        <v>100.87</v>
      </c>
      <c r="M1146" s="322" t="s">
        <v>9</v>
      </c>
      <c r="N1146" s="322" t="s">
        <v>368</v>
      </c>
      <c r="O1146" s="322" t="s">
        <v>429</v>
      </c>
      <c r="P1146" s="322" t="s">
        <v>392</v>
      </c>
      <c r="Q1146" s="322" t="s">
        <v>57</v>
      </c>
      <c r="R1146" s="322" t="s">
        <v>447</v>
      </c>
      <c r="S1146" s="303">
        <f t="shared" si="18"/>
        <v>11410379395.398396</v>
      </c>
      <c r="T1146" s="307">
        <f>+IFERROR(VLOOKUP(C1146,'Tasas Diarias'!$B:$F,5,FALSE)*G1146,0)</f>
        <v>-1.3100425157496357E-5</v>
      </c>
      <c r="U1146" s="311" t="str">
        <f ca="1">+VLOOKUP(C1146,Spreads!$A$2:$G$345,7,0)</f>
        <v/>
      </c>
    </row>
    <row r="1147" spans="1:21" ht="15.75" hidden="1" customHeight="1" thickTop="1" thickBot="1">
      <c r="A1147" s="321" t="s">
        <v>2137</v>
      </c>
      <c r="B1147" s="322" t="s">
        <v>298</v>
      </c>
      <c r="C1147" s="322" t="s">
        <v>932</v>
      </c>
      <c r="D1147" s="322" t="s">
        <v>166</v>
      </c>
      <c r="E1147" s="323">
        <v>12752409.721799999</v>
      </c>
      <c r="F1147" s="323"/>
      <c r="G1147" s="314">
        <v>1.45E-4</v>
      </c>
      <c r="H1147" s="324">
        <v>2.69</v>
      </c>
      <c r="I1147" s="322" t="s">
        <v>933</v>
      </c>
      <c r="J1147" s="322">
        <v>3821</v>
      </c>
      <c r="K1147" s="322">
        <v>8.7799999999999994</v>
      </c>
      <c r="L1147" s="322">
        <v>111.67</v>
      </c>
      <c r="M1147" s="322" t="s">
        <v>6</v>
      </c>
      <c r="N1147" s="322" t="s">
        <v>368</v>
      </c>
      <c r="O1147" s="322" t="s">
        <v>429</v>
      </c>
      <c r="P1147" s="322" t="s">
        <v>392</v>
      </c>
      <c r="Q1147" s="322" t="s">
        <v>57</v>
      </c>
      <c r="R1147" s="322" t="s">
        <v>447</v>
      </c>
      <c r="S1147" s="303">
        <f t="shared" si="18"/>
        <v>111966157.35740399</v>
      </c>
      <c r="T1147" s="307">
        <f>+IFERROR(VLOOKUP(C1147,'Tasas Diarias'!$B:$F,5,FALSE)*G1147,0)</f>
        <v>2.5167877728187499E-7</v>
      </c>
      <c r="U1147" s="311" t="str">
        <f ca="1">+VLOOKUP(C1147,Spreads!$A$2:$G$345,7,0)</f>
        <v/>
      </c>
    </row>
    <row r="1148" spans="1:21" ht="15.75" hidden="1" customHeight="1" thickTop="1" thickBot="1">
      <c r="A1148" s="321" t="s">
        <v>2137</v>
      </c>
      <c r="B1148" s="322" t="s">
        <v>298</v>
      </c>
      <c r="C1148" s="322" t="s">
        <v>1159</v>
      </c>
      <c r="D1148" s="322" t="s">
        <v>165</v>
      </c>
      <c r="E1148" s="323">
        <v>22898428</v>
      </c>
      <c r="F1148" s="323">
        <v>980</v>
      </c>
      <c r="G1148" s="314">
        <v>2.5999999999999998E-4</v>
      </c>
      <c r="H1148" s="324">
        <v>3.56</v>
      </c>
      <c r="I1148" s="322" t="s">
        <v>1160</v>
      </c>
      <c r="J1148" s="322">
        <v>7347</v>
      </c>
      <c r="K1148" s="322">
        <v>8.92</v>
      </c>
      <c r="L1148" s="322">
        <v>108.28</v>
      </c>
      <c r="M1148" s="322" t="s">
        <v>6</v>
      </c>
      <c r="N1148" s="322" t="s">
        <v>1095</v>
      </c>
      <c r="O1148" s="322" t="s">
        <v>8</v>
      </c>
      <c r="P1148" s="322" t="s">
        <v>379</v>
      </c>
      <c r="Q1148" s="322" t="s">
        <v>74</v>
      </c>
      <c r="R1148" s="322" t="s">
        <v>1158</v>
      </c>
      <c r="S1148" s="303">
        <f t="shared" si="18"/>
        <v>204253977.75999999</v>
      </c>
      <c r="T1148" s="307">
        <f>+IFERROR(VLOOKUP(C1148,'Tasas Diarias'!$B:$F,5,FALSE)*G1148,0)</f>
        <v>1.1661178261358999E-6</v>
      </c>
      <c r="U1148" s="311" t="e">
        <f>+VLOOKUP(C1148,Spreads!$A$2:$G$345,7,0)</f>
        <v>#N/A</v>
      </c>
    </row>
    <row r="1149" spans="1:21" ht="15.75" hidden="1" customHeight="1" thickTop="1" thickBot="1">
      <c r="A1149" s="317" t="s">
        <v>2137</v>
      </c>
      <c r="B1149" s="318" t="s">
        <v>298</v>
      </c>
      <c r="C1149" s="318" t="s">
        <v>786</v>
      </c>
      <c r="D1149" s="318" t="s">
        <v>58</v>
      </c>
      <c r="E1149" s="319">
        <v>661642788.74609995</v>
      </c>
      <c r="F1149" s="319">
        <v>17500</v>
      </c>
      <c r="G1149" s="314">
        <v>7.5300000000000002E-3</v>
      </c>
      <c r="H1149" s="320">
        <v>2.73</v>
      </c>
      <c r="I1149" s="318" t="s">
        <v>787</v>
      </c>
      <c r="J1149" s="318">
        <v>7836</v>
      </c>
      <c r="K1149" s="318">
        <v>8.9499999999999993</v>
      </c>
      <c r="L1149" s="318">
        <v>109.49</v>
      </c>
      <c r="M1149" s="318" t="s">
        <v>6</v>
      </c>
      <c r="N1149" s="318" t="s">
        <v>368</v>
      </c>
      <c r="O1149" s="318" t="s">
        <v>8</v>
      </c>
      <c r="P1149" s="318" t="s">
        <v>392</v>
      </c>
      <c r="Q1149" s="318" t="s">
        <v>58</v>
      </c>
      <c r="R1149" s="318" t="s">
        <v>745</v>
      </c>
      <c r="S1149" s="303">
        <f t="shared" si="18"/>
        <v>5921702959.2775936</v>
      </c>
      <c r="T1149" s="307">
        <f>+IFERROR(VLOOKUP(C1149,'Tasas Diarias'!$B:$F,5,FALSE)*G1149,0)</f>
        <v>6.5241196075171437E-6</v>
      </c>
      <c r="U1149" s="311" t="str">
        <f ca="1">+VLOOKUP(C1149,Spreads!$A$2:$G$345,7,0)</f>
        <v/>
      </c>
    </row>
    <row r="1150" spans="1:21" ht="15.75" hidden="1" customHeight="1" thickTop="1" thickBot="1">
      <c r="A1150" s="321" t="s">
        <v>2137</v>
      </c>
      <c r="B1150" s="322" t="s">
        <v>298</v>
      </c>
      <c r="C1150" s="322" t="s">
        <v>1274</v>
      </c>
      <c r="D1150" s="322" t="s">
        <v>1275</v>
      </c>
      <c r="E1150" s="323">
        <v>145467941.27410001</v>
      </c>
      <c r="F1150" s="323"/>
      <c r="G1150" s="314">
        <v>1.6559999999999999E-3</v>
      </c>
      <c r="H1150" s="324">
        <v>0</v>
      </c>
      <c r="I1150" s="322" t="s">
        <v>1276</v>
      </c>
      <c r="J1150" s="322">
        <v>4271</v>
      </c>
      <c r="K1150" s="322">
        <v>9.1</v>
      </c>
      <c r="L1150" s="322">
        <v>104.44840000000001</v>
      </c>
      <c r="M1150" s="322" t="s">
        <v>9</v>
      </c>
      <c r="N1150" s="322" t="s">
        <v>368</v>
      </c>
      <c r="O1150" s="322" t="s">
        <v>1346</v>
      </c>
      <c r="P1150" s="322" t="s">
        <v>392</v>
      </c>
      <c r="Q1150" s="322" t="s">
        <v>1031</v>
      </c>
      <c r="R1150" s="322" t="s">
        <v>1277</v>
      </c>
      <c r="S1150" s="303">
        <f t="shared" si="18"/>
        <v>1323758265.59431</v>
      </c>
      <c r="T1150" s="307">
        <f>+IFERROR(VLOOKUP(C1150,'Tasas Diarias'!$B:$F,5,FALSE)*G1150,0)</f>
        <v>0</v>
      </c>
      <c r="U1150" s="311" t="e">
        <f>+VLOOKUP(C1150,Spreads!$A$2:$G$345,7,0)</f>
        <v>#N/A</v>
      </c>
    </row>
    <row r="1151" spans="1:21" ht="15.75" hidden="1" customHeight="1" thickTop="1" thickBot="1">
      <c r="A1151" s="321" t="s">
        <v>2137</v>
      </c>
      <c r="B1151" s="322" t="s">
        <v>298</v>
      </c>
      <c r="C1151" s="322" t="s">
        <v>788</v>
      </c>
      <c r="D1151" s="322" t="s">
        <v>433</v>
      </c>
      <c r="E1151" s="323">
        <v>138837705.67590001</v>
      </c>
      <c r="F1151" s="323"/>
      <c r="G1151" s="314">
        <v>1.58E-3</v>
      </c>
      <c r="H1151" s="324">
        <v>2.64</v>
      </c>
      <c r="I1151" s="322" t="s">
        <v>789</v>
      </c>
      <c r="J1151" s="322">
        <v>5976</v>
      </c>
      <c r="K1151" s="322">
        <v>9.18</v>
      </c>
      <c r="L1151" s="322">
        <v>111.69</v>
      </c>
      <c r="M1151" s="322" t="s">
        <v>6</v>
      </c>
      <c r="N1151" s="322" t="s">
        <v>368</v>
      </c>
      <c r="O1151" s="322" t="s">
        <v>8</v>
      </c>
      <c r="P1151" s="322" t="s">
        <v>392</v>
      </c>
      <c r="Q1151" s="322" t="s">
        <v>435</v>
      </c>
      <c r="R1151" s="322" t="s">
        <v>790</v>
      </c>
      <c r="S1151" s="303">
        <f t="shared" si="18"/>
        <v>1274530138.1047621</v>
      </c>
      <c r="T1151" s="307">
        <f>+IFERROR(VLOOKUP(C1151,'Tasas Diarias'!$B:$F,5,FALSE)*G1151,0)</f>
        <v>0</v>
      </c>
      <c r="U1151" s="311" t="str">
        <f ca="1">+VLOOKUP(C1151,Spreads!$A$2:$G$345,7,0)</f>
        <v/>
      </c>
    </row>
    <row r="1152" spans="1:21" ht="15.75" hidden="1" customHeight="1" thickTop="1" thickBot="1">
      <c r="A1152" s="321" t="s">
        <v>2137</v>
      </c>
      <c r="B1152" s="322" t="s">
        <v>298</v>
      </c>
      <c r="C1152" s="322" t="s">
        <v>939</v>
      </c>
      <c r="D1152" s="322" t="s">
        <v>940</v>
      </c>
      <c r="E1152" s="323">
        <v>12605689.7633</v>
      </c>
      <c r="F1152" s="323"/>
      <c r="G1152" s="314">
        <v>1.4300000000000001E-4</v>
      </c>
      <c r="H1152" s="324">
        <v>3.04</v>
      </c>
      <c r="I1152" s="322" t="s">
        <v>941</v>
      </c>
      <c r="J1152" s="322">
        <v>6219</v>
      </c>
      <c r="K1152" s="322">
        <v>9.43</v>
      </c>
      <c r="L1152" s="322">
        <v>108.53</v>
      </c>
      <c r="M1152" s="322" t="s">
        <v>6</v>
      </c>
      <c r="N1152" s="322" t="s">
        <v>368</v>
      </c>
      <c r="O1152" s="322" t="s">
        <v>551</v>
      </c>
      <c r="P1152" s="322" t="s">
        <v>417</v>
      </c>
      <c r="Q1152" s="322" t="s">
        <v>940</v>
      </c>
      <c r="R1152" s="322" t="s">
        <v>942</v>
      </c>
      <c r="S1152" s="303">
        <f t="shared" si="18"/>
        <v>118871654.46791899</v>
      </c>
      <c r="T1152" s="307">
        <f>+IFERROR(VLOOKUP(C1152,'Tasas Diarias'!$B:$F,5,FALSE)*G1152,0)</f>
        <v>2.7137317928683846E-7</v>
      </c>
      <c r="U1152" s="311" t="str">
        <f ca="1">+VLOOKUP(C1152,Spreads!$A$2:$G$345,7,0)</f>
        <v/>
      </c>
    </row>
    <row r="1153" spans="1:21" ht="15.75" hidden="1" customHeight="1" thickTop="1" thickBot="1">
      <c r="A1153" s="321" t="s">
        <v>2137</v>
      </c>
      <c r="B1153" s="322" t="s">
        <v>298</v>
      </c>
      <c r="C1153" s="322" t="s">
        <v>934</v>
      </c>
      <c r="D1153" s="322" t="s">
        <v>935</v>
      </c>
      <c r="E1153" s="323">
        <v>142379493.0106</v>
      </c>
      <c r="F1153" s="323"/>
      <c r="G1153" s="314">
        <v>1.621E-3</v>
      </c>
      <c r="H1153" s="324">
        <v>3.2</v>
      </c>
      <c r="I1153" s="322" t="s">
        <v>936</v>
      </c>
      <c r="J1153" s="322">
        <v>6204</v>
      </c>
      <c r="K1153" s="322">
        <v>9.52</v>
      </c>
      <c r="L1153" s="322">
        <v>107.55</v>
      </c>
      <c r="M1153" s="322" t="s">
        <v>6</v>
      </c>
      <c r="N1153" s="322" t="s">
        <v>368</v>
      </c>
      <c r="O1153" s="322" t="s">
        <v>1349</v>
      </c>
      <c r="P1153" s="322" t="s">
        <v>25</v>
      </c>
      <c r="Q1153" s="322" t="s">
        <v>937</v>
      </c>
      <c r="R1153" s="322" t="s">
        <v>938</v>
      </c>
      <c r="S1153" s="303">
        <f t="shared" si="18"/>
        <v>1355452773.460912</v>
      </c>
      <c r="T1153" s="307">
        <f>+IFERROR(VLOOKUP(C1153,'Tasas Diarias'!$B:$F,5,FALSE)*G1153,0)</f>
        <v>1.5231765147793169E-6</v>
      </c>
      <c r="U1153" s="311" t="str">
        <f ca="1">+VLOOKUP(C1153,Spreads!$A$2:$G$345,7,0)</f>
        <v/>
      </c>
    </row>
    <row r="1154" spans="1:21" ht="15.75" hidden="1" customHeight="1" thickTop="1" thickBot="1">
      <c r="A1154" s="321" t="s">
        <v>2137</v>
      </c>
      <c r="B1154" s="322" t="s">
        <v>298</v>
      </c>
      <c r="C1154" s="322" t="s">
        <v>1161</v>
      </c>
      <c r="D1154" s="322" t="s">
        <v>1162</v>
      </c>
      <c r="E1154" s="323">
        <v>218810449</v>
      </c>
      <c r="F1154" s="323">
        <v>7000</v>
      </c>
      <c r="G1154" s="314">
        <v>2.49E-3</v>
      </c>
      <c r="H1154" s="324">
        <v>2.69</v>
      </c>
      <c r="I1154" s="322" t="s">
        <v>1163</v>
      </c>
      <c r="J1154" s="322">
        <v>4507</v>
      </c>
      <c r="K1154" s="322">
        <v>9.9</v>
      </c>
      <c r="L1154" s="322">
        <v>116.43</v>
      </c>
      <c r="M1154" s="322" t="s">
        <v>6</v>
      </c>
      <c r="N1154" s="322" t="s">
        <v>368</v>
      </c>
      <c r="O1154" s="322" t="s">
        <v>1348</v>
      </c>
      <c r="P1154" s="322" t="s">
        <v>7</v>
      </c>
      <c r="Q1154" s="322" t="s">
        <v>86</v>
      </c>
      <c r="R1154" s="322" t="s">
        <v>1164</v>
      </c>
      <c r="S1154" s="303">
        <f t="shared" si="18"/>
        <v>2166223445.0999999</v>
      </c>
      <c r="T1154" s="307">
        <f>+IFERROR(VLOOKUP(C1154,'Tasas Diarias'!$B:$F,5,FALSE)*G1154,0)</f>
        <v>2.4780694438671236E-6</v>
      </c>
      <c r="U1154" s="311" t="str">
        <f ca="1">+VLOOKUP(C1154,Spreads!$A$2:$G$345,7,0)</f>
        <v/>
      </c>
    </row>
    <row r="1155" spans="1:21" ht="15.75" hidden="1" customHeight="1" thickTop="1" thickBot="1">
      <c r="A1155" s="327" t="s">
        <v>2137</v>
      </c>
      <c r="B1155" s="328" t="s">
        <v>298</v>
      </c>
      <c r="C1155" s="328" t="s">
        <v>1161</v>
      </c>
      <c r="D1155" s="328" t="s">
        <v>1236</v>
      </c>
      <c r="E1155" s="328">
        <v>20051727.654599998</v>
      </c>
      <c r="F1155" s="328"/>
      <c r="G1155" s="328">
        <v>2.2800000000000001E-4</v>
      </c>
      <c r="H1155" s="329">
        <v>2.69</v>
      </c>
      <c r="I1155" s="328" t="s">
        <v>1163</v>
      </c>
      <c r="J1155" s="328">
        <v>4507</v>
      </c>
      <c r="K1155" s="328">
        <v>9.9</v>
      </c>
      <c r="L1155" s="328">
        <v>116.43</v>
      </c>
      <c r="M1155" s="328" t="s">
        <v>6</v>
      </c>
      <c r="N1155" s="328" t="s">
        <v>368</v>
      </c>
      <c r="O1155" s="328" t="s">
        <v>1348</v>
      </c>
      <c r="P1155" s="328" t="s">
        <v>7</v>
      </c>
      <c r="Q1155" s="328" t="s">
        <v>86</v>
      </c>
      <c r="R1155" s="328" t="s">
        <v>1164</v>
      </c>
      <c r="S1155" s="303">
        <f t="shared" ref="S1155:S1218" si="19">+IFERROR(E1155*K1155,0)</f>
        <v>198512103.78053999</v>
      </c>
      <c r="T1155" s="307">
        <f>+IFERROR(VLOOKUP(C1155,'Tasas Diarias'!$B:$F,5,FALSE)*G1155,0)</f>
        <v>2.2690756353482098E-7</v>
      </c>
      <c r="U1155" s="311" t="str">
        <f ca="1">+VLOOKUP(C1155,Spreads!$A$2:$G$345,7,0)</f>
        <v/>
      </c>
    </row>
    <row r="1156" spans="1:21" ht="15.75" hidden="1" customHeight="1" thickTop="1" thickBot="1">
      <c r="A1156" s="327" t="s">
        <v>2137</v>
      </c>
      <c r="B1156" s="328" t="s">
        <v>298</v>
      </c>
      <c r="C1156" s="328" t="s">
        <v>1025</v>
      </c>
      <c r="D1156" s="328" t="s">
        <v>528</v>
      </c>
      <c r="E1156" s="328">
        <v>13492122.8456</v>
      </c>
      <c r="F1156" s="328"/>
      <c r="G1156" s="314">
        <v>1.54E-4</v>
      </c>
      <c r="H1156" s="329">
        <v>2.63</v>
      </c>
      <c r="I1156" s="328" t="s">
        <v>1026</v>
      </c>
      <c r="J1156" s="328">
        <v>5490</v>
      </c>
      <c r="K1156" s="328">
        <v>9.94</v>
      </c>
      <c r="L1156" s="328">
        <v>113.87</v>
      </c>
      <c r="M1156" s="328" t="s">
        <v>6</v>
      </c>
      <c r="N1156" s="328" t="s">
        <v>368</v>
      </c>
      <c r="O1156" s="328" t="s">
        <v>530</v>
      </c>
      <c r="P1156" s="328" t="s">
        <v>7</v>
      </c>
      <c r="Q1156" s="328" t="s">
        <v>531</v>
      </c>
      <c r="R1156" s="328" t="s">
        <v>532</v>
      </c>
      <c r="S1156" s="303">
        <f t="shared" si="19"/>
        <v>134111701.08526398</v>
      </c>
      <c r="T1156" s="307">
        <f>+IFERROR(VLOOKUP(C1156,'Tasas Diarias'!$B:$F,5,FALSE)*G1156,0)</f>
        <v>0</v>
      </c>
      <c r="U1156" s="311" t="str">
        <f ca="1">+VLOOKUP(C1156,Spreads!$A$2:$G$345,7,0)</f>
        <v/>
      </c>
    </row>
    <row r="1157" spans="1:21" ht="15.75" hidden="1" customHeight="1" thickTop="1" thickBot="1">
      <c r="A1157" s="317" t="s">
        <v>2137</v>
      </c>
      <c r="B1157" s="318" t="s">
        <v>298</v>
      </c>
      <c r="C1157" s="318" t="s">
        <v>1165</v>
      </c>
      <c r="D1157" s="318" t="s">
        <v>291</v>
      </c>
      <c r="E1157" s="319">
        <v>14956952</v>
      </c>
      <c r="F1157" s="319">
        <v>500</v>
      </c>
      <c r="G1157" s="314">
        <v>1.7000000000000001E-4</v>
      </c>
      <c r="H1157" s="320">
        <v>2.65</v>
      </c>
      <c r="I1157" s="318" t="s">
        <v>995</v>
      </c>
      <c r="J1157" s="318">
        <v>5413</v>
      </c>
      <c r="K1157" s="318">
        <v>10.24</v>
      </c>
      <c r="L1157" s="318">
        <v>111.41</v>
      </c>
      <c r="M1157" s="318" t="s">
        <v>6</v>
      </c>
      <c r="N1157" s="318" t="s">
        <v>368</v>
      </c>
      <c r="O1157" s="318" t="s">
        <v>461</v>
      </c>
      <c r="P1157" s="318" t="s">
        <v>444</v>
      </c>
      <c r="Q1157" s="318" t="s">
        <v>87</v>
      </c>
      <c r="R1157" s="318" t="s">
        <v>462</v>
      </c>
      <c r="S1157" s="303">
        <f t="shared" si="19"/>
        <v>153159188.47999999</v>
      </c>
      <c r="T1157" s="307">
        <f>+IFERROR(VLOOKUP(C1157,'Tasas Diarias'!$B:$F,5,FALSE)*G1157,0)</f>
        <v>3.5005692423004998E-7</v>
      </c>
      <c r="U1157" s="311" t="str">
        <f ca="1">+VLOOKUP(C1157,Spreads!$A$2:$G$345,7,0)</f>
        <v/>
      </c>
    </row>
    <row r="1158" spans="1:21" ht="15.75" hidden="1" customHeight="1" thickTop="1" thickBot="1">
      <c r="A1158" s="321" t="s">
        <v>2137</v>
      </c>
      <c r="B1158" s="322" t="s">
        <v>298</v>
      </c>
      <c r="C1158" s="322" t="s">
        <v>1572</v>
      </c>
      <c r="D1158" s="322" t="s">
        <v>182</v>
      </c>
      <c r="E1158" s="323">
        <v>28592051.902600002</v>
      </c>
      <c r="F1158" s="323"/>
      <c r="G1158" s="314">
        <v>3.2499999999999999E-4</v>
      </c>
      <c r="H1158" s="324">
        <v>2.72</v>
      </c>
      <c r="I1158" s="322" t="s">
        <v>1573</v>
      </c>
      <c r="J1158" s="322">
        <v>4910</v>
      </c>
      <c r="K1158" s="322">
        <v>10.39</v>
      </c>
      <c r="L1158" s="322">
        <v>125.01</v>
      </c>
      <c r="M1158" s="322" t="s">
        <v>6</v>
      </c>
      <c r="N1158" s="322" t="s">
        <v>368</v>
      </c>
      <c r="O1158" s="322" t="s">
        <v>8</v>
      </c>
      <c r="P1158" s="322" t="s">
        <v>417</v>
      </c>
      <c r="Q1158" s="322" t="s">
        <v>390</v>
      </c>
      <c r="R1158" s="322" t="s">
        <v>402</v>
      </c>
      <c r="S1158" s="303">
        <f t="shared" si="19"/>
        <v>297071419.26801401</v>
      </c>
      <c r="T1158" s="307">
        <f>+IFERROR(VLOOKUP(C1158,'Tasas Diarias'!$B:$F,5,FALSE)*G1158,0)</f>
        <v>3.3276972114682514E-7</v>
      </c>
      <c r="U1158" s="311" t="e">
        <f>+VLOOKUP(C1158,Spreads!$A$2:$G$345,7,0)</f>
        <v>#N/A</v>
      </c>
    </row>
    <row r="1159" spans="1:21" ht="15.75" hidden="1" customHeight="1" thickTop="1" thickBot="1">
      <c r="A1159" s="317" t="s">
        <v>2137</v>
      </c>
      <c r="B1159" s="318" t="s">
        <v>298</v>
      </c>
      <c r="C1159" s="318" t="s">
        <v>1232</v>
      </c>
      <c r="D1159" s="318" t="s">
        <v>1020</v>
      </c>
      <c r="E1159" s="319">
        <v>48387019.629799999</v>
      </c>
      <c r="F1159" s="319"/>
      <c r="G1159" s="314">
        <v>5.5099999999999995E-4</v>
      </c>
      <c r="H1159" s="320">
        <v>2.82</v>
      </c>
      <c r="I1159" s="318" t="s">
        <v>1233</v>
      </c>
      <c r="J1159" s="318">
        <v>6569</v>
      </c>
      <c r="K1159" s="318">
        <v>10.46</v>
      </c>
      <c r="L1159" s="318">
        <v>106.01</v>
      </c>
      <c r="M1159" s="318" t="s">
        <v>6</v>
      </c>
      <c r="N1159" s="318" t="s">
        <v>368</v>
      </c>
      <c r="O1159" s="318" t="s">
        <v>530</v>
      </c>
      <c r="P1159" s="318" t="s">
        <v>417</v>
      </c>
      <c r="Q1159" s="318" t="s">
        <v>1021</v>
      </c>
      <c r="R1159" s="318" t="s">
        <v>1181</v>
      </c>
      <c r="S1159" s="303">
        <f t="shared" si="19"/>
        <v>506128225.32770801</v>
      </c>
      <c r="T1159" s="307">
        <f>+IFERROR(VLOOKUP(C1159,'Tasas Diarias'!$B:$F,5,FALSE)*G1159,0)</f>
        <v>5.7040311544621912E-7</v>
      </c>
      <c r="U1159" s="311" t="str">
        <f ca="1">+VLOOKUP(C1159,Spreads!$A$2:$G$345,7,0)</f>
        <v/>
      </c>
    </row>
    <row r="1160" spans="1:21" ht="15.75" hidden="1" customHeight="1" thickTop="1" thickBot="1">
      <c r="A1160" s="317" t="s">
        <v>2137</v>
      </c>
      <c r="B1160" s="318" t="s">
        <v>298</v>
      </c>
      <c r="C1160" s="318" t="s">
        <v>1574</v>
      </c>
      <c r="D1160" s="318" t="s">
        <v>776</v>
      </c>
      <c r="E1160" s="319">
        <v>49059486.1061</v>
      </c>
      <c r="F1160" s="319"/>
      <c r="G1160" s="314">
        <v>5.5800000000000001E-4</v>
      </c>
      <c r="H1160" s="320">
        <v>2.86</v>
      </c>
      <c r="I1160" s="318" t="s">
        <v>1575</v>
      </c>
      <c r="J1160" s="318">
        <v>5002</v>
      </c>
      <c r="K1160" s="318">
        <v>10.48</v>
      </c>
      <c r="L1160" s="318">
        <v>121.15</v>
      </c>
      <c r="M1160" s="318" t="s">
        <v>6</v>
      </c>
      <c r="N1160" s="318" t="s">
        <v>368</v>
      </c>
      <c r="O1160" s="318" t="s">
        <v>1347</v>
      </c>
      <c r="P1160" s="318" t="s">
        <v>392</v>
      </c>
      <c r="Q1160" s="318" t="s">
        <v>778</v>
      </c>
      <c r="R1160" s="318" t="s">
        <v>1576</v>
      </c>
      <c r="S1160" s="303">
        <f t="shared" si="19"/>
        <v>514143414.39192802</v>
      </c>
      <c r="T1160" s="307">
        <f>+IFERROR(VLOOKUP(C1160,'Tasas Diarias'!$B:$F,5,FALSE)*G1160,0)</f>
        <v>5.8799472676541556E-7</v>
      </c>
      <c r="U1160" s="311" t="e">
        <f>+VLOOKUP(C1160,Spreads!$A$2:$G$345,7,0)</f>
        <v>#N/A</v>
      </c>
    </row>
    <row r="1161" spans="1:21" ht="15.75" hidden="1" customHeight="1" thickTop="1" thickBot="1">
      <c r="A1161" s="317" t="s">
        <v>2137</v>
      </c>
      <c r="B1161" s="318" t="s">
        <v>298</v>
      </c>
      <c r="C1161" s="318" t="s">
        <v>996</v>
      </c>
      <c r="D1161" s="318" t="s">
        <v>292</v>
      </c>
      <c r="E1161" s="319">
        <v>25541499.433200002</v>
      </c>
      <c r="F1161" s="319"/>
      <c r="G1161" s="314">
        <v>2.9100000000000003E-4</v>
      </c>
      <c r="H1161" s="320">
        <v>2.94</v>
      </c>
      <c r="I1161" s="318" t="s">
        <v>997</v>
      </c>
      <c r="J1161" s="318">
        <v>5985</v>
      </c>
      <c r="K1161" s="318">
        <v>10.95</v>
      </c>
      <c r="L1161" s="318">
        <v>109.43</v>
      </c>
      <c r="M1161" s="318" t="s">
        <v>6</v>
      </c>
      <c r="N1161" s="318" t="s">
        <v>368</v>
      </c>
      <c r="O1161" s="318" t="s">
        <v>551</v>
      </c>
      <c r="P1161" s="318" t="s">
        <v>392</v>
      </c>
      <c r="Q1161" s="318" t="s">
        <v>327</v>
      </c>
      <c r="R1161" s="318" t="s">
        <v>552</v>
      </c>
      <c r="S1161" s="303">
        <f t="shared" si="19"/>
        <v>279679418.79354</v>
      </c>
      <c r="T1161" s="307">
        <f>+IFERROR(VLOOKUP(C1161,'Tasas Diarias'!$B:$F,5,FALSE)*G1161,0)</f>
        <v>6.4084334992740535E-7</v>
      </c>
      <c r="U1161" s="311" t="str">
        <f ca="1">+VLOOKUP(C1161,Spreads!$A$2:$G$345,7,0)</f>
        <v/>
      </c>
    </row>
    <row r="1162" spans="1:21" ht="15.75" hidden="1" customHeight="1" thickTop="1" thickBot="1">
      <c r="A1162" s="321" t="s">
        <v>2137</v>
      </c>
      <c r="B1162" s="322" t="s">
        <v>298</v>
      </c>
      <c r="C1162" s="322" t="s">
        <v>944</v>
      </c>
      <c r="D1162" s="322" t="s">
        <v>170</v>
      </c>
      <c r="E1162" s="323">
        <v>57715963.6545</v>
      </c>
      <c r="F1162" s="323"/>
      <c r="G1162" s="314">
        <v>6.5700000000000003E-4</v>
      </c>
      <c r="H1162" s="324">
        <v>2.92</v>
      </c>
      <c r="I1162" s="322" t="s">
        <v>945</v>
      </c>
      <c r="J1162" s="322">
        <v>5077</v>
      </c>
      <c r="K1162" s="322">
        <v>10.99</v>
      </c>
      <c r="L1162" s="322">
        <v>112.01</v>
      </c>
      <c r="M1162" s="322" t="s">
        <v>6</v>
      </c>
      <c r="N1162" s="322" t="s">
        <v>368</v>
      </c>
      <c r="O1162" s="322" t="s">
        <v>8</v>
      </c>
      <c r="P1162" s="322" t="s">
        <v>417</v>
      </c>
      <c r="Q1162" s="322" t="s">
        <v>88</v>
      </c>
      <c r="R1162" s="322" t="s">
        <v>946</v>
      </c>
      <c r="S1162" s="303">
        <f t="shared" si="19"/>
        <v>634298440.56295502</v>
      </c>
      <c r="T1162" s="307">
        <f>+IFERROR(VLOOKUP(C1162,'Tasas Diarias'!$B:$F,5,FALSE)*G1162,0)</f>
        <v>7.2576122210514786E-7</v>
      </c>
      <c r="U1162" s="311" t="str">
        <f ca="1">+VLOOKUP(C1162,Spreads!$A$2:$G$345,7,0)</f>
        <v/>
      </c>
    </row>
    <row r="1163" spans="1:21" ht="15.75" hidden="1" customHeight="1" thickTop="1" thickBot="1">
      <c r="A1163" s="321" t="s">
        <v>2137</v>
      </c>
      <c r="B1163" s="322" t="s">
        <v>298</v>
      </c>
      <c r="C1163" s="322" t="s">
        <v>1237</v>
      </c>
      <c r="D1163" s="322" t="s">
        <v>427</v>
      </c>
      <c r="E1163" s="323">
        <v>3588525.6504000002</v>
      </c>
      <c r="F1163" s="323"/>
      <c r="G1163" s="314">
        <v>4.1E-5</v>
      </c>
      <c r="H1163" s="324">
        <v>2.91</v>
      </c>
      <c r="I1163" s="322" t="s">
        <v>1238</v>
      </c>
      <c r="J1163" s="322">
        <v>7590</v>
      </c>
      <c r="K1163" s="322">
        <v>11.23</v>
      </c>
      <c r="L1163" s="322">
        <v>104.3</v>
      </c>
      <c r="M1163" s="322" t="s">
        <v>6</v>
      </c>
      <c r="N1163" s="322" t="s">
        <v>368</v>
      </c>
      <c r="O1163" s="322" t="s">
        <v>429</v>
      </c>
      <c r="P1163" s="322" t="s">
        <v>392</v>
      </c>
      <c r="Q1163" s="322" t="s">
        <v>430</v>
      </c>
      <c r="R1163" s="322" t="s">
        <v>431</v>
      </c>
      <c r="S1163" s="303">
        <f t="shared" si="19"/>
        <v>40299143.053992003</v>
      </c>
      <c r="T1163" s="307">
        <f>+IFERROR(VLOOKUP(C1163,'Tasas Diarias'!$B:$F,5,FALSE)*G1163,0)</f>
        <v>0</v>
      </c>
      <c r="U1163" s="311" t="str">
        <f ca="1">+VLOOKUP(C1163,Spreads!$A$2:$G$345,7,0)</f>
        <v/>
      </c>
    </row>
    <row r="1164" spans="1:21" ht="15.75" hidden="1" customHeight="1" thickTop="1" thickBot="1">
      <c r="A1164" s="317" t="s">
        <v>2137</v>
      </c>
      <c r="B1164" s="318" t="s">
        <v>298</v>
      </c>
      <c r="C1164" s="318" t="s">
        <v>950</v>
      </c>
      <c r="D1164" s="318" t="s">
        <v>182</v>
      </c>
      <c r="E1164" s="319">
        <v>25046319.573399998</v>
      </c>
      <c r="F1164" s="319"/>
      <c r="G1164" s="314">
        <v>2.8499999999999999E-4</v>
      </c>
      <c r="H1164" s="320">
        <v>2.8</v>
      </c>
      <c r="I1164" s="318" t="s">
        <v>774</v>
      </c>
      <c r="J1164" s="318">
        <v>5307</v>
      </c>
      <c r="K1164" s="318">
        <v>11.51</v>
      </c>
      <c r="L1164" s="318">
        <v>108.04</v>
      </c>
      <c r="M1164" s="318" t="s">
        <v>6</v>
      </c>
      <c r="N1164" s="318" t="s">
        <v>368</v>
      </c>
      <c r="O1164" s="318" t="s">
        <v>8</v>
      </c>
      <c r="P1164" s="318" t="s">
        <v>417</v>
      </c>
      <c r="Q1164" s="318" t="s">
        <v>390</v>
      </c>
      <c r="R1164" s="318" t="s">
        <v>402</v>
      </c>
      <c r="S1164" s="303">
        <f t="shared" si="19"/>
        <v>288283138.28983396</v>
      </c>
      <c r="T1164" s="307">
        <f>+IFERROR(VLOOKUP(C1164,'Tasas Diarias'!$B:$F,5,FALSE)*G1164,0)</f>
        <v>3.2948060074542342E-7</v>
      </c>
      <c r="U1164" s="311" t="str">
        <f ca="1">+VLOOKUP(C1164,Spreads!$A$2:$G$345,7,0)</f>
        <v/>
      </c>
    </row>
    <row r="1165" spans="1:21" ht="15.75" hidden="1" customHeight="1" thickTop="1" thickBot="1">
      <c r="A1165" s="321" t="s">
        <v>2137</v>
      </c>
      <c r="B1165" s="322" t="s">
        <v>298</v>
      </c>
      <c r="C1165" s="322" t="s">
        <v>953</v>
      </c>
      <c r="D1165" s="322" t="s">
        <v>50</v>
      </c>
      <c r="E1165" s="323">
        <v>52984244.994499996</v>
      </c>
      <c r="F1165" s="323"/>
      <c r="G1165" s="314">
        <v>6.0300000000000002E-4</v>
      </c>
      <c r="H1165" s="324">
        <v>3.21</v>
      </c>
      <c r="I1165" s="322" t="s">
        <v>954</v>
      </c>
      <c r="J1165" s="322">
        <v>6385</v>
      </c>
      <c r="K1165" s="322">
        <v>11.54</v>
      </c>
      <c r="L1165" s="322">
        <v>106.74</v>
      </c>
      <c r="M1165" s="322" t="s">
        <v>6</v>
      </c>
      <c r="N1165" s="322" t="s">
        <v>368</v>
      </c>
      <c r="O1165" s="322" t="s">
        <v>429</v>
      </c>
      <c r="P1165" s="322" t="s">
        <v>25</v>
      </c>
      <c r="Q1165" s="322" t="s">
        <v>899</v>
      </c>
      <c r="R1165" s="322" t="s">
        <v>900</v>
      </c>
      <c r="S1165" s="303">
        <f t="shared" si="19"/>
        <v>611438187.23652995</v>
      </c>
      <c r="T1165" s="307">
        <f>+IFERROR(VLOOKUP(C1165,'Tasas Diarias'!$B:$F,5,FALSE)*G1165,0)</f>
        <v>6.8739073244785324E-7</v>
      </c>
      <c r="U1165" s="311" t="str">
        <f ca="1">+VLOOKUP(C1165,Spreads!$A$2:$G$345,7,0)</f>
        <v/>
      </c>
    </row>
    <row r="1166" spans="1:21" ht="15.75" hidden="1" customHeight="1" thickTop="1" thickBot="1">
      <c r="A1166" s="317" t="s">
        <v>2137</v>
      </c>
      <c r="B1166" s="318" t="s">
        <v>298</v>
      </c>
      <c r="C1166" s="318" t="s">
        <v>951</v>
      </c>
      <c r="D1166" s="318" t="s">
        <v>917</v>
      </c>
      <c r="E1166" s="319">
        <v>99207145.237299994</v>
      </c>
      <c r="F1166" s="319"/>
      <c r="G1166" s="314">
        <v>1.129E-3</v>
      </c>
      <c r="H1166" s="320">
        <v>3.04</v>
      </c>
      <c r="I1166" s="318" t="s">
        <v>952</v>
      </c>
      <c r="J1166" s="318">
        <v>5474</v>
      </c>
      <c r="K1166" s="318">
        <v>11.57</v>
      </c>
      <c r="L1166" s="318">
        <v>113.62</v>
      </c>
      <c r="M1166" s="318" t="s">
        <v>6</v>
      </c>
      <c r="N1166" s="318" t="s">
        <v>368</v>
      </c>
      <c r="O1166" s="318" t="s">
        <v>429</v>
      </c>
      <c r="P1166" s="318" t="s">
        <v>25</v>
      </c>
      <c r="Q1166" s="318" t="s">
        <v>918</v>
      </c>
      <c r="R1166" s="318" t="s">
        <v>919</v>
      </c>
      <c r="S1166" s="303">
        <f t="shared" si="19"/>
        <v>1147826670.395561</v>
      </c>
      <c r="T1166" s="307">
        <f>+IFERROR(VLOOKUP(C1166,'Tasas Diarias'!$B:$F,5,FALSE)*G1166,0)</f>
        <v>1.2887607934851062E-6</v>
      </c>
      <c r="U1166" s="311" t="str">
        <f ca="1">+VLOOKUP(C1166,Spreads!$A$2:$G$345,7,0)</f>
        <v/>
      </c>
    </row>
    <row r="1167" spans="1:21" ht="15.75" hidden="1" customHeight="1" thickTop="1" thickBot="1">
      <c r="A1167" s="321" t="s">
        <v>2137</v>
      </c>
      <c r="B1167" s="322" t="s">
        <v>298</v>
      </c>
      <c r="C1167" s="322" t="s">
        <v>955</v>
      </c>
      <c r="D1167" s="322" t="s">
        <v>24</v>
      </c>
      <c r="E1167" s="323">
        <v>44767927.321400002</v>
      </c>
      <c r="F1167" s="323"/>
      <c r="G1167" s="314">
        <v>5.1000000000000004E-4</v>
      </c>
      <c r="H1167" s="324">
        <v>2.91</v>
      </c>
      <c r="I1167" s="322" t="s">
        <v>956</v>
      </c>
      <c r="J1167" s="322">
        <v>7041</v>
      </c>
      <c r="K1167" s="322">
        <v>11.6</v>
      </c>
      <c r="L1167" s="322">
        <v>112.8</v>
      </c>
      <c r="M1167" s="322" t="s">
        <v>6</v>
      </c>
      <c r="N1167" s="322" t="s">
        <v>368</v>
      </c>
      <c r="O1167" s="322" t="s">
        <v>8</v>
      </c>
      <c r="P1167" s="322" t="s">
        <v>25</v>
      </c>
      <c r="Q1167" s="322" t="s">
        <v>51</v>
      </c>
      <c r="R1167" s="322" t="s">
        <v>908</v>
      </c>
      <c r="S1167" s="303">
        <f t="shared" si="19"/>
        <v>519307956.92824</v>
      </c>
      <c r="T1167" s="307">
        <f>+IFERROR(VLOOKUP(C1167,'Tasas Diarias'!$B:$F,5,FALSE)*G1167,0)</f>
        <v>5.9347183448566139E-7</v>
      </c>
      <c r="U1167" s="311" t="str">
        <f ca="1">+VLOOKUP(C1167,Spreads!$A$2:$G$345,7,0)</f>
        <v/>
      </c>
    </row>
    <row r="1168" spans="1:21" ht="15.75" hidden="1" customHeight="1" thickTop="1" thickBot="1">
      <c r="A1168" s="317" t="s">
        <v>2137</v>
      </c>
      <c r="B1168" s="318" t="s">
        <v>298</v>
      </c>
      <c r="C1168" s="318" t="s">
        <v>958</v>
      </c>
      <c r="D1168" s="318" t="s">
        <v>11</v>
      </c>
      <c r="E1168" s="319">
        <v>84253936.138799995</v>
      </c>
      <c r="F1168" s="326"/>
      <c r="G1168" s="314">
        <v>9.59E-4</v>
      </c>
      <c r="H1168" s="318">
        <v>2.89</v>
      </c>
      <c r="I1168" s="318" t="s">
        <v>959</v>
      </c>
      <c r="J1168" s="318">
        <v>5733</v>
      </c>
      <c r="K1168" s="318">
        <v>11.69</v>
      </c>
      <c r="L1168" s="318">
        <v>121.42</v>
      </c>
      <c r="M1168" s="318" t="s">
        <v>6</v>
      </c>
      <c r="N1168" s="318" t="s">
        <v>368</v>
      </c>
      <c r="O1168" s="318" t="s">
        <v>8</v>
      </c>
      <c r="P1168" s="318" t="s">
        <v>392</v>
      </c>
      <c r="Q1168" s="318" t="s">
        <v>326</v>
      </c>
      <c r="R1168" s="318" t="s">
        <v>949</v>
      </c>
      <c r="S1168" s="303">
        <f t="shared" si="19"/>
        <v>984928513.46257186</v>
      </c>
      <c r="T1168" s="307">
        <f>+IFERROR(VLOOKUP(C1168,'Tasas Diarias'!$B:$F,5,FALSE)*G1168,0)</f>
        <v>1.914402835063978E-5</v>
      </c>
      <c r="U1168" s="311" t="str">
        <f ca="1">+VLOOKUP(C1168,Spreads!$A$2:$G$345,7,0)</f>
        <v/>
      </c>
    </row>
    <row r="1169" spans="1:21" ht="15.75" hidden="1" customHeight="1" thickTop="1" thickBot="1">
      <c r="A1169" s="327" t="s">
        <v>2137</v>
      </c>
      <c r="B1169" s="328" t="s">
        <v>298</v>
      </c>
      <c r="C1169" s="328" t="s">
        <v>227</v>
      </c>
      <c r="D1169" s="328" t="s">
        <v>115</v>
      </c>
      <c r="E1169" s="328">
        <v>3700344012.6522002</v>
      </c>
      <c r="F1169" s="328">
        <v>3616193825.2958307</v>
      </c>
      <c r="G1169" s="328">
        <v>4.2118999999999997E-2</v>
      </c>
      <c r="H1169" s="329">
        <v>4.95</v>
      </c>
      <c r="I1169" s="328" t="s">
        <v>957</v>
      </c>
      <c r="J1169" s="328">
        <v>6310</v>
      </c>
      <c r="K1169" s="328">
        <v>11.69</v>
      </c>
      <c r="L1169" s="328">
        <v>101.24</v>
      </c>
      <c r="M1169" s="328" t="s">
        <v>9</v>
      </c>
      <c r="N1169" s="328" t="s">
        <v>458</v>
      </c>
      <c r="O1169" s="328" t="s">
        <v>378</v>
      </c>
      <c r="P1169" s="328" t="s">
        <v>379</v>
      </c>
      <c r="Q1169" s="328" t="s">
        <v>2139</v>
      </c>
      <c r="R1169" s="328" t="s">
        <v>885</v>
      </c>
      <c r="S1169" s="303">
        <f t="shared" si="19"/>
        <v>43257021507.904221</v>
      </c>
      <c r="T1169" s="307">
        <f>+IFERROR(VLOOKUP(C1169,'Tasas Diarias'!$B:$F,5,FALSE)*G1169,0)</f>
        <v>-9.9137765615770173E-5</v>
      </c>
      <c r="U1169" s="311" t="str">
        <f>+VLOOKUP(C1169,Spreads!$A$2:$G$345,7,0)</f>
        <v/>
      </c>
    </row>
    <row r="1170" spans="1:21" ht="15.75" hidden="1" customHeight="1" thickTop="1" thickBot="1">
      <c r="A1170" s="321" t="s">
        <v>2137</v>
      </c>
      <c r="B1170" s="322" t="s">
        <v>298</v>
      </c>
      <c r="C1170" s="322" t="s">
        <v>1038</v>
      </c>
      <c r="D1170" s="322" t="s">
        <v>999</v>
      </c>
      <c r="E1170" s="323">
        <v>721486337.68980002</v>
      </c>
      <c r="F1170" s="323">
        <v>20000</v>
      </c>
      <c r="G1170" s="314">
        <v>8.2120000000000005E-3</v>
      </c>
      <c r="H1170" s="324">
        <v>3.03</v>
      </c>
      <c r="I1170" s="322" t="s">
        <v>1039</v>
      </c>
      <c r="J1170" s="322">
        <v>6136</v>
      </c>
      <c r="K1170" s="322">
        <v>11.73</v>
      </c>
      <c r="L1170" s="322">
        <v>120.27</v>
      </c>
      <c r="M1170" s="322" t="s">
        <v>6</v>
      </c>
      <c r="N1170" s="322" t="s">
        <v>368</v>
      </c>
      <c r="O1170" s="322" t="s">
        <v>8</v>
      </c>
      <c r="P1170" s="322" t="s">
        <v>417</v>
      </c>
      <c r="Q1170" s="322" t="s">
        <v>1001</v>
      </c>
      <c r="R1170" s="322" t="s">
        <v>1002</v>
      </c>
      <c r="S1170" s="303">
        <f t="shared" si="19"/>
        <v>8463034741.1013546</v>
      </c>
      <c r="T1170" s="307">
        <f>+IFERROR(VLOOKUP(C1170,'Tasas Diarias'!$B:$F,5,FALSE)*G1170,0)</f>
        <v>9.6720129327641836E-6</v>
      </c>
      <c r="U1170" s="311" t="str">
        <f ca="1">+VLOOKUP(C1170,Spreads!$A$2:$G$345,7,0)</f>
        <v/>
      </c>
    </row>
    <row r="1171" spans="1:21" ht="15.75" hidden="1" customHeight="1" thickTop="1" thickBot="1">
      <c r="A1171" s="321" t="s">
        <v>2137</v>
      </c>
      <c r="B1171" s="322" t="s">
        <v>298</v>
      </c>
      <c r="C1171" s="322" t="s">
        <v>1842</v>
      </c>
      <c r="D1171" s="322" t="s">
        <v>1462</v>
      </c>
      <c r="E1171" s="323">
        <v>31019044.548500001</v>
      </c>
      <c r="F1171" s="323"/>
      <c r="G1171" s="314">
        <v>3.5300000000000002E-4</v>
      </c>
      <c r="H1171" s="324">
        <v>3.15</v>
      </c>
      <c r="I1171" s="322" t="s">
        <v>1843</v>
      </c>
      <c r="J1171" s="322">
        <v>5552</v>
      </c>
      <c r="K1171" s="322">
        <v>11.75</v>
      </c>
      <c r="L1171" s="322">
        <v>107.56</v>
      </c>
      <c r="M1171" s="322" t="s">
        <v>6</v>
      </c>
      <c r="N1171" s="322" t="s">
        <v>368</v>
      </c>
      <c r="O1171" s="322" t="s">
        <v>1348</v>
      </c>
      <c r="P1171" s="322" t="s">
        <v>417</v>
      </c>
      <c r="Q1171" s="322" t="s">
        <v>1464</v>
      </c>
      <c r="R1171" s="322" t="s">
        <v>1465</v>
      </c>
      <c r="S1171" s="303">
        <f t="shared" si="19"/>
        <v>364473773.444875</v>
      </c>
      <c r="T1171" s="307">
        <f>+IFERROR(VLOOKUP(C1171,'Tasas Diarias'!$B:$F,5,FALSE)*G1171,0)</f>
        <v>4.166311480676345E-7</v>
      </c>
      <c r="U1171" s="311" t="e">
        <f>+VLOOKUP(C1171,Spreads!$A$2:$G$345,7,0)</f>
        <v>#N/A</v>
      </c>
    </row>
    <row r="1172" spans="1:21" ht="15.75" hidden="1" customHeight="1" thickTop="1" thickBot="1">
      <c r="A1172" s="317" t="s">
        <v>2137</v>
      </c>
      <c r="B1172" s="318" t="s">
        <v>298</v>
      </c>
      <c r="C1172" s="318" t="s">
        <v>960</v>
      </c>
      <c r="D1172" s="318" t="s">
        <v>58</v>
      </c>
      <c r="E1172" s="319">
        <v>342817519.66170001</v>
      </c>
      <c r="F1172" s="319">
        <v>11000</v>
      </c>
      <c r="G1172" s="314">
        <v>3.9020000000000001E-3</v>
      </c>
      <c r="H1172" s="318">
        <v>2.85</v>
      </c>
      <c r="I1172" s="318" t="s">
        <v>961</v>
      </c>
      <c r="J1172" s="318">
        <v>8137</v>
      </c>
      <c r="K1172" s="318">
        <v>11.77</v>
      </c>
      <c r="L1172" s="318">
        <v>107.61</v>
      </c>
      <c r="M1172" s="318" t="s">
        <v>6</v>
      </c>
      <c r="N1172" s="318" t="s">
        <v>368</v>
      </c>
      <c r="O1172" s="318" t="s">
        <v>8</v>
      </c>
      <c r="P1172" s="318" t="s">
        <v>392</v>
      </c>
      <c r="Q1172" s="318" t="s">
        <v>58</v>
      </c>
      <c r="R1172" s="318" t="s">
        <v>745</v>
      </c>
      <c r="S1172" s="303">
        <f t="shared" si="19"/>
        <v>4034962206.4182091</v>
      </c>
      <c r="T1172" s="307">
        <f>+IFERROR(VLOOKUP(C1172,'Tasas Diarias'!$B:$F,5,FALSE)*G1172,0)</f>
        <v>4.6171540737614506E-6</v>
      </c>
      <c r="U1172" s="311" t="str">
        <f ca="1">+VLOOKUP(C1172,Spreads!$A$2:$G$345,7,0)</f>
        <v/>
      </c>
    </row>
    <row r="1173" spans="1:21" ht="15.75" hidden="1" customHeight="1" thickTop="1" thickBot="1">
      <c r="A1173" s="317" t="s">
        <v>2137</v>
      </c>
      <c r="B1173" s="318" t="s">
        <v>298</v>
      </c>
      <c r="C1173" s="318" t="s">
        <v>1199</v>
      </c>
      <c r="D1173" s="318" t="s">
        <v>1227</v>
      </c>
      <c r="E1173" s="319">
        <v>66574181.145800002</v>
      </c>
      <c r="F1173" s="319"/>
      <c r="G1173" s="314">
        <v>7.5799999999999999E-4</v>
      </c>
      <c r="H1173" s="320">
        <v>3.13</v>
      </c>
      <c r="I1173" s="318" t="s">
        <v>1229</v>
      </c>
      <c r="J1173" s="318">
        <v>7269</v>
      </c>
      <c r="K1173" s="318">
        <v>11.93</v>
      </c>
      <c r="L1173" s="318">
        <v>96.21</v>
      </c>
      <c r="M1173" s="318" t="s">
        <v>6</v>
      </c>
      <c r="N1173" s="318" t="s">
        <v>368</v>
      </c>
      <c r="O1173" s="318" t="s">
        <v>429</v>
      </c>
      <c r="P1173" s="318" t="s">
        <v>417</v>
      </c>
      <c r="Q1173" s="318" t="s">
        <v>904</v>
      </c>
      <c r="R1173" s="318" t="s">
        <v>905</v>
      </c>
      <c r="S1173" s="303">
        <f t="shared" si="19"/>
        <v>794229981.06939399</v>
      </c>
      <c r="T1173" s="307">
        <f>+IFERROR(VLOOKUP(C1173,'Tasas Diarias'!$B:$F,5,FALSE)*G1173,0)</f>
        <v>0</v>
      </c>
      <c r="U1173" s="311" t="str">
        <f ca="1">+VLOOKUP(C1173,Spreads!$A$2:$G$345,7,0)</f>
        <v/>
      </c>
    </row>
    <row r="1174" spans="1:21" ht="15.75" hidden="1" customHeight="1" thickTop="1" thickBot="1">
      <c r="A1174" s="327" t="s">
        <v>2137</v>
      </c>
      <c r="B1174" s="328" t="s">
        <v>298</v>
      </c>
      <c r="C1174" s="328" t="s">
        <v>1495</v>
      </c>
      <c r="D1174" s="328" t="s">
        <v>1496</v>
      </c>
      <c r="E1174" s="328">
        <v>78073357.8891</v>
      </c>
      <c r="F1174" s="328"/>
      <c r="G1174" s="328">
        <v>8.8900000000000003E-4</v>
      </c>
      <c r="H1174" s="329">
        <v>3.02</v>
      </c>
      <c r="I1174" s="328" t="s">
        <v>1497</v>
      </c>
      <c r="J1174" s="328">
        <v>10806</v>
      </c>
      <c r="K1174" s="328">
        <v>12.09</v>
      </c>
      <c r="L1174" s="328">
        <v>103.87</v>
      </c>
      <c r="M1174" s="328" t="s">
        <v>6</v>
      </c>
      <c r="N1174" s="328" t="s">
        <v>368</v>
      </c>
      <c r="O1174" s="328" t="s">
        <v>1494</v>
      </c>
      <c r="P1174" s="328" t="s">
        <v>417</v>
      </c>
      <c r="Q1174" s="328" t="s">
        <v>1479</v>
      </c>
      <c r="R1174" s="328" t="s">
        <v>1498</v>
      </c>
      <c r="S1174" s="303">
        <f t="shared" si="19"/>
        <v>943906896.87921894</v>
      </c>
      <c r="T1174" s="307">
        <f>+IFERROR(VLOOKUP(C1174,'Tasas Diarias'!$B:$F,5,FALSE)*G1174,0)</f>
        <v>0</v>
      </c>
      <c r="U1174" s="311" t="e">
        <f>+VLOOKUP(C1174,Spreads!$A$2:$G$345,7,0)</f>
        <v>#N/A</v>
      </c>
    </row>
    <row r="1175" spans="1:21" ht="15.75" hidden="1" customHeight="1" thickTop="1" thickBot="1">
      <c r="A1175" s="321" t="s">
        <v>2137</v>
      </c>
      <c r="B1175" s="322" t="s">
        <v>298</v>
      </c>
      <c r="C1175" s="322" t="s">
        <v>1167</v>
      </c>
      <c r="D1175" s="322" t="s">
        <v>82</v>
      </c>
      <c r="E1175" s="323">
        <v>603805098</v>
      </c>
      <c r="F1175" s="323">
        <v>20000</v>
      </c>
      <c r="G1175" s="314">
        <v>6.8719999999999996E-3</v>
      </c>
      <c r="H1175" s="324">
        <v>2.86</v>
      </c>
      <c r="I1175" s="322" t="s">
        <v>1168</v>
      </c>
      <c r="J1175" s="322">
        <v>5900</v>
      </c>
      <c r="K1175" s="322">
        <v>12.36</v>
      </c>
      <c r="L1175" s="322">
        <v>111.72</v>
      </c>
      <c r="M1175" s="322" t="s">
        <v>6</v>
      </c>
      <c r="N1175" s="322" t="s">
        <v>368</v>
      </c>
      <c r="O1175" s="322" t="s">
        <v>1347</v>
      </c>
      <c r="P1175" s="322" t="s">
        <v>7</v>
      </c>
      <c r="Q1175" s="322" t="s">
        <v>82</v>
      </c>
      <c r="R1175" s="322" t="s">
        <v>679</v>
      </c>
      <c r="S1175" s="303">
        <f t="shared" si="19"/>
        <v>7463031011.2799997</v>
      </c>
      <c r="T1175" s="307">
        <f>+IFERROR(VLOOKUP(C1175,'Tasas Diarias'!$B:$F,5,FALSE)*G1175,0)</f>
        <v>8.5073468585794173E-6</v>
      </c>
      <c r="U1175" s="311" t="str">
        <f ca="1">+VLOOKUP(C1175,Spreads!$A$2:$G$345,7,0)</f>
        <v/>
      </c>
    </row>
    <row r="1176" spans="1:21" ht="15.75" hidden="1" customHeight="1" thickTop="1" thickBot="1">
      <c r="A1176" s="321" t="s">
        <v>2137</v>
      </c>
      <c r="B1176" s="322" t="s">
        <v>298</v>
      </c>
      <c r="C1176" s="322" t="s">
        <v>962</v>
      </c>
      <c r="D1176" s="322" t="s">
        <v>24</v>
      </c>
      <c r="E1176" s="323">
        <v>50447212.379699998</v>
      </c>
      <c r="F1176" s="323"/>
      <c r="G1176" s="314">
        <v>5.7399999999999997E-4</v>
      </c>
      <c r="H1176" s="324">
        <v>2.99</v>
      </c>
      <c r="I1176" s="322" t="s">
        <v>963</v>
      </c>
      <c r="J1176" s="322">
        <v>7620</v>
      </c>
      <c r="K1176" s="322">
        <v>12.53</v>
      </c>
      <c r="L1176" s="322">
        <v>112.79</v>
      </c>
      <c r="M1176" s="322" t="s">
        <v>6</v>
      </c>
      <c r="N1176" s="322" t="s">
        <v>368</v>
      </c>
      <c r="O1176" s="322" t="s">
        <v>8</v>
      </c>
      <c r="P1176" s="322" t="s">
        <v>25</v>
      </c>
      <c r="Q1176" s="322" t="s">
        <v>51</v>
      </c>
      <c r="R1176" s="322" t="s">
        <v>908</v>
      </c>
      <c r="S1176" s="303">
        <f t="shared" si="19"/>
        <v>632103571.11764097</v>
      </c>
      <c r="T1176" s="307">
        <f>+IFERROR(VLOOKUP(C1176,'Tasas Diarias'!$B:$F,5,FALSE)*G1176,0)</f>
        <v>0</v>
      </c>
      <c r="U1176" s="311" t="str">
        <f ca="1">+VLOOKUP(C1176,Spreads!$A$2:$G$345,7,0)</f>
        <v/>
      </c>
    </row>
    <row r="1177" spans="1:21" ht="15.75" hidden="1" customHeight="1" thickTop="1" thickBot="1">
      <c r="A1177" s="321" t="s">
        <v>2137</v>
      </c>
      <c r="B1177" s="322" t="s">
        <v>298</v>
      </c>
      <c r="C1177" s="322" t="s">
        <v>964</v>
      </c>
      <c r="D1177" s="322" t="s">
        <v>11</v>
      </c>
      <c r="E1177" s="323">
        <v>26434045.846999999</v>
      </c>
      <c r="F1177" s="323"/>
      <c r="G1177" s="314">
        <v>3.01E-4</v>
      </c>
      <c r="H1177" s="322">
        <v>2.97</v>
      </c>
      <c r="I1177" s="322" t="s">
        <v>965</v>
      </c>
      <c r="J1177" s="322">
        <v>6432</v>
      </c>
      <c r="K1177" s="322">
        <v>13</v>
      </c>
      <c r="L1177" s="322">
        <v>114.12</v>
      </c>
      <c r="M1177" s="322" t="s">
        <v>6</v>
      </c>
      <c r="N1177" s="322" t="s">
        <v>368</v>
      </c>
      <c r="O1177" s="322" t="s">
        <v>8</v>
      </c>
      <c r="P1177" s="322" t="s">
        <v>392</v>
      </c>
      <c r="Q1177" s="322" t="s">
        <v>326</v>
      </c>
      <c r="R1177" s="322" t="s">
        <v>949</v>
      </c>
      <c r="S1177" s="303">
        <f t="shared" si="19"/>
        <v>343642596.01099998</v>
      </c>
      <c r="T1177" s="307">
        <f>+IFERROR(VLOOKUP(C1177,'Tasas Diarias'!$B:$F,5,FALSE)*G1177,0)</f>
        <v>5.8924496113018167E-6</v>
      </c>
      <c r="U1177" s="311" t="str">
        <f ca="1">+VLOOKUP(C1177,Spreads!$A$2:$G$345,7,0)</f>
        <v/>
      </c>
    </row>
    <row r="1178" spans="1:21" ht="15.75" hidden="1" customHeight="1" thickTop="1" thickBot="1">
      <c r="A1178" s="321" t="s">
        <v>2137</v>
      </c>
      <c r="B1178" s="322" t="s">
        <v>298</v>
      </c>
      <c r="C1178" s="322" t="s">
        <v>998</v>
      </c>
      <c r="D1178" s="322" t="s">
        <v>999</v>
      </c>
      <c r="E1178" s="323">
        <v>406836403.27060002</v>
      </c>
      <c r="F1178" s="323">
        <v>10000</v>
      </c>
      <c r="G1178" s="314">
        <v>4.6299999999999996E-3</v>
      </c>
      <c r="H1178" s="324">
        <v>3.14</v>
      </c>
      <c r="I1178" s="322" t="s">
        <v>1000</v>
      </c>
      <c r="J1178" s="322">
        <v>6867</v>
      </c>
      <c r="K1178" s="322">
        <v>13.13</v>
      </c>
      <c r="L1178" s="322">
        <v>118.32</v>
      </c>
      <c r="M1178" s="322" t="s">
        <v>6</v>
      </c>
      <c r="N1178" s="322" t="s">
        <v>368</v>
      </c>
      <c r="O1178" s="322" t="s">
        <v>8</v>
      </c>
      <c r="P1178" s="322" t="s">
        <v>417</v>
      </c>
      <c r="Q1178" s="322" t="s">
        <v>1001</v>
      </c>
      <c r="R1178" s="322" t="s">
        <v>1002</v>
      </c>
      <c r="S1178" s="303">
        <f t="shared" si="19"/>
        <v>5341761974.9429789</v>
      </c>
      <c r="T1178" s="307">
        <f>+IFERROR(VLOOKUP(C1178,'Tasas Diarias'!$B:$F,5,FALSE)*G1178,0)</f>
        <v>0</v>
      </c>
      <c r="U1178" s="311" t="str">
        <f ca="1">+VLOOKUP(C1178,Spreads!$A$2:$G$345,7,0)</f>
        <v/>
      </c>
    </row>
    <row r="1179" spans="1:21" ht="15.75" hidden="1" customHeight="1" thickTop="1" thickBot="1">
      <c r="A1179" s="317" t="s">
        <v>2137</v>
      </c>
      <c r="B1179" s="318" t="s">
        <v>298</v>
      </c>
      <c r="C1179" s="318" t="s">
        <v>1239</v>
      </c>
      <c r="D1179" s="318" t="s">
        <v>11</v>
      </c>
      <c r="E1179" s="319">
        <v>26434045.846999999</v>
      </c>
      <c r="F1179" s="319"/>
      <c r="G1179" s="314">
        <v>3.01E-4</v>
      </c>
      <c r="H1179" s="320">
        <v>3.01</v>
      </c>
      <c r="I1179" s="318" t="s">
        <v>1240</v>
      </c>
      <c r="J1179" s="318">
        <v>6798</v>
      </c>
      <c r="K1179" s="318">
        <v>13.52</v>
      </c>
      <c r="L1179" s="318">
        <v>114.12</v>
      </c>
      <c r="M1179" s="318" t="s">
        <v>6</v>
      </c>
      <c r="N1179" s="318" t="s">
        <v>368</v>
      </c>
      <c r="O1179" s="318" t="s">
        <v>8</v>
      </c>
      <c r="P1179" s="318" t="s">
        <v>392</v>
      </c>
      <c r="Q1179" s="318" t="s">
        <v>326</v>
      </c>
      <c r="R1179" s="318" t="s">
        <v>949</v>
      </c>
      <c r="S1179" s="303">
        <f t="shared" si="19"/>
        <v>357388299.85143995</v>
      </c>
      <c r="T1179" s="307">
        <f>+IFERROR(VLOOKUP(C1179,'Tasas Diarias'!$B:$F,5,FALSE)*G1179,0)</f>
        <v>6.5367011876459937E-6</v>
      </c>
      <c r="U1179" s="311" t="str">
        <f ca="1">+VLOOKUP(C1179,Spreads!$A$2:$G$345,7,0)</f>
        <v/>
      </c>
    </row>
    <row r="1180" spans="1:21" ht="15.75" hidden="1" customHeight="1" thickTop="1" thickBot="1">
      <c r="A1180" s="317" t="s">
        <v>2137</v>
      </c>
      <c r="B1180" s="318" t="s">
        <v>298</v>
      </c>
      <c r="C1180" s="318" t="s">
        <v>208</v>
      </c>
      <c r="D1180" s="318" t="s">
        <v>116</v>
      </c>
      <c r="E1180" s="319">
        <v>949141622.54560006</v>
      </c>
      <c r="F1180" s="319">
        <v>34500</v>
      </c>
      <c r="G1180" s="314">
        <v>1.0803E-2</v>
      </c>
      <c r="H1180" s="320">
        <v>2.13</v>
      </c>
      <c r="I1180" s="318" t="s">
        <v>957</v>
      </c>
      <c r="J1180" s="318">
        <v>6310</v>
      </c>
      <c r="K1180" s="318">
        <v>14.61</v>
      </c>
      <c r="L1180" s="318">
        <v>98.28</v>
      </c>
      <c r="M1180" s="318" t="s">
        <v>6</v>
      </c>
      <c r="N1180" s="318" t="s">
        <v>458</v>
      </c>
      <c r="O1180" s="318" t="s">
        <v>378</v>
      </c>
      <c r="P1180" s="318" t="s">
        <v>379</v>
      </c>
      <c r="Q1180" s="318" t="s">
        <v>2139</v>
      </c>
      <c r="R1180" s="318" t="s">
        <v>508</v>
      </c>
      <c r="S1180" s="303">
        <f t="shared" si="19"/>
        <v>13866959105.391216</v>
      </c>
      <c r="T1180" s="307">
        <f>+IFERROR(VLOOKUP(C1180,'Tasas Diarias'!$B:$F,5,FALSE)*G1180,0)</f>
        <v>0</v>
      </c>
      <c r="U1180" s="311" t="str">
        <f>+VLOOKUP(C1180,Spreads!$A$2:$G$345,7,0)</f>
        <v/>
      </c>
    </row>
    <row r="1181" spans="1:21" ht="15.75" hidden="1" customHeight="1" thickTop="1" thickBot="1">
      <c r="A1181" s="317" t="s">
        <v>2137</v>
      </c>
      <c r="B1181" s="318" t="s">
        <v>298</v>
      </c>
      <c r="C1181" s="318" t="s">
        <v>1180</v>
      </c>
      <c r="D1181" s="318" t="s">
        <v>1020</v>
      </c>
      <c r="E1181" s="319">
        <v>26458499.173500001</v>
      </c>
      <c r="F1181" s="319"/>
      <c r="G1181" s="314">
        <v>3.01E-4</v>
      </c>
      <c r="H1181" s="320">
        <v>3.18</v>
      </c>
      <c r="I1181" s="318" t="s">
        <v>1234</v>
      </c>
      <c r="J1181" s="318">
        <v>8730</v>
      </c>
      <c r="K1181" s="318">
        <v>14.98</v>
      </c>
      <c r="L1181" s="318">
        <v>115.52</v>
      </c>
      <c r="M1181" s="318" t="s">
        <v>6</v>
      </c>
      <c r="N1181" s="318" t="s">
        <v>368</v>
      </c>
      <c r="O1181" s="318" t="s">
        <v>530</v>
      </c>
      <c r="P1181" s="318" t="s">
        <v>417</v>
      </c>
      <c r="Q1181" s="318" t="s">
        <v>1021</v>
      </c>
      <c r="R1181" s="318" t="s">
        <v>1181</v>
      </c>
      <c r="S1181" s="303">
        <f t="shared" si="19"/>
        <v>396348317.61903006</v>
      </c>
      <c r="T1181" s="307">
        <f>+IFERROR(VLOOKUP(C1181,'Tasas Diarias'!$B:$F,5,FALSE)*G1181,0)</f>
        <v>0</v>
      </c>
      <c r="U1181" s="311" t="str">
        <f ca="1">+VLOOKUP(C1181,Spreads!$A$2:$G$345,7,0)</f>
        <v/>
      </c>
    </row>
    <row r="1182" spans="1:21" ht="15.75" hidden="1" customHeight="1" thickTop="1" thickBot="1">
      <c r="A1182" s="321" t="s">
        <v>2137</v>
      </c>
      <c r="B1182" s="322" t="s">
        <v>298</v>
      </c>
      <c r="C1182" s="322" t="s">
        <v>970</v>
      </c>
      <c r="D1182" s="322" t="s">
        <v>170</v>
      </c>
      <c r="E1182" s="323">
        <v>15503408.9427</v>
      </c>
      <c r="F1182" s="323"/>
      <c r="G1182" s="314">
        <v>1.76E-4</v>
      </c>
      <c r="H1182" s="322">
        <v>3.16</v>
      </c>
      <c r="I1182" s="322" t="s">
        <v>971</v>
      </c>
      <c r="J1182" s="322">
        <v>7802</v>
      </c>
      <c r="K1182" s="322">
        <v>14.99</v>
      </c>
      <c r="L1182" s="322">
        <v>112.68</v>
      </c>
      <c r="M1182" s="322" t="s">
        <v>6</v>
      </c>
      <c r="N1182" s="322" t="s">
        <v>368</v>
      </c>
      <c r="O1182" s="322" t="s">
        <v>8</v>
      </c>
      <c r="P1182" s="322" t="s">
        <v>417</v>
      </c>
      <c r="Q1182" s="322" t="s">
        <v>88</v>
      </c>
      <c r="R1182" s="322" t="s">
        <v>946</v>
      </c>
      <c r="S1182" s="303">
        <f t="shared" si="19"/>
        <v>232396100.05107301</v>
      </c>
      <c r="T1182" s="307">
        <f>+IFERROR(VLOOKUP(C1182,'Tasas Diarias'!$B:$F,5,FALSE)*G1182,0)</f>
        <v>0</v>
      </c>
      <c r="U1182" s="311" t="str">
        <f ca="1">+VLOOKUP(C1182,Spreads!$A$2:$G$345,7,0)</f>
        <v/>
      </c>
    </row>
    <row r="1183" spans="1:21" ht="15.75" hidden="1" customHeight="1" thickTop="1" thickBot="1">
      <c r="A1183" s="327" t="s">
        <v>2137</v>
      </c>
      <c r="B1183" s="328" t="s">
        <v>298</v>
      </c>
      <c r="C1183" s="328" t="s">
        <v>972</v>
      </c>
      <c r="D1183" s="328" t="s">
        <v>170</v>
      </c>
      <c r="E1183" s="328">
        <v>62594402.2729</v>
      </c>
      <c r="F1183" s="328"/>
      <c r="G1183" s="328">
        <v>7.1199999999999996E-4</v>
      </c>
      <c r="H1183" s="329">
        <v>3.18</v>
      </c>
      <c r="I1183" s="328" t="s">
        <v>973</v>
      </c>
      <c r="J1183" s="328">
        <v>8016</v>
      </c>
      <c r="K1183" s="328">
        <v>15.45</v>
      </c>
      <c r="L1183" s="328">
        <v>109.55</v>
      </c>
      <c r="M1183" s="328" t="s">
        <v>6</v>
      </c>
      <c r="N1183" s="328" t="s">
        <v>368</v>
      </c>
      <c r="O1183" s="328" t="s">
        <v>8</v>
      </c>
      <c r="P1183" s="328" t="s">
        <v>417</v>
      </c>
      <c r="Q1183" s="328" t="s">
        <v>88</v>
      </c>
      <c r="R1183" s="328" t="s">
        <v>946</v>
      </c>
      <c r="S1183" s="303">
        <f t="shared" si="19"/>
        <v>967083515.11630499</v>
      </c>
      <c r="T1183" s="307">
        <f>+IFERROR(VLOOKUP(C1183,'Tasas Diarias'!$B:$F,5,FALSE)*G1183,0)</f>
        <v>1.0848243606393358E-6</v>
      </c>
      <c r="U1183" s="311" t="str">
        <f ca="1">+VLOOKUP(C1183,Spreads!$A$2:$G$345,7,0)</f>
        <v/>
      </c>
    </row>
    <row r="1184" spans="1:21" ht="15.75" hidden="1" customHeight="1" thickTop="1" thickBot="1">
      <c r="A1184" s="317" t="s">
        <v>2137</v>
      </c>
      <c r="B1184" s="318" t="s">
        <v>161</v>
      </c>
      <c r="C1184" s="318" t="s">
        <v>791</v>
      </c>
      <c r="D1184" s="318" t="s">
        <v>792</v>
      </c>
      <c r="E1184" s="319">
        <v>696242341</v>
      </c>
      <c r="F1184" s="319">
        <v>691070370</v>
      </c>
      <c r="G1184" s="314">
        <v>4.8700000000000002E-3</v>
      </c>
      <c r="H1184" s="320">
        <v>0</v>
      </c>
      <c r="I1184" s="318"/>
      <c r="J1184" s="318">
        <v>-43057</v>
      </c>
      <c r="K1184" s="318">
        <v>0</v>
      </c>
      <c r="L1184" s="318">
        <v>1.007484</v>
      </c>
      <c r="M1184" s="318" t="s">
        <v>9</v>
      </c>
      <c r="N1184" s="318" t="s">
        <v>793</v>
      </c>
      <c r="O1184" s="318" t="s">
        <v>8</v>
      </c>
      <c r="P1184" s="318" t="s">
        <v>794</v>
      </c>
      <c r="Q1184" s="318" t="s">
        <v>795</v>
      </c>
      <c r="R1184" s="318" t="s">
        <v>796</v>
      </c>
      <c r="S1184" s="303">
        <f t="shared" si="19"/>
        <v>0</v>
      </c>
      <c r="T1184" s="307">
        <f>+IFERROR(VLOOKUP(C1184,'Tasas Diarias'!$B:$F,5,FALSE)*G1184,0)</f>
        <v>0</v>
      </c>
      <c r="U1184" s="311" t="e">
        <f>+VLOOKUP(C1184,Spreads!$A$2:$G$345,7,0)</f>
        <v>#N/A</v>
      </c>
    </row>
    <row r="1185" spans="1:21" ht="15.75" hidden="1" customHeight="1" thickTop="1" thickBot="1">
      <c r="A1185" s="321" t="s">
        <v>2137</v>
      </c>
      <c r="B1185" s="322" t="s">
        <v>161</v>
      </c>
      <c r="C1185" s="322" t="s">
        <v>797</v>
      </c>
      <c r="D1185" s="322" t="s">
        <v>798</v>
      </c>
      <c r="E1185" s="323">
        <v>480583200</v>
      </c>
      <c r="F1185" s="323">
        <v>480000000</v>
      </c>
      <c r="G1185" s="314">
        <v>3.362E-3</v>
      </c>
      <c r="H1185" s="322">
        <v>0</v>
      </c>
      <c r="I1185" s="322"/>
      <c r="J1185" s="322">
        <v>-43057</v>
      </c>
      <c r="K1185" s="322">
        <v>0</v>
      </c>
      <c r="L1185" s="322">
        <v>1.001215</v>
      </c>
      <c r="M1185" s="322" t="s">
        <v>9</v>
      </c>
      <c r="N1185" s="322" t="s">
        <v>793</v>
      </c>
      <c r="O1185" s="322" t="s">
        <v>8</v>
      </c>
      <c r="P1185" s="322" t="s">
        <v>29</v>
      </c>
      <c r="Q1185" s="322" t="s">
        <v>64</v>
      </c>
      <c r="R1185" s="322" t="s">
        <v>799</v>
      </c>
      <c r="S1185" s="303">
        <f t="shared" si="19"/>
        <v>0</v>
      </c>
      <c r="T1185" s="307">
        <f>+IFERROR(VLOOKUP(C1185,'Tasas Diarias'!$B:$F,5,FALSE)*G1185,0)</f>
        <v>0</v>
      </c>
      <c r="U1185" s="311" t="e">
        <f>+VLOOKUP(C1185,Spreads!$A$2:$G$345,7,0)</f>
        <v>#N/A</v>
      </c>
    </row>
    <row r="1186" spans="1:21" ht="15.75" hidden="1" customHeight="1" thickTop="1" thickBot="1">
      <c r="A1186" s="317" t="s">
        <v>2137</v>
      </c>
      <c r="B1186" s="318" t="s">
        <v>161</v>
      </c>
      <c r="C1186" s="318" t="s">
        <v>1921</v>
      </c>
      <c r="D1186" s="318" t="s">
        <v>1922</v>
      </c>
      <c r="E1186" s="319">
        <v>629850563</v>
      </c>
      <c r="F1186" s="319">
        <v>625000</v>
      </c>
      <c r="G1186" s="314">
        <v>4.4060000000000002E-3</v>
      </c>
      <c r="H1186" s="320">
        <v>0</v>
      </c>
      <c r="I1186" s="318" t="s">
        <v>1923</v>
      </c>
      <c r="J1186" s="318">
        <v>1426</v>
      </c>
      <c r="K1186" s="318">
        <v>0</v>
      </c>
      <c r="L1186" s="318">
        <v>1007.7609</v>
      </c>
      <c r="M1186" s="318" t="s">
        <v>9</v>
      </c>
      <c r="N1186" s="318" t="s">
        <v>793</v>
      </c>
      <c r="O1186" s="318" t="s">
        <v>8</v>
      </c>
      <c r="P1186" s="318" t="s">
        <v>109</v>
      </c>
      <c r="Q1186" s="318" t="s">
        <v>1924</v>
      </c>
      <c r="R1186" s="318" t="s">
        <v>1925</v>
      </c>
      <c r="S1186" s="303">
        <f t="shared" si="19"/>
        <v>0</v>
      </c>
      <c r="T1186" s="307">
        <f>+IFERROR(VLOOKUP(C1186,'Tasas Diarias'!$B:$F,5,FALSE)*G1186,0)</f>
        <v>0</v>
      </c>
      <c r="U1186" s="311" t="e">
        <f>+VLOOKUP(C1186,Spreads!$A$2:$G$345,7,0)</f>
        <v>#N/A</v>
      </c>
    </row>
    <row r="1187" spans="1:21" ht="15.75" hidden="1" customHeight="1" thickTop="1" thickBot="1">
      <c r="A1187" s="327" t="s">
        <v>2137</v>
      </c>
      <c r="B1187" s="328" t="s">
        <v>161</v>
      </c>
      <c r="C1187" s="328" t="s">
        <v>22</v>
      </c>
      <c r="D1187" s="328" t="s">
        <v>1230</v>
      </c>
      <c r="E1187" s="328">
        <v>287795226</v>
      </c>
      <c r="F1187" s="328">
        <v>287954377</v>
      </c>
      <c r="G1187" s="328">
        <v>2.013E-3</v>
      </c>
      <c r="H1187" s="329">
        <v>6.6360000000000001</v>
      </c>
      <c r="I1187" s="328" t="s">
        <v>1555</v>
      </c>
      <c r="J1187" s="328">
        <v>2</v>
      </c>
      <c r="K1187" s="328">
        <v>0.01</v>
      </c>
      <c r="L1187" s="328">
        <v>99.944730000000007</v>
      </c>
      <c r="M1187" s="328" t="s">
        <v>9</v>
      </c>
      <c r="N1187" s="328" t="s">
        <v>377</v>
      </c>
      <c r="O1187" s="328" t="s">
        <v>1182</v>
      </c>
      <c r="P1187" s="328" t="s">
        <v>109</v>
      </c>
      <c r="Q1187" s="328" t="s">
        <v>1231</v>
      </c>
      <c r="R1187" s="328" t="s">
        <v>1317</v>
      </c>
      <c r="S1187" s="303">
        <f t="shared" si="19"/>
        <v>2877952.2600000002</v>
      </c>
      <c r="T1187" s="307">
        <f>+IFERROR(VLOOKUP(C1187,'Tasas Diarias'!$B:$F,5,FALSE)*G1187,0)</f>
        <v>0</v>
      </c>
      <c r="U1187" s="311" t="str">
        <f>+VLOOKUP(C1187,Spreads!$A$2:$G$345,7,0)</f>
        <v/>
      </c>
    </row>
    <row r="1188" spans="1:21" ht="15.75" hidden="1" customHeight="1" thickTop="1" thickBot="1">
      <c r="A1188" s="317" t="s">
        <v>2137</v>
      </c>
      <c r="B1188" s="318" t="s">
        <v>161</v>
      </c>
      <c r="C1188" s="318" t="s">
        <v>22</v>
      </c>
      <c r="D1188" s="318" t="s">
        <v>2109</v>
      </c>
      <c r="E1188" s="319">
        <v>164270901</v>
      </c>
      <c r="F1188" s="319">
        <v>164350080</v>
      </c>
      <c r="G1188" s="314">
        <v>1.1490000000000001E-3</v>
      </c>
      <c r="H1188" s="320">
        <v>5.7839999999999998</v>
      </c>
      <c r="I1188" s="318" t="s">
        <v>1555</v>
      </c>
      <c r="J1188" s="318">
        <v>2</v>
      </c>
      <c r="K1188" s="318">
        <v>0.01</v>
      </c>
      <c r="L1188" s="318">
        <v>99.951822000000007</v>
      </c>
      <c r="M1188" s="318" t="s">
        <v>9</v>
      </c>
      <c r="N1188" s="318" t="s">
        <v>377</v>
      </c>
      <c r="O1188" s="318" t="s">
        <v>8</v>
      </c>
      <c r="P1188" s="318" t="s">
        <v>444</v>
      </c>
      <c r="Q1188" s="318" t="s">
        <v>1466</v>
      </c>
      <c r="R1188" s="318" t="s">
        <v>2111</v>
      </c>
      <c r="S1188" s="303">
        <f t="shared" si="19"/>
        <v>1642709.01</v>
      </c>
      <c r="T1188" s="307">
        <f>+IFERROR(VLOOKUP(C1188,'Tasas Diarias'!$B:$F,5,FALSE)*G1188,0)</f>
        <v>0</v>
      </c>
      <c r="U1188" s="311" t="str">
        <f>+VLOOKUP(C1188,Spreads!$A$2:$G$345,7,0)</f>
        <v/>
      </c>
    </row>
    <row r="1189" spans="1:21" ht="15.75" hidden="1" customHeight="1" thickTop="1" thickBot="1">
      <c r="A1189" s="317" t="s">
        <v>2137</v>
      </c>
      <c r="B1189" s="318" t="s">
        <v>161</v>
      </c>
      <c r="C1189" s="318" t="s">
        <v>22</v>
      </c>
      <c r="D1189" s="318" t="s">
        <v>2109</v>
      </c>
      <c r="E1189" s="319">
        <v>59097298</v>
      </c>
      <c r="F1189" s="319">
        <v>59193036</v>
      </c>
      <c r="G1189" s="314">
        <v>4.1300000000000001E-4</v>
      </c>
      <c r="H1189" s="320">
        <v>5.8319999999999999</v>
      </c>
      <c r="I1189" s="318" t="s">
        <v>1552</v>
      </c>
      <c r="J1189" s="318">
        <v>9</v>
      </c>
      <c r="K1189" s="318">
        <v>0.03</v>
      </c>
      <c r="L1189" s="318">
        <v>99.838261000000003</v>
      </c>
      <c r="M1189" s="318" t="s">
        <v>9</v>
      </c>
      <c r="N1189" s="318" t="s">
        <v>377</v>
      </c>
      <c r="O1189" s="318" t="s">
        <v>8</v>
      </c>
      <c r="P1189" s="318" t="s">
        <v>444</v>
      </c>
      <c r="Q1189" s="318" t="s">
        <v>1466</v>
      </c>
      <c r="R1189" s="318" t="s">
        <v>2111</v>
      </c>
      <c r="S1189" s="303">
        <f t="shared" si="19"/>
        <v>1772918.94</v>
      </c>
      <c r="T1189" s="307">
        <f>+IFERROR(VLOOKUP(C1189,'Tasas Diarias'!$B:$F,5,FALSE)*G1189,0)</f>
        <v>0</v>
      </c>
      <c r="U1189" s="311" t="str">
        <f>+VLOOKUP(C1189,Spreads!$A$2:$G$345,7,0)</f>
        <v/>
      </c>
    </row>
    <row r="1190" spans="1:21" ht="15.75" hidden="1" customHeight="1" thickTop="1" thickBot="1">
      <c r="A1190" s="317" t="s">
        <v>2137</v>
      </c>
      <c r="B1190" s="318" t="s">
        <v>161</v>
      </c>
      <c r="C1190" s="318" t="s">
        <v>817</v>
      </c>
      <c r="D1190" s="318" t="s">
        <v>39</v>
      </c>
      <c r="E1190" s="319">
        <v>392982334</v>
      </c>
      <c r="F1190" s="319">
        <v>380000000</v>
      </c>
      <c r="G1190" s="314">
        <v>2.7490000000000001E-3</v>
      </c>
      <c r="H1190" s="318">
        <v>5.17</v>
      </c>
      <c r="I1190" s="318" t="s">
        <v>818</v>
      </c>
      <c r="J1190" s="318">
        <v>11</v>
      </c>
      <c r="K1190" s="318">
        <v>0.03</v>
      </c>
      <c r="L1190" s="318">
        <v>100.05</v>
      </c>
      <c r="M1190" s="318" t="s">
        <v>9</v>
      </c>
      <c r="N1190" s="318" t="s">
        <v>368</v>
      </c>
      <c r="O1190" s="318" t="s">
        <v>8</v>
      </c>
      <c r="P1190" s="318" t="s">
        <v>801</v>
      </c>
      <c r="Q1190" s="318" t="s">
        <v>69</v>
      </c>
      <c r="R1190" s="318" t="s">
        <v>815</v>
      </c>
      <c r="S1190" s="303">
        <f t="shared" si="19"/>
        <v>11789470.02</v>
      </c>
      <c r="T1190" s="307">
        <f>+IFERROR(VLOOKUP(C1190,'Tasas Diarias'!$B:$F,5,FALSE)*G1190,0)</f>
        <v>4.8201643835617371E-8</v>
      </c>
      <c r="U1190" s="311" t="str">
        <f ca="1">+VLOOKUP(C1190,Spreads!$A$2:$G$345,7,0)</f>
        <v/>
      </c>
    </row>
    <row r="1191" spans="1:21" ht="15.75" hidden="1" customHeight="1" thickTop="1" thickBot="1">
      <c r="A1191" s="317" t="s">
        <v>2137</v>
      </c>
      <c r="B1191" s="318" t="s">
        <v>161</v>
      </c>
      <c r="C1191" s="318" t="s">
        <v>22</v>
      </c>
      <c r="D1191" s="318" t="s">
        <v>1926</v>
      </c>
      <c r="E1191" s="319">
        <v>96416817</v>
      </c>
      <c r="F1191" s="319">
        <v>96723294</v>
      </c>
      <c r="G1191" s="314">
        <v>6.7400000000000001E-4</v>
      </c>
      <c r="H1191" s="318">
        <v>7.1520000000000001</v>
      </c>
      <c r="I1191" s="318" t="s">
        <v>1098</v>
      </c>
      <c r="J1191" s="318">
        <v>15</v>
      </c>
      <c r="K1191" s="318">
        <v>0.04</v>
      </c>
      <c r="L1191" s="318">
        <v>99.683139999999995</v>
      </c>
      <c r="M1191" s="318" t="s">
        <v>9</v>
      </c>
      <c r="N1191" s="318" t="s">
        <v>377</v>
      </c>
      <c r="O1191" s="318" t="s">
        <v>421</v>
      </c>
      <c r="P1191" s="318" t="s">
        <v>417</v>
      </c>
      <c r="Q1191" s="318" t="s">
        <v>1927</v>
      </c>
      <c r="R1191" s="318" t="s">
        <v>1928</v>
      </c>
      <c r="S1191" s="303">
        <f t="shared" si="19"/>
        <v>3856672.68</v>
      </c>
      <c r="T1191" s="307">
        <f>+IFERROR(VLOOKUP(C1191,'Tasas Diarias'!$B:$F,5,FALSE)*G1191,0)</f>
        <v>0</v>
      </c>
      <c r="U1191" s="311" t="str">
        <f>+VLOOKUP(C1191,Spreads!$A$2:$G$345,7,0)</f>
        <v/>
      </c>
    </row>
    <row r="1192" spans="1:21" ht="15.75" hidden="1" customHeight="1" thickTop="1" thickBot="1">
      <c r="A1192" s="317" t="s">
        <v>2137</v>
      </c>
      <c r="B1192" s="318" t="s">
        <v>161</v>
      </c>
      <c r="C1192" s="318" t="s">
        <v>22</v>
      </c>
      <c r="D1192" s="318" t="s">
        <v>2109</v>
      </c>
      <c r="E1192" s="319">
        <v>40787268</v>
      </c>
      <c r="F1192" s="319">
        <v>40907427</v>
      </c>
      <c r="G1192" s="314">
        <v>2.8499999999999999E-4</v>
      </c>
      <c r="H1192" s="320">
        <v>5.8920000000000003</v>
      </c>
      <c r="I1192" s="318" t="s">
        <v>1320</v>
      </c>
      <c r="J1192" s="318">
        <v>17</v>
      </c>
      <c r="K1192" s="318">
        <v>0.05</v>
      </c>
      <c r="L1192" s="318">
        <v>99.706265999999999</v>
      </c>
      <c r="M1192" s="318" t="s">
        <v>9</v>
      </c>
      <c r="N1192" s="318" t="s">
        <v>377</v>
      </c>
      <c r="O1192" s="318" t="s">
        <v>8</v>
      </c>
      <c r="P1192" s="318" t="s">
        <v>444</v>
      </c>
      <c r="Q1192" s="318" t="s">
        <v>1466</v>
      </c>
      <c r="R1192" s="318" t="s">
        <v>2111</v>
      </c>
      <c r="S1192" s="303">
        <f t="shared" si="19"/>
        <v>2039363.4000000001</v>
      </c>
      <c r="T1192" s="307">
        <f>+IFERROR(VLOOKUP(C1192,'Tasas Diarias'!$B:$F,5,FALSE)*G1192,0)</f>
        <v>0</v>
      </c>
      <c r="U1192" s="311" t="str">
        <f>+VLOOKUP(C1192,Spreads!$A$2:$G$345,7,0)</f>
        <v/>
      </c>
    </row>
    <row r="1193" spans="1:21" ht="15.75" hidden="1" customHeight="1" thickTop="1" thickBot="1">
      <c r="A1193" s="327" t="s">
        <v>2137</v>
      </c>
      <c r="B1193" s="328" t="s">
        <v>161</v>
      </c>
      <c r="C1193" s="328" t="s">
        <v>22</v>
      </c>
      <c r="D1193" s="328" t="s">
        <v>1230</v>
      </c>
      <c r="E1193" s="328">
        <v>585676028</v>
      </c>
      <c r="F1193" s="328">
        <v>588318598</v>
      </c>
      <c r="G1193" s="328">
        <v>4.0969999999999999E-3</v>
      </c>
      <c r="H1193" s="329">
        <v>6.7679999999999998</v>
      </c>
      <c r="I1193" s="328" t="s">
        <v>1568</v>
      </c>
      <c r="J1193" s="328">
        <v>23</v>
      </c>
      <c r="K1193" s="328">
        <v>7.0000000000000007E-2</v>
      </c>
      <c r="L1193" s="328">
        <v>99.550826000000001</v>
      </c>
      <c r="M1193" s="328" t="s">
        <v>9</v>
      </c>
      <c r="N1193" s="328" t="s">
        <v>377</v>
      </c>
      <c r="O1193" s="328" t="s">
        <v>1182</v>
      </c>
      <c r="P1193" s="328" t="s">
        <v>109</v>
      </c>
      <c r="Q1193" s="328" t="s">
        <v>1231</v>
      </c>
      <c r="R1193" s="328" t="s">
        <v>1317</v>
      </c>
      <c r="S1193" s="303">
        <f t="shared" si="19"/>
        <v>40997321.960000001</v>
      </c>
      <c r="T1193" s="307">
        <f>+IFERROR(VLOOKUP(C1193,'Tasas Diarias'!$B:$F,5,FALSE)*G1193,0)</f>
        <v>0</v>
      </c>
      <c r="U1193" s="311" t="str">
        <f>+VLOOKUP(C1193,Spreads!$A$2:$G$345,7,0)</f>
        <v/>
      </c>
    </row>
    <row r="1194" spans="1:21" ht="15.75" hidden="1" customHeight="1" thickTop="1" thickBot="1">
      <c r="A1194" s="321" t="s">
        <v>2137</v>
      </c>
      <c r="B1194" s="322" t="s">
        <v>161</v>
      </c>
      <c r="C1194" s="322" t="s">
        <v>2096</v>
      </c>
      <c r="D1194" s="322" t="s">
        <v>2097</v>
      </c>
      <c r="E1194" s="323">
        <v>872755233</v>
      </c>
      <c r="F1194" s="323">
        <v>32000</v>
      </c>
      <c r="G1194" s="314">
        <v>6.1050000000000002E-3</v>
      </c>
      <c r="H1194" s="324">
        <v>-2.08</v>
      </c>
      <c r="I1194" s="322" t="s">
        <v>2092</v>
      </c>
      <c r="J1194" s="322">
        <v>25</v>
      </c>
      <c r="K1194" s="322">
        <v>7.0000000000000007E-2</v>
      </c>
      <c r="L1194" s="322">
        <v>100.43</v>
      </c>
      <c r="M1194" s="322" t="s">
        <v>6</v>
      </c>
      <c r="N1194" s="322" t="s">
        <v>368</v>
      </c>
      <c r="O1194" s="322" t="s">
        <v>8</v>
      </c>
      <c r="P1194" s="322" t="s">
        <v>417</v>
      </c>
      <c r="Q1194" s="322" t="s">
        <v>2098</v>
      </c>
      <c r="R1194" s="322" t="s">
        <v>2099</v>
      </c>
      <c r="S1194" s="303">
        <f t="shared" si="19"/>
        <v>61092866.310000002</v>
      </c>
      <c r="T1194" s="307">
        <f>+IFERROR(VLOOKUP(C1194,'Tasas Diarias'!$B:$F,5,FALSE)*G1194,0)</f>
        <v>0</v>
      </c>
      <c r="U1194" s="311" t="e">
        <f>+VLOOKUP(C1194,Spreads!$A$2:$G$345,7,0)</f>
        <v>#N/A</v>
      </c>
    </row>
    <row r="1195" spans="1:21" ht="15.75" hidden="1" customHeight="1" thickTop="1" thickBot="1">
      <c r="A1195" s="327" t="s">
        <v>2137</v>
      </c>
      <c r="B1195" s="328" t="s">
        <v>161</v>
      </c>
      <c r="C1195" s="328" t="s">
        <v>22</v>
      </c>
      <c r="D1195" s="328" t="s">
        <v>2106</v>
      </c>
      <c r="E1195" s="328">
        <v>72007981</v>
      </c>
      <c r="F1195" s="328">
        <v>72370637</v>
      </c>
      <c r="G1195" s="328">
        <v>5.0299999999999997E-4</v>
      </c>
      <c r="H1195" s="329">
        <v>6.2519999999999998</v>
      </c>
      <c r="I1195" s="328" t="s">
        <v>2107</v>
      </c>
      <c r="J1195" s="328">
        <v>28</v>
      </c>
      <c r="K1195" s="328">
        <v>0.08</v>
      </c>
      <c r="L1195" s="328">
        <v>99.498890000000003</v>
      </c>
      <c r="M1195" s="328" t="s">
        <v>9</v>
      </c>
      <c r="N1195" s="328" t="s">
        <v>377</v>
      </c>
      <c r="O1195" s="328" t="s">
        <v>1348</v>
      </c>
      <c r="P1195" s="328" t="s">
        <v>392</v>
      </c>
      <c r="Q1195" s="328" t="s">
        <v>487</v>
      </c>
      <c r="R1195" s="328" t="s">
        <v>2108</v>
      </c>
      <c r="S1195" s="303">
        <f t="shared" si="19"/>
        <v>5760638.4800000004</v>
      </c>
      <c r="T1195" s="307">
        <f>+IFERROR(VLOOKUP(C1195,'Tasas Diarias'!$B:$F,5,FALSE)*G1195,0)</f>
        <v>0</v>
      </c>
      <c r="U1195" s="311" t="str">
        <f>+VLOOKUP(C1195,Spreads!$A$2:$G$345,7,0)</f>
        <v/>
      </c>
    </row>
    <row r="1196" spans="1:21" ht="15.75" hidden="1" customHeight="1" thickTop="1" thickBot="1">
      <c r="A1196" s="321" t="s">
        <v>2137</v>
      </c>
      <c r="B1196" s="322" t="s">
        <v>161</v>
      </c>
      <c r="C1196" s="322" t="s">
        <v>22</v>
      </c>
      <c r="D1196" s="322" t="s">
        <v>2109</v>
      </c>
      <c r="E1196" s="323">
        <v>6519932</v>
      </c>
      <c r="F1196" s="323">
        <v>6555505</v>
      </c>
      <c r="G1196" s="314">
        <v>4.5000000000000003E-5</v>
      </c>
      <c r="H1196" s="324">
        <v>5.952</v>
      </c>
      <c r="I1196" s="322" t="s">
        <v>2110</v>
      </c>
      <c r="J1196" s="322">
        <v>32</v>
      </c>
      <c r="K1196" s="322">
        <v>0.09</v>
      </c>
      <c r="L1196" s="322">
        <v>99.457356000000004</v>
      </c>
      <c r="M1196" s="322" t="s">
        <v>9</v>
      </c>
      <c r="N1196" s="322" t="s">
        <v>377</v>
      </c>
      <c r="O1196" s="322" t="s">
        <v>8</v>
      </c>
      <c r="P1196" s="322" t="s">
        <v>444</v>
      </c>
      <c r="Q1196" s="322" t="s">
        <v>1466</v>
      </c>
      <c r="R1196" s="322" t="s">
        <v>2111</v>
      </c>
      <c r="S1196" s="303">
        <f t="shared" si="19"/>
        <v>586793.88</v>
      </c>
      <c r="T1196" s="307">
        <f>+IFERROR(VLOOKUP(C1196,'Tasas Diarias'!$B:$F,5,FALSE)*G1196,0)</f>
        <v>0</v>
      </c>
      <c r="U1196" s="311" t="str">
        <f>+VLOOKUP(C1196,Spreads!$A$2:$G$345,7,0)</f>
        <v/>
      </c>
    </row>
    <row r="1197" spans="1:21" ht="15.75" hidden="1" customHeight="1" thickTop="1" thickBot="1">
      <c r="A1197" s="327" t="s">
        <v>2137</v>
      </c>
      <c r="B1197" s="328" t="s">
        <v>161</v>
      </c>
      <c r="C1197" s="328" t="s">
        <v>22</v>
      </c>
      <c r="D1197" s="328" t="s">
        <v>2112</v>
      </c>
      <c r="E1197" s="328">
        <v>20912015</v>
      </c>
      <c r="F1197" s="328">
        <v>21063000</v>
      </c>
      <c r="G1197" s="328">
        <v>1.46E-4</v>
      </c>
      <c r="H1197" s="329">
        <v>6.84</v>
      </c>
      <c r="I1197" s="328" t="s">
        <v>1310</v>
      </c>
      <c r="J1197" s="328">
        <v>37</v>
      </c>
      <c r="K1197" s="328">
        <v>0.1</v>
      </c>
      <c r="L1197" s="328">
        <v>99.283174000000002</v>
      </c>
      <c r="M1197" s="328" t="s">
        <v>9</v>
      </c>
      <c r="N1197" s="328" t="s">
        <v>377</v>
      </c>
      <c r="O1197" s="328" t="s">
        <v>421</v>
      </c>
      <c r="P1197" s="328" t="s">
        <v>802</v>
      </c>
      <c r="Q1197" s="328" t="s">
        <v>2113</v>
      </c>
      <c r="R1197" s="328" t="s">
        <v>2114</v>
      </c>
      <c r="S1197" s="303">
        <f t="shared" si="19"/>
        <v>2091201.5</v>
      </c>
      <c r="T1197" s="307">
        <f>+IFERROR(VLOOKUP(C1197,'Tasas Diarias'!$B:$F,5,FALSE)*G1197,0)</f>
        <v>0</v>
      </c>
      <c r="U1197" s="311" t="str">
        <f>+VLOOKUP(C1197,Spreads!$A$2:$G$345,7,0)</f>
        <v/>
      </c>
    </row>
    <row r="1198" spans="1:21" ht="15.75" hidden="1" customHeight="1" thickTop="1" thickBot="1">
      <c r="A1198" s="317" t="s">
        <v>2137</v>
      </c>
      <c r="B1198" s="318" t="s">
        <v>161</v>
      </c>
      <c r="C1198" s="318" t="s">
        <v>22</v>
      </c>
      <c r="D1198" s="318" t="s">
        <v>2109</v>
      </c>
      <c r="E1198" s="319">
        <v>23488862</v>
      </c>
      <c r="F1198" s="319">
        <v>23666125</v>
      </c>
      <c r="G1198" s="314">
        <v>1.64E-4</v>
      </c>
      <c r="H1198" s="320">
        <v>6.7919999999999998</v>
      </c>
      <c r="I1198" s="318" t="s">
        <v>2115</v>
      </c>
      <c r="J1198" s="318">
        <v>39</v>
      </c>
      <c r="K1198" s="318">
        <v>0.11</v>
      </c>
      <c r="L1198" s="318">
        <v>99.250984000000003</v>
      </c>
      <c r="M1198" s="318" t="s">
        <v>9</v>
      </c>
      <c r="N1198" s="318" t="s">
        <v>377</v>
      </c>
      <c r="O1198" s="318" t="s">
        <v>8</v>
      </c>
      <c r="P1198" s="318" t="s">
        <v>444</v>
      </c>
      <c r="Q1198" s="318" t="s">
        <v>1466</v>
      </c>
      <c r="R1198" s="318" t="s">
        <v>2111</v>
      </c>
      <c r="S1198" s="303">
        <f t="shared" si="19"/>
        <v>2583774.8199999998</v>
      </c>
      <c r="T1198" s="307">
        <f>+IFERROR(VLOOKUP(C1198,'Tasas Diarias'!$B:$F,5,FALSE)*G1198,0)</f>
        <v>0</v>
      </c>
      <c r="U1198" s="311" t="str">
        <f>+VLOOKUP(C1198,Spreads!$A$2:$G$345,7,0)</f>
        <v/>
      </c>
    </row>
    <row r="1199" spans="1:21" ht="15.75" hidden="1" customHeight="1" thickTop="1" thickBot="1">
      <c r="A1199" s="317" t="s">
        <v>2137</v>
      </c>
      <c r="B1199" s="318" t="s">
        <v>161</v>
      </c>
      <c r="C1199" s="318" t="s">
        <v>806</v>
      </c>
      <c r="D1199" s="318" t="s">
        <v>2140</v>
      </c>
      <c r="E1199" s="319">
        <v>137756227</v>
      </c>
      <c r="F1199" s="319">
        <v>200000000</v>
      </c>
      <c r="G1199" s="314">
        <v>9.6299999999999999E-4</v>
      </c>
      <c r="H1199" s="320">
        <v>309.26</v>
      </c>
      <c r="I1199" s="318" t="s">
        <v>2141</v>
      </c>
      <c r="J1199" s="318">
        <v>68</v>
      </c>
      <c r="K1199" s="318">
        <v>0.18</v>
      </c>
      <c r="L1199" s="318">
        <v>78.16</v>
      </c>
      <c r="M1199" s="318" t="s">
        <v>9</v>
      </c>
      <c r="N1199" s="318" t="s">
        <v>368</v>
      </c>
      <c r="O1199" s="318" t="s">
        <v>8</v>
      </c>
      <c r="P1199" s="318" t="s">
        <v>2142</v>
      </c>
      <c r="Q1199" s="318" t="s">
        <v>63</v>
      </c>
      <c r="R1199" s="318" t="s">
        <v>2143</v>
      </c>
      <c r="S1199" s="303">
        <f t="shared" si="19"/>
        <v>24796120.859999999</v>
      </c>
      <c r="T1199" s="307">
        <f>+IFERROR(VLOOKUP(C1199,'Tasas Diarias'!$B:$F,5,FALSE)*G1199,0)</f>
        <v>0</v>
      </c>
      <c r="U1199" s="311" t="str">
        <f ca="1">+VLOOKUP(C1199,Spreads!$A$2:$G$345,7,0)</f>
        <v/>
      </c>
    </row>
    <row r="1200" spans="1:21" ht="15.75" hidden="1" customHeight="1" thickTop="1" thickBot="1">
      <c r="A1200" s="317" t="s">
        <v>2137</v>
      </c>
      <c r="B1200" s="318" t="s">
        <v>161</v>
      </c>
      <c r="C1200" s="318" t="s">
        <v>804</v>
      </c>
      <c r="D1200" s="318" t="s">
        <v>2140</v>
      </c>
      <c r="E1200" s="319">
        <v>268644144</v>
      </c>
      <c r="F1200" s="319">
        <v>390000000</v>
      </c>
      <c r="G1200" s="314">
        <v>1.879E-3</v>
      </c>
      <c r="H1200" s="320">
        <v>309.26</v>
      </c>
      <c r="I1200" s="318" t="s">
        <v>2141</v>
      </c>
      <c r="J1200" s="318">
        <v>68</v>
      </c>
      <c r="K1200" s="318">
        <v>0.18</v>
      </c>
      <c r="L1200" s="318">
        <v>78.19</v>
      </c>
      <c r="M1200" s="318" t="s">
        <v>9</v>
      </c>
      <c r="N1200" s="318" t="s">
        <v>368</v>
      </c>
      <c r="O1200" s="318" t="s">
        <v>8</v>
      </c>
      <c r="P1200" s="318" t="s">
        <v>2142</v>
      </c>
      <c r="Q1200" s="318" t="s">
        <v>63</v>
      </c>
      <c r="R1200" s="318" t="s">
        <v>2143</v>
      </c>
      <c r="S1200" s="303">
        <f t="shared" si="19"/>
        <v>48355945.920000002</v>
      </c>
      <c r="T1200" s="307">
        <f>+IFERROR(VLOOKUP(C1200,'Tasas Diarias'!$B:$F,5,FALSE)*G1200,0)</f>
        <v>0</v>
      </c>
      <c r="U1200" s="311" t="str">
        <f ca="1">+VLOOKUP(C1200,Spreads!$A$2:$G$345,7,0)</f>
        <v/>
      </c>
    </row>
    <row r="1201" spans="1:21" ht="15.75" hidden="1" customHeight="1" thickTop="1" thickBot="1">
      <c r="A1201" s="327" t="s">
        <v>2137</v>
      </c>
      <c r="B1201" s="328" t="s">
        <v>161</v>
      </c>
      <c r="C1201" s="328" t="s">
        <v>2144</v>
      </c>
      <c r="D1201" s="328" t="s">
        <v>2140</v>
      </c>
      <c r="E1201" s="328">
        <v>6887742</v>
      </c>
      <c r="F1201" s="343">
        <v>10000000</v>
      </c>
      <c r="G1201" s="328">
        <v>4.8000000000000001E-5</v>
      </c>
      <c r="H1201" s="329">
        <v>309.26</v>
      </c>
      <c r="I1201" s="328" t="s">
        <v>2141</v>
      </c>
      <c r="J1201" s="328">
        <v>68</v>
      </c>
      <c r="K1201" s="328">
        <v>0.18</v>
      </c>
      <c r="L1201" s="328">
        <v>78</v>
      </c>
      <c r="M1201" s="328" t="s">
        <v>9</v>
      </c>
      <c r="N1201" s="328" t="s">
        <v>368</v>
      </c>
      <c r="O1201" s="328" t="s">
        <v>8</v>
      </c>
      <c r="P1201" s="328" t="s">
        <v>2142</v>
      </c>
      <c r="Q1201" s="328" t="s">
        <v>63</v>
      </c>
      <c r="R1201" s="328" t="s">
        <v>2145</v>
      </c>
      <c r="S1201" s="303">
        <f t="shared" si="19"/>
        <v>1239793.56</v>
      </c>
      <c r="T1201" s="307">
        <f>+IFERROR(VLOOKUP(C1201,'Tasas Diarias'!$B:$F,5,FALSE)*G1201,0)</f>
        <v>0</v>
      </c>
      <c r="U1201" s="311" t="e">
        <f>+VLOOKUP(C1201,Spreads!$A$2:$G$345,7,0)</f>
        <v>#N/A</v>
      </c>
    </row>
    <row r="1202" spans="1:21" ht="15.75" hidden="1" customHeight="1" thickTop="1" thickBot="1">
      <c r="A1202" s="317" t="s">
        <v>2137</v>
      </c>
      <c r="B1202" s="318" t="s">
        <v>161</v>
      </c>
      <c r="C1202" s="318" t="s">
        <v>805</v>
      </c>
      <c r="D1202" s="318" t="s">
        <v>2140</v>
      </c>
      <c r="E1202" s="319">
        <v>34438761</v>
      </c>
      <c r="F1202" s="319">
        <v>50000000</v>
      </c>
      <c r="G1202" s="314">
        <v>2.4000000000000001E-4</v>
      </c>
      <c r="H1202" s="320">
        <v>309.26</v>
      </c>
      <c r="I1202" s="318" t="s">
        <v>2141</v>
      </c>
      <c r="J1202" s="318">
        <v>68</v>
      </c>
      <c r="K1202" s="318">
        <v>0.18</v>
      </c>
      <c r="L1202" s="318">
        <v>78.180000000000007</v>
      </c>
      <c r="M1202" s="318" t="s">
        <v>9</v>
      </c>
      <c r="N1202" s="318" t="s">
        <v>368</v>
      </c>
      <c r="O1202" s="318" t="s">
        <v>8</v>
      </c>
      <c r="P1202" s="318" t="s">
        <v>2142</v>
      </c>
      <c r="Q1202" s="318" t="s">
        <v>63</v>
      </c>
      <c r="R1202" s="318" t="s">
        <v>2145</v>
      </c>
      <c r="S1202" s="303">
        <f t="shared" si="19"/>
        <v>6198976.9799999995</v>
      </c>
      <c r="T1202" s="307">
        <f>+IFERROR(VLOOKUP(C1202,'Tasas Diarias'!$B:$F,5,FALSE)*G1202,0)</f>
        <v>0</v>
      </c>
      <c r="U1202" s="311" t="str">
        <f ca="1">+VLOOKUP(C1202,Spreads!$A$2:$G$345,7,0)</f>
        <v/>
      </c>
    </row>
    <row r="1203" spans="1:21" ht="15.75" hidden="1" customHeight="1" thickTop="1" thickBot="1">
      <c r="A1203" s="317" t="s">
        <v>2137</v>
      </c>
      <c r="B1203" s="318" t="s">
        <v>161</v>
      </c>
      <c r="C1203" s="318" t="s">
        <v>813</v>
      </c>
      <c r="D1203" s="318" t="s">
        <v>39</v>
      </c>
      <c r="E1203" s="319">
        <v>31545622</v>
      </c>
      <c r="F1203" s="319">
        <v>250000000</v>
      </c>
      <c r="G1203" s="314">
        <v>2.2000000000000001E-4</v>
      </c>
      <c r="H1203" s="320">
        <v>5.55</v>
      </c>
      <c r="I1203" s="318" t="s">
        <v>434</v>
      </c>
      <c r="J1203" s="318">
        <v>132</v>
      </c>
      <c r="K1203" s="318">
        <v>0.36</v>
      </c>
      <c r="L1203" s="318">
        <v>100.16</v>
      </c>
      <c r="M1203" s="318" t="s">
        <v>9</v>
      </c>
      <c r="N1203" s="318" t="s">
        <v>368</v>
      </c>
      <c r="O1203" s="318" t="s">
        <v>8</v>
      </c>
      <c r="P1203" s="318" t="s">
        <v>801</v>
      </c>
      <c r="Q1203" s="318" t="s">
        <v>69</v>
      </c>
      <c r="R1203" s="318" t="s">
        <v>815</v>
      </c>
      <c r="S1203" s="303">
        <f t="shared" si="19"/>
        <v>11356423.92</v>
      </c>
      <c r="T1203" s="307">
        <f>+IFERROR(VLOOKUP(C1203,'Tasas Diarias'!$B:$F,5,FALSE)*G1203,0)</f>
        <v>-9.2219178082189626E-9</v>
      </c>
      <c r="U1203" s="311" t="str">
        <f ca="1">+VLOOKUP(C1203,Spreads!$A$2:$G$345,7,0)</f>
        <v/>
      </c>
    </row>
    <row r="1204" spans="1:21" ht="15.75" hidden="1" customHeight="1" thickTop="1" thickBot="1">
      <c r="A1204" s="317" t="s">
        <v>2137</v>
      </c>
      <c r="B1204" s="318" t="s">
        <v>161</v>
      </c>
      <c r="C1204" s="318" t="s">
        <v>816</v>
      </c>
      <c r="D1204" s="318" t="s">
        <v>39</v>
      </c>
      <c r="E1204" s="319">
        <v>508643328</v>
      </c>
      <c r="F1204" s="319">
        <v>75000</v>
      </c>
      <c r="G1204" s="314">
        <v>3.558E-3</v>
      </c>
      <c r="H1204" s="318">
        <v>2.2999999999999998</v>
      </c>
      <c r="I1204" s="318" t="s">
        <v>457</v>
      </c>
      <c r="J1204" s="318">
        <v>254</v>
      </c>
      <c r="K1204" s="318">
        <v>0.44</v>
      </c>
      <c r="L1204" s="318">
        <v>100.6</v>
      </c>
      <c r="M1204" s="318" t="s">
        <v>6</v>
      </c>
      <c r="N1204" s="318" t="s">
        <v>368</v>
      </c>
      <c r="O1204" s="318" t="s">
        <v>8</v>
      </c>
      <c r="P1204" s="318" t="s">
        <v>801</v>
      </c>
      <c r="Q1204" s="318" t="s">
        <v>69</v>
      </c>
      <c r="R1204" s="318" t="s">
        <v>815</v>
      </c>
      <c r="S1204" s="303">
        <f t="shared" si="19"/>
        <v>223803064.31999999</v>
      </c>
      <c r="T1204" s="307">
        <f>+IFERROR(VLOOKUP(C1204,'Tasas Diarias'!$B:$F,5,FALSE)*G1204,0)</f>
        <v>1.4268038873048074E-6</v>
      </c>
      <c r="U1204" s="311" t="str">
        <f ca="1">+VLOOKUP(C1204,Spreads!$A$2:$G$345,7,0)</f>
        <v/>
      </c>
    </row>
    <row r="1205" spans="1:21" ht="15.75" hidden="1" customHeight="1" thickTop="1" thickBot="1">
      <c r="A1205" s="317" t="s">
        <v>2137</v>
      </c>
      <c r="B1205" s="318" t="s">
        <v>161</v>
      </c>
      <c r="C1205" s="318" t="s">
        <v>419</v>
      </c>
      <c r="D1205" s="318" t="s">
        <v>420</v>
      </c>
      <c r="E1205" s="319">
        <v>2730932</v>
      </c>
      <c r="F1205" s="319">
        <v>500</v>
      </c>
      <c r="G1205" s="314">
        <v>1.9000000000000001E-5</v>
      </c>
      <c r="H1205" s="320">
        <v>1.7</v>
      </c>
      <c r="I1205" s="318" t="s">
        <v>416</v>
      </c>
      <c r="J1205" s="318">
        <v>299</v>
      </c>
      <c r="K1205" s="318">
        <v>0.56000000000000005</v>
      </c>
      <c r="L1205" s="318">
        <v>101.58</v>
      </c>
      <c r="M1205" s="318" t="s">
        <v>6</v>
      </c>
      <c r="N1205" s="318" t="s">
        <v>368</v>
      </c>
      <c r="O1205" s="318" t="s">
        <v>421</v>
      </c>
      <c r="P1205" s="318" t="s">
        <v>417</v>
      </c>
      <c r="Q1205" s="318" t="s">
        <v>422</v>
      </c>
      <c r="R1205" s="318" t="s">
        <v>423</v>
      </c>
      <c r="S1205" s="303">
        <f t="shared" si="19"/>
        <v>1529321.9200000002</v>
      </c>
      <c r="T1205" s="307">
        <f>+IFERROR(VLOOKUP(C1205,'Tasas Diarias'!$B:$F,5,FALSE)*G1205,0)</f>
        <v>2.357199084653516E-9</v>
      </c>
      <c r="U1205" s="311" t="str">
        <f ca="1">+VLOOKUP(C1205,Spreads!$A$2:$G$345,7,0)</f>
        <v/>
      </c>
    </row>
    <row r="1206" spans="1:21" ht="15.75" hidden="1" customHeight="1" thickTop="1" thickBot="1">
      <c r="A1206" s="321" t="s">
        <v>2137</v>
      </c>
      <c r="B1206" s="322" t="s">
        <v>161</v>
      </c>
      <c r="C1206" s="322" t="s">
        <v>451</v>
      </c>
      <c r="D1206" s="322" t="s">
        <v>175</v>
      </c>
      <c r="E1206" s="323">
        <v>251824760</v>
      </c>
      <c r="F1206" s="323">
        <v>11500</v>
      </c>
      <c r="G1206" s="314">
        <v>1.761E-3</v>
      </c>
      <c r="H1206" s="324">
        <v>2.57</v>
      </c>
      <c r="I1206" s="322" t="s">
        <v>452</v>
      </c>
      <c r="J1206" s="322">
        <v>558</v>
      </c>
      <c r="K1206" s="322">
        <v>0.76</v>
      </c>
      <c r="L1206" s="322">
        <v>100.87</v>
      </c>
      <c r="M1206" s="322" t="s">
        <v>6</v>
      </c>
      <c r="N1206" s="322" t="s">
        <v>368</v>
      </c>
      <c r="O1206" s="322" t="s">
        <v>8</v>
      </c>
      <c r="P1206" s="322" t="s">
        <v>392</v>
      </c>
      <c r="Q1206" s="322" t="s">
        <v>66</v>
      </c>
      <c r="R1206" s="322" t="s">
        <v>418</v>
      </c>
      <c r="S1206" s="303">
        <f t="shared" si="19"/>
        <v>191386817.59999999</v>
      </c>
      <c r="T1206" s="307">
        <f>+IFERROR(VLOOKUP(C1206,'Tasas Diarias'!$B:$F,5,FALSE)*G1206,0)</f>
        <v>4.3172222605175284E-7</v>
      </c>
      <c r="U1206" s="311" t="str">
        <f ca="1">+VLOOKUP(C1206,Spreads!$A$2:$G$345,7,0)</f>
        <v/>
      </c>
    </row>
    <row r="1207" spans="1:21" ht="15.75" hidden="1" customHeight="1" thickTop="1" thickBot="1">
      <c r="A1207" s="317" t="s">
        <v>2137</v>
      </c>
      <c r="B1207" s="318" t="s">
        <v>161</v>
      </c>
      <c r="C1207" s="318" t="s">
        <v>463</v>
      </c>
      <c r="D1207" s="318" t="s">
        <v>464</v>
      </c>
      <c r="E1207" s="319">
        <v>202968952</v>
      </c>
      <c r="F1207" s="319">
        <v>200000000</v>
      </c>
      <c r="G1207" s="314">
        <v>1.4189999999999999E-3</v>
      </c>
      <c r="H1207" s="320">
        <v>3.71</v>
      </c>
      <c r="I1207" s="318" t="s">
        <v>465</v>
      </c>
      <c r="J1207" s="318">
        <v>329</v>
      </c>
      <c r="K1207" s="318">
        <v>0.89</v>
      </c>
      <c r="L1207" s="318">
        <v>101.02</v>
      </c>
      <c r="M1207" s="318" t="s">
        <v>9</v>
      </c>
      <c r="N1207" s="318" t="s">
        <v>368</v>
      </c>
      <c r="O1207" s="318" t="s">
        <v>8</v>
      </c>
      <c r="P1207" s="318" t="s">
        <v>379</v>
      </c>
      <c r="Q1207" s="318" t="s">
        <v>466</v>
      </c>
      <c r="R1207" s="318" t="s">
        <v>467</v>
      </c>
      <c r="S1207" s="303">
        <f t="shared" si="19"/>
        <v>180642367.28</v>
      </c>
      <c r="T1207" s="307">
        <f>+IFERROR(VLOOKUP(C1207,'Tasas Diarias'!$B:$F,5,FALSE)*G1207,0)</f>
        <v>-1.343965790563834E-7</v>
      </c>
      <c r="U1207" s="311" t="str">
        <f ca="1">+VLOOKUP(C1207,Spreads!$A$2:$G$345,7,0)</f>
        <v/>
      </c>
    </row>
    <row r="1208" spans="1:21" ht="15.75" hidden="1" customHeight="1" thickTop="1" thickBot="1">
      <c r="A1208" s="321" t="s">
        <v>2137</v>
      </c>
      <c r="B1208" s="322" t="s">
        <v>161</v>
      </c>
      <c r="C1208" s="322" t="s">
        <v>2116</v>
      </c>
      <c r="D1208" s="322" t="s">
        <v>50</v>
      </c>
      <c r="E1208" s="323">
        <v>30728850</v>
      </c>
      <c r="F1208" s="323">
        <v>60000000</v>
      </c>
      <c r="G1208" s="314">
        <v>2.14E-4</v>
      </c>
      <c r="H1208" s="324">
        <v>3.89</v>
      </c>
      <c r="I1208" s="322" t="s">
        <v>2117</v>
      </c>
      <c r="J1208" s="322">
        <v>541</v>
      </c>
      <c r="K1208" s="322">
        <v>0.97</v>
      </c>
      <c r="L1208" s="322">
        <v>102.35</v>
      </c>
      <c r="M1208" s="322" t="s">
        <v>9</v>
      </c>
      <c r="N1208" s="322" t="s">
        <v>368</v>
      </c>
      <c r="O1208" s="322" t="s">
        <v>429</v>
      </c>
      <c r="P1208" s="322" t="s">
        <v>25</v>
      </c>
      <c r="Q1208" s="322" t="s">
        <v>899</v>
      </c>
      <c r="R1208" s="322" t="s">
        <v>900</v>
      </c>
      <c r="S1208" s="303">
        <f t="shared" si="19"/>
        <v>29806984.5</v>
      </c>
      <c r="T1208" s="307">
        <f>+IFERROR(VLOOKUP(C1208,'Tasas Diarias'!$B:$F,5,FALSE)*G1208,0)</f>
        <v>0</v>
      </c>
      <c r="U1208" s="311" t="e">
        <f>+VLOOKUP(C1208,Spreads!$A$2:$G$345,7,0)</f>
        <v>#N/A</v>
      </c>
    </row>
    <row r="1209" spans="1:21" ht="15.75" hidden="1" customHeight="1" thickTop="1" thickBot="1">
      <c r="A1209" s="321" t="s">
        <v>2137</v>
      </c>
      <c r="B1209" s="322" t="s">
        <v>161</v>
      </c>
      <c r="C1209" s="322" t="s">
        <v>548</v>
      </c>
      <c r="D1209" s="322" t="s">
        <v>10</v>
      </c>
      <c r="E1209" s="323">
        <v>884066903</v>
      </c>
      <c r="F1209" s="323">
        <v>1325000000</v>
      </c>
      <c r="G1209" s="314">
        <v>6.1840000000000003E-3</v>
      </c>
      <c r="H1209" s="324">
        <v>6.81</v>
      </c>
      <c r="I1209" s="322" t="s">
        <v>501</v>
      </c>
      <c r="J1209" s="322">
        <v>954</v>
      </c>
      <c r="K1209" s="322">
        <v>0.98</v>
      </c>
      <c r="L1209" s="322">
        <v>100.17</v>
      </c>
      <c r="M1209" s="322" t="s">
        <v>9</v>
      </c>
      <c r="N1209" s="322" t="s">
        <v>368</v>
      </c>
      <c r="O1209" s="322" t="s">
        <v>8</v>
      </c>
      <c r="P1209" s="322" t="s">
        <v>7</v>
      </c>
      <c r="Q1209" s="322" t="s">
        <v>56</v>
      </c>
      <c r="R1209" s="322" t="s">
        <v>445</v>
      </c>
      <c r="S1209" s="303">
        <f t="shared" si="19"/>
        <v>866385564.93999994</v>
      </c>
      <c r="T1209" s="307">
        <f>+IFERROR(VLOOKUP(C1209,'Tasas Diarias'!$B:$F,5,FALSE)*G1209,0)</f>
        <v>-6.4352193182339946E-7</v>
      </c>
      <c r="U1209" s="311" t="str">
        <f ca="1">+VLOOKUP(C1209,Spreads!$A$2:$G$345,7,0)</f>
        <v/>
      </c>
    </row>
    <row r="1210" spans="1:21" ht="15.75" hidden="1" customHeight="1" thickTop="1" thickBot="1">
      <c r="A1210" s="317" t="s">
        <v>2137</v>
      </c>
      <c r="B1210" s="318" t="s">
        <v>161</v>
      </c>
      <c r="C1210" s="318" t="s">
        <v>1086</v>
      </c>
      <c r="D1210" s="318" t="s">
        <v>39</v>
      </c>
      <c r="E1210" s="319">
        <v>40110546</v>
      </c>
      <c r="F1210" s="319">
        <v>3000</v>
      </c>
      <c r="G1210" s="314">
        <v>2.7999999999999998E-4</v>
      </c>
      <c r="H1210" s="320">
        <v>2.79</v>
      </c>
      <c r="I1210" s="318" t="s">
        <v>578</v>
      </c>
      <c r="J1210" s="318">
        <v>650</v>
      </c>
      <c r="K1210" s="318">
        <v>1.01</v>
      </c>
      <c r="L1210" s="318">
        <v>99.72</v>
      </c>
      <c r="M1210" s="318" t="s">
        <v>6</v>
      </c>
      <c r="N1210" s="318" t="s">
        <v>368</v>
      </c>
      <c r="O1210" s="318" t="s">
        <v>8</v>
      </c>
      <c r="P1210" s="318" t="s">
        <v>801</v>
      </c>
      <c r="Q1210" s="318" t="s">
        <v>69</v>
      </c>
      <c r="R1210" s="318" t="s">
        <v>815</v>
      </c>
      <c r="S1210" s="303">
        <f t="shared" si="19"/>
        <v>40511651.460000001</v>
      </c>
      <c r="T1210" s="307">
        <f>+IFERROR(VLOOKUP(C1210,'Tasas Diarias'!$B:$F,5,FALSE)*G1210,0)</f>
        <v>8.9776269144205803E-8</v>
      </c>
      <c r="U1210" s="311" t="str">
        <f ca="1">+VLOOKUP(C1210,Spreads!$A$2:$G$345,7,0)</f>
        <v/>
      </c>
    </row>
    <row r="1211" spans="1:21" ht="15.75" hidden="1" customHeight="1" thickTop="1" thickBot="1">
      <c r="A1211" s="317" t="s">
        <v>2137</v>
      </c>
      <c r="B1211" s="318" t="s">
        <v>161</v>
      </c>
      <c r="C1211" s="318" t="s">
        <v>819</v>
      </c>
      <c r="D1211" s="318" t="s">
        <v>178</v>
      </c>
      <c r="E1211" s="319">
        <v>272370707</v>
      </c>
      <c r="F1211" s="319">
        <v>10000</v>
      </c>
      <c r="G1211" s="314">
        <v>1.905E-3</v>
      </c>
      <c r="H1211" s="320">
        <v>2.2000000000000002</v>
      </c>
      <c r="I1211" s="318" t="s">
        <v>480</v>
      </c>
      <c r="J1211" s="318">
        <v>497</v>
      </c>
      <c r="K1211" s="318">
        <v>1.1000000000000001</v>
      </c>
      <c r="L1211" s="318">
        <v>101.61</v>
      </c>
      <c r="M1211" s="318" t="s">
        <v>6</v>
      </c>
      <c r="N1211" s="318" t="s">
        <v>368</v>
      </c>
      <c r="O1211" s="318" t="s">
        <v>8</v>
      </c>
      <c r="P1211" s="318" t="s">
        <v>417</v>
      </c>
      <c r="Q1211" s="318" t="s">
        <v>68</v>
      </c>
      <c r="R1211" s="318" t="s">
        <v>812</v>
      </c>
      <c r="S1211" s="303">
        <f t="shared" si="19"/>
        <v>299607777.70000005</v>
      </c>
      <c r="T1211" s="307">
        <f>+IFERROR(VLOOKUP(C1211,'Tasas Diarias'!$B:$F,5,FALSE)*G1211,0)</f>
        <v>1.3175001418145895E-6</v>
      </c>
      <c r="U1211" s="311" t="str">
        <f ca="1">+VLOOKUP(C1211,Spreads!$A$2:$G$345,7,0)</f>
        <v/>
      </c>
    </row>
    <row r="1212" spans="1:21" ht="15.75" hidden="1" customHeight="1" thickTop="1" thickBot="1">
      <c r="A1212" s="321" t="s">
        <v>2137</v>
      </c>
      <c r="B1212" s="322" t="s">
        <v>161</v>
      </c>
      <c r="C1212" s="322" t="s">
        <v>475</v>
      </c>
      <c r="D1212" s="322" t="s">
        <v>175</v>
      </c>
      <c r="E1212" s="323">
        <v>1430808931</v>
      </c>
      <c r="F1212" s="323">
        <v>1390000000</v>
      </c>
      <c r="G1212" s="314">
        <v>1.001E-2</v>
      </c>
      <c r="H1212" s="324">
        <v>4.32</v>
      </c>
      <c r="I1212" s="322" t="s">
        <v>476</v>
      </c>
      <c r="J1212" s="322">
        <v>803</v>
      </c>
      <c r="K1212" s="322">
        <v>1.1499999999999999</v>
      </c>
      <c r="L1212" s="322">
        <v>101.29</v>
      </c>
      <c r="M1212" s="322" t="s">
        <v>9</v>
      </c>
      <c r="N1212" s="322" t="s">
        <v>368</v>
      </c>
      <c r="O1212" s="322" t="s">
        <v>8</v>
      </c>
      <c r="P1212" s="322" t="s">
        <v>392</v>
      </c>
      <c r="Q1212" s="322" t="s">
        <v>66</v>
      </c>
      <c r="R1212" s="322" t="s">
        <v>418</v>
      </c>
      <c r="S1212" s="303">
        <f t="shared" si="19"/>
        <v>1645430270.6499999</v>
      </c>
      <c r="T1212" s="307">
        <f>+IFERROR(VLOOKUP(C1212,'Tasas Diarias'!$B:$F,5,FALSE)*G1212,0)</f>
        <v>0</v>
      </c>
      <c r="U1212" s="311" t="str">
        <f ca="1">+VLOOKUP(C1212,Spreads!$A$2:$G$345,7,0)</f>
        <v/>
      </c>
    </row>
    <row r="1213" spans="1:21" ht="15.75" hidden="1" customHeight="1" thickTop="1" thickBot="1">
      <c r="A1213" s="327" t="s">
        <v>2137</v>
      </c>
      <c r="B1213" s="328" t="s">
        <v>161</v>
      </c>
      <c r="C1213" s="328" t="s">
        <v>549</v>
      </c>
      <c r="D1213" s="328" t="s">
        <v>292</v>
      </c>
      <c r="E1213" s="328">
        <v>241068494</v>
      </c>
      <c r="F1213" s="328">
        <v>300000000</v>
      </c>
      <c r="G1213" s="328">
        <v>1.686E-3</v>
      </c>
      <c r="H1213" s="329">
        <v>4.0599999999999996</v>
      </c>
      <c r="I1213" s="328" t="s">
        <v>550</v>
      </c>
      <c r="J1213" s="328">
        <v>872</v>
      </c>
      <c r="K1213" s="328">
        <v>1.32</v>
      </c>
      <c r="L1213" s="328">
        <v>103.09</v>
      </c>
      <c r="M1213" s="328" t="s">
        <v>9</v>
      </c>
      <c r="N1213" s="328" t="s">
        <v>368</v>
      </c>
      <c r="O1213" s="328" t="s">
        <v>551</v>
      </c>
      <c r="P1213" s="328" t="s">
        <v>392</v>
      </c>
      <c r="Q1213" s="328" t="s">
        <v>327</v>
      </c>
      <c r="R1213" s="328" t="s">
        <v>552</v>
      </c>
      <c r="S1213" s="303">
        <f t="shared" si="19"/>
        <v>318210412.08000004</v>
      </c>
      <c r="T1213" s="307">
        <f>+IFERROR(VLOOKUP(C1213,'Tasas Diarias'!$B:$F,5,FALSE)*G1213,0)</f>
        <v>0</v>
      </c>
      <c r="U1213" s="311" t="str">
        <f ca="1">+VLOOKUP(C1213,Spreads!$A$2:$G$345,7,0)</f>
        <v/>
      </c>
    </row>
    <row r="1214" spans="1:21" ht="15.75" hidden="1" customHeight="1" thickTop="1" thickBot="1">
      <c r="A1214" s="321" t="s">
        <v>2137</v>
      </c>
      <c r="B1214" s="322" t="s">
        <v>161</v>
      </c>
      <c r="C1214" s="322" t="s">
        <v>479</v>
      </c>
      <c r="D1214" s="322" t="s">
        <v>233</v>
      </c>
      <c r="E1214" s="323">
        <v>68615513</v>
      </c>
      <c r="F1214" s="323">
        <v>2500</v>
      </c>
      <c r="G1214" s="314">
        <v>4.8000000000000001E-4</v>
      </c>
      <c r="H1214" s="324">
        <v>1.56</v>
      </c>
      <c r="I1214" s="322" t="s">
        <v>480</v>
      </c>
      <c r="J1214" s="322">
        <v>497</v>
      </c>
      <c r="K1214" s="322">
        <v>1.34</v>
      </c>
      <c r="L1214" s="322">
        <v>102.43</v>
      </c>
      <c r="M1214" s="322" t="s">
        <v>6</v>
      </c>
      <c r="N1214" s="322" t="s">
        <v>368</v>
      </c>
      <c r="O1214" s="322" t="s">
        <v>8</v>
      </c>
      <c r="P1214" s="322" t="s">
        <v>417</v>
      </c>
      <c r="Q1214" s="322" t="s">
        <v>60</v>
      </c>
      <c r="R1214" s="322" t="s">
        <v>481</v>
      </c>
      <c r="S1214" s="303">
        <f t="shared" si="19"/>
        <v>91944787.420000002</v>
      </c>
      <c r="T1214" s="307">
        <f>+IFERROR(VLOOKUP(C1214,'Tasas Diarias'!$B:$F,5,FALSE)*G1214,0)</f>
        <v>1.3389595510370893E-7</v>
      </c>
      <c r="U1214" s="311" t="str">
        <f ca="1">+VLOOKUP(C1214,Spreads!$A$2:$G$345,7,0)</f>
        <v/>
      </c>
    </row>
    <row r="1215" spans="1:21" ht="15.75" hidden="1" customHeight="1" thickTop="1" thickBot="1">
      <c r="A1215" s="317" t="s">
        <v>2137</v>
      </c>
      <c r="B1215" s="318" t="s">
        <v>161</v>
      </c>
      <c r="C1215" s="318" t="s">
        <v>562</v>
      </c>
      <c r="D1215" s="318" t="s">
        <v>10</v>
      </c>
      <c r="E1215" s="319">
        <v>1685715945</v>
      </c>
      <c r="F1215" s="319">
        <v>1670000000</v>
      </c>
      <c r="G1215" s="314">
        <v>1.1793E-2</v>
      </c>
      <c r="H1215" s="320">
        <v>5.66</v>
      </c>
      <c r="I1215" s="318" t="s">
        <v>497</v>
      </c>
      <c r="J1215" s="318">
        <v>863</v>
      </c>
      <c r="K1215" s="318">
        <v>1.36</v>
      </c>
      <c r="L1215" s="318">
        <v>100.18</v>
      </c>
      <c r="M1215" s="318" t="s">
        <v>9</v>
      </c>
      <c r="N1215" s="318" t="s">
        <v>368</v>
      </c>
      <c r="O1215" s="318" t="s">
        <v>8</v>
      </c>
      <c r="P1215" s="318" t="s">
        <v>7</v>
      </c>
      <c r="Q1215" s="318" t="s">
        <v>56</v>
      </c>
      <c r="R1215" s="318" t="s">
        <v>445</v>
      </c>
      <c r="S1215" s="303">
        <f t="shared" si="19"/>
        <v>2292573685.2000003</v>
      </c>
      <c r="T1215" s="307">
        <f>+IFERROR(VLOOKUP(C1215,'Tasas Diarias'!$B:$F,5,FALSE)*G1215,0)</f>
        <v>0</v>
      </c>
      <c r="U1215" s="311" t="str">
        <f ca="1">+VLOOKUP(C1215,Spreads!$A$2:$G$345,7,0)</f>
        <v/>
      </c>
    </row>
    <row r="1216" spans="1:21" ht="15.75" hidden="1" customHeight="1" thickTop="1" thickBot="1">
      <c r="A1216" s="321" t="s">
        <v>2137</v>
      </c>
      <c r="B1216" s="322" t="s">
        <v>161</v>
      </c>
      <c r="C1216" s="322" t="s">
        <v>1594</v>
      </c>
      <c r="D1216" s="322" t="s">
        <v>1595</v>
      </c>
      <c r="E1216" s="323">
        <v>1578545600</v>
      </c>
      <c r="F1216" s="323">
        <v>2400000</v>
      </c>
      <c r="G1216" s="314">
        <v>1.1043000000000001E-2</v>
      </c>
      <c r="H1216" s="324">
        <v>0</v>
      </c>
      <c r="I1216" s="322" t="s">
        <v>1596</v>
      </c>
      <c r="J1216" s="322">
        <v>531</v>
      </c>
      <c r="K1216" s="322">
        <v>1.39</v>
      </c>
      <c r="L1216" s="322">
        <v>104.1628</v>
      </c>
      <c r="M1216" s="322" t="s">
        <v>369</v>
      </c>
      <c r="N1216" s="322" t="s">
        <v>368</v>
      </c>
      <c r="O1216" s="322" t="s">
        <v>1348</v>
      </c>
      <c r="P1216" s="322" t="s">
        <v>802</v>
      </c>
      <c r="Q1216" s="322" t="s">
        <v>1597</v>
      </c>
      <c r="R1216" s="322" t="s">
        <v>1607</v>
      </c>
      <c r="S1216" s="303">
        <f t="shared" si="19"/>
        <v>2194178384</v>
      </c>
      <c r="T1216" s="307">
        <f>+IFERROR(VLOOKUP(C1216,'Tasas Diarias'!$B:$F,5,FALSE)*G1216,0)</f>
        <v>0</v>
      </c>
      <c r="U1216" s="311" t="e">
        <f>+VLOOKUP(C1216,Spreads!$A$2:$G$345,7,0)</f>
        <v>#N/A</v>
      </c>
    </row>
    <row r="1217" spans="1:21" ht="15.75" hidden="1" customHeight="1" thickTop="1" thickBot="1">
      <c r="A1217" s="321" t="s">
        <v>2137</v>
      </c>
      <c r="B1217" s="322" t="s">
        <v>161</v>
      </c>
      <c r="C1217" s="322" t="s">
        <v>824</v>
      </c>
      <c r="D1217" s="322" t="s">
        <v>825</v>
      </c>
      <c r="E1217" s="323">
        <v>1956931152</v>
      </c>
      <c r="F1217" s="323">
        <v>71000</v>
      </c>
      <c r="G1217" s="314">
        <v>1.3690000000000001E-2</v>
      </c>
      <c r="H1217" s="324">
        <v>3.22</v>
      </c>
      <c r="I1217" s="322" t="s">
        <v>826</v>
      </c>
      <c r="J1217" s="322">
        <v>536</v>
      </c>
      <c r="K1217" s="322">
        <v>1.43</v>
      </c>
      <c r="L1217" s="322">
        <v>103.2</v>
      </c>
      <c r="M1217" s="322" t="s">
        <v>6</v>
      </c>
      <c r="N1217" s="322" t="s">
        <v>368</v>
      </c>
      <c r="O1217" s="322" t="s">
        <v>421</v>
      </c>
      <c r="P1217" s="322" t="s">
        <v>794</v>
      </c>
      <c r="Q1217" s="322" t="s">
        <v>827</v>
      </c>
      <c r="R1217" s="322" t="s">
        <v>828</v>
      </c>
      <c r="S1217" s="303">
        <f t="shared" si="19"/>
        <v>2798411547.3599997</v>
      </c>
      <c r="T1217" s="307">
        <f>+IFERROR(VLOOKUP(C1217,'Tasas Diarias'!$B:$F,5,FALSE)*G1217,0)</f>
        <v>5.9553394334258667E-6</v>
      </c>
      <c r="U1217" s="311" t="str">
        <f ca="1">+VLOOKUP(C1217,Spreads!$A$2:$G$345,7,0)</f>
        <v/>
      </c>
    </row>
    <row r="1218" spans="1:21" ht="15.75" hidden="1" customHeight="1" thickTop="1" thickBot="1">
      <c r="A1218" s="321" t="s">
        <v>2137</v>
      </c>
      <c r="B1218" s="322" t="s">
        <v>161</v>
      </c>
      <c r="C1218" s="322" t="s">
        <v>829</v>
      </c>
      <c r="D1218" s="322" t="s">
        <v>38</v>
      </c>
      <c r="E1218" s="323">
        <v>624687855</v>
      </c>
      <c r="F1218" s="323">
        <v>600000000</v>
      </c>
      <c r="G1218" s="314">
        <v>4.3699999999999998E-3</v>
      </c>
      <c r="H1218" s="322">
        <v>3.59</v>
      </c>
      <c r="I1218" s="322" t="s">
        <v>830</v>
      </c>
      <c r="J1218" s="322">
        <v>582</v>
      </c>
      <c r="K1218" s="322">
        <v>1.52</v>
      </c>
      <c r="L1218" s="322">
        <v>102.08</v>
      </c>
      <c r="M1218" s="322" t="s">
        <v>9</v>
      </c>
      <c r="N1218" s="322" t="s">
        <v>368</v>
      </c>
      <c r="O1218" s="322" t="s">
        <v>8</v>
      </c>
      <c r="P1218" s="322" t="s">
        <v>7</v>
      </c>
      <c r="Q1218" s="322" t="s">
        <v>76</v>
      </c>
      <c r="R1218" s="322" t="s">
        <v>498</v>
      </c>
      <c r="S1218" s="303">
        <f t="shared" si="19"/>
        <v>949525539.60000002</v>
      </c>
      <c r="T1218" s="307">
        <f>+IFERROR(VLOOKUP(C1218,'Tasas Diarias'!$B:$F,5,FALSE)*G1218,0)</f>
        <v>0</v>
      </c>
      <c r="U1218" s="311" t="str">
        <f ca="1">+VLOOKUP(C1218,Spreads!$A$2:$G$345,7,0)</f>
        <v/>
      </c>
    </row>
    <row r="1219" spans="1:21" ht="15.75" hidden="1" customHeight="1" thickTop="1" thickBot="1">
      <c r="A1219" s="327" t="s">
        <v>2137</v>
      </c>
      <c r="B1219" s="328" t="s">
        <v>161</v>
      </c>
      <c r="C1219" s="328" t="s">
        <v>1197</v>
      </c>
      <c r="D1219" s="328" t="s">
        <v>175</v>
      </c>
      <c r="E1219" s="328">
        <v>770880196</v>
      </c>
      <c r="F1219" s="328">
        <v>750000000</v>
      </c>
      <c r="G1219" s="328">
        <v>5.3930000000000002E-3</v>
      </c>
      <c r="H1219" s="329">
        <v>4.5199999999999996</v>
      </c>
      <c r="I1219" s="328" t="s">
        <v>1215</v>
      </c>
      <c r="J1219" s="328">
        <v>955</v>
      </c>
      <c r="K1219" s="353">
        <v>1.53</v>
      </c>
      <c r="L1219" s="328">
        <v>100.84</v>
      </c>
      <c r="M1219" s="328" t="s">
        <v>9</v>
      </c>
      <c r="N1219" s="328" t="s">
        <v>368</v>
      </c>
      <c r="O1219" s="328" t="s">
        <v>8</v>
      </c>
      <c r="P1219" s="328" t="s">
        <v>392</v>
      </c>
      <c r="Q1219" s="328" t="s">
        <v>66</v>
      </c>
      <c r="R1219" s="328" t="s">
        <v>418</v>
      </c>
      <c r="S1219" s="303">
        <f t="shared" ref="S1219:S1282" si="20">+IFERROR(E1219*K1219,0)</f>
        <v>1179446699.8800001</v>
      </c>
      <c r="T1219" s="307">
        <f>+IFERROR(VLOOKUP(C1219,'Tasas Diarias'!$B:$F,5,FALSE)*G1219,0)</f>
        <v>-1.7169796036219495E-6</v>
      </c>
      <c r="U1219" s="311" t="str">
        <f ca="1">+VLOOKUP(C1219,Spreads!$A$2:$G$345,7,0)</f>
        <v/>
      </c>
    </row>
    <row r="1220" spans="1:21" ht="15.75" hidden="1" customHeight="1" thickTop="1" thickBot="1">
      <c r="A1220" s="321" t="s">
        <v>2137</v>
      </c>
      <c r="B1220" s="322" t="s">
        <v>161</v>
      </c>
      <c r="C1220" s="322" t="s">
        <v>831</v>
      </c>
      <c r="D1220" s="322" t="s">
        <v>178</v>
      </c>
      <c r="E1220" s="323">
        <v>751328179</v>
      </c>
      <c r="F1220" s="323">
        <v>27500</v>
      </c>
      <c r="G1220" s="314">
        <v>5.2560000000000003E-3</v>
      </c>
      <c r="H1220" s="324">
        <v>2.2200000000000002</v>
      </c>
      <c r="I1220" s="322" t="s">
        <v>832</v>
      </c>
      <c r="J1220" s="322">
        <v>755</v>
      </c>
      <c r="K1220" s="322">
        <v>1.76</v>
      </c>
      <c r="L1220" s="322">
        <v>101.17</v>
      </c>
      <c r="M1220" s="322" t="s">
        <v>6</v>
      </c>
      <c r="N1220" s="322" t="s">
        <v>368</v>
      </c>
      <c r="O1220" s="322" t="s">
        <v>8</v>
      </c>
      <c r="P1220" s="322" t="s">
        <v>417</v>
      </c>
      <c r="Q1220" s="322" t="s">
        <v>68</v>
      </c>
      <c r="R1220" s="322" t="s">
        <v>812</v>
      </c>
      <c r="S1220" s="303">
        <f t="shared" si="20"/>
        <v>1322337595.04</v>
      </c>
      <c r="T1220" s="307">
        <f>+IFERROR(VLOOKUP(C1220,'Tasas Diarias'!$B:$F,5,FALSE)*G1220,0)</f>
        <v>2.8685286217756066E-6</v>
      </c>
      <c r="U1220" s="311" t="str">
        <f ca="1">+VLOOKUP(C1220,Spreads!$A$2:$G$345,7,0)</f>
        <v/>
      </c>
    </row>
    <row r="1221" spans="1:21" ht="15.75" hidden="1" customHeight="1" thickTop="1" thickBot="1">
      <c r="A1221" s="317" t="s">
        <v>2137</v>
      </c>
      <c r="B1221" s="318" t="s">
        <v>161</v>
      </c>
      <c r="C1221" s="318" t="s">
        <v>1880</v>
      </c>
      <c r="D1221" s="318" t="s">
        <v>808</v>
      </c>
      <c r="E1221" s="319">
        <v>1080774117</v>
      </c>
      <c r="F1221" s="319">
        <v>40000</v>
      </c>
      <c r="G1221" s="314">
        <v>7.561E-3</v>
      </c>
      <c r="H1221" s="320">
        <v>2.52</v>
      </c>
      <c r="I1221" s="318" t="s">
        <v>1881</v>
      </c>
      <c r="J1221" s="318">
        <v>674</v>
      </c>
      <c r="K1221" s="318">
        <v>1.8</v>
      </c>
      <c r="L1221" s="318">
        <v>100.85</v>
      </c>
      <c r="M1221" s="318" t="s">
        <v>6</v>
      </c>
      <c r="N1221" s="318" t="s">
        <v>368</v>
      </c>
      <c r="O1221" s="318" t="s">
        <v>429</v>
      </c>
      <c r="P1221" s="318" t="s">
        <v>1307</v>
      </c>
      <c r="Q1221" s="318" t="s">
        <v>809</v>
      </c>
      <c r="R1221" s="318" t="s">
        <v>810</v>
      </c>
      <c r="S1221" s="303">
        <f t="shared" si="20"/>
        <v>1945393410.6000001</v>
      </c>
      <c r="T1221" s="307">
        <f>+IFERROR(VLOOKUP(C1221,'Tasas Diarias'!$B:$F,5,FALSE)*G1221,0)</f>
        <v>0</v>
      </c>
      <c r="U1221" s="311" t="e">
        <f>+VLOOKUP(C1221,Spreads!$A$2:$G$345,7,0)</f>
        <v>#N/A</v>
      </c>
    </row>
    <row r="1222" spans="1:21" ht="15.75" hidden="1" customHeight="1" thickTop="1" thickBot="1">
      <c r="A1222" s="321" t="s">
        <v>2137</v>
      </c>
      <c r="B1222" s="322" t="s">
        <v>161</v>
      </c>
      <c r="C1222" s="322" t="s">
        <v>820</v>
      </c>
      <c r="D1222" s="322" t="s">
        <v>821</v>
      </c>
      <c r="E1222" s="323">
        <v>167603624</v>
      </c>
      <c r="F1222" s="323">
        <v>10500</v>
      </c>
      <c r="G1222" s="314">
        <v>1.1720000000000001E-3</v>
      </c>
      <c r="H1222" s="324">
        <v>2.62</v>
      </c>
      <c r="I1222" s="322" t="s">
        <v>486</v>
      </c>
      <c r="J1222" s="322">
        <v>1228</v>
      </c>
      <c r="K1222" s="322">
        <v>1.8</v>
      </c>
      <c r="L1222" s="322">
        <v>102.07</v>
      </c>
      <c r="M1222" s="322" t="s">
        <v>6</v>
      </c>
      <c r="N1222" s="322" t="s">
        <v>368</v>
      </c>
      <c r="O1222" s="322" t="s">
        <v>8</v>
      </c>
      <c r="P1222" s="322" t="s">
        <v>417</v>
      </c>
      <c r="Q1222" s="322" t="s">
        <v>822</v>
      </c>
      <c r="R1222" s="322" t="s">
        <v>823</v>
      </c>
      <c r="S1222" s="303">
        <f t="shared" si="20"/>
        <v>301686523.19999999</v>
      </c>
      <c r="T1222" s="307">
        <f>+IFERROR(VLOOKUP(C1222,'Tasas Diarias'!$B:$F,5,FALSE)*G1222,0)</f>
        <v>6.5285252258813951E-7</v>
      </c>
      <c r="U1222" s="311" t="str">
        <f ca="1">+VLOOKUP(C1222,Spreads!$A$2:$G$345,7,0)</f>
        <v/>
      </c>
    </row>
    <row r="1223" spans="1:21" ht="15.75" hidden="1" customHeight="1" thickTop="1" thickBot="1">
      <c r="A1223" s="321" t="s">
        <v>2137</v>
      </c>
      <c r="B1223" s="322" t="s">
        <v>161</v>
      </c>
      <c r="C1223" s="322" t="s">
        <v>489</v>
      </c>
      <c r="D1223" s="322" t="s">
        <v>12</v>
      </c>
      <c r="E1223" s="323">
        <v>494024503</v>
      </c>
      <c r="F1223" s="323">
        <v>30000</v>
      </c>
      <c r="G1223" s="314">
        <v>3.4559999999999999E-3</v>
      </c>
      <c r="H1223" s="324">
        <v>1.79</v>
      </c>
      <c r="I1223" s="322" t="s">
        <v>490</v>
      </c>
      <c r="J1223" s="322">
        <v>1318</v>
      </c>
      <c r="K1223" s="322">
        <v>2.09</v>
      </c>
      <c r="L1223" s="322">
        <v>102.38</v>
      </c>
      <c r="M1223" s="322" t="s">
        <v>6</v>
      </c>
      <c r="N1223" s="322" t="s">
        <v>368</v>
      </c>
      <c r="O1223" s="322" t="s">
        <v>1349</v>
      </c>
      <c r="P1223" s="322" t="s">
        <v>379</v>
      </c>
      <c r="Q1223" s="322" t="s">
        <v>328</v>
      </c>
      <c r="R1223" s="322" t="s">
        <v>491</v>
      </c>
      <c r="S1223" s="303">
        <f t="shared" si="20"/>
        <v>1032511211.27</v>
      </c>
      <c r="T1223" s="307">
        <f>+IFERROR(VLOOKUP(C1223,'Tasas Diarias'!$B:$F,5,FALSE)*G1223,0)</f>
        <v>1.480175947522139E-6</v>
      </c>
      <c r="U1223" s="311" t="str">
        <f ca="1">+VLOOKUP(C1223,Spreads!$A$2:$G$345,7,0)</f>
        <v/>
      </c>
    </row>
    <row r="1224" spans="1:21" ht="15.75" hidden="1" customHeight="1" thickTop="1" thickBot="1">
      <c r="A1224" s="317" t="s">
        <v>2137</v>
      </c>
      <c r="B1224" s="318" t="s">
        <v>161</v>
      </c>
      <c r="C1224" s="318" t="s">
        <v>496</v>
      </c>
      <c r="D1224" s="318" t="s">
        <v>38</v>
      </c>
      <c r="E1224" s="319">
        <v>412365830</v>
      </c>
      <c r="F1224" s="319">
        <v>400000000</v>
      </c>
      <c r="G1224" s="314">
        <v>2.8839999999999998E-3</v>
      </c>
      <c r="H1224" s="320">
        <v>4.2</v>
      </c>
      <c r="I1224" s="318" t="s">
        <v>497</v>
      </c>
      <c r="J1224" s="318">
        <v>863</v>
      </c>
      <c r="K1224" s="318">
        <v>2.2400000000000002</v>
      </c>
      <c r="L1224" s="318">
        <v>102.38</v>
      </c>
      <c r="M1224" s="318" t="s">
        <v>9</v>
      </c>
      <c r="N1224" s="318" t="s">
        <v>368</v>
      </c>
      <c r="O1224" s="318" t="s">
        <v>8</v>
      </c>
      <c r="P1224" s="318" t="s">
        <v>7</v>
      </c>
      <c r="Q1224" s="318" t="s">
        <v>76</v>
      </c>
      <c r="R1224" s="318" t="s">
        <v>498</v>
      </c>
      <c r="S1224" s="303">
        <f t="shared" si="20"/>
        <v>923699459.20000005</v>
      </c>
      <c r="T1224" s="307">
        <f>+IFERROR(VLOOKUP(C1224,'Tasas Diarias'!$B:$F,5,FALSE)*G1224,0)</f>
        <v>-6.6311536776302433E-7</v>
      </c>
      <c r="U1224" s="311" t="str">
        <f ca="1">+VLOOKUP(C1224,Spreads!$A$2:$G$345,7,0)</f>
        <v/>
      </c>
    </row>
    <row r="1225" spans="1:21" ht="15.75" hidden="1" customHeight="1" thickTop="1" thickBot="1">
      <c r="A1225" s="327" t="s">
        <v>2137</v>
      </c>
      <c r="B1225" s="328" t="s">
        <v>161</v>
      </c>
      <c r="C1225" s="328" t="s">
        <v>833</v>
      </c>
      <c r="D1225" s="328" t="s">
        <v>834</v>
      </c>
      <c r="E1225" s="328">
        <v>343503426</v>
      </c>
      <c r="F1225" s="328">
        <v>500000</v>
      </c>
      <c r="G1225" s="328">
        <v>2.4030000000000002E-3</v>
      </c>
      <c r="H1225" s="329">
        <v>0</v>
      </c>
      <c r="I1225" s="328" t="s">
        <v>835</v>
      </c>
      <c r="J1225" s="328">
        <v>932</v>
      </c>
      <c r="K1225" s="328">
        <v>2.31</v>
      </c>
      <c r="L1225" s="328">
        <v>105.96339999999999</v>
      </c>
      <c r="M1225" s="328" t="s">
        <v>369</v>
      </c>
      <c r="N1225" s="328" t="s">
        <v>368</v>
      </c>
      <c r="O1225" s="328" t="s">
        <v>461</v>
      </c>
      <c r="P1225" s="328" t="s">
        <v>109</v>
      </c>
      <c r="Q1225" s="328" t="s">
        <v>836</v>
      </c>
      <c r="R1225" s="328" t="s">
        <v>837</v>
      </c>
      <c r="S1225" s="303">
        <f t="shared" si="20"/>
        <v>793492914.06000006</v>
      </c>
      <c r="T1225" s="307">
        <f>+IFERROR(VLOOKUP(C1225,'Tasas Diarias'!$B:$F,5,FALSE)*G1225,0)</f>
        <v>0</v>
      </c>
      <c r="U1225" s="311" t="e">
        <f>+VLOOKUP(C1225,Spreads!$A$2:$G$345,7,0)</f>
        <v>#N/A</v>
      </c>
    </row>
    <row r="1226" spans="1:21" ht="15.75" hidden="1" customHeight="1" thickTop="1" thickBot="1">
      <c r="A1226" s="327" t="s">
        <v>2137</v>
      </c>
      <c r="B1226" s="328" t="s">
        <v>161</v>
      </c>
      <c r="C1226" s="328" t="s">
        <v>500</v>
      </c>
      <c r="D1226" s="328" t="s">
        <v>11</v>
      </c>
      <c r="E1226" s="328">
        <v>835813148</v>
      </c>
      <c r="F1226" s="328">
        <v>30000</v>
      </c>
      <c r="G1226" s="332">
        <v>5.8469999999999998E-3</v>
      </c>
      <c r="H1226" s="329">
        <v>1.71</v>
      </c>
      <c r="I1226" s="328" t="s">
        <v>501</v>
      </c>
      <c r="J1226" s="328">
        <v>954</v>
      </c>
      <c r="K1226" s="328">
        <v>2.5099999999999998</v>
      </c>
      <c r="L1226" s="328">
        <v>103.26</v>
      </c>
      <c r="M1226" s="328" t="s">
        <v>6</v>
      </c>
      <c r="N1226" s="328" t="s">
        <v>368</v>
      </c>
      <c r="O1226" s="328" t="s">
        <v>8</v>
      </c>
      <c r="P1226" s="328" t="s">
        <v>7</v>
      </c>
      <c r="Q1226" s="328" t="s">
        <v>326</v>
      </c>
      <c r="R1226" s="328" t="s">
        <v>404</v>
      </c>
      <c r="S1226" s="303">
        <f t="shared" si="20"/>
        <v>2097891001.4799998</v>
      </c>
      <c r="T1226" s="307">
        <f>+IFERROR(VLOOKUP(C1226,'Tasas Diarias'!$B:$F,5,FALSE)*G1226,0)</f>
        <v>1.1995493435526721E-5</v>
      </c>
      <c r="U1226" s="311" t="str">
        <f ca="1">+VLOOKUP(C1226,Spreads!$A$2:$G$345,7,0)</f>
        <v/>
      </c>
    </row>
    <row r="1227" spans="1:21" ht="15.75" hidden="1" customHeight="1" thickTop="1" thickBot="1">
      <c r="A1227" s="321" t="s">
        <v>2137</v>
      </c>
      <c r="B1227" s="322" t="s">
        <v>161</v>
      </c>
      <c r="C1227" s="322" t="s">
        <v>1033</v>
      </c>
      <c r="D1227" s="322" t="s">
        <v>178</v>
      </c>
      <c r="E1227" s="323">
        <v>1344249185</v>
      </c>
      <c r="F1227" s="323">
        <v>50000</v>
      </c>
      <c r="G1227" s="314">
        <v>9.4039999999999992E-3</v>
      </c>
      <c r="H1227" s="324">
        <v>2.48</v>
      </c>
      <c r="I1227" s="322" t="s">
        <v>503</v>
      </c>
      <c r="J1227" s="322">
        <v>985</v>
      </c>
      <c r="K1227" s="322">
        <v>2.61</v>
      </c>
      <c r="L1227" s="322">
        <v>100.05</v>
      </c>
      <c r="M1227" s="322" t="s">
        <v>6</v>
      </c>
      <c r="N1227" s="322" t="s">
        <v>368</v>
      </c>
      <c r="O1227" s="322" t="s">
        <v>8</v>
      </c>
      <c r="P1227" s="322" t="s">
        <v>417</v>
      </c>
      <c r="Q1227" s="322" t="s">
        <v>68</v>
      </c>
      <c r="R1227" s="322" t="s">
        <v>812</v>
      </c>
      <c r="S1227" s="303">
        <f t="shared" si="20"/>
        <v>3508490372.8499999</v>
      </c>
      <c r="T1227" s="307">
        <f>+IFERROR(VLOOKUP(C1227,'Tasas Diarias'!$B:$F,5,FALSE)*G1227,0)</f>
        <v>-2.506229397638197E-6</v>
      </c>
      <c r="U1227" s="311" t="str">
        <f ca="1">+VLOOKUP(C1227,Spreads!$A$2:$G$345,7,0)</f>
        <v/>
      </c>
    </row>
    <row r="1228" spans="1:21" ht="15.75" hidden="1" customHeight="1" thickTop="1" thickBot="1">
      <c r="A1228" s="317" t="s">
        <v>2137</v>
      </c>
      <c r="B1228" s="318" t="s">
        <v>161</v>
      </c>
      <c r="C1228" s="318" t="s">
        <v>614</v>
      </c>
      <c r="D1228" s="318" t="s">
        <v>30</v>
      </c>
      <c r="E1228" s="319">
        <v>2039523333</v>
      </c>
      <c r="F1228" s="319">
        <v>2000000000</v>
      </c>
      <c r="G1228" s="314">
        <v>1.4267999999999999E-2</v>
      </c>
      <c r="H1228" s="320">
        <v>0</v>
      </c>
      <c r="I1228" s="318" t="s">
        <v>615</v>
      </c>
      <c r="J1228" s="318">
        <v>1037</v>
      </c>
      <c r="K1228" s="318">
        <v>2.61</v>
      </c>
      <c r="L1228" s="318">
        <v>100.947</v>
      </c>
      <c r="M1228" s="318" t="s">
        <v>9</v>
      </c>
      <c r="N1228" s="318" t="s">
        <v>368</v>
      </c>
      <c r="O1228" s="318" t="s">
        <v>8</v>
      </c>
      <c r="P1228" s="318" t="s">
        <v>379</v>
      </c>
      <c r="Q1228" s="318" t="s">
        <v>61</v>
      </c>
      <c r="R1228" s="318" t="s">
        <v>394</v>
      </c>
      <c r="S1228" s="303">
        <f t="shared" si="20"/>
        <v>5323155899.1300001</v>
      </c>
      <c r="T1228" s="307">
        <f>+IFERROR(VLOOKUP(C1228,'Tasas Diarias'!$B:$F,5,FALSE)*G1228,0)</f>
        <v>0</v>
      </c>
      <c r="U1228" s="311" t="e">
        <f>+VLOOKUP(C1228,Spreads!$A$2:$G$345,7,0)</f>
        <v>#N/A</v>
      </c>
    </row>
    <row r="1229" spans="1:21" ht="15.75" hidden="1" customHeight="1" thickTop="1" thickBot="1">
      <c r="A1229" s="321" t="s">
        <v>2137</v>
      </c>
      <c r="B1229" s="322" t="s">
        <v>161</v>
      </c>
      <c r="C1229" s="322" t="s">
        <v>1489</v>
      </c>
      <c r="D1229" s="322" t="s">
        <v>39</v>
      </c>
      <c r="E1229" s="323">
        <v>1692766634</v>
      </c>
      <c r="F1229" s="323">
        <v>61000</v>
      </c>
      <c r="G1229" s="314">
        <v>1.1842E-2</v>
      </c>
      <c r="H1229" s="324">
        <v>3.04</v>
      </c>
      <c r="I1229" s="322" t="s">
        <v>1490</v>
      </c>
      <c r="J1229" s="322">
        <v>1507</v>
      </c>
      <c r="K1229" s="322">
        <v>2.7</v>
      </c>
      <c r="L1229" s="322">
        <v>102.52</v>
      </c>
      <c r="M1229" s="322" t="s">
        <v>6</v>
      </c>
      <c r="N1229" s="322" t="s">
        <v>368</v>
      </c>
      <c r="O1229" s="322" t="s">
        <v>8</v>
      </c>
      <c r="P1229" s="322" t="s">
        <v>801</v>
      </c>
      <c r="Q1229" s="322" t="s">
        <v>69</v>
      </c>
      <c r="R1229" s="322" t="s">
        <v>1491</v>
      </c>
      <c r="S1229" s="303">
        <f t="shared" si="20"/>
        <v>4570469911.8000002</v>
      </c>
      <c r="T1229" s="307">
        <f>+IFERROR(VLOOKUP(C1229,'Tasas Diarias'!$B:$F,5,FALSE)*G1229,0)</f>
        <v>0</v>
      </c>
      <c r="U1229" s="311" t="e">
        <f>+VLOOKUP(C1229,Spreads!$A$2:$G$345,7,0)</f>
        <v>#N/A</v>
      </c>
    </row>
    <row r="1230" spans="1:21" ht="15.75" hidden="1" customHeight="1" thickTop="1" thickBot="1">
      <c r="A1230" s="321" t="s">
        <v>2137</v>
      </c>
      <c r="B1230" s="322" t="s">
        <v>161</v>
      </c>
      <c r="C1230" s="322" t="s">
        <v>1216</v>
      </c>
      <c r="D1230" s="322" t="s">
        <v>175</v>
      </c>
      <c r="E1230" s="323">
        <v>859661166</v>
      </c>
      <c r="F1230" s="323">
        <v>30000</v>
      </c>
      <c r="G1230" s="314">
        <v>6.0140000000000002E-3</v>
      </c>
      <c r="H1230" s="324">
        <v>2.06</v>
      </c>
      <c r="I1230" s="322" t="s">
        <v>1217</v>
      </c>
      <c r="J1230" s="322">
        <v>1107</v>
      </c>
      <c r="K1230" s="322">
        <v>2.84</v>
      </c>
      <c r="L1230" s="322">
        <v>105.48</v>
      </c>
      <c r="M1230" s="322" t="s">
        <v>6</v>
      </c>
      <c r="N1230" s="322" t="s">
        <v>368</v>
      </c>
      <c r="O1230" s="322" t="s">
        <v>8</v>
      </c>
      <c r="P1230" s="322" t="s">
        <v>392</v>
      </c>
      <c r="Q1230" s="322" t="s">
        <v>66</v>
      </c>
      <c r="R1230" s="322" t="s">
        <v>418</v>
      </c>
      <c r="S1230" s="303">
        <f t="shared" si="20"/>
        <v>2441437711.4400001</v>
      </c>
      <c r="T1230" s="307">
        <f>+IFERROR(VLOOKUP(C1230,'Tasas Diarias'!$B:$F,5,FALSE)*G1230,0)</f>
        <v>-1.7435119444363395E-6</v>
      </c>
      <c r="U1230" s="311" t="str">
        <f ca="1">+VLOOKUP(C1230,Spreads!$A$2:$G$345,7,0)</f>
        <v/>
      </c>
    </row>
    <row r="1231" spans="1:21" ht="15.75" hidden="1" customHeight="1" thickTop="1" thickBot="1">
      <c r="A1231" s="317" t="s">
        <v>2137</v>
      </c>
      <c r="B1231" s="318" t="s">
        <v>161</v>
      </c>
      <c r="C1231" s="318" t="s">
        <v>838</v>
      </c>
      <c r="D1231" s="318" t="s">
        <v>839</v>
      </c>
      <c r="E1231" s="319">
        <v>3347091768</v>
      </c>
      <c r="F1231" s="319">
        <v>168000</v>
      </c>
      <c r="G1231" s="314">
        <v>2.3415999999999999E-2</v>
      </c>
      <c r="H1231" s="320">
        <v>3.4</v>
      </c>
      <c r="I1231" s="318" t="s">
        <v>840</v>
      </c>
      <c r="J1231" s="318">
        <v>1451</v>
      </c>
      <c r="K1231" s="318">
        <v>2.87</v>
      </c>
      <c r="L1231" s="318">
        <v>107.03</v>
      </c>
      <c r="M1231" s="318" t="s">
        <v>6</v>
      </c>
      <c r="N1231" s="318" t="s">
        <v>368</v>
      </c>
      <c r="O1231" s="318" t="s">
        <v>1440</v>
      </c>
      <c r="P1231" s="318" t="s">
        <v>801</v>
      </c>
      <c r="Q1231" s="318" t="s">
        <v>841</v>
      </c>
      <c r="R1231" s="318" t="s">
        <v>842</v>
      </c>
      <c r="S1231" s="303">
        <f t="shared" si="20"/>
        <v>9606153374.1599998</v>
      </c>
      <c r="T1231" s="307">
        <f>+IFERROR(VLOOKUP(C1231,'Tasas Diarias'!$B:$F,5,FALSE)*G1231,0)</f>
        <v>0</v>
      </c>
      <c r="U1231" s="311" t="str">
        <f ca="1">+VLOOKUP(C1231,Spreads!$A$2:$G$345,7,0)</f>
        <v/>
      </c>
    </row>
    <row r="1232" spans="1:21" ht="15.75" hidden="1" customHeight="1" thickTop="1" thickBot="1">
      <c r="A1232" s="317" t="s">
        <v>2137</v>
      </c>
      <c r="B1232" s="318" t="s">
        <v>161</v>
      </c>
      <c r="C1232" s="318" t="s">
        <v>847</v>
      </c>
      <c r="D1232" s="318" t="s">
        <v>1548</v>
      </c>
      <c r="E1232" s="319">
        <v>137363413</v>
      </c>
      <c r="F1232" s="319">
        <v>5000</v>
      </c>
      <c r="G1232" s="314">
        <v>9.6100000000000005E-4</v>
      </c>
      <c r="H1232" s="320">
        <v>4.3899999999999997</v>
      </c>
      <c r="I1232" s="318" t="s">
        <v>1549</v>
      </c>
      <c r="J1232" s="318">
        <v>2404</v>
      </c>
      <c r="K1232" s="318">
        <v>3</v>
      </c>
      <c r="L1232" s="318">
        <v>101.03</v>
      </c>
      <c r="M1232" s="318" t="s">
        <v>6</v>
      </c>
      <c r="N1232" s="318" t="s">
        <v>368</v>
      </c>
      <c r="O1232" s="318" t="s">
        <v>1513</v>
      </c>
      <c r="P1232" s="318" t="s">
        <v>802</v>
      </c>
      <c r="Q1232" s="318" t="s">
        <v>1550</v>
      </c>
      <c r="R1232" s="318" t="s">
        <v>1551</v>
      </c>
      <c r="S1232" s="303">
        <f t="shared" si="20"/>
        <v>412090239</v>
      </c>
      <c r="T1232" s="307">
        <f>+IFERROR(VLOOKUP(C1232,'Tasas Diarias'!$B:$F,5,FALSE)*G1232,0)</f>
        <v>2.9266120074251404E-7</v>
      </c>
      <c r="U1232" s="311" t="str">
        <f ca="1">+VLOOKUP(C1232,Spreads!$A$2:$G$345,7,0)</f>
        <v/>
      </c>
    </row>
    <row r="1233" spans="1:21" ht="15.75" hidden="1" customHeight="1" thickTop="1" thickBot="1">
      <c r="A1233" s="321" t="s">
        <v>2137</v>
      </c>
      <c r="B1233" s="322" t="s">
        <v>161</v>
      </c>
      <c r="C1233" s="322" t="s">
        <v>630</v>
      </c>
      <c r="D1233" s="322" t="s">
        <v>631</v>
      </c>
      <c r="E1233" s="323">
        <v>1166860544</v>
      </c>
      <c r="F1233" s="323">
        <v>1135000000</v>
      </c>
      <c r="G1233" s="314">
        <v>8.1630000000000001E-3</v>
      </c>
      <c r="H1233" s="322">
        <v>5.48</v>
      </c>
      <c r="I1233" s="322" t="s">
        <v>632</v>
      </c>
      <c r="J1233" s="322">
        <v>1562</v>
      </c>
      <c r="K1233" s="322">
        <v>3.07</v>
      </c>
      <c r="L1233" s="322">
        <v>101.52</v>
      </c>
      <c r="M1233" s="322" t="s">
        <v>9</v>
      </c>
      <c r="N1233" s="322" t="s">
        <v>368</v>
      </c>
      <c r="O1233" s="322" t="s">
        <v>8</v>
      </c>
      <c r="P1233" s="322" t="s">
        <v>7</v>
      </c>
      <c r="Q1233" s="322" t="s">
        <v>633</v>
      </c>
      <c r="R1233" s="322" t="s">
        <v>634</v>
      </c>
      <c r="S1233" s="303">
        <f t="shared" si="20"/>
        <v>3582261870.0799999</v>
      </c>
      <c r="T1233" s="307">
        <f>+IFERROR(VLOOKUP(C1233,'Tasas Diarias'!$B:$F,5,FALSE)*G1233,0)</f>
        <v>-2.5532248206817936E-6</v>
      </c>
      <c r="U1233" s="311" t="str">
        <f ca="1">+VLOOKUP(C1233,Spreads!$A$2:$G$345,7,0)</f>
        <v/>
      </c>
    </row>
    <row r="1234" spans="1:21" ht="15.75" hidden="1" customHeight="1" thickTop="1" thickBot="1">
      <c r="A1234" s="321" t="s">
        <v>2137</v>
      </c>
      <c r="B1234" s="322" t="s">
        <v>161</v>
      </c>
      <c r="C1234" s="322" t="s">
        <v>1469</v>
      </c>
      <c r="D1234" s="322" t="s">
        <v>808</v>
      </c>
      <c r="E1234" s="323">
        <v>1909890697</v>
      </c>
      <c r="F1234" s="323">
        <v>69000</v>
      </c>
      <c r="G1234" s="314">
        <v>1.3361E-2</v>
      </c>
      <c r="H1234" s="324">
        <v>3.49</v>
      </c>
      <c r="I1234" s="322" t="s">
        <v>1470</v>
      </c>
      <c r="J1234" s="322">
        <v>1221</v>
      </c>
      <c r="K1234" s="322">
        <v>3.13</v>
      </c>
      <c r="L1234" s="322">
        <v>103.09</v>
      </c>
      <c r="M1234" s="322" t="s">
        <v>6</v>
      </c>
      <c r="N1234" s="322" t="s">
        <v>368</v>
      </c>
      <c r="O1234" s="322" t="s">
        <v>429</v>
      </c>
      <c r="P1234" s="322" t="s">
        <v>1307</v>
      </c>
      <c r="Q1234" s="322" t="s">
        <v>809</v>
      </c>
      <c r="R1234" s="322" t="s">
        <v>810</v>
      </c>
      <c r="S1234" s="303">
        <f t="shared" si="20"/>
        <v>5977957881.6099997</v>
      </c>
      <c r="T1234" s="307">
        <f>+IFERROR(VLOOKUP(C1234,'Tasas Diarias'!$B:$F,5,FALSE)*G1234,0)</f>
        <v>0</v>
      </c>
      <c r="U1234" s="311" t="e">
        <f>+VLOOKUP(C1234,Spreads!$A$2:$G$345,7,0)</f>
        <v>#N/A</v>
      </c>
    </row>
    <row r="1235" spans="1:21" ht="15.75" hidden="1" customHeight="1" thickTop="1" thickBot="1">
      <c r="A1235" s="327" t="s">
        <v>2137</v>
      </c>
      <c r="B1235" s="328" t="s">
        <v>161</v>
      </c>
      <c r="C1235" s="328" t="s">
        <v>1471</v>
      </c>
      <c r="D1235" s="328" t="s">
        <v>808</v>
      </c>
      <c r="E1235" s="328">
        <v>2006769211</v>
      </c>
      <c r="F1235" s="328">
        <v>72500</v>
      </c>
      <c r="G1235" s="328">
        <v>1.4038999999999999E-2</v>
      </c>
      <c r="H1235" s="329">
        <v>3.49</v>
      </c>
      <c r="I1235" s="328" t="s">
        <v>1470</v>
      </c>
      <c r="J1235" s="328">
        <v>1221</v>
      </c>
      <c r="K1235" s="328">
        <v>3.13</v>
      </c>
      <c r="L1235" s="328">
        <v>103.09</v>
      </c>
      <c r="M1235" s="328" t="s">
        <v>6</v>
      </c>
      <c r="N1235" s="328" t="s">
        <v>368</v>
      </c>
      <c r="O1235" s="328" t="s">
        <v>429</v>
      </c>
      <c r="P1235" s="328" t="s">
        <v>1307</v>
      </c>
      <c r="Q1235" s="328" t="s">
        <v>809</v>
      </c>
      <c r="R1235" s="328" t="s">
        <v>810</v>
      </c>
      <c r="S1235" s="303">
        <f t="shared" si="20"/>
        <v>6281187630.4299994</v>
      </c>
      <c r="T1235" s="307">
        <f>+IFERROR(VLOOKUP(C1235,'Tasas Diarias'!$B:$F,5,FALSE)*G1235,0)</f>
        <v>0</v>
      </c>
      <c r="U1235" s="311" t="e">
        <f>+VLOOKUP(C1235,Spreads!$A$2:$G$345,7,0)</f>
        <v>#N/A</v>
      </c>
    </row>
    <row r="1236" spans="1:21" ht="15.75" hidden="1" customHeight="1" thickTop="1" thickBot="1">
      <c r="A1236" s="321" t="s">
        <v>2137</v>
      </c>
      <c r="B1236" s="322" t="s">
        <v>161</v>
      </c>
      <c r="C1236" s="322" t="s">
        <v>159</v>
      </c>
      <c r="D1236" s="322" t="s">
        <v>116</v>
      </c>
      <c r="E1236" s="323">
        <v>810874331</v>
      </c>
      <c r="F1236" s="323">
        <v>30000</v>
      </c>
      <c r="G1236" s="314">
        <v>5.672E-3</v>
      </c>
      <c r="H1236" s="324">
        <v>1.19</v>
      </c>
      <c r="I1236" s="322" t="s">
        <v>507</v>
      </c>
      <c r="J1236" s="322">
        <v>1197</v>
      </c>
      <c r="K1236" s="322">
        <v>3.2</v>
      </c>
      <c r="L1236" s="322">
        <v>101</v>
      </c>
      <c r="M1236" s="322" t="s">
        <v>6</v>
      </c>
      <c r="N1236" s="322" t="s">
        <v>458</v>
      </c>
      <c r="O1236" s="322" t="s">
        <v>378</v>
      </c>
      <c r="P1236" s="322" t="s">
        <v>379</v>
      </c>
      <c r="Q1236" s="322" t="s">
        <v>2139</v>
      </c>
      <c r="R1236" s="322" t="s">
        <v>508</v>
      </c>
      <c r="S1236" s="303">
        <f t="shared" si="20"/>
        <v>2594797859.2000003</v>
      </c>
      <c r="T1236" s="307">
        <f>+IFERROR(VLOOKUP(C1236,'Tasas Diarias'!$B:$F,5,FALSE)*G1236,0)</f>
        <v>0</v>
      </c>
      <c r="U1236" s="311" t="str">
        <f>+VLOOKUP(C1236,Spreads!$A$2:$G$345,7,0)</f>
        <v/>
      </c>
    </row>
    <row r="1237" spans="1:21" ht="15.75" hidden="1" customHeight="1" thickTop="1" thickBot="1">
      <c r="A1237" s="317" t="s">
        <v>2137</v>
      </c>
      <c r="B1237" s="318" t="s">
        <v>161</v>
      </c>
      <c r="C1237" s="318" t="s">
        <v>850</v>
      </c>
      <c r="D1237" s="318" t="s">
        <v>851</v>
      </c>
      <c r="E1237" s="319">
        <v>1191663167</v>
      </c>
      <c r="F1237" s="319">
        <v>40000</v>
      </c>
      <c r="G1237" s="314">
        <v>8.3359999999999997E-3</v>
      </c>
      <c r="H1237" s="320">
        <v>3.42</v>
      </c>
      <c r="I1237" s="318" t="s">
        <v>644</v>
      </c>
      <c r="J1237" s="318">
        <v>1319</v>
      </c>
      <c r="K1237" s="318">
        <v>3.24</v>
      </c>
      <c r="L1237" s="318">
        <v>109.1</v>
      </c>
      <c r="M1237" s="318" t="s">
        <v>6</v>
      </c>
      <c r="N1237" s="318" t="s">
        <v>368</v>
      </c>
      <c r="O1237" s="318" t="s">
        <v>421</v>
      </c>
      <c r="P1237" s="318" t="s">
        <v>417</v>
      </c>
      <c r="Q1237" s="318" t="s">
        <v>851</v>
      </c>
      <c r="R1237" s="318" t="s">
        <v>852</v>
      </c>
      <c r="S1237" s="303">
        <f t="shared" si="20"/>
        <v>3860988661.0800004</v>
      </c>
      <c r="T1237" s="307">
        <f>+IFERROR(VLOOKUP(C1237,'Tasas Diarias'!$B:$F,5,FALSE)*G1237,0)</f>
        <v>0</v>
      </c>
      <c r="U1237" s="311" t="str">
        <f ca="1">+VLOOKUP(C1237,Spreads!$A$2:$G$345,7,0)</f>
        <v/>
      </c>
    </row>
    <row r="1238" spans="1:21" ht="15.75" hidden="1" customHeight="1" thickTop="1" thickBot="1">
      <c r="A1238" s="317" t="s">
        <v>2137</v>
      </c>
      <c r="B1238" s="318" t="s">
        <v>161</v>
      </c>
      <c r="C1238" s="318" t="s">
        <v>1836</v>
      </c>
      <c r="D1238" s="318" t="s">
        <v>178</v>
      </c>
      <c r="E1238" s="319">
        <v>1663073290</v>
      </c>
      <c r="F1238" s="319">
        <v>60000</v>
      </c>
      <c r="G1238" s="314">
        <v>1.1634E-2</v>
      </c>
      <c r="H1238" s="320">
        <v>2.4500000000000002</v>
      </c>
      <c r="I1238" s="318" t="s">
        <v>1837</v>
      </c>
      <c r="J1238" s="318">
        <v>1323</v>
      </c>
      <c r="K1238" s="318">
        <v>3.41</v>
      </c>
      <c r="L1238" s="318">
        <v>102.68</v>
      </c>
      <c r="M1238" s="318" t="s">
        <v>6</v>
      </c>
      <c r="N1238" s="318" t="s">
        <v>368</v>
      </c>
      <c r="O1238" s="318" t="s">
        <v>8</v>
      </c>
      <c r="P1238" s="318" t="s">
        <v>417</v>
      </c>
      <c r="Q1238" s="318" t="s">
        <v>68</v>
      </c>
      <c r="R1238" s="318" t="s">
        <v>812</v>
      </c>
      <c r="S1238" s="303">
        <f t="shared" si="20"/>
        <v>5671079918.9000006</v>
      </c>
      <c r="T1238" s="307">
        <f>+IFERROR(VLOOKUP(C1238,'Tasas Diarias'!$B:$F,5,FALSE)*G1238,0)</f>
        <v>0</v>
      </c>
      <c r="U1238" s="311" t="e">
        <f>+VLOOKUP(C1238,Spreads!$A$2:$G$345,7,0)</f>
        <v>#N/A</v>
      </c>
    </row>
    <row r="1239" spans="1:21" ht="15.75" hidden="1" customHeight="1" thickTop="1" thickBot="1">
      <c r="A1239" s="321" t="s">
        <v>2137</v>
      </c>
      <c r="B1239" s="322" t="s">
        <v>161</v>
      </c>
      <c r="C1239" s="322" t="s">
        <v>1019</v>
      </c>
      <c r="D1239" s="322" t="s">
        <v>851</v>
      </c>
      <c r="E1239" s="323">
        <v>2056022716</v>
      </c>
      <c r="F1239" s="323">
        <v>69000</v>
      </c>
      <c r="G1239" s="314">
        <v>1.4383999999999999E-2</v>
      </c>
      <c r="H1239" s="324">
        <v>3.24</v>
      </c>
      <c r="I1239" s="322" t="s">
        <v>656</v>
      </c>
      <c r="J1239" s="322">
        <v>1381</v>
      </c>
      <c r="K1239" s="322">
        <v>3.41</v>
      </c>
      <c r="L1239" s="322">
        <v>110.25</v>
      </c>
      <c r="M1239" s="322" t="s">
        <v>6</v>
      </c>
      <c r="N1239" s="322" t="s">
        <v>368</v>
      </c>
      <c r="O1239" s="322" t="s">
        <v>421</v>
      </c>
      <c r="P1239" s="322" t="s">
        <v>417</v>
      </c>
      <c r="Q1239" s="322" t="s">
        <v>851</v>
      </c>
      <c r="R1239" s="322" t="s">
        <v>852</v>
      </c>
      <c r="S1239" s="303">
        <f t="shared" si="20"/>
        <v>7011037461.5600004</v>
      </c>
      <c r="T1239" s="307">
        <f>+IFERROR(VLOOKUP(C1239,'Tasas Diarias'!$B:$F,5,FALSE)*G1239,0)</f>
        <v>-4.9885819856886219E-6</v>
      </c>
      <c r="U1239" s="311" t="str">
        <f ca="1">+VLOOKUP(C1239,Spreads!$A$2:$G$345,7,0)</f>
        <v/>
      </c>
    </row>
    <row r="1240" spans="1:21" ht="15.75" hidden="1" customHeight="1" thickTop="1" thickBot="1">
      <c r="A1240" s="327" t="s">
        <v>2137</v>
      </c>
      <c r="B1240" s="328" t="s">
        <v>161</v>
      </c>
      <c r="C1240" s="328" t="s">
        <v>650</v>
      </c>
      <c r="D1240" s="328" t="s">
        <v>651</v>
      </c>
      <c r="E1240" s="328">
        <v>1468157216</v>
      </c>
      <c r="F1240" s="328">
        <v>54000</v>
      </c>
      <c r="G1240" s="328">
        <v>1.0271000000000001E-2</v>
      </c>
      <c r="H1240" s="329">
        <v>1.97</v>
      </c>
      <c r="I1240" s="328" t="s">
        <v>652</v>
      </c>
      <c r="J1240" s="328">
        <v>1333</v>
      </c>
      <c r="K1240" s="328">
        <v>3.5</v>
      </c>
      <c r="L1240" s="328">
        <v>101.13</v>
      </c>
      <c r="M1240" s="328" t="s">
        <v>6</v>
      </c>
      <c r="N1240" s="328" t="s">
        <v>368</v>
      </c>
      <c r="O1240" s="328" t="s">
        <v>1349</v>
      </c>
      <c r="P1240" s="328" t="s">
        <v>392</v>
      </c>
      <c r="Q1240" s="328" t="s">
        <v>653</v>
      </c>
      <c r="R1240" s="328" t="s">
        <v>654</v>
      </c>
      <c r="S1240" s="303">
        <f t="shared" si="20"/>
        <v>5138550256</v>
      </c>
      <c r="T1240" s="307">
        <f>+IFERROR(VLOOKUP(C1240,'Tasas Diarias'!$B:$F,5,FALSE)*G1240,0)</f>
        <v>0</v>
      </c>
      <c r="U1240" s="311" t="e">
        <f>+VLOOKUP(C1240,Spreads!$A$2:$G$345,7,0)</f>
        <v>#N/A</v>
      </c>
    </row>
    <row r="1241" spans="1:21" ht="15.75" hidden="1" customHeight="1" thickTop="1" thickBot="1">
      <c r="A1241" s="317" t="s">
        <v>2137</v>
      </c>
      <c r="B1241" s="318" t="s">
        <v>161</v>
      </c>
      <c r="C1241" s="318" t="s">
        <v>1066</v>
      </c>
      <c r="D1241" s="318" t="s">
        <v>1067</v>
      </c>
      <c r="E1241" s="319">
        <v>740022489</v>
      </c>
      <c r="F1241" s="319">
        <v>1900000</v>
      </c>
      <c r="G1241" s="314">
        <v>5.1770000000000002E-3</v>
      </c>
      <c r="H1241" s="320">
        <v>0</v>
      </c>
      <c r="I1241" s="318" t="s">
        <v>1068</v>
      </c>
      <c r="J1241" s="318">
        <v>1668</v>
      </c>
      <c r="K1241" s="318">
        <v>3.55</v>
      </c>
      <c r="L1241" s="318">
        <v>107.9584</v>
      </c>
      <c r="M1241" s="318" t="s">
        <v>369</v>
      </c>
      <c r="N1241" s="318" t="s">
        <v>368</v>
      </c>
      <c r="O1241" s="318" t="s">
        <v>672</v>
      </c>
      <c r="P1241" s="318" t="s">
        <v>25</v>
      </c>
      <c r="Q1241" s="318" t="s">
        <v>1069</v>
      </c>
      <c r="R1241" s="318" t="s">
        <v>1070</v>
      </c>
      <c r="S1241" s="303">
        <f t="shared" si="20"/>
        <v>2627079835.9499998</v>
      </c>
      <c r="T1241" s="307">
        <f>+IFERROR(VLOOKUP(C1241,'Tasas Diarias'!$B:$F,5,FALSE)*G1241,0)</f>
        <v>0</v>
      </c>
      <c r="U1241" s="311" t="e">
        <f>+VLOOKUP(C1241,Spreads!$A$2:$G$345,7,0)</f>
        <v>#N/A</v>
      </c>
    </row>
    <row r="1242" spans="1:21" ht="15.75" hidden="1" customHeight="1" thickTop="1" thickBot="1">
      <c r="A1242" s="317" t="s">
        <v>2137</v>
      </c>
      <c r="B1242" s="318" t="s">
        <v>161</v>
      </c>
      <c r="C1242" s="318" t="s">
        <v>1500</v>
      </c>
      <c r="D1242" s="318" t="s">
        <v>38</v>
      </c>
      <c r="E1242" s="319">
        <v>919131455</v>
      </c>
      <c r="F1242" s="319">
        <v>900000000</v>
      </c>
      <c r="G1242" s="314">
        <v>6.43E-3</v>
      </c>
      <c r="H1242" s="320">
        <v>4.62</v>
      </c>
      <c r="I1242" s="318" t="s">
        <v>1228</v>
      </c>
      <c r="J1242" s="318">
        <v>1425</v>
      </c>
      <c r="K1242" s="318">
        <v>3.58</v>
      </c>
      <c r="L1242" s="318">
        <v>101.64</v>
      </c>
      <c r="M1242" s="318" t="s">
        <v>9</v>
      </c>
      <c r="N1242" s="318" t="s">
        <v>368</v>
      </c>
      <c r="O1242" s="318" t="s">
        <v>8</v>
      </c>
      <c r="P1242" s="318" t="s">
        <v>7</v>
      </c>
      <c r="Q1242" s="318" t="s">
        <v>76</v>
      </c>
      <c r="R1242" s="318" t="s">
        <v>498</v>
      </c>
      <c r="S1242" s="303">
        <f t="shared" si="20"/>
        <v>3290490608.9000001</v>
      </c>
      <c r="T1242" s="307">
        <f>+IFERROR(VLOOKUP(C1242,'Tasas Diarias'!$B:$F,5,FALSE)*G1242,0)</f>
        <v>-2.3388154383359272E-6</v>
      </c>
      <c r="U1242" s="311" t="e">
        <f>+VLOOKUP(C1242,Spreads!$A$2:$G$345,7,0)</f>
        <v>#N/A</v>
      </c>
    </row>
    <row r="1243" spans="1:21" ht="15.75" hidden="1" customHeight="1" thickTop="1" thickBot="1">
      <c r="A1243" s="317" t="s">
        <v>2137</v>
      </c>
      <c r="B1243" s="318" t="s">
        <v>161</v>
      </c>
      <c r="C1243" s="318" t="s">
        <v>863</v>
      </c>
      <c r="D1243" s="318" t="s">
        <v>864</v>
      </c>
      <c r="E1243" s="319">
        <v>2393798435</v>
      </c>
      <c r="F1243" s="319">
        <v>87000</v>
      </c>
      <c r="G1243" s="314">
        <v>1.6747000000000001E-2</v>
      </c>
      <c r="H1243" s="320">
        <v>3.61</v>
      </c>
      <c r="I1243" s="318" t="s">
        <v>865</v>
      </c>
      <c r="J1243" s="318">
        <v>2645</v>
      </c>
      <c r="K1243" s="318">
        <v>3.63</v>
      </c>
      <c r="L1243" s="318">
        <v>102.06</v>
      </c>
      <c r="M1243" s="318" t="s">
        <v>6</v>
      </c>
      <c r="N1243" s="318" t="s">
        <v>368</v>
      </c>
      <c r="O1243" s="318" t="s">
        <v>461</v>
      </c>
      <c r="P1243" s="318" t="s">
        <v>814</v>
      </c>
      <c r="Q1243" s="318" t="s">
        <v>866</v>
      </c>
      <c r="R1243" s="318" t="s">
        <v>867</v>
      </c>
      <c r="S1243" s="303">
        <f t="shared" si="20"/>
        <v>8689488319.0499992</v>
      </c>
      <c r="T1243" s="307">
        <f>+IFERROR(VLOOKUP(C1243,'Tasas Diarias'!$B:$F,5,FALSE)*G1243,0)</f>
        <v>6.1752423195791237E-6</v>
      </c>
      <c r="U1243" s="311" t="str">
        <f ca="1">+VLOOKUP(C1243,Spreads!$A$2:$G$345,7,0)</f>
        <v/>
      </c>
    </row>
    <row r="1244" spans="1:21" ht="15.75" hidden="1" customHeight="1" thickTop="1" thickBot="1">
      <c r="A1244" s="317" t="s">
        <v>2137</v>
      </c>
      <c r="B1244" s="318" t="s">
        <v>161</v>
      </c>
      <c r="C1244" s="318" t="s">
        <v>853</v>
      </c>
      <c r="D1244" s="318" t="s">
        <v>854</v>
      </c>
      <c r="E1244" s="319">
        <v>943569580</v>
      </c>
      <c r="F1244" s="319">
        <v>43000</v>
      </c>
      <c r="G1244" s="314">
        <v>6.6010000000000001E-3</v>
      </c>
      <c r="H1244" s="320">
        <v>6.1</v>
      </c>
      <c r="I1244" s="318" t="s">
        <v>855</v>
      </c>
      <c r="J1244" s="318">
        <v>2568</v>
      </c>
      <c r="K1244" s="318">
        <v>3.66</v>
      </c>
      <c r="L1244" s="318">
        <v>101.37</v>
      </c>
      <c r="M1244" s="318" t="s">
        <v>6</v>
      </c>
      <c r="N1244" s="318" t="s">
        <v>368</v>
      </c>
      <c r="O1244" s="318" t="s">
        <v>672</v>
      </c>
      <c r="P1244" s="318" t="s">
        <v>814</v>
      </c>
      <c r="Q1244" s="318" t="s">
        <v>856</v>
      </c>
      <c r="R1244" s="318" t="s">
        <v>857</v>
      </c>
      <c r="S1244" s="303">
        <f t="shared" si="20"/>
        <v>3453464662.8000002</v>
      </c>
      <c r="T1244" s="307">
        <f>+IFERROR(VLOOKUP(C1244,'Tasas Diarias'!$B:$F,5,FALSE)*G1244,0)</f>
        <v>2.4529320155203099E-6</v>
      </c>
      <c r="U1244" s="311" t="str">
        <f ca="1">+VLOOKUP(C1244,Spreads!$A$2:$G$345,7,0)</f>
        <v/>
      </c>
    </row>
    <row r="1245" spans="1:21" ht="15.75" hidden="1" customHeight="1" thickTop="1" thickBot="1">
      <c r="A1245" s="321" t="s">
        <v>2137</v>
      </c>
      <c r="B1245" s="322" t="s">
        <v>161</v>
      </c>
      <c r="C1245" s="322" t="s">
        <v>1608</v>
      </c>
      <c r="D1245" s="322" t="s">
        <v>1548</v>
      </c>
      <c r="E1245" s="323">
        <v>1353966797</v>
      </c>
      <c r="F1245" s="323">
        <v>2000000</v>
      </c>
      <c r="G1245" s="314">
        <v>9.4719999999999995E-3</v>
      </c>
      <c r="H1245" s="324">
        <v>0</v>
      </c>
      <c r="I1245" s="322" t="s">
        <v>1609</v>
      </c>
      <c r="J1245" s="322">
        <v>1638</v>
      </c>
      <c r="K1245" s="322">
        <v>3.72</v>
      </c>
      <c r="L1245" s="322">
        <v>107.5051</v>
      </c>
      <c r="M1245" s="322" t="s">
        <v>369</v>
      </c>
      <c r="N1245" s="322" t="s">
        <v>368</v>
      </c>
      <c r="O1245" s="322" t="s">
        <v>1513</v>
      </c>
      <c r="P1245" s="322" t="s">
        <v>802</v>
      </c>
      <c r="Q1245" s="322" t="s">
        <v>1550</v>
      </c>
      <c r="R1245" s="322" t="s">
        <v>1551</v>
      </c>
      <c r="S1245" s="303">
        <f t="shared" si="20"/>
        <v>5036756484.8400002</v>
      </c>
      <c r="T1245" s="307">
        <f>+IFERROR(VLOOKUP(C1245,'Tasas Diarias'!$B:$F,5,FALSE)*G1245,0)</f>
        <v>0</v>
      </c>
      <c r="U1245" s="311" t="e">
        <f>+VLOOKUP(C1245,Spreads!$A$2:$G$345,7,0)</f>
        <v>#N/A</v>
      </c>
    </row>
    <row r="1246" spans="1:21" ht="15.75" hidden="1" customHeight="1" thickTop="1" thickBot="1">
      <c r="A1246" s="321" t="s">
        <v>2137</v>
      </c>
      <c r="B1246" s="322" t="s">
        <v>161</v>
      </c>
      <c r="C1246" s="322" t="s">
        <v>1942</v>
      </c>
      <c r="D1246" s="322" t="s">
        <v>175</v>
      </c>
      <c r="E1246" s="323">
        <v>997420886</v>
      </c>
      <c r="F1246" s="323">
        <v>1000000000</v>
      </c>
      <c r="G1246" s="314">
        <v>6.9779999999999998E-3</v>
      </c>
      <c r="H1246" s="324">
        <v>5.07</v>
      </c>
      <c r="I1246" s="322" t="s">
        <v>1946</v>
      </c>
      <c r="J1246" s="322">
        <v>1770</v>
      </c>
      <c r="K1246" s="322">
        <v>3.74</v>
      </c>
      <c r="L1246" s="322">
        <v>99.04</v>
      </c>
      <c r="M1246" s="322" t="s">
        <v>9</v>
      </c>
      <c r="N1246" s="322" t="s">
        <v>368</v>
      </c>
      <c r="O1246" s="322" t="s">
        <v>8</v>
      </c>
      <c r="P1246" s="322" t="s">
        <v>392</v>
      </c>
      <c r="Q1246" s="322" t="s">
        <v>66</v>
      </c>
      <c r="R1246" s="322" t="s">
        <v>418</v>
      </c>
      <c r="S1246" s="303">
        <f t="shared" si="20"/>
        <v>3730354113.6400003</v>
      </c>
      <c r="T1246" s="307">
        <f>+IFERROR(VLOOKUP(C1246,'Tasas Diarias'!$B:$F,5,FALSE)*G1246,0)</f>
        <v>-2.6471406487160233E-6</v>
      </c>
      <c r="U1246" s="311" t="e">
        <f>+VLOOKUP(C1246,Spreads!$A$2:$G$345,7,0)</f>
        <v>#N/A</v>
      </c>
    </row>
    <row r="1247" spans="1:21" ht="15.75" hidden="1" customHeight="1" thickTop="1" thickBot="1">
      <c r="A1247" s="321" t="s">
        <v>2137</v>
      </c>
      <c r="B1247" s="322" t="s">
        <v>161</v>
      </c>
      <c r="C1247" s="322" t="s">
        <v>638</v>
      </c>
      <c r="D1247" s="322" t="s">
        <v>285</v>
      </c>
      <c r="E1247" s="323">
        <v>876978816</v>
      </c>
      <c r="F1247" s="323">
        <v>30000</v>
      </c>
      <c r="G1247" s="314">
        <v>6.1349999999999998E-3</v>
      </c>
      <c r="H1247" s="324">
        <v>1.89</v>
      </c>
      <c r="I1247" s="322" t="s">
        <v>639</v>
      </c>
      <c r="J1247" s="322">
        <v>2597</v>
      </c>
      <c r="K1247" s="322">
        <v>3.75</v>
      </c>
      <c r="L1247" s="322">
        <v>114.48</v>
      </c>
      <c r="M1247" s="322" t="s">
        <v>6</v>
      </c>
      <c r="N1247" s="322" t="s">
        <v>368</v>
      </c>
      <c r="O1247" s="322" t="s">
        <v>1898</v>
      </c>
      <c r="P1247" s="322" t="s">
        <v>379</v>
      </c>
      <c r="Q1247" s="322" t="s">
        <v>1918</v>
      </c>
      <c r="R1247" s="322" t="s">
        <v>640</v>
      </c>
      <c r="S1247" s="303">
        <f t="shared" si="20"/>
        <v>3288670560</v>
      </c>
      <c r="T1247" s="307">
        <f>+IFERROR(VLOOKUP(C1247,'Tasas Diarias'!$B:$F,5,FALSE)*G1247,0)</f>
        <v>0</v>
      </c>
      <c r="U1247" s="311" t="str">
        <f ca="1">+VLOOKUP(C1247,Spreads!$A$2:$G$345,7,0)</f>
        <v/>
      </c>
    </row>
    <row r="1248" spans="1:21" ht="15.75" hidden="1" customHeight="1" thickTop="1" thickBot="1">
      <c r="A1248" s="317" t="s">
        <v>2137</v>
      </c>
      <c r="B1248" s="318" t="s">
        <v>161</v>
      </c>
      <c r="C1248" s="318" t="s">
        <v>858</v>
      </c>
      <c r="D1248" s="318" t="s">
        <v>859</v>
      </c>
      <c r="E1248" s="319">
        <v>251201644</v>
      </c>
      <c r="F1248" s="319">
        <v>10000</v>
      </c>
      <c r="G1248" s="314">
        <v>1.7570000000000001E-3</v>
      </c>
      <c r="H1248" s="320">
        <v>2.08</v>
      </c>
      <c r="I1248" s="318" t="s">
        <v>860</v>
      </c>
      <c r="J1248" s="318">
        <v>2933</v>
      </c>
      <c r="K1248" s="318">
        <v>3.87</v>
      </c>
      <c r="L1248" s="318">
        <v>120.49</v>
      </c>
      <c r="M1248" s="318" t="s">
        <v>6</v>
      </c>
      <c r="N1248" s="318" t="s">
        <v>368</v>
      </c>
      <c r="O1248" s="318" t="s">
        <v>1347</v>
      </c>
      <c r="P1248" s="318" t="s">
        <v>25</v>
      </c>
      <c r="Q1248" s="318" t="s">
        <v>861</v>
      </c>
      <c r="R1248" s="318" t="s">
        <v>862</v>
      </c>
      <c r="S1248" s="303">
        <f t="shared" si="20"/>
        <v>972150362.27999997</v>
      </c>
      <c r="T1248" s="307">
        <f>+IFERROR(VLOOKUP(C1248,'Tasas Diarias'!$B:$F,5,FALSE)*G1248,0)</f>
        <v>6.8911196161757307E-7</v>
      </c>
      <c r="U1248" s="311" t="str">
        <f ca="1">+VLOOKUP(C1248,Spreads!$A$2:$G$345,7,0)</f>
        <v/>
      </c>
    </row>
    <row r="1249" spans="1:21" ht="15.75" hidden="1" customHeight="1" thickTop="1" thickBot="1">
      <c r="A1249" s="317" t="s">
        <v>2137</v>
      </c>
      <c r="B1249" s="318" t="s">
        <v>161</v>
      </c>
      <c r="C1249" s="318" t="s">
        <v>1599</v>
      </c>
      <c r="D1249" s="318" t="s">
        <v>1600</v>
      </c>
      <c r="E1249" s="319">
        <v>4253756778</v>
      </c>
      <c r="F1249" s="319">
        <v>145000</v>
      </c>
      <c r="G1249" s="314">
        <v>2.9759000000000001E-2</v>
      </c>
      <c r="H1249" s="320">
        <v>3.47</v>
      </c>
      <c r="I1249" s="318" t="s">
        <v>668</v>
      </c>
      <c r="J1249" s="318">
        <v>1654</v>
      </c>
      <c r="K1249" s="318">
        <v>4.0199999999999996</v>
      </c>
      <c r="L1249" s="318">
        <v>107.34</v>
      </c>
      <c r="M1249" s="318" t="s">
        <v>6</v>
      </c>
      <c r="N1249" s="318" t="s">
        <v>368</v>
      </c>
      <c r="O1249" s="318" t="s">
        <v>461</v>
      </c>
      <c r="P1249" s="318" t="s">
        <v>802</v>
      </c>
      <c r="Q1249" s="318" t="s">
        <v>836</v>
      </c>
      <c r="R1249" s="318" t="s">
        <v>837</v>
      </c>
      <c r="S1249" s="303">
        <f t="shared" si="20"/>
        <v>17100102247.559998</v>
      </c>
      <c r="T1249" s="307">
        <f>+IFERROR(VLOOKUP(C1249,'Tasas Diarias'!$B:$F,5,FALSE)*G1249,0)</f>
        <v>0</v>
      </c>
      <c r="U1249" s="311" t="e">
        <f>+VLOOKUP(C1249,Spreads!$A$2:$G$345,7,0)</f>
        <v>#N/A</v>
      </c>
    </row>
    <row r="1250" spans="1:21" ht="15.75" hidden="1" customHeight="1" thickTop="1" thickBot="1">
      <c r="A1250" s="321" t="s">
        <v>2137</v>
      </c>
      <c r="B1250" s="322" t="s">
        <v>161</v>
      </c>
      <c r="C1250" s="322" t="s">
        <v>1563</v>
      </c>
      <c r="D1250" s="322" t="s">
        <v>1523</v>
      </c>
      <c r="E1250" s="323">
        <v>1524497586</v>
      </c>
      <c r="F1250" s="323">
        <v>1500000000</v>
      </c>
      <c r="G1250" s="314">
        <v>1.0664999999999999E-2</v>
      </c>
      <c r="H1250" s="324">
        <v>4.6100000000000003</v>
      </c>
      <c r="I1250" s="322" t="s">
        <v>668</v>
      </c>
      <c r="J1250" s="322">
        <v>1654</v>
      </c>
      <c r="K1250" s="322">
        <v>4.07</v>
      </c>
      <c r="L1250" s="322">
        <v>99.56</v>
      </c>
      <c r="M1250" s="322" t="s">
        <v>9</v>
      </c>
      <c r="N1250" s="322" t="s">
        <v>368</v>
      </c>
      <c r="O1250" s="322" t="s">
        <v>8</v>
      </c>
      <c r="P1250" s="322" t="s">
        <v>417</v>
      </c>
      <c r="Q1250" s="322" t="s">
        <v>325</v>
      </c>
      <c r="R1250" s="322" t="s">
        <v>1525</v>
      </c>
      <c r="S1250" s="303">
        <f t="shared" si="20"/>
        <v>6204705175.0200005</v>
      </c>
      <c r="T1250" s="307">
        <f>+IFERROR(VLOOKUP(C1250,'Tasas Diarias'!$B:$F,5,FALSE)*G1250,0)</f>
        <v>0</v>
      </c>
      <c r="U1250" s="311" t="e">
        <f>+VLOOKUP(C1250,Spreads!$A$2:$G$345,7,0)</f>
        <v>#N/A</v>
      </c>
    </row>
    <row r="1251" spans="1:21" ht="15.75" hidden="1" customHeight="1" thickTop="1" thickBot="1">
      <c r="A1251" s="317" t="s">
        <v>2137</v>
      </c>
      <c r="B1251" s="318" t="s">
        <v>161</v>
      </c>
      <c r="C1251" s="318" t="s">
        <v>1882</v>
      </c>
      <c r="D1251" s="318" t="s">
        <v>1595</v>
      </c>
      <c r="E1251" s="319">
        <v>12059762</v>
      </c>
      <c r="F1251" s="319">
        <v>1000</v>
      </c>
      <c r="G1251" s="314">
        <v>8.3999999999999995E-5</v>
      </c>
      <c r="H1251" s="318">
        <v>4.74</v>
      </c>
      <c r="I1251" s="318" t="s">
        <v>1883</v>
      </c>
      <c r="J1251" s="318">
        <v>3251</v>
      </c>
      <c r="K1251" s="318">
        <v>4.09</v>
      </c>
      <c r="L1251" s="318">
        <v>100.03</v>
      </c>
      <c r="M1251" s="318" t="s">
        <v>6</v>
      </c>
      <c r="N1251" s="318" t="s">
        <v>368</v>
      </c>
      <c r="O1251" s="318" t="s">
        <v>1348</v>
      </c>
      <c r="P1251" s="318" t="s">
        <v>794</v>
      </c>
      <c r="Q1251" s="318" t="s">
        <v>1597</v>
      </c>
      <c r="R1251" s="318" t="s">
        <v>1607</v>
      </c>
      <c r="S1251" s="303">
        <f t="shared" si="20"/>
        <v>49324426.579999998</v>
      </c>
      <c r="T1251" s="307">
        <f>+IFERROR(VLOOKUP(C1251,'Tasas Diarias'!$B:$F,5,FALSE)*G1251,0)</f>
        <v>-6.9771180332370912E-8</v>
      </c>
      <c r="U1251" s="311" t="e">
        <f>+VLOOKUP(C1251,Spreads!$A$2:$G$345,7,0)</f>
        <v>#N/A</v>
      </c>
    </row>
    <row r="1252" spans="1:21" ht="15.75" hidden="1" customHeight="1" thickTop="1" thickBot="1">
      <c r="A1252" s="327" t="s">
        <v>2137</v>
      </c>
      <c r="B1252" s="328" t="s">
        <v>161</v>
      </c>
      <c r="C1252" s="328" t="s">
        <v>1579</v>
      </c>
      <c r="D1252" s="328" t="s">
        <v>1580</v>
      </c>
      <c r="E1252" s="328">
        <v>1088846230</v>
      </c>
      <c r="F1252" s="328">
        <v>40000</v>
      </c>
      <c r="G1252" s="332">
        <v>7.6169999999999996E-3</v>
      </c>
      <c r="H1252" s="329">
        <v>2.14</v>
      </c>
      <c r="I1252" s="328" t="s">
        <v>1581</v>
      </c>
      <c r="J1252" s="328">
        <v>1683</v>
      </c>
      <c r="K1252" s="328">
        <v>4.38</v>
      </c>
      <c r="L1252" s="328">
        <v>101.11</v>
      </c>
      <c r="M1252" s="328" t="s">
        <v>6</v>
      </c>
      <c r="N1252" s="328" t="s">
        <v>368</v>
      </c>
      <c r="O1252" s="328" t="s">
        <v>551</v>
      </c>
      <c r="P1252" s="328" t="s">
        <v>801</v>
      </c>
      <c r="Q1252" s="328" t="s">
        <v>1582</v>
      </c>
      <c r="R1252" s="328" t="s">
        <v>1583</v>
      </c>
      <c r="S1252" s="303">
        <f t="shared" si="20"/>
        <v>4769146487.3999996</v>
      </c>
      <c r="T1252" s="307">
        <f>+IFERROR(VLOOKUP(C1252,'Tasas Diarias'!$B:$F,5,FALSE)*G1252,0)</f>
        <v>3.381879907051568E-6</v>
      </c>
      <c r="U1252" s="311" t="e">
        <f>+VLOOKUP(C1252,Spreads!$A$2:$G$345,7,0)</f>
        <v>#N/A</v>
      </c>
    </row>
    <row r="1253" spans="1:21" ht="15.75" hidden="1" customHeight="1" thickTop="1" thickBot="1">
      <c r="A1253" s="317" t="s">
        <v>2137</v>
      </c>
      <c r="B1253" s="318" t="s">
        <v>161</v>
      </c>
      <c r="C1253" s="318" t="s">
        <v>680</v>
      </c>
      <c r="D1253" s="318" t="s">
        <v>173</v>
      </c>
      <c r="E1253" s="319">
        <v>1081579213</v>
      </c>
      <c r="F1253" s="319">
        <v>40000</v>
      </c>
      <c r="G1253" s="314">
        <v>7.5659999999999998E-3</v>
      </c>
      <c r="H1253" s="320">
        <v>2.48</v>
      </c>
      <c r="I1253" s="318" t="s">
        <v>681</v>
      </c>
      <c r="J1253" s="318">
        <v>1715</v>
      </c>
      <c r="K1253" s="318">
        <v>4.42</v>
      </c>
      <c r="L1253" s="318">
        <v>100.58</v>
      </c>
      <c r="M1253" s="318" t="s">
        <v>6</v>
      </c>
      <c r="N1253" s="318" t="s">
        <v>368</v>
      </c>
      <c r="O1253" s="318" t="s">
        <v>8</v>
      </c>
      <c r="P1253" s="318" t="s">
        <v>444</v>
      </c>
      <c r="Q1253" s="318" t="s">
        <v>55</v>
      </c>
      <c r="R1253" s="318" t="s">
        <v>445</v>
      </c>
      <c r="S1253" s="303">
        <f t="shared" si="20"/>
        <v>4780580121.46</v>
      </c>
      <c r="T1253" s="307">
        <f>+IFERROR(VLOOKUP(C1253,'Tasas Diarias'!$B:$F,5,FALSE)*G1253,0)</f>
        <v>-3.3882407961331042E-6</v>
      </c>
      <c r="U1253" s="311" t="str">
        <f ca="1">+VLOOKUP(C1253,Spreads!$A$2:$G$345,7,0)</f>
        <v/>
      </c>
    </row>
    <row r="1254" spans="1:21" ht="15.75" hidden="1" customHeight="1" thickTop="1" thickBot="1">
      <c r="A1254" s="327" t="s">
        <v>2137</v>
      </c>
      <c r="B1254" s="328" t="s">
        <v>161</v>
      </c>
      <c r="C1254" s="328" t="s">
        <v>1536</v>
      </c>
      <c r="D1254" s="328" t="s">
        <v>175</v>
      </c>
      <c r="E1254" s="328">
        <v>530275465</v>
      </c>
      <c r="F1254" s="328">
        <v>20000</v>
      </c>
      <c r="G1254" s="328">
        <v>3.7090000000000001E-3</v>
      </c>
      <c r="H1254" s="329">
        <v>2.39</v>
      </c>
      <c r="I1254" s="328" t="s">
        <v>1537</v>
      </c>
      <c r="J1254" s="328">
        <v>2358</v>
      </c>
      <c r="K1254" s="328">
        <v>4.93</v>
      </c>
      <c r="L1254" s="328">
        <v>99.32</v>
      </c>
      <c r="M1254" s="328" t="s">
        <v>6</v>
      </c>
      <c r="N1254" s="328" t="s">
        <v>368</v>
      </c>
      <c r="O1254" s="328" t="s">
        <v>8</v>
      </c>
      <c r="P1254" s="328" t="s">
        <v>392</v>
      </c>
      <c r="Q1254" s="328" t="s">
        <v>66</v>
      </c>
      <c r="R1254" s="328" t="s">
        <v>418</v>
      </c>
      <c r="S1254" s="303">
        <f t="shared" si="20"/>
        <v>2614258042.4499998</v>
      </c>
      <c r="T1254" s="307">
        <f>+IFERROR(VLOOKUP(C1254,'Tasas Diarias'!$B:$F,5,FALSE)*G1254,0)</f>
        <v>1.830433277209106E-6</v>
      </c>
      <c r="U1254" s="311" t="e">
        <f>+VLOOKUP(C1254,Spreads!$A$2:$G$345,7,0)</f>
        <v>#N/A</v>
      </c>
    </row>
    <row r="1255" spans="1:21" ht="15.75" hidden="1" customHeight="1" thickTop="1" thickBot="1">
      <c r="A1255" s="321" t="s">
        <v>2137</v>
      </c>
      <c r="B1255" s="322" t="s">
        <v>161</v>
      </c>
      <c r="C1255" s="322" t="s">
        <v>1212</v>
      </c>
      <c r="D1255" s="322" t="s">
        <v>24</v>
      </c>
      <c r="E1255" s="323">
        <v>326893327</v>
      </c>
      <c r="F1255" s="323">
        <v>15000</v>
      </c>
      <c r="G1255" s="314">
        <v>2.2859999999999998E-3</v>
      </c>
      <c r="H1255" s="324">
        <v>2.23</v>
      </c>
      <c r="I1255" s="322" t="s">
        <v>684</v>
      </c>
      <c r="J1255" s="322">
        <v>3815</v>
      </c>
      <c r="K1255" s="322">
        <v>4.95</v>
      </c>
      <c r="L1255" s="322">
        <v>108.72</v>
      </c>
      <c r="M1255" s="322" t="s">
        <v>6</v>
      </c>
      <c r="N1255" s="322" t="s">
        <v>368</v>
      </c>
      <c r="O1255" s="322" t="s">
        <v>8</v>
      </c>
      <c r="P1255" s="322" t="s">
        <v>25</v>
      </c>
      <c r="Q1255" s="322" t="s">
        <v>51</v>
      </c>
      <c r="R1255" s="322" t="s">
        <v>414</v>
      </c>
      <c r="S1255" s="303">
        <f t="shared" si="20"/>
        <v>1618121968.6500001</v>
      </c>
      <c r="T1255" s="307">
        <f>+IFERROR(VLOOKUP(C1255,'Tasas Diarias'!$B:$F,5,FALSE)*G1255,0)</f>
        <v>2.1509255393618737E-6</v>
      </c>
      <c r="U1255" s="311" t="str">
        <f ca="1">+VLOOKUP(C1255,Spreads!$A$2:$G$345,7,0)</f>
        <v/>
      </c>
    </row>
    <row r="1256" spans="1:21" ht="15.75" hidden="1" customHeight="1" thickTop="1" thickBot="1">
      <c r="A1256" s="321" t="s">
        <v>2137</v>
      </c>
      <c r="B1256" s="322" t="s">
        <v>161</v>
      </c>
      <c r="C1256" s="322" t="s">
        <v>875</v>
      </c>
      <c r="D1256" s="322" t="s">
        <v>876</v>
      </c>
      <c r="E1256" s="323">
        <v>676402990</v>
      </c>
      <c r="F1256" s="323">
        <v>1000000</v>
      </c>
      <c r="G1256" s="314">
        <v>4.7320000000000001E-3</v>
      </c>
      <c r="H1256" s="324">
        <v>0</v>
      </c>
      <c r="I1256" s="322" t="s">
        <v>877</v>
      </c>
      <c r="J1256" s="322">
        <v>2247</v>
      </c>
      <c r="K1256" s="322">
        <v>5.04</v>
      </c>
      <c r="L1256" s="322">
        <v>105.1323</v>
      </c>
      <c r="M1256" s="322" t="s">
        <v>369</v>
      </c>
      <c r="N1256" s="322" t="s">
        <v>368</v>
      </c>
      <c r="O1256" s="322" t="s">
        <v>560</v>
      </c>
      <c r="P1256" s="322" t="s">
        <v>878</v>
      </c>
      <c r="Q1256" s="322" t="s">
        <v>879</v>
      </c>
      <c r="R1256" s="322" t="s">
        <v>880</v>
      </c>
      <c r="S1256" s="303">
        <f t="shared" si="20"/>
        <v>3409071069.5999999</v>
      </c>
      <c r="T1256" s="307">
        <f>+IFERROR(VLOOKUP(C1256,'Tasas Diarias'!$B:$F,5,FALSE)*G1256,0)</f>
        <v>0</v>
      </c>
      <c r="U1256" s="311" t="e">
        <f>+VLOOKUP(C1256,Spreads!$A$2:$G$345,7,0)</f>
        <v>#N/A</v>
      </c>
    </row>
    <row r="1257" spans="1:21" ht="15.75" hidden="1" customHeight="1" thickTop="1" thickBot="1">
      <c r="A1257" s="327" t="s">
        <v>2137</v>
      </c>
      <c r="B1257" s="328" t="s">
        <v>161</v>
      </c>
      <c r="C1257" s="328" t="s">
        <v>872</v>
      </c>
      <c r="D1257" s="328" t="s">
        <v>15</v>
      </c>
      <c r="E1257" s="328">
        <v>1467376891</v>
      </c>
      <c r="F1257" s="328">
        <v>60000</v>
      </c>
      <c r="G1257" s="328">
        <v>1.0265E-2</v>
      </c>
      <c r="H1257" s="329">
        <v>2.2799999999999998</v>
      </c>
      <c r="I1257" s="328" t="s">
        <v>873</v>
      </c>
      <c r="J1257" s="328">
        <v>3860</v>
      </c>
      <c r="K1257" s="328">
        <v>5.09</v>
      </c>
      <c r="L1257" s="328">
        <v>108.7</v>
      </c>
      <c r="M1257" s="328" t="s">
        <v>6</v>
      </c>
      <c r="N1257" s="328" t="s">
        <v>368</v>
      </c>
      <c r="O1257" s="328" t="s">
        <v>8</v>
      </c>
      <c r="P1257" s="328" t="s">
        <v>417</v>
      </c>
      <c r="Q1257" s="328" t="s">
        <v>28</v>
      </c>
      <c r="R1257" s="328" t="s">
        <v>874</v>
      </c>
      <c r="S1257" s="303">
        <f t="shared" si="20"/>
        <v>7468948375.1899996</v>
      </c>
      <c r="T1257" s="307">
        <f>+IFERROR(VLOOKUP(C1257,'Tasas Diarias'!$B:$F,5,FALSE)*G1257,0)</f>
        <v>5.2842819630354579E-6</v>
      </c>
      <c r="U1257" s="311" t="str">
        <f ca="1">+VLOOKUP(C1257,Spreads!$A$2:$G$345,7,0)</f>
        <v/>
      </c>
    </row>
    <row r="1258" spans="1:21" ht="15.75" hidden="1" customHeight="1" thickTop="1" thickBot="1">
      <c r="A1258" s="327" t="s">
        <v>2137</v>
      </c>
      <c r="B1258" s="328" t="s">
        <v>161</v>
      </c>
      <c r="C1258" s="328" t="s">
        <v>881</v>
      </c>
      <c r="D1258" s="328" t="s">
        <v>292</v>
      </c>
      <c r="E1258" s="328">
        <v>690709115</v>
      </c>
      <c r="F1258" s="328">
        <v>38500</v>
      </c>
      <c r="G1258" s="314">
        <v>4.8320000000000004E-3</v>
      </c>
      <c r="H1258" s="329">
        <v>2.37</v>
      </c>
      <c r="I1258" s="328" t="s">
        <v>882</v>
      </c>
      <c r="J1258" s="328">
        <v>4181</v>
      </c>
      <c r="K1258" s="328">
        <v>5.36</v>
      </c>
      <c r="L1258" s="328">
        <v>104.63</v>
      </c>
      <c r="M1258" s="328" t="s">
        <v>6</v>
      </c>
      <c r="N1258" s="328" t="s">
        <v>368</v>
      </c>
      <c r="O1258" s="328" t="s">
        <v>551</v>
      </c>
      <c r="P1258" s="328" t="s">
        <v>392</v>
      </c>
      <c r="Q1258" s="328" t="s">
        <v>327</v>
      </c>
      <c r="R1258" s="328" t="s">
        <v>883</v>
      </c>
      <c r="S1258" s="303">
        <f t="shared" si="20"/>
        <v>3702200856.4000001</v>
      </c>
      <c r="T1258" s="307">
        <f>+IFERROR(VLOOKUP(C1258,'Tasas Diarias'!$B:$F,5,FALSE)*G1258,0)</f>
        <v>5.2176252895040917E-6</v>
      </c>
      <c r="U1258" s="311" t="str">
        <f ca="1">+VLOOKUP(C1258,Spreads!$A$2:$G$345,7,0)</f>
        <v/>
      </c>
    </row>
    <row r="1259" spans="1:21" ht="15.75" hidden="1" customHeight="1" thickTop="1" thickBot="1">
      <c r="A1259" s="317" t="s">
        <v>2137</v>
      </c>
      <c r="B1259" s="318" t="s">
        <v>161</v>
      </c>
      <c r="C1259" s="318" t="s">
        <v>1857</v>
      </c>
      <c r="D1259" s="318" t="s">
        <v>1538</v>
      </c>
      <c r="E1259" s="319">
        <v>1764326422</v>
      </c>
      <c r="F1259" s="319">
        <v>2700000</v>
      </c>
      <c r="G1259" s="314">
        <v>1.2343E-2</v>
      </c>
      <c r="H1259" s="320">
        <v>0</v>
      </c>
      <c r="I1259" s="318" t="s">
        <v>1858</v>
      </c>
      <c r="J1259" s="318">
        <v>2497</v>
      </c>
      <c r="K1259" s="318">
        <v>5.59</v>
      </c>
      <c r="L1259" s="318">
        <v>102.80589999999999</v>
      </c>
      <c r="M1259" s="318" t="s">
        <v>369</v>
      </c>
      <c r="N1259" s="318" t="s">
        <v>368</v>
      </c>
      <c r="O1259" s="318" t="s">
        <v>1346</v>
      </c>
      <c r="P1259" s="318" t="s">
        <v>109</v>
      </c>
      <c r="Q1259" s="318" t="s">
        <v>1539</v>
      </c>
      <c r="R1259" s="318" t="s">
        <v>1540</v>
      </c>
      <c r="S1259" s="303">
        <f t="shared" si="20"/>
        <v>9862584698.9799995</v>
      </c>
      <c r="T1259" s="307">
        <f>+IFERROR(VLOOKUP(C1259,'Tasas Diarias'!$B:$F,5,FALSE)*G1259,0)</f>
        <v>0</v>
      </c>
      <c r="U1259" s="311" t="e">
        <f>+VLOOKUP(C1259,Spreads!$A$2:$G$345,7,0)</f>
        <v>#N/A</v>
      </c>
    </row>
    <row r="1260" spans="1:21" ht="15.75" hidden="1" customHeight="1" thickTop="1" thickBot="1">
      <c r="A1260" s="317" t="s">
        <v>2137</v>
      </c>
      <c r="B1260" s="318" t="s">
        <v>161</v>
      </c>
      <c r="C1260" s="318" t="s">
        <v>886</v>
      </c>
      <c r="D1260" s="318" t="s">
        <v>5</v>
      </c>
      <c r="E1260" s="319">
        <v>3292981475</v>
      </c>
      <c r="F1260" s="319">
        <v>120000</v>
      </c>
      <c r="G1260" s="314">
        <v>2.3036999999999998E-2</v>
      </c>
      <c r="H1260" s="320">
        <v>2.54</v>
      </c>
      <c r="I1260" s="318" t="s">
        <v>887</v>
      </c>
      <c r="J1260" s="318">
        <v>4043</v>
      </c>
      <c r="K1260" s="318">
        <v>5.62</v>
      </c>
      <c r="L1260" s="318">
        <v>115.65</v>
      </c>
      <c r="M1260" s="318" t="s">
        <v>6</v>
      </c>
      <c r="N1260" s="318" t="s">
        <v>368</v>
      </c>
      <c r="O1260" s="318" t="s">
        <v>1898</v>
      </c>
      <c r="P1260" s="318" t="s">
        <v>25</v>
      </c>
      <c r="Q1260" s="318" t="s">
        <v>53</v>
      </c>
      <c r="R1260" s="318" t="s">
        <v>888</v>
      </c>
      <c r="S1260" s="303">
        <f t="shared" si="20"/>
        <v>18506555889.5</v>
      </c>
      <c r="T1260" s="307">
        <f>+IFERROR(VLOOKUP(C1260,'Tasas Diarias'!$B:$F,5,FALSE)*G1260,0)</f>
        <v>0</v>
      </c>
      <c r="U1260" s="311" t="str">
        <f ca="1">+VLOOKUP(C1260,Spreads!$A$2:$G$345,7,0)</f>
        <v/>
      </c>
    </row>
    <row r="1261" spans="1:21" ht="15.75" hidden="1" customHeight="1" thickTop="1" thickBot="1">
      <c r="A1261" s="321" t="s">
        <v>2137</v>
      </c>
      <c r="B1261" s="322" t="s">
        <v>161</v>
      </c>
      <c r="C1261" s="322" t="s">
        <v>1884</v>
      </c>
      <c r="D1261" s="322" t="s">
        <v>1885</v>
      </c>
      <c r="E1261" s="323">
        <v>2115082335</v>
      </c>
      <c r="F1261" s="323">
        <v>70000</v>
      </c>
      <c r="G1261" s="314">
        <v>1.4796999999999999E-2</v>
      </c>
      <c r="H1261" s="324">
        <v>2.92</v>
      </c>
      <c r="I1261" s="322" t="s">
        <v>1886</v>
      </c>
      <c r="J1261" s="322">
        <v>2764</v>
      </c>
      <c r="K1261" s="322">
        <v>5.66</v>
      </c>
      <c r="L1261" s="322">
        <v>111</v>
      </c>
      <c r="M1261" s="322" t="s">
        <v>6</v>
      </c>
      <c r="N1261" s="322" t="s">
        <v>368</v>
      </c>
      <c r="O1261" s="322" t="s">
        <v>1898</v>
      </c>
      <c r="P1261" s="322" t="s">
        <v>25</v>
      </c>
      <c r="Q1261" s="322" t="s">
        <v>1901</v>
      </c>
      <c r="R1261" s="322" t="s">
        <v>1887</v>
      </c>
      <c r="S1261" s="303">
        <f t="shared" si="20"/>
        <v>11971366016.1</v>
      </c>
      <c r="T1261" s="307">
        <f>+IFERROR(VLOOKUP(C1261,'Tasas Diarias'!$B:$F,5,FALSE)*G1261,0)</f>
        <v>8.460530848948924E-6</v>
      </c>
      <c r="U1261" s="311" t="e">
        <f>+VLOOKUP(C1261,Spreads!$A$2:$G$345,7,0)</f>
        <v>#N/A</v>
      </c>
    </row>
    <row r="1262" spans="1:21" ht="15.75" hidden="1" customHeight="1" thickTop="1" thickBot="1">
      <c r="A1262" s="317" t="s">
        <v>2137</v>
      </c>
      <c r="B1262" s="318" t="s">
        <v>161</v>
      </c>
      <c r="C1262" s="318" t="s">
        <v>1954</v>
      </c>
      <c r="D1262" s="318" t="s">
        <v>1595</v>
      </c>
      <c r="E1262" s="319">
        <v>2153765995</v>
      </c>
      <c r="F1262" s="319">
        <v>70000</v>
      </c>
      <c r="G1262" s="314">
        <v>1.5067000000000001E-2</v>
      </c>
      <c r="H1262" s="320">
        <v>3.26</v>
      </c>
      <c r="I1262" s="318" t="s">
        <v>720</v>
      </c>
      <c r="J1262" s="318">
        <v>4408</v>
      </c>
      <c r="K1262" s="318">
        <v>5.71</v>
      </c>
      <c r="L1262" s="318">
        <v>112.72</v>
      </c>
      <c r="M1262" s="318" t="s">
        <v>6</v>
      </c>
      <c r="N1262" s="318" t="s">
        <v>368</v>
      </c>
      <c r="O1262" s="318" t="s">
        <v>1348</v>
      </c>
      <c r="P1262" s="318" t="s">
        <v>794</v>
      </c>
      <c r="Q1262" s="318" t="s">
        <v>1597</v>
      </c>
      <c r="R1262" s="318" t="s">
        <v>1607</v>
      </c>
      <c r="S1262" s="303">
        <f t="shared" si="20"/>
        <v>12298003831.450001</v>
      </c>
      <c r="T1262" s="307">
        <f>+IFERROR(VLOOKUP(C1262,'Tasas Diarias'!$B:$F,5,FALSE)*G1262,0)</f>
        <v>2.2486765265846076E-4</v>
      </c>
      <c r="U1262" s="311" t="e">
        <f>+VLOOKUP(C1262,Spreads!$A$2:$G$345,7,0)</f>
        <v>#N/A</v>
      </c>
    </row>
    <row r="1263" spans="1:21" ht="15.75" hidden="1" customHeight="1" thickTop="1" thickBot="1">
      <c r="A1263" s="317" t="s">
        <v>2137</v>
      </c>
      <c r="B1263" s="318" t="s">
        <v>161</v>
      </c>
      <c r="C1263" s="318" t="s">
        <v>710</v>
      </c>
      <c r="D1263" s="318" t="s">
        <v>166</v>
      </c>
      <c r="E1263" s="319">
        <v>1143237604</v>
      </c>
      <c r="F1263" s="319">
        <v>36000</v>
      </c>
      <c r="G1263" s="314">
        <v>7.9979999999999999E-3</v>
      </c>
      <c r="H1263" s="318">
        <v>2.54</v>
      </c>
      <c r="I1263" s="318" t="s">
        <v>711</v>
      </c>
      <c r="J1263" s="318">
        <v>4347</v>
      </c>
      <c r="K1263" s="318">
        <v>5.73</v>
      </c>
      <c r="L1263" s="318">
        <v>118.42</v>
      </c>
      <c r="M1263" s="318" t="s">
        <v>6</v>
      </c>
      <c r="N1263" s="318" t="s">
        <v>368</v>
      </c>
      <c r="O1263" s="318" t="s">
        <v>429</v>
      </c>
      <c r="P1263" s="318" t="s">
        <v>392</v>
      </c>
      <c r="Q1263" s="318" t="s">
        <v>57</v>
      </c>
      <c r="R1263" s="318" t="s">
        <v>447</v>
      </c>
      <c r="S1263" s="303">
        <f t="shared" si="20"/>
        <v>6550751470.9200001</v>
      </c>
      <c r="T1263" s="307">
        <f>+IFERROR(VLOOKUP(C1263,'Tasas Diarias'!$B:$F,5,FALSE)*G1263,0)</f>
        <v>0</v>
      </c>
      <c r="U1263" s="311" t="str">
        <f ca="1">+VLOOKUP(C1263,Spreads!$A$2:$G$345,7,0)</f>
        <v/>
      </c>
    </row>
    <row r="1264" spans="1:21" ht="15.75" hidden="1" customHeight="1" thickTop="1" thickBot="1">
      <c r="A1264" s="317" t="s">
        <v>2137</v>
      </c>
      <c r="B1264" s="318" t="s">
        <v>161</v>
      </c>
      <c r="C1264" s="318" t="s">
        <v>1461</v>
      </c>
      <c r="D1264" s="318" t="s">
        <v>1462</v>
      </c>
      <c r="E1264" s="319">
        <v>3245676513</v>
      </c>
      <c r="F1264" s="319">
        <v>105000</v>
      </c>
      <c r="G1264" s="314">
        <v>2.2706E-2</v>
      </c>
      <c r="H1264" s="320">
        <v>2.57</v>
      </c>
      <c r="I1264" s="318" t="s">
        <v>1463</v>
      </c>
      <c r="J1264" s="318">
        <v>4429</v>
      </c>
      <c r="K1264" s="318">
        <v>5.9</v>
      </c>
      <c r="L1264" s="318">
        <v>113.83</v>
      </c>
      <c r="M1264" s="318" t="s">
        <v>6</v>
      </c>
      <c r="N1264" s="318" t="s">
        <v>368</v>
      </c>
      <c r="O1264" s="318" t="s">
        <v>1348</v>
      </c>
      <c r="P1264" s="318" t="s">
        <v>417</v>
      </c>
      <c r="Q1264" s="318" t="s">
        <v>1464</v>
      </c>
      <c r="R1264" s="318" t="s">
        <v>1465</v>
      </c>
      <c r="S1264" s="303">
        <f t="shared" si="20"/>
        <v>19149491426.700001</v>
      </c>
      <c r="T1264" s="307">
        <f>+IFERROR(VLOOKUP(C1264,'Tasas Diarias'!$B:$F,5,FALSE)*G1264,0)</f>
        <v>1.3519387851635964E-5</v>
      </c>
      <c r="U1264" s="311" t="e">
        <f>+VLOOKUP(C1264,Spreads!$A$2:$G$345,7,0)</f>
        <v>#N/A</v>
      </c>
    </row>
    <row r="1265" spans="1:21" ht="15.75" hidden="1" customHeight="1" thickTop="1" thickBot="1">
      <c r="A1265" s="317" t="s">
        <v>2137</v>
      </c>
      <c r="B1265" s="318" t="s">
        <v>161</v>
      </c>
      <c r="C1265" s="318" t="s">
        <v>892</v>
      </c>
      <c r="D1265" s="318" t="s">
        <v>893</v>
      </c>
      <c r="E1265" s="319">
        <v>528551960</v>
      </c>
      <c r="F1265" s="319">
        <v>800000</v>
      </c>
      <c r="G1265" s="314">
        <v>3.6970000000000002E-3</v>
      </c>
      <c r="H1265" s="320">
        <v>0</v>
      </c>
      <c r="I1265" s="318" t="s">
        <v>894</v>
      </c>
      <c r="J1265" s="318">
        <v>2536</v>
      </c>
      <c r="K1265" s="318">
        <v>5.99</v>
      </c>
      <c r="L1265" s="318">
        <v>104.7458</v>
      </c>
      <c r="M1265" s="318" t="s">
        <v>369</v>
      </c>
      <c r="N1265" s="318" t="s">
        <v>368</v>
      </c>
      <c r="O1265" s="318" t="s">
        <v>895</v>
      </c>
      <c r="P1265" s="318" t="s">
        <v>417</v>
      </c>
      <c r="Q1265" s="318" t="s">
        <v>893</v>
      </c>
      <c r="R1265" s="318" t="s">
        <v>896</v>
      </c>
      <c r="S1265" s="303">
        <f t="shared" si="20"/>
        <v>3166026240.4000001</v>
      </c>
      <c r="T1265" s="307">
        <f>+IFERROR(VLOOKUP(C1265,'Tasas Diarias'!$B:$F,5,FALSE)*G1265,0)</f>
        <v>0</v>
      </c>
      <c r="U1265" s="311" t="e">
        <f>+VLOOKUP(C1265,Spreads!$A$2:$G$345,7,0)</f>
        <v>#N/A</v>
      </c>
    </row>
    <row r="1266" spans="1:21" ht="15.75" hidden="1" customHeight="1" thickTop="1" thickBot="1">
      <c r="A1266" s="317" t="s">
        <v>2137</v>
      </c>
      <c r="B1266" s="318" t="s">
        <v>161</v>
      </c>
      <c r="C1266" s="318" t="s">
        <v>1445</v>
      </c>
      <c r="D1266" s="318" t="s">
        <v>420</v>
      </c>
      <c r="E1266" s="319">
        <v>316618656</v>
      </c>
      <c r="F1266" s="319">
        <v>10000</v>
      </c>
      <c r="G1266" s="314">
        <v>2.215E-3</v>
      </c>
      <c r="H1266" s="320">
        <v>2.4500000000000002</v>
      </c>
      <c r="I1266" s="318" t="s">
        <v>1446</v>
      </c>
      <c r="J1266" s="318">
        <v>4498</v>
      </c>
      <c r="K1266" s="318">
        <v>6.06</v>
      </c>
      <c r="L1266" s="318">
        <v>117.61</v>
      </c>
      <c r="M1266" s="318" t="s">
        <v>6</v>
      </c>
      <c r="N1266" s="318" t="s">
        <v>368</v>
      </c>
      <c r="O1266" s="318" t="s">
        <v>421</v>
      </c>
      <c r="P1266" s="318" t="s">
        <v>417</v>
      </c>
      <c r="Q1266" s="318" t="s">
        <v>422</v>
      </c>
      <c r="R1266" s="318" t="s">
        <v>423</v>
      </c>
      <c r="S1266" s="303">
        <f t="shared" si="20"/>
        <v>1918709055.3599999</v>
      </c>
      <c r="T1266" s="307">
        <f>+IFERROR(VLOOKUP(C1266,'Tasas Diarias'!$B:$F,5,FALSE)*G1266,0)</f>
        <v>2.7050199179735582E-6</v>
      </c>
      <c r="U1266" s="311" t="e">
        <f>+VLOOKUP(C1266,Spreads!$A$2:$G$345,7,0)</f>
        <v>#N/A</v>
      </c>
    </row>
    <row r="1267" spans="1:21" ht="15.75" hidden="1" customHeight="1" thickTop="1" thickBot="1">
      <c r="A1267" s="317" t="s">
        <v>2137</v>
      </c>
      <c r="B1267" s="318" t="s">
        <v>161</v>
      </c>
      <c r="C1267" s="318" t="s">
        <v>722</v>
      </c>
      <c r="D1267" s="318" t="s">
        <v>173</v>
      </c>
      <c r="E1267" s="319">
        <v>542860617</v>
      </c>
      <c r="F1267" s="319">
        <v>25000</v>
      </c>
      <c r="G1267" s="314">
        <v>3.797E-3</v>
      </c>
      <c r="H1267" s="320">
        <v>2.35</v>
      </c>
      <c r="I1267" s="318" t="s">
        <v>723</v>
      </c>
      <c r="J1267" s="318">
        <v>4759</v>
      </c>
      <c r="K1267" s="318">
        <v>6.18</v>
      </c>
      <c r="L1267" s="318">
        <v>113.32</v>
      </c>
      <c r="M1267" s="318" t="s">
        <v>6</v>
      </c>
      <c r="N1267" s="318" t="s">
        <v>368</v>
      </c>
      <c r="O1267" s="318" t="s">
        <v>8</v>
      </c>
      <c r="P1267" s="318" t="s">
        <v>392</v>
      </c>
      <c r="Q1267" s="318" t="s">
        <v>55</v>
      </c>
      <c r="R1267" s="318" t="s">
        <v>724</v>
      </c>
      <c r="S1267" s="303">
        <f t="shared" si="20"/>
        <v>3354878613.0599999</v>
      </c>
      <c r="T1267" s="307">
        <f>+IFERROR(VLOOKUP(C1267,'Tasas Diarias'!$B:$F,5,FALSE)*G1267,0)</f>
        <v>4.7312224837443396E-6</v>
      </c>
      <c r="U1267" s="311" t="str">
        <f ca="1">+VLOOKUP(C1267,Spreads!$A$2:$G$345,7,0)</f>
        <v/>
      </c>
    </row>
    <row r="1268" spans="1:21" ht="15.75" hidden="1" customHeight="1" thickTop="1" thickBot="1">
      <c r="A1268" s="321" t="s">
        <v>2137</v>
      </c>
      <c r="B1268" s="322" t="s">
        <v>161</v>
      </c>
      <c r="C1268" s="322" t="s">
        <v>897</v>
      </c>
      <c r="D1268" s="322" t="s">
        <v>50</v>
      </c>
      <c r="E1268" s="323">
        <v>977567630</v>
      </c>
      <c r="F1268" s="323">
        <v>31000</v>
      </c>
      <c r="G1268" s="314">
        <v>6.8389999999999996E-3</v>
      </c>
      <c r="H1268" s="324">
        <v>2.34</v>
      </c>
      <c r="I1268" s="322" t="s">
        <v>898</v>
      </c>
      <c r="J1268" s="322">
        <v>4537</v>
      </c>
      <c r="K1268" s="322">
        <v>6.2</v>
      </c>
      <c r="L1268" s="322">
        <v>117.78</v>
      </c>
      <c r="M1268" s="322" t="s">
        <v>6</v>
      </c>
      <c r="N1268" s="322" t="s">
        <v>368</v>
      </c>
      <c r="O1268" s="322" t="s">
        <v>429</v>
      </c>
      <c r="P1268" s="322" t="s">
        <v>25</v>
      </c>
      <c r="Q1268" s="322" t="s">
        <v>899</v>
      </c>
      <c r="R1268" s="322" t="s">
        <v>900</v>
      </c>
      <c r="S1268" s="303">
        <f t="shared" si="20"/>
        <v>6060919306</v>
      </c>
      <c r="T1268" s="307">
        <f>+IFERROR(VLOOKUP(C1268,'Tasas Diarias'!$B:$F,5,FALSE)*G1268,0)</f>
        <v>4.2762979663638604E-6</v>
      </c>
      <c r="U1268" s="311" t="str">
        <f ca="1">+VLOOKUP(C1268,Spreads!$A$2:$G$345,7,0)</f>
        <v/>
      </c>
    </row>
    <row r="1269" spans="1:21" ht="15.75" hidden="1" customHeight="1" thickTop="1" thickBot="1">
      <c r="A1269" s="321" t="s">
        <v>2137</v>
      </c>
      <c r="B1269" s="322" t="s">
        <v>161</v>
      </c>
      <c r="C1269" s="322" t="s">
        <v>901</v>
      </c>
      <c r="D1269" s="322" t="s">
        <v>902</v>
      </c>
      <c r="E1269" s="323">
        <v>2525870208</v>
      </c>
      <c r="F1269" s="323">
        <v>80000</v>
      </c>
      <c r="G1269" s="314">
        <v>1.7670999999999999E-2</v>
      </c>
      <c r="H1269" s="324">
        <v>2.48</v>
      </c>
      <c r="I1269" s="322" t="s">
        <v>903</v>
      </c>
      <c r="J1269" s="322">
        <v>4585</v>
      </c>
      <c r="K1269" s="322">
        <v>6.2</v>
      </c>
      <c r="L1269" s="322">
        <v>115.83</v>
      </c>
      <c r="M1269" s="322" t="s">
        <v>6</v>
      </c>
      <c r="N1269" s="322" t="s">
        <v>368</v>
      </c>
      <c r="O1269" s="322" t="s">
        <v>429</v>
      </c>
      <c r="P1269" s="322" t="s">
        <v>25</v>
      </c>
      <c r="Q1269" s="322" t="s">
        <v>904</v>
      </c>
      <c r="R1269" s="322" t="s">
        <v>905</v>
      </c>
      <c r="S1269" s="303">
        <f t="shared" si="20"/>
        <v>15660395289.6</v>
      </c>
      <c r="T1269" s="307">
        <f>+IFERROR(VLOOKUP(C1269,'Tasas Diarias'!$B:$F,5,FALSE)*G1269,0)</f>
        <v>1.104541685043056E-5</v>
      </c>
      <c r="U1269" s="311" t="str">
        <f ca="1">+VLOOKUP(C1269,Spreads!$A$2:$G$345,7,0)</f>
        <v/>
      </c>
    </row>
    <row r="1270" spans="1:21" ht="15.75" hidden="1" customHeight="1" thickTop="1" thickBot="1">
      <c r="A1270" s="321" t="s">
        <v>2137</v>
      </c>
      <c r="B1270" s="322" t="s">
        <v>161</v>
      </c>
      <c r="C1270" s="322" t="s">
        <v>909</v>
      </c>
      <c r="D1270" s="322" t="s">
        <v>910</v>
      </c>
      <c r="E1270" s="323">
        <v>133032836</v>
      </c>
      <c r="F1270" s="323">
        <v>4500</v>
      </c>
      <c r="G1270" s="314">
        <v>9.3000000000000005E-4</v>
      </c>
      <c r="H1270" s="324">
        <v>2.86</v>
      </c>
      <c r="I1270" s="322" t="s">
        <v>911</v>
      </c>
      <c r="J1270" s="322">
        <v>4682</v>
      </c>
      <c r="K1270" s="322">
        <v>6.49</v>
      </c>
      <c r="L1270" s="322">
        <v>109.98</v>
      </c>
      <c r="M1270" s="322" t="s">
        <v>6</v>
      </c>
      <c r="N1270" s="322" t="s">
        <v>368</v>
      </c>
      <c r="O1270" s="322" t="s">
        <v>429</v>
      </c>
      <c r="P1270" s="322" t="s">
        <v>417</v>
      </c>
      <c r="Q1270" s="322" t="s">
        <v>912</v>
      </c>
      <c r="R1270" s="322" t="s">
        <v>913</v>
      </c>
      <c r="S1270" s="303">
        <f t="shared" si="20"/>
        <v>863383105.63999999</v>
      </c>
      <c r="T1270" s="307">
        <f>+IFERROR(VLOOKUP(C1270,'Tasas Diarias'!$B:$F,5,FALSE)*G1270,0)</f>
        <v>6.0904299918959502E-7</v>
      </c>
      <c r="U1270" s="311" t="str">
        <f ca="1">+VLOOKUP(C1270,Spreads!$A$2:$G$345,7,0)</f>
        <v/>
      </c>
    </row>
    <row r="1271" spans="1:21" ht="15.75" hidden="1" customHeight="1" thickTop="1" thickBot="1">
      <c r="A1271" s="321" t="s">
        <v>2137</v>
      </c>
      <c r="B1271" s="322" t="s">
        <v>161</v>
      </c>
      <c r="C1271" s="322" t="s">
        <v>738</v>
      </c>
      <c r="D1271" s="322" t="s">
        <v>290</v>
      </c>
      <c r="E1271" s="323">
        <v>1763528996</v>
      </c>
      <c r="F1271" s="323">
        <v>57000</v>
      </c>
      <c r="G1271" s="314">
        <v>1.2337000000000001E-2</v>
      </c>
      <c r="H1271" s="324">
        <v>2.46</v>
      </c>
      <c r="I1271" s="322" t="s">
        <v>723</v>
      </c>
      <c r="J1271" s="322">
        <v>4759</v>
      </c>
      <c r="K1271" s="322">
        <v>6.61</v>
      </c>
      <c r="L1271" s="322">
        <v>113.63</v>
      </c>
      <c r="M1271" s="322" t="s">
        <v>6</v>
      </c>
      <c r="N1271" s="322" t="s">
        <v>368</v>
      </c>
      <c r="O1271" s="322" t="s">
        <v>1350</v>
      </c>
      <c r="P1271" s="322" t="s">
        <v>392</v>
      </c>
      <c r="Q1271" s="322" t="s">
        <v>84</v>
      </c>
      <c r="R1271" s="322" t="s">
        <v>582</v>
      </c>
      <c r="S1271" s="303">
        <f t="shared" si="20"/>
        <v>11656926663.560001</v>
      </c>
      <c r="T1271" s="307">
        <f>+IFERROR(VLOOKUP(C1271,'Tasas Diarias'!$B:$F,5,FALSE)*G1271,0)</f>
        <v>8.2159846437446166E-6</v>
      </c>
      <c r="U1271" s="311" t="str">
        <f ca="1">+VLOOKUP(C1271,Spreads!$A$2:$G$345,7,0)</f>
        <v/>
      </c>
    </row>
    <row r="1272" spans="1:21" ht="15.75" hidden="1" customHeight="1" thickTop="1" thickBot="1">
      <c r="A1272" s="321" t="s">
        <v>2137</v>
      </c>
      <c r="B1272" s="322" t="s">
        <v>161</v>
      </c>
      <c r="C1272" s="322" t="s">
        <v>906</v>
      </c>
      <c r="D1272" s="322" t="s">
        <v>24</v>
      </c>
      <c r="E1272" s="323">
        <v>1500293833</v>
      </c>
      <c r="F1272" s="323">
        <v>55000</v>
      </c>
      <c r="G1272" s="314">
        <v>1.0496E-2</v>
      </c>
      <c r="H1272" s="324">
        <v>2.44</v>
      </c>
      <c r="I1272" s="322" t="s">
        <v>907</v>
      </c>
      <c r="J1272" s="322">
        <v>5124</v>
      </c>
      <c r="K1272" s="322">
        <v>6.61</v>
      </c>
      <c r="L1272" s="322">
        <v>103.63</v>
      </c>
      <c r="M1272" s="322" t="s">
        <v>6</v>
      </c>
      <c r="N1272" s="318" t="s">
        <v>368</v>
      </c>
      <c r="O1272" s="322" t="s">
        <v>8</v>
      </c>
      <c r="P1272" s="322" t="s">
        <v>25</v>
      </c>
      <c r="Q1272" s="322" t="s">
        <v>51</v>
      </c>
      <c r="R1272" s="322" t="s">
        <v>908</v>
      </c>
      <c r="S1272" s="303">
        <f t="shared" si="20"/>
        <v>9916942236.1300011</v>
      </c>
      <c r="T1272" s="307">
        <f>+IFERROR(VLOOKUP(C1272,'Tasas Diarias'!$B:$F,5,FALSE)*G1272,0)</f>
        <v>0</v>
      </c>
      <c r="U1272" s="311" t="str">
        <f ca="1">+VLOOKUP(C1272,Spreads!$A$2:$G$345,7,0)</f>
        <v/>
      </c>
    </row>
    <row r="1273" spans="1:21" ht="15.75" hidden="1" customHeight="1" thickTop="1" thickBot="1">
      <c r="A1273" s="327" t="s">
        <v>2137</v>
      </c>
      <c r="B1273" s="328" t="s">
        <v>161</v>
      </c>
      <c r="C1273" s="328" t="s">
        <v>914</v>
      </c>
      <c r="D1273" s="328" t="s">
        <v>844</v>
      </c>
      <c r="E1273" s="328">
        <v>715115826</v>
      </c>
      <c r="F1273" s="328">
        <v>20000</v>
      </c>
      <c r="G1273" s="328">
        <v>5.0020000000000004E-3</v>
      </c>
      <c r="H1273" s="329">
        <v>2.37</v>
      </c>
      <c r="I1273" s="328" t="s">
        <v>915</v>
      </c>
      <c r="J1273" s="328">
        <v>3115</v>
      </c>
      <c r="K1273" s="328">
        <v>6.82</v>
      </c>
      <c r="L1273" s="328">
        <v>130.13999999999999</v>
      </c>
      <c r="M1273" s="328" t="s">
        <v>6</v>
      </c>
      <c r="N1273" s="328" t="s">
        <v>368</v>
      </c>
      <c r="O1273" s="328" t="s">
        <v>1346</v>
      </c>
      <c r="P1273" s="328" t="s">
        <v>392</v>
      </c>
      <c r="Q1273" s="328" t="s">
        <v>845</v>
      </c>
      <c r="R1273" s="328" t="s">
        <v>846</v>
      </c>
      <c r="S1273" s="303">
        <f t="shared" si="20"/>
        <v>4877089933.3200006</v>
      </c>
      <c r="T1273" s="307">
        <f>+IFERROR(VLOOKUP(C1273,'Tasas Diarias'!$B:$F,5,FALSE)*G1273,0)</f>
        <v>6.8745875928526302E-6</v>
      </c>
      <c r="U1273" s="311" t="str">
        <f ca="1">+VLOOKUP(C1273,Spreads!$A$2:$G$345,7,0)</f>
        <v/>
      </c>
    </row>
    <row r="1274" spans="1:21" ht="15.75" hidden="1" customHeight="1" thickTop="1" thickBot="1">
      <c r="A1274" s="321" t="s">
        <v>2137</v>
      </c>
      <c r="B1274" s="322" t="s">
        <v>161</v>
      </c>
      <c r="C1274" s="322" t="s">
        <v>2147</v>
      </c>
      <c r="D1274" s="322" t="s">
        <v>1523</v>
      </c>
      <c r="E1274" s="323">
        <v>916792589</v>
      </c>
      <c r="F1274" s="323">
        <v>30000</v>
      </c>
      <c r="G1274" s="314">
        <v>6.4130000000000003E-3</v>
      </c>
      <c r="H1274" s="324">
        <v>2.54</v>
      </c>
      <c r="I1274" s="322" t="s">
        <v>751</v>
      </c>
      <c r="J1274" s="322">
        <v>4863</v>
      </c>
      <c r="K1274" s="322">
        <v>6.89</v>
      </c>
      <c r="L1274" s="322">
        <v>113.67</v>
      </c>
      <c r="M1274" s="322" t="s">
        <v>6</v>
      </c>
      <c r="N1274" s="322" t="s">
        <v>368</v>
      </c>
      <c r="O1274" s="322" t="s">
        <v>8</v>
      </c>
      <c r="P1274" s="322" t="s">
        <v>25</v>
      </c>
      <c r="Q1274" s="322" t="s">
        <v>325</v>
      </c>
      <c r="R1274" s="322" t="s">
        <v>1525</v>
      </c>
      <c r="S1274" s="303">
        <f t="shared" si="20"/>
        <v>6316700938.21</v>
      </c>
      <c r="T1274" s="307">
        <f>+IFERROR(VLOOKUP(C1274,'Tasas Diarias'!$B:$F,5,FALSE)*G1274,0)</f>
        <v>0</v>
      </c>
      <c r="U1274" s="311" t="e">
        <f>+VLOOKUP(C1274,Spreads!$A$2:$G$345,7,0)</f>
        <v>#N/A</v>
      </c>
    </row>
    <row r="1275" spans="1:21" ht="15.75" hidden="1" customHeight="1" thickTop="1" thickBot="1">
      <c r="A1275" s="321" t="s">
        <v>2137</v>
      </c>
      <c r="B1275" s="322" t="s">
        <v>161</v>
      </c>
      <c r="C1275" s="322" t="s">
        <v>752</v>
      </c>
      <c r="D1275" s="322" t="s">
        <v>286</v>
      </c>
      <c r="E1275" s="323">
        <v>2065846640</v>
      </c>
      <c r="F1275" s="323">
        <v>74000</v>
      </c>
      <c r="G1275" s="314">
        <v>1.4452E-2</v>
      </c>
      <c r="H1275" s="324">
        <v>2.3199999999999998</v>
      </c>
      <c r="I1275" s="322" t="s">
        <v>753</v>
      </c>
      <c r="J1275" s="322">
        <v>2842</v>
      </c>
      <c r="K1275" s="322">
        <v>7.01</v>
      </c>
      <c r="L1275" s="322">
        <v>104.02</v>
      </c>
      <c r="M1275" s="322" t="s">
        <v>6</v>
      </c>
      <c r="N1275" s="322" t="s">
        <v>368</v>
      </c>
      <c r="O1275" s="322" t="s">
        <v>1346</v>
      </c>
      <c r="P1275" s="322" t="s">
        <v>392</v>
      </c>
      <c r="Q1275" s="322" t="s">
        <v>286</v>
      </c>
      <c r="R1275" s="322" t="s">
        <v>754</v>
      </c>
      <c r="S1275" s="303">
        <f t="shared" si="20"/>
        <v>14481584946.4</v>
      </c>
      <c r="T1275" s="307">
        <f>+IFERROR(VLOOKUP(C1275,'Tasas Diarias'!$B:$F,5,FALSE)*G1275,0)</f>
        <v>0</v>
      </c>
      <c r="U1275" s="311" t="str">
        <f ca="1">+VLOOKUP(C1275,Spreads!$A$2:$G$345,7,0)</f>
        <v/>
      </c>
    </row>
    <row r="1276" spans="1:21" ht="15.75" hidden="1" customHeight="1" thickTop="1" thickBot="1">
      <c r="A1276" s="321" t="s">
        <v>2137</v>
      </c>
      <c r="B1276" s="322" t="s">
        <v>161</v>
      </c>
      <c r="C1276" s="322" t="s">
        <v>750</v>
      </c>
      <c r="D1276" s="322" t="s">
        <v>396</v>
      </c>
      <c r="E1276" s="323">
        <v>2462031383</v>
      </c>
      <c r="F1276" s="345">
        <v>78000</v>
      </c>
      <c r="G1276" s="314">
        <v>1.7224E-2</v>
      </c>
      <c r="H1276" s="324">
        <v>2.42</v>
      </c>
      <c r="I1276" s="322" t="s">
        <v>751</v>
      </c>
      <c r="J1276" s="322">
        <v>4863</v>
      </c>
      <c r="K1276" s="322">
        <v>7.02</v>
      </c>
      <c r="L1276" s="322">
        <v>114.84</v>
      </c>
      <c r="M1276" s="322" t="s">
        <v>6</v>
      </c>
      <c r="N1276" s="322" t="s">
        <v>368</v>
      </c>
      <c r="O1276" s="322" t="s">
        <v>8</v>
      </c>
      <c r="P1276" s="322" t="s">
        <v>392</v>
      </c>
      <c r="Q1276" s="322" t="s">
        <v>398</v>
      </c>
      <c r="R1276" s="322" t="s">
        <v>399</v>
      </c>
      <c r="S1276" s="303">
        <f t="shared" si="20"/>
        <v>17283460308.66</v>
      </c>
      <c r="T1276" s="307">
        <f>+IFERROR(VLOOKUP(C1276,'Tasas Diarias'!$B:$F,5,FALSE)*G1276,0)</f>
        <v>2.4373051204780581E-5</v>
      </c>
      <c r="U1276" s="311" t="str">
        <f ca="1">+VLOOKUP(C1276,Spreads!$A$2:$G$345,7,0)</f>
        <v/>
      </c>
    </row>
    <row r="1277" spans="1:21" ht="15.75" hidden="1" customHeight="1" thickTop="1" thickBot="1">
      <c r="A1277" s="317" t="s">
        <v>2137</v>
      </c>
      <c r="B1277" s="318" t="s">
        <v>161</v>
      </c>
      <c r="C1277" s="318" t="s">
        <v>743</v>
      </c>
      <c r="D1277" s="318" t="s">
        <v>58</v>
      </c>
      <c r="E1277" s="319">
        <v>357159344</v>
      </c>
      <c r="F1277" s="319">
        <v>15000</v>
      </c>
      <c r="G1277" s="314">
        <v>2.4979999999999998E-3</v>
      </c>
      <c r="H1277" s="318">
        <v>2.6</v>
      </c>
      <c r="I1277" s="318" t="s">
        <v>744</v>
      </c>
      <c r="J1277" s="318">
        <v>6076</v>
      </c>
      <c r="K1277" s="318">
        <v>7.11</v>
      </c>
      <c r="L1277" s="318">
        <v>108.78</v>
      </c>
      <c r="M1277" s="318" t="s">
        <v>6</v>
      </c>
      <c r="N1277" s="318" t="s">
        <v>368</v>
      </c>
      <c r="O1277" s="318" t="s">
        <v>8</v>
      </c>
      <c r="P1277" s="318" t="s">
        <v>392</v>
      </c>
      <c r="Q1277" s="318" t="s">
        <v>58</v>
      </c>
      <c r="R1277" s="318" t="s">
        <v>745</v>
      </c>
      <c r="S1277" s="303">
        <f t="shared" si="20"/>
        <v>2539402935.8400002</v>
      </c>
      <c r="T1277" s="307">
        <f>+IFERROR(VLOOKUP(C1277,'Tasas Diarias'!$B:$F,5,FALSE)*G1277,0)</f>
        <v>1.7873264839617486E-6</v>
      </c>
      <c r="U1277" s="311" t="str">
        <f ca="1">+VLOOKUP(C1277,Spreads!$A$2:$G$345,7,0)</f>
        <v/>
      </c>
    </row>
    <row r="1278" spans="1:21" ht="15.75" hidden="1" customHeight="1" thickTop="1" thickBot="1">
      <c r="A1278" s="317" t="s">
        <v>2137</v>
      </c>
      <c r="B1278" s="318" t="s">
        <v>161</v>
      </c>
      <c r="C1278" s="318" t="s">
        <v>1045</v>
      </c>
      <c r="D1278" s="318" t="s">
        <v>16</v>
      </c>
      <c r="E1278" s="319">
        <v>963402276</v>
      </c>
      <c r="F1278" s="319">
        <v>30000</v>
      </c>
      <c r="G1278" s="314">
        <v>6.7400000000000003E-3</v>
      </c>
      <c r="H1278" s="320">
        <v>2.36</v>
      </c>
      <c r="I1278" s="318" t="s">
        <v>664</v>
      </c>
      <c r="J1278" s="318">
        <v>3207</v>
      </c>
      <c r="K1278" s="318">
        <v>7.36</v>
      </c>
      <c r="L1278" s="318">
        <v>119.16</v>
      </c>
      <c r="M1278" s="318" t="s">
        <v>6</v>
      </c>
      <c r="N1278" s="318" t="s">
        <v>368</v>
      </c>
      <c r="O1278" s="318" t="s">
        <v>8</v>
      </c>
      <c r="P1278" s="318" t="s">
        <v>7</v>
      </c>
      <c r="Q1278" s="318" t="s">
        <v>61</v>
      </c>
      <c r="R1278" s="318" t="s">
        <v>394</v>
      </c>
      <c r="S1278" s="303">
        <f t="shared" si="20"/>
        <v>7090640751.3600006</v>
      </c>
      <c r="T1278" s="307">
        <f>+IFERROR(VLOOKUP(C1278,'Tasas Diarias'!$B:$F,5,FALSE)*G1278,0)</f>
        <v>4.9962192603746576E-6</v>
      </c>
      <c r="U1278" s="311" t="str">
        <f ca="1">+VLOOKUP(C1278,Spreads!$A$2:$G$345,7,0)</f>
        <v/>
      </c>
    </row>
    <row r="1279" spans="1:21" ht="15.75" hidden="1" customHeight="1" thickTop="1" thickBot="1">
      <c r="A1279" s="321" t="s">
        <v>2137</v>
      </c>
      <c r="B1279" s="322" t="s">
        <v>161</v>
      </c>
      <c r="C1279" s="322" t="s">
        <v>763</v>
      </c>
      <c r="D1279" s="322" t="s">
        <v>764</v>
      </c>
      <c r="E1279" s="323">
        <v>390514125</v>
      </c>
      <c r="F1279" s="323">
        <v>12500</v>
      </c>
      <c r="G1279" s="314">
        <v>2.7320000000000001E-3</v>
      </c>
      <c r="H1279" s="324">
        <v>2.61</v>
      </c>
      <c r="I1279" s="322" t="s">
        <v>765</v>
      </c>
      <c r="J1279" s="322">
        <v>4282</v>
      </c>
      <c r="K1279" s="322">
        <v>7.5</v>
      </c>
      <c r="L1279" s="322">
        <v>115.68</v>
      </c>
      <c r="M1279" s="322" t="s">
        <v>6</v>
      </c>
      <c r="N1279" s="322" t="s">
        <v>368</v>
      </c>
      <c r="O1279" s="322" t="s">
        <v>1347</v>
      </c>
      <c r="P1279" s="322" t="s">
        <v>392</v>
      </c>
      <c r="Q1279" s="322" t="s">
        <v>766</v>
      </c>
      <c r="R1279" s="322" t="s">
        <v>767</v>
      </c>
      <c r="S1279" s="303">
        <f t="shared" si="20"/>
        <v>2928855937.5</v>
      </c>
      <c r="T1279" s="307">
        <f>+IFERROR(VLOOKUP(C1279,'Tasas Diarias'!$B:$F,5,FALSE)*G1279,0)</f>
        <v>4.1294527478602837E-6</v>
      </c>
      <c r="U1279" s="311" t="str">
        <f ca="1">+VLOOKUP(C1279,Spreads!$A$2:$G$345,7,0)</f>
        <v/>
      </c>
    </row>
    <row r="1280" spans="1:21" ht="15.75" hidden="1" customHeight="1" thickTop="1" thickBot="1">
      <c r="A1280" s="317" t="s">
        <v>2137</v>
      </c>
      <c r="B1280" s="318" t="s">
        <v>161</v>
      </c>
      <c r="C1280" s="318" t="s">
        <v>760</v>
      </c>
      <c r="D1280" s="318" t="s">
        <v>181</v>
      </c>
      <c r="E1280" s="319">
        <v>1464138462</v>
      </c>
      <c r="F1280" s="319">
        <v>46000</v>
      </c>
      <c r="G1280" s="314">
        <v>1.0243E-2</v>
      </c>
      <c r="H1280" s="320">
        <v>2.48</v>
      </c>
      <c r="I1280" s="318" t="s">
        <v>761</v>
      </c>
      <c r="J1280" s="318">
        <v>5504</v>
      </c>
      <c r="K1280" s="318">
        <v>7.51</v>
      </c>
      <c r="L1280" s="318">
        <v>116.99</v>
      </c>
      <c r="M1280" s="318" t="s">
        <v>6</v>
      </c>
      <c r="N1280" s="318" t="s">
        <v>368</v>
      </c>
      <c r="O1280" s="318" t="s">
        <v>530</v>
      </c>
      <c r="P1280" s="318" t="s">
        <v>392</v>
      </c>
      <c r="Q1280" s="318" t="s">
        <v>85</v>
      </c>
      <c r="R1280" s="318" t="s">
        <v>762</v>
      </c>
      <c r="S1280" s="303">
        <f t="shared" si="20"/>
        <v>10995679849.619999</v>
      </c>
      <c r="T1280" s="307">
        <f>+IFERROR(VLOOKUP(C1280,'Tasas Diarias'!$B:$F,5,FALSE)*G1280,0)</f>
        <v>7.7114544506044837E-6</v>
      </c>
      <c r="U1280" s="311" t="str">
        <f ca="1">+VLOOKUP(C1280,Spreads!$A$2:$G$345,7,0)</f>
        <v/>
      </c>
    </row>
    <row r="1281" spans="1:21" ht="15.75" hidden="1" customHeight="1" thickTop="1" thickBot="1">
      <c r="A1281" s="317" t="s">
        <v>2137</v>
      </c>
      <c r="B1281" s="318" t="s">
        <v>161</v>
      </c>
      <c r="C1281" s="318" t="s">
        <v>1522</v>
      </c>
      <c r="D1281" s="318" t="s">
        <v>1523</v>
      </c>
      <c r="E1281" s="319">
        <v>1497275607</v>
      </c>
      <c r="F1281" s="319">
        <v>50000</v>
      </c>
      <c r="G1281" s="314">
        <v>1.0475E-2</v>
      </c>
      <c r="H1281" s="320">
        <v>2.58</v>
      </c>
      <c r="I1281" s="318" t="s">
        <v>1524</v>
      </c>
      <c r="J1281" s="318">
        <v>5169</v>
      </c>
      <c r="K1281" s="318">
        <v>7.54</v>
      </c>
      <c r="L1281" s="318">
        <v>110.75</v>
      </c>
      <c r="M1281" s="318" t="s">
        <v>6</v>
      </c>
      <c r="N1281" s="318" t="s">
        <v>368</v>
      </c>
      <c r="O1281" s="318" t="s">
        <v>8</v>
      </c>
      <c r="P1281" s="318" t="s">
        <v>25</v>
      </c>
      <c r="Q1281" s="318" t="s">
        <v>325</v>
      </c>
      <c r="R1281" s="318" t="s">
        <v>1525</v>
      </c>
      <c r="S1281" s="303">
        <f t="shared" si="20"/>
        <v>11289458076.780001</v>
      </c>
      <c r="T1281" s="307">
        <f>+IFERROR(VLOOKUP(C1281,'Tasas Diarias'!$B:$F,5,FALSE)*G1281,0)</f>
        <v>7.9639810462279073E-6</v>
      </c>
      <c r="U1281" s="311" t="e">
        <f>+VLOOKUP(C1281,Spreads!$A$2:$G$345,7,0)</f>
        <v>#N/A</v>
      </c>
    </row>
    <row r="1282" spans="1:21" ht="15.75" hidden="1" customHeight="1" thickTop="1" thickBot="1">
      <c r="A1282" s="317" t="s">
        <v>2137</v>
      </c>
      <c r="B1282" s="318" t="s">
        <v>161</v>
      </c>
      <c r="C1282" s="318" t="s">
        <v>1610</v>
      </c>
      <c r="D1282" s="318" t="s">
        <v>1600</v>
      </c>
      <c r="E1282" s="319">
        <v>1521365497</v>
      </c>
      <c r="F1282" s="319">
        <v>50000</v>
      </c>
      <c r="G1282" s="314">
        <v>1.0643E-2</v>
      </c>
      <c r="H1282" s="320">
        <v>4.3899999999999997</v>
      </c>
      <c r="I1282" s="318" t="s">
        <v>1611</v>
      </c>
      <c r="J1282" s="318">
        <v>3694</v>
      </c>
      <c r="K1282" s="318">
        <v>7.77</v>
      </c>
      <c r="L1282" s="318">
        <v>111.09</v>
      </c>
      <c r="M1282" s="318" t="s">
        <v>6</v>
      </c>
      <c r="N1282" s="318" t="s">
        <v>368</v>
      </c>
      <c r="O1282" s="318" t="s">
        <v>461</v>
      </c>
      <c r="P1282" s="318" t="s">
        <v>802</v>
      </c>
      <c r="Q1282" s="318" t="s">
        <v>836</v>
      </c>
      <c r="R1282" s="318" t="s">
        <v>837</v>
      </c>
      <c r="S1282" s="303">
        <f t="shared" si="20"/>
        <v>11821009911.689999</v>
      </c>
      <c r="T1282" s="307">
        <f>+IFERROR(VLOOKUP(C1282,'Tasas Diarias'!$B:$F,5,FALSE)*G1282,0)</f>
        <v>1.6656967486111866E-5</v>
      </c>
      <c r="U1282" s="311" t="e">
        <f>+VLOOKUP(C1282,Spreads!$A$2:$G$345,7,0)</f>
        <v>#N/A</v>
      </c>
    </row>
    <row r="1283" spans="1:21" ht="15.75" hidden="1" customHeight="1" thickTop="1" thickBot="1">
      <c r="A1283" s="321" t="s">
        <v>2137</v>
      </c>
      <c r="B1283" s="322" t="s">
        <v>161</v>
      </c>
      <c r="C1283" s="322" t="s">
        <v>19</v>
      </c>
      <c r="D1283" s="322" t="s">
        <v>116</v>
      </c>
      <c r="E1283" s="323">
        <v>1797607449</v>
      </c>
      <c r="F1283" s="323">
        <v>68500</v>
      </c>
      <c r="G1283" s="314">
        <v>1.2576E-2</v>
      </c>
      <c r="H1283" s="324">
        <v>1.76</v>
      </c>
      <c r="I1283" s="322" t="s">
        <v>770</v>
      </c>
      <c r="J1283" s="322">
        <v>3023</v>
      </c>
      <c r="K1283" s="322">
        <v>7.79</v>
      </c>
      <c r="L1283" s="322">
        <v>98.07</v>
      </c>
      <c r="M1283" s="322" t="s">
        <v>6</v>
      </c>
      <c r="N1283" s="322" t="s">
        <v>458</v>
      </c>
      <c r="O1283" s="322" t="s">
        <v>378</v>
      </c>
      <c r="P1283" s="322" t="s">
        <v>379</v>
      </c>
      <c r="Q1283" s="322" t="s">
        <v>2139</v>
      </c>
      <c r="R1283" s="322" t="s">
        <v>508</v>
      </c>
      <c r="S1283" s="303">
        <f t="shared" ref="S1283:S1323" si="21">+IFERROR(E1283*K1283,0)</f>
        <v>14003362027.710001</v>
      </c>
      <c r="T1283" s="307">
        <f>+IFERROR(VLOOKUP(C1283,'Tasas Diarias'!$B:$F,5,FALSE)*G1283,0)</f>
        <v>2.9602482182922647E-5</v>
      </c>
      <c r="U1283" s="311" t="str">
        <f>+VLOOKUP(C1283,Spreads!$A$2:$G$345,7,0)</f>
        <v/>
      </c>
    </row>
    <row r="1284" spans="1:21" ht="15.75" hidden="1" customHeight="1" thickTop="1" thickBot="1">
      <c r="A1284" s="317" t="s">
        <v>2137</v>
      </c>
      <c r="B1284" s="318" t="s">
        <v>161</v>
      </c>
      <c r="C1284" s="318" t="s">
        <v>920</v>
      </c>
      <c r="D1284" s="318" t="s">
        <v>295</v>
      </c>
      <c r="E1284" s="319">
        <v>911567542</v>
      </c>
      <c r="F1284" s="319">
        <v>30000</v>
      </c>
      <c r="G1284" s="314">
        <v>6.3769999999999999E-3</v>
      </c>
      <c r="H1284" s="320">
        <v>2.46</v>
      </c>
      <c r="I1284" s="318" t="s">
        <v>921</v>
      </c>
      <c r="J1284" s="318">
        <v>3360</v>
      </c>
      <c r="K1284" s="318">
        <v>7.81</v>
      </c>
      <c r="L1284" s="318">
        <v>112.56</v>
      </c>
      <c r="M1284" s="318" t="s">
        <v>6</v>
      </c>
      <c r="N1284" s="318" t="s">
        <v>368</v>
      </c>
      <c r="O1284" s="318" t="s">
        <v>8</v>
      </c>
      <c r="P1284" s="318" t="s">
        <v>417</v>
      </c>
      <c r="Q1284" s="318" t="s">
        <v>70</v>
      </c>
      <c r="R1284" s="318" t="s">
        <v>922</v>
      </c>
      <c r="S1284" s="303">
        <f t="shared" si="21"/>
        <v>7119342503.0199995</v>
      </c>
      <c r="T1284" s="307">
        <f>+IFERROR(VLOOKUP(C1284,'Tasas Diarias'!$B:$F,5,FALSE)*G1284,0)</f>
        <v>5.0153344129641708E-6</v>
      </c>
      <c r="U1284" s="311" t="str">
        <f ca="1">+VLOOKUP(C1284,Spreads!$A$2:$G$345,7,0)</f>
        <v/>
      </c>
    </row>
    <row r="1285" spans="1:21" ht="15.75" hidden="1" customHeight="1" thickTop="1" thickBot="1">
      <c r="A1285" s="317" t="s">
        <v>2137</v>
      </c>
      <c r="B1285" s="318" t="s">
        <v>161</v>
      </c>
      <c r="C1285" s="318" t="s">
        <v>771</v>
      </c>
      <c r="D1285" s="318" t="s">
        <v>521</v>
      </c>
      <c r="E1285" s="319">
        <v>2952637120</v>
      </c>
      <c r="F1285" s="319">
        <v>100000</v>
      </c>
      <c r="G1285" s="314">
        <v>2.0656000000000001E-2</v>
      </c>
      <c r="H1285" s="320">
        <v>2.59</v>
      </c>
      <c r="I1285" s="318" t="s">
        <v>772</v>
      </c>
      <c r="J1285" s="318">
        <v>5399</v>
      </c>
      <c r="K1285" s="318">
        <v>8.07</v>
      </c>
      <c r="L1285" s="318">
        <v>109.8</v>
      </c>
      <c r="M1285" s="318" t="s">
        <v>6</v>
      </c>
      <c r="N1285" s="318" t="s">
        <v>368</v>
      </c>
      <c r="O1285" s="318" t="s">
        <v>429</v>
      </c>
      <c r="P1285" s="318" t="s">
        <v>392</v>
      </c>
      <c r="Q1285" s="318" t="s">
        <v>522</v>
      </c>
      <c r="R1285" s="318" t="s">
        <v>523</v>
      </c>
      <c r="S1285" s="303">
        <f t="shared" si="21"/>
        <v>23827781558.400002</v>
      </c>
      <c r="T1285" s="307">
        <f>+IFERROR(VLOOKUP(C1285,'Tasas Diarias'!$B:$F,5,FALSE)*G1285,0)</f>
        <v>1.6783233448152592E-5</v>
      </c>
      <c r="U1285" s="311" t="str">
        <f ca="1">+VLOOKUP(C1285,Spreads!$A$2:$G$345,7,0)</f>
        <v/>
      </c>
    </row>
    <row r="1286" spans="1:21" ht="15.75" hidden="1" customHeight="1" thickTop="1" thickBot="1">
      <c r="A1286" s="317" t="s">
        <v>2137</v>
      </c>
      <c r="B1286" s="318" t="s">
        <v>161</v>
      </c>
      <c r="C1286" s="318" t="s">
        <v>1008</v>
      </c>
      <c r="D1286" s="318" t="s">
        <v>485</v>
      </c>
      <c r="E1286" s="319">
        <v>663718760</v>
      </c>
      <c r="F1286" s="319">
        <v>25000</v>
      </c>
      <c r="G1286" s="314">
        <v>4.6430000000000004E-3</v>
      </c>
      <c r="H1286" s="320">
        <v>2.46</v>
      </c>
      <c r="I1286" s="318" t="s">
        <v>1009</v>
      </c>
      <c r="J1286" s="318">
        <v>3282</v>
      </c>
      <c r="K1286" s="318">
        <v>8.14</v>
      </c>
      <c r="L1286" s="318">
        <v>99.51</v>
      </c>
      <c r="M1286" s="318" t="s">
        <v>6</v>
      </c>
      <c r="N1286" s="318" t="s">
        <v>368</v>
      </c>
      <c r="O1286" s="318" t="s">
        <v>1348</v>
      </c>
      <c r="P1286" s="318" t="s">
        <v>392</v>
      </c>
      <c r="Q1286" s="318" t="s">
        <v>487</v>
      </c>
      <c r="R1286" s="318" t="s">
        <v>488</v>
      </c>
      <c r="S1286" s="303">
        <f t="shared" si="21"/>
        <v>5402670706.4000006</v>
      </c>
      <c r="T1286" s="307">
        <f>+IFERROR(VLOOKUP(C1286,'Tasas Diarias'!$B:$F,5,FALSE)*G1286,0)</f>
        <v>1.1273770631910987E-5</v>
      </c>
      <c r="U1286" s="311" t="str">
        <f ca="1">+VLOOKUP(C1286,Spreads!$A$2:$G$345,7,0)</f>
        <v/>
      </c>
    </row>
    <row r="1287" spans="1:21" ht="15.75" hidden="1" customHeight="1" thickTop="1" thickBot="1">
      <c r="A1287" s="321" t="s">
        <v>2137</v>
      </c>
      <c r="B1287" s="322" t="s">
        <v>161</v>
      </c>
      <c r="C1287" s="322" t="s">
        <v>923</v>
      </c>
      <c r="D1287" s="322" t="s">
        <v>859</v>
      </c>
      <c r="E1287" s="323">
        <v>136051835</v>
      </c>
      <c r="F1287" s="323">
        <v>5000</v>
      </c>
      <c r="G1287" s="314">
        <v>9.5100000000000002E-4</v>
      </c>
      <c r="H1287" s="324">
        <v>3.34</v>
      </c>
      <c r="I1287" s="322" t="s">
        <v>924</v>
      </c>
      <c r="J1287" s="322">
        <v>3938</v>
      </c>
      <c r="K1287" s="322">
        <v>8.14</v>
      </c>
      <c r="L1287" s="322">
        <v>101.26</v>
      </c>
      <c r="M1287" s="322" t="s">
        <v>6</v>
      </c>
      <c r="N1287" s="322" t="s">
        <v>368</v>
      </c>
      <c r="O1287" s="322" t="s">
        <v>1347</v>
      </c>
      <c r="P1287" s="322" t="s">
        <v>25</v>
      </c>
      <c r="Q1287" s="322" t="s">
        <v>861</v>
      </c>
      <c r="R1287" s="322" t="s">
        <v>862</v>
      </c>
      <c r="S1287" s="303">
        <f t="shared" si="21"/>
        <v>1107461936.9000001</v>
      </c>
      <c r="T1287" s="307">
        <f>+IFERROR(VLOOKUP(C1287,'Tasas Diarias'!$B:$F,5,FALSE)*G1287,0)</f>
        <v>0</v>
      </c>
      <c r="U1287" s="311" t="str">
        <f ca="1">+VLOOKUP(C1287,Spreads!$A$2:$G$345,7,0)</f>
        <v/>
      </c>
    </row>
    <row r="1288" spans="1:21" ht="15.75" hidden="1" customHeight="1" thickTop="1" thickBot="1">
      <c r="A1288" s="317" t="s">
        <v>2137</v>
      </c>
      <c r="B1288" s="318" t="s">
        <v>161</v>
      </c>
      <c r="C1288" s="318" t="s">
        <v>1598</v>
      </c>
      <c r="D1288" s="318" t="s">
        <v>485</v>
      </c>
      <c r="E1288" s="319">
        <v>254644170</v>
      </c>
      <c r="F1288" s="319">
        <v>8500</v>
      </c>
      <c r="G1288" s="314">
        <v>1.781E-3</v>
      </c>
      <c r="H1288" s="320">
        <v>2.5299999999999998</v>
      </c>
      <c r="I1288" s="318" t="s">
        <v>952</v>
      </c>
      <c r="J1288" s="318">
        <v>5474</v>
      </c>
      <c r="K1288" s="318">
        <v>8.24</v>
      </c>
      <c r="L1288" s="318">
        <v>112.27</v>
      </c>
      <c r="M1288" s="318" t="s">
        <v>6</v>
      </c>
      <c r="N1288" s="318" t="s">
        <v>368</v>
      </c>
      <c r="O1288" s="318" t="s">
        <v>1348</v>
      </c>
      <c r="P1288" s="318" t="s">
        <v>392</v>
      </c>
      <c r="Q1288" s="318" t="s">
        <v>487</v>
      </c>
      <c r="R1288" s="318" t="s">
        <v>488</v>
      </c>
      <c r="S1288" s="303">
        <f t="shared" si="21"/>
        <v>2098267960.8</v>
      </c>
      <c r="T1288" s="307">
        <f>+IFERROR(VLOOKUP(C1288,'Tasas Diarias'!$B:$F,5,FALSE)*G1288,0)</f>
        <v>0</v>
      </c>
      <c r="U1288" s="311" t="e">
        <f>+VLOOKUP(C1288,Spreads!$A$2:$G$345,7,0)</f>
        <v>#N/A</v>
      </c>
    </row>
    <row r="1289" spans="1:21" ht="15.75" hidden="1" customHeight="1" thickTop="1" thickBot="1">
      <c r="A1289" s="321" t="s">
        <v>2137</v>
      </c>
      <c r="B1289" s="322" t="s">
        <v>161</v>
      </c>
      <c r="C1289" s="322" t="s">
        <v>775</v>
      </c>
      <c r="D1289" s="322" t="s">
        <v>776</v>
      </c>
      <c r="E1289" s="323">
        <v>2333687430</v>
      </c>
      <c r="F1289" s="323">
        <v>75000</v>
      </c>
      <c r="G1289" s="314">
        <v>1.6326E-2</v>
      </c>
      <c r="H1289" s="324">
        <v>2.54</v>
      </c>
      <c r="I1289" s="322" t="s">
        <v>777</v>
      </c>
      <c r="J1289" s="322">
        <v>3677</v>
      </c>
      <c r="K1289" s="322">
        <v>8.32</v>
      </c>
      <c r="L1289" s="322">
        <v>114.59</v>
      </c>
      <c r="M1289" s="322" t="s">
        <v>6</v>
      </c>
      <c r="N1289" s="322" t="s">
        <v>368</v>
      </c>
      <c r="O1289" s="322" t="s">
        <v>1347</v>
      </c>
      <c r="P1289" s="322" t="s">
        <v>392</v>
      </c>
      <c r="Q1289" s="322" t="s">
        <v>778</v>
      </c>
      <c r="R1289" s="322" t="s">
        <v>779</v>
      </c>
      <c r="S1289" s="303">
        <f t="shared" si="21"/>
        <v>19416279417.600002</v>
      </c>
      <c r="T1289" s="307">
        <f>+IFERROR(VLOOKUP(C1289,'Tasas Diarias'!$B:$F,5,FALSE)*G1289,0)</f>
        <v>1.367767434627108E-5</v>
      </c>
      <c r="U1289" s="311" t="str">
        <f ca="1">+VLOOKUP(C1289,Spreads!$A$2:$G$345,7,0)</f>
        <v/>
      </c>
    </row>
    <row r="1290" spans="1:21" ht="15.75" hidden="1" customHeight="1" thickTop="1" thickBot="1">
      <c r="A1290" s="327" t="s">
        <v>2137</v>
      </c>
      <c r="B1290" s="328" t="s">
        <v>161</v>
      </c>
      <c r="C1290" s="328" t="s">
        <v>925</v>
      </c>
      <c r="D1290" s="328" t="s">
        <v>859</v>
      </c>
      <c r="E1290" s="328">
        <v>1171634705</v>
      </c>
      <c r="F1290" s="328">
        <v>30000</v>
      </c>
      <c r="G1290" s="328">
        <v>8.1960000000000002E-3</v>
      </c>
      <c r="H1290" s="329">
        <v>2.74</v>
      </c>
      <c r="I1290" s="328" t="s">
        <v>926</v>
      </c>
      <c r="J1290" s="328">
        <v>4119</v>
      </c>
      <c r="K1290" s="328">
        <v>8.4</v>
      </c>
      <c r="L1290" s="328">
        <v>144.13999999999999</v>
      </c>
      <c r="M1290" s="328" t="s">
        <v>6</v>
      </c>
      <c r="N1290" s="328" t="s">
        <v>368</v>
      </c>
      <c r="O1290" s="328" t="s">
        <v>1347</v>
      </c>
      <c r="P1290" s="328" t="s">
        <v>25</v>
      </c>
      <c r="Q1290" s="328" t="s">
        <v>861</v>
      </c>
      <c r="R1290" s="328" t="s">
        <v>862</v>
      </c>
      <c r="S1290" s="303">
        <f t="shared" si="21"/>
        <v>9841731522</v>
      </c>
      <c r="T1290" s="307">
        <f>+IFERROR(VLOOKUP(C1290,'Tasas Diarias'!$B:$F,5,FALSE)*G1290,0)</f>
        <v>6.9288967969882042E-6</v>
      </c>
      <c r="U1290" s="311" t="str">
        <f ca="1">+VLOOKUP(C1290,Spreads!$A$2:$G$345,7,0)</f>
        <v/>
      </c>
    </row>
    <row r="1291" spans="1:21" ht="15.75" hidden="1" customHeight="1" thickTop="1" thickBot="1">
      <c r="A1291" s="317" t="s">
        <v>2137</v>
      </c>
      <c r="B1291" s="318" t="s">
        <v>161</v>
      </c>
      <c r="C1291" s="318" t="s">
        <v>780</v>
      </c>
      <c r="D1291" s="318" t="s">
        <v>420</v>
      </c>
      <c r="E1291" s="319">
        <v>1725726937</v>
      </c>
      <c r="F1291" s="319">
        <v>57500</v>
      </c>
      <c r="G1291" s="314">
        <v>1.2073E-2</v>
      </c>
      <c r="H1291" s="320">
        <v>2.62</v>
      </c>
      <c r="I1291" s="318" t="s">
        <v>781</v>
      </c>
      <c r="J1291" s="318">
        <v>5594</v>
      </c>
      <c r="K1291" s="318">
        <v>8.42</v>
      </c>
      <c r="L1291" s="318">
        <v>111.73</v>
      </c>
      <c r="M1291" s="318" t="s">
        <v>6</v>
      </c>
      <c r="N1291" s="318" t="s">
        <v>368</v>
      </c>
      <c r="O1291" s="318" t="s">
        <v>421</v>
      </c>
      <c r="P1291" s="318" t="s">
        <v>417</v>
      </c>
      <c r="Q1291" s="318" t="s">
        <v>422</v>
      </c>
      <c r="R1291" s="318" t="s">
        <v>423</v>
      </c>
      <c r="S1291" s="303">
        <f t="shared" si="21"/>
        <v>14530620809.539999</v>
      </c>
      <c r="T1291" s="307">
        <f>+IFERROR(VLOOKUP(C1291,'Tasas Diarias'!$B:$F,5,FALSE)*G1291,0)</f>
        <v>1.0222427261526675E-5</v>
      </c>
      <c r="U1291" s="311" t="str">
        <f ca="1">+VLOOKUP(C1291,Spreads!$A$2:$G$345,7,0)</f>
        <v/>
      </c>
    </row>
    <row r="1292" spans="1:21" ht="15.75" hidden="1" customHeight="1" thickTop="1" thickBot="1">
      <c r="A1292" s="317" t="s">
        <v>2137</v>
      </c>
      <c r="B1292" s="318" t="s">
        <v>161</v>
      </c>
      <c r="C1292" s="318" t="s">
        <v>928</v>
      </c>
      <c r="D1292" s="318" t="s">
        <v>929</v>
      </c>
      <c r="E1292" s="319">
        <v>14538370</v>
      </c>
      <c r="F1292" s="319">
        <v>500</v>
      </c>
      <c r="G1292" s="314">
        <v>1.01E-4</v>
      </c>
      <c r="H1292" s="320">
        <v>3.43</v>
      </c>
      <c r="I1292" s="318" t="s">
        <v>930</v>
      </c>
      <c r="J1292" s="318">
        <v>3846</v>
      </c>
      <c r="K1292" s="318">
        <v>8.5399999999999991</v>
      </c>
      <c r="L1292" s="318">
        <v>106.91</v>
      </c>
      <c r="M1292" s="318" t="s">
        <v>6</v>
      </c>
      <c r="N1292" s="318" t="s">
        <v>368</v>
      </c>
      <c r="O1292" s="318" t="s">
        <v>1348</v>
      </c>
      <c r="P1292" s="318" t="s">
        <v>417</v>
      </c>
      <c r="Q1292" s="318" t="s">
        <v>929</v>
      </c>
      <c r="R1292" s="318" t="s">
        <v>931</v>
      </c>
      <c r="S1292" s="303">
        <f t="shared" si="21"/>
        <v>124157679.79999998</v>
      </c>
      <c r="T1292" s="307">
        <f>+IFERROR(VLOOKUP(C1292,'Tasas Diarias'!$B:$F,5,FALSE)*G1292,0)</f>
        <v>1.7364025563343433E-7</v>
      </c>
      <c r="U1292" s="311" t="str">
        <f ca="1">+VLOOKUP(C1292,Spreads!$A$2:$G$345,7,0)</f>
        <v/>
      </c>
    </row>
    <row r="1293" spans="1:21" ht="15.75" hidden="1" customHeight="1" thickTop="1" thickBot="1">
      <c r="A1293" s="321" t="s">
        <v>2137</v>
      </c>
      <c r="B1293" s="322" t="s">
        <v>161</v>
      </c>
      <c r="C1293" s="322" t="s">
        <v>784</v>
      </c>
      <c r="D1293" s="322" t="s">
        <v>166</v>
      </c>
      <c r="E1293" s="323">
        <v>2123965449</v>
      </c>
      <c r="F1293" s="323">
        <v>2040000000</v>
      </c>
      <c r="G1293" s="314">
        <v>1.4859000000000001E-2</v>
      </c>
      <c r="H1293" s="324">
        <v>6.89</v>
      </c>
      <c r="I1293" s="322" t="s">
        <v>785</v>
      </c>
      <c r="J1293" s="322">
        <v>4941</v>
      </c>
      <c r="K1293" s="322">
        <v>8.76</v>
      </c>
      <c r="L1293" s="322">
        <v>100.87</v>
      </c>
      <c r="M1293" s="322" t="s">
        <v>9</v>
      </c>
      <c r="N1293" s="322" t="s">
        <v>368</v>
      </c>
      <c r="O1293" s="322" t="s">
        <v>429</v>
      </c>
      <c r="P1293" s="322" t="s">
        <v>392</v>
      </c>
      <c r="Q1293" s="322" t="s">
        <v>57</v>
      </c>
      <c r="R1293" s="322" t="s">
        <v>447</v>
      </c>
      <c r="S1293" s="303">
        <f t="shared" si="21"/>
        <v>18605937333.239998</v>
      </c>
      <c r="T1293" s="307">
        <f>+IFERROR(VLOOKUP(C1293,'Tasas Diarias'!$B:$F,5,FALSE)*G1293,0)</f>
        <v>-1.3129584339352378E-5</v>
      </c>
      <c r="U1293" s="311" t="str">
        <f ca="1">+VLOOKUP(C1293,Spreads!$A$2:$G$345,7,0)</f>
        <v/>
      </c>
    </row>
    <row r="1294" spans="1:21" ht="15.75" hidden="1" customHeight="1" thickTop="1" thickBot="1">
      <c r="A1294" s="317" t="s">
        <v>2137</v>
      </c>
      <c r="B1294" s="318" t="s">
        <v>161</v>
      </c>
      <c r="C1294" s="318" t="s">
        <v>932</v>
      </c>
      <c r="D1294" s="318" t="s">
        <v>166</v>
      </c>
      <c r="E1294" s="319">
        <v>298236405</v>
      </c>
      <c r="F1294" s="319">
        <v>10000</v>
      </c>
      <c r="G1294" s="314">
        <v>2.0860000000000002E-3</v>
      </c>
      <c r="H1294" s="320">
        <v>2.69</v>
      </c>
      <c r="I1294" s="318" t="s">
        <v>933</v>
      </c>
      <c r="J1294" s="318">
        <v>3821</v>
      </c>
      <c r="K1294" s="318">
        <v>8.7799999999999994</v>
      </c>
      <c r="L1294" s="318">
        <v>111.67</v>
      </c>
      <c r="M1294" s="318" t="s">
        <v>6</v>
      </c>
      <c r="N1294" s="318" t="s">
        <v>368</v>
      </c>
      <c r="O1294" s="318" t="s">
        <v>429</v>
      </c>
      <c r="P1294" s="318" t="s">
        <v>392</v>
      </c>
      <c r="Q1294" s="318" t="s">
        <v>57</v>
      </c>
      <c r="R1294" s="318" t="s">
        <v>447</v>
      </c>
      <c r="S1294" s="303">
        <f t="shared" si="21"/>
        <v>2618515635.8999996</v>
      </c>
      <c r="T1294" s="307">
        <f>+IFERROR(VLOOKUP(C1294,'Tasas Diarias'!$B:$F,5,FALSE)*G1294,0)</f>
        <v>3.6207029614482159E-6</v>
      </c>
      <c r="U1294" s="311" t="str">
        <f ca="1">+VLOOKUP(C1294,Spreads!$A$2:$G$345,7,0)</f>
        <v/>
      </c>
    </row>
    <row r="1295" spans="1:21" ht="15.75" hidden="1" customHeight="1" thickTop="1" thickBot="1">
      <c r="A1295" s="317" t="s">
        <v>2137</v>
      </c>
      <c r="B1295" s="318" t="s">
        <v>161</v>
      </c>
      <c r="C1295" s="318" t="s">
        <v>786</v>
      </c>
      <c r="D1295" s="318" t="s">
        <v>58</v>
      </c>
      <c r="E1295" s="319">
        <v>1886509786</v>
      </c>
      <c r="F1295" s="319">
        <v>75000</v>
      </c>
      <c r="G1295" s="314">
        <v>1.3198E-2</v>
      </c>
      <c r="H1295" s="320">
        <v>2.73</v>
      </c>
      <c r="I1295" s="318" t="s">
        <v>787</v>
      </c>
      <c r="J1295" s="318">
        <v>7836</v>
      </c>
      <c r="K1295" s="318">
        <v>8.9499999999999993</v>
      </c>
      <c r="L1295" s="318">
        <v>109.49</v>
      </c>
      <c r="M1295" s="318" t="s">
        <v>6</v>
      </c>
      <c r="N1295" s="318" t="s">
        <v>368</v>
      </c>
      <c r="O1295" s="318" t="s">
        <v>8</v>
      </c>
      <c r="P1295" s="318" t="s">
        <v>392</v>
      </c>
      <c r="Q1295" s="318" t="s">
        <v>58</v>
      </c>
      <c r="R1295" s="318" t="s">
        <v>745</v>
      </c>
      <c r="S1295" s="303">
        <f t="shared" si="21"/>
        <v>16884262584.699999</v>
      </c>
      <c r="T1295" s="307">
        <f>+IFERROR(VLOOKUP(C1295,'Tasas Diarias'!$B:$F,5,FALSE)*G1295,0)</f>
        <v>1.1434970860559265E-5</v>
      </c>
      <c r="U1295" s="311" t="str">
        <f ca="1">+VLOOKUP(C1295,Spreads!$A$2:$G$345,7,0)</f>
        <v/>
      </c>
    </row>
    <row r="1296" spans="1:21" ht="15.75" hidden="1" customHeight="1" thickTop="1" thickBot="1">
      <c r="A1296" s="321" t="s">
        <v>2137</v>
      </c>
      <c r="B1296" s="322" t="s">
        <v>161</v>
      </c>
      <c r="C1296" s="322" t="s">
        <v>788</v>
      </c>
      <c r="D1296" s="322" t="s">
        <v>433</v>
      </c>
      <c r="E1296" s="323">
        <v>1048035096</v>
      </c>
      <c r="F1296" s="323">
        <v>35000</v>
      </c>
      <c r="G1296" s="314">
        <v>7.332E-3</v>
      </c>
      <c r="H1296" s="324">
        <v>2.64</v>
      </c>
      <c r="I1296" s="322" t="s">
        <v>789</v>
      </c>
      <c r="J1296" s="322">
        <v>5976</v>
      </c>
      <c r="K1296" s="322">
        <v>9.18</v>
      </c>
      <c r="L1296" s="322">
        <v>111.69</v>
      </c>
      <c r="M1296" s="322" t="s">
        <v>6</v>
      </c>
      <c r="N1296" s="322" t="s">
        <v>368</v>
      </c>
      <c r="O1296" s="322" t="s">
        <v>8</v>
      </c>
      <c r="P1296" s="322" t="s">
        <v>392</v>
      </c>
      <c r="Q1296" s="322" t="s">
        <v>435</v>
      </c>
      <c r="R1296" s="322" t="s">
        <v>790</v>
      </c>
      <c r="S1296" s="303">
        <f t="shared" si="21"/>
        <v>9620962181.2799988</v>
      </c>
      <c r="T1296" s="307">
        <f>+IFERROR(VLOOKUP(C1296,'Tasas Diarias'!$B:$F,5,FALSE)*G1296,0)</f>
        <v>0</v>
      </c>
      <c r="U1296" s="311" t="str">
        <f ca="1">+VLOOKUP(C1296,Spreads!$A$2:$G$345,7,0)</f>
        <v/>
      </c>
    </row>
    <row r="1297" spans="1:21" ht="15.75" hidden="1" customHeight="1" thickTop="1" thickBot="1">
      <c r="A1297" s="327" t="s">
        <v>2137</v>
      </c>
      <c r="B1297" s="328" t="s">
        <v>161</v>
      </c>
      <c r="C1297" s="328" t="s">
        <v>939</v>
      </c>
      <c r="D1297" s="328" t="s">
        <v>940</v>
      </c>
      <c r="E1297" s="328">
        <v>294838730</v>
      </c>
      <c r="F1297" s="328">
        <v>10000</v>
      </c>
      <c r="G1297" s="328">
        <v>2.062E-3</v>
      </c>
      <c r="H1297" s="329">
        <v>3.04</v>
      </c>
      <c r="I1297" s="328" t="s">
        <v>941</v>
      </c>
      <c r="J1297" s="328">
        <v>6219</v>
      </c>
      <c r="K1297" s="328">
        <v>9.43</v>
      </c>
      <c r="L1297" s="328">
        <v>108.53</v>
      </c>
      <c r="M1297" s="328" t="s">
        <v>6</v>
      </c>
      <c r="N1297" s="328" t="s">
        <v>368</v>
      </c>
      <c r="O1297" s="328" t="s">
        <v>551</v>
      </c>
      <c r="P1297" s="328" t="s">
        <v>417</v>
      </c>
      <c r="Q1297" s="328" t="s">
        <v>940</v>
      </c>
      <c r="R1297" s="328" t="s">
        <v>942</v>
      </c>
      <c r="S1297" s="303">
        <f t="shared" si="21"/>
        <v>2780329223.9000001</v>
      </c>
      <c r="T1297" s="307">
        <f>+IFERROR(VLOOKUP(C1297,'Tasas Diarias'!$B:$F,5,FALSE)*G1297,0)</f>
        <v>3.9130873824437826E-6</v>
      </c>
      <c r="U1297" s="311" t="str">
        <f ca="1">+VLOOKUP(C1297,Spreads!$A$2:$G$345,7,0)</f>
        <v/>
      </c>
    </row>
    <row r="1298" spans="1:21" ht="15.75" hidden="1" customHeight="1" thickTop="1" thickBot="1">
      <c r="A1298" s="321" t="s">
        <v>2137</v>
      </c>
      <c r="B1298" s="322" t="s">
        <v>161</v>
      </c>
      <c r="C1298" s="322" t="s">
        <v>934</v>
      </c>
      <c r="D1298" s="322" t="s">
        <v>935</v>
      </c>
      <c r="E1298" s="323">
        <v>3329043861</v>
      </c>
      <c r="F1298" s="323">
        <v>116000</v>
      </c>
      <c r="G1298" s="314">
        <v>2.3290000000000002E-2</v>
      </c>
      <c r="H1298" s="324">
        <v>3.2</v>
      </c>
      <c r="I1298" s="322" t="s">
        <v>936</v>
      </c>
      <c r="J1298" s="322">
        <v>6204</v>
      </c>
      <c r="K1298" s="322">
        <v>9.52</v>
      </c>
      <c r="L1298" s="322">
        <v>107.55</v>
      </c>
      <c r="M1298" s="322" t="s">
        <v>6</v>
      </c>
      <c r="N1298" s="322" t="s">
        <v>368</v>
      </c>
      <c r="O1298" s="322" t="s">
        <v>1349</v>
      </c>
      <c r="P1298" s="322" t="s">
        <v>25</v>
      </c>
      <c r="Q1298" s="322" t="s">
        <v>937</v>
      </c>
      <c r="R1298" s="322" t="s">
        <v>938</v>
      </c>
      <c r="S1298" s="303">
        <f t="shared" si="21"/>
        <v>31692497556.719997</v>
      </c>
      <c r="T1298" s="307">
        <f>+IFERROR(VLOOKUP(C1298,'Tasas Diarias'!$B:$F,5,FALSE)*G1298,0)</f>
        <v>2.188450402789037E-5</v>
      </c>
      <c r="U1298" s="311" t="str">
        <f ca="1">+VLOOKUP(C1298,Spreads!$A$2:$G$345,7,0)</f>
        <v/>
      </c>
    </row>
    <row r="1299" spans="1:21" ht="15.75" hidden="1" customHeight="1" thickTop="1" thickBot="1">
      <c r="A1299" s="317" t="s">
        <v>2137</v>
      </c>
      <c r="B1299" s="318" t="s">
        <v>161</v>
      </c>
      <c r="C1299" s="318" t="s">
        <v>1161</v>
      </c>
      <c r="D1299" s="318" t="s">
        <v>1236</v>
      </c>
      <c r="E1299" s="319">
        <v>468879534</v>
      </c>
      <c r="F1299" s="319">
        <v>15000</v>
      </c>
      <c r="G1299" s="314">
        <v>3.2799999999999999E-3</v>
      </c>
      <c r="H1299" s="320">
        <v>2.69</v>
      </c>
      <c r="I1299" s="318" t="s">
        <v>1163</v>
      </c>
      <c r="J1299" s="318">
        <v>4507</v>
      </c>
      <c r="K1299" s="318">
        <v>9.9</v>
      </c>
      <c r="L1299" s="318">
        <v>116.43</v>
      </c>
      <c r="M1299" s="318" t="s">
        <v>6</v>
      </c>
      <c r="N1299" s="318" t="s">
        <v>368</v>
      </c>
      <c r="O1299" s="318" t="s">
        <v>1348</v>
      </c>
      <c r="P1299" s="318" t="s">
        <v>7</v>
      </c>
      <c r="Q1299" s="318" t="s">
        <v>86</v>
      </c>
      <c r="R1299" s="318" t="s">
        <v>1164</v>
      </c>
      <c r="S1299" s="303">
        <f t="shared" si="21"/>
        <v>4641907386.6000004</v>
      </c>
      <c r="T1299" s="307">
        <f>+IFERROR(VLOOKUP(C1299,'Tasas Diarias'!$B:$F,5,FALSE)*G1299,0)</f>
        <v>3.2642842473430381E-6</v>
      </c>
      <c r="U1299" s="311" t="str">
        <f ca="1">+VLOOKUP(C1299,Spreads!$A$2:$G$345,7,0)</f>
        <v/>
      </c>
    </row>
    <row r="1300" spans="1:21" ht="15.75" hidden="1" customHeight="1" thickTop="1" thickBot="1">
      <c r="A1300" s="317" t="s">
        <v>2137</v>
      </c>
      <c r="B1300" s="318" t="s">
        <v>161</v>
      </c>
      <c r="C1300" s="318" t="s">
        <v>1025</v>
      </c>
      <c r="D1300" s="318" t="s">
        <v>528</v>
      </c>
      <c r="E1300" s="319">
        <v>315480714</v>
      </c>
      <c r="F1300" s="319">
        <v>10000</v>
      </c>
      <c r="G1300" s="314">
        <v>2.2070000000000002E-3</v>
      </c>
      <c r="H1300" s="320">
        <v>2.63</v>
      </c>
      <c r="I1300" s="318" t="s">
        <v>1026</v>
      </c>
      <c r="J1300" s="318">
        <v>5490</v>
      </c>
      <c r="K1300" s="318">
        <v>9.94</v>
      </c>
      <c r="L1300" s="318">
        <v>113.87</v>
      </c>
      <c r="M1300" s="318" t="s">
        <v>6</v>
      </c>
      <c r="N1300" s="318" t="s">
        <v>368</v>
      </c>
      <c r="O1300" s="318" t="s">
        <v>530</v>
      </c>
      <c r="P1300" s="318" t="s">
        <v>7</v>
      </c>
      <c r="Q1300" s="318" t="s">
        <v>531</v>
      </c>
      <c r="R1300" s="318" t="s">
        <v>532</v>
      </c>
      <c r="S1300" s="303">
        <f t="shared" si="21"/>
        <v>3135878297.1599998</v>
      </c>
      <c r="T1300" s="307">
        <f>+IFERROR(VLOOKUP(C1300,'Tasas Diarias'!$B:$F,5,FALSE)*G1300,0)</f>
        <v>0</v>
      </c>
      <c r="U1300" s="311" t="str">
        <f ca="1">+VLOOKUP(C1300,Spreads!$A$2:$G$345,7,0)</f>
        <v/>
      </c>
    </row>
    <row r="1301" spans="1:21" ht="15.75" hidden="1" customHeight="1" thickTop="1" thickBot="1">
      <c r="A1301" s="317" t="s">
        <v>2137</v>
      </c>
      <c r="B1301" s="318" t="s">
        <v>161</v>
      </c>
      <c r="C1301" s="318" t="s">
        <v>1572</v>
      </c>
      <c r="D1301" s="318" t="s">
        <v>182</v>
      </c>
      <c r="E1301" s="319">
        <v>668525787</v>
      </c>
      <c r="F1301" s="319">
        <v>20000</v>
      </c>
      <c r="G1301" s="314">
        <v>4.6769999999999997E-3</v>
      </c>
      <c r="H1301" s="320">
        <v>2.72</v>
      </c>
      <c r="I1301" s="318" t="s">
        <v>1573</v>
      </c>
      <c r="J1301" s="318">
        <v>4910</v>
      </c>
      <c r="K1301" s="318">
        <v>10.39</v>
      </c>
      <c r="L1301" s="318">
        <v>125.01</v>
      </c>
      <c r="M1301" s="318" t="s">
        <v>6</v>
      </c>
      <c r="N1301" s="318" t="s">
        <v>368</v>
      </c>
      <c r="O1301" s="318" t="s">
        <v>8</v>
      </c>
      <c r="P1301" s="318" t="s">
        <v>417</v>
      </c>
      <c r="Q1301" s="318" t="s">
        <v>390</v>
      </c>
      <c r="R1301" s="318" t="s">
        <v>402</v>
      </c>
      <c r="S1301" s="303">
        <f t="shared" si="21"/>
        <v>6945982926.9300003</v>
      </c>
      <c r="T1301" s="307">
        <f>+IFERROR(VLOOKUP(C1301,'Tasas Diarias'!$B:$F,5,FALSE)*G1301,0)</f>
        <v>4.7888122640113877E-6</v>
      </c>
      <c r="U1301" s="311" t="e">
        <f>+VLOOKUP(C1301,Spreads!$A$2:$G$345,7,0)</f>
        <v>#N/A</v>
      </c>
    </row>
    <row r="1302" spans="1:21" ht="15.75" hidden="1" customHeight="1" thickTop="1" thickBot="1">
      <c r="A1302" s="321" t="s">
        <v>2137</v>
      </c>
      <c r="B1302" s="322" t="s">
        <v>161</v>
      </c>
      <c r="C1302" s="322" t="s">
        <v>1232</v>
      </c>
      <c r="D1302" s="322" t="s">
        <v>1020</v>
      </c>
      <c r="E1302" s="323">
        <v>1131437075</v>
      </c>
      <c r="F1302" s="323">
        <v>40000</v>
      </c>
      <c r="G1302" s="314">
        <v>7.9150000000000002E-3</v>
      </c>
      <c r="H1302" s="324">
        <v>2.82</v>
      </c>
      <c r="I1302" s="322" t="s">
        <v>1233</v>
      </c>
      <c r="J1302" s="322">
        <v>6569</v>
      </c>
      <c r="K1302" s="322">
        <v>10.46</v>
      </c>
      <c r="L1302" s="322">
        <v>106.01</v>
      </c>
      <c r="M1302" s="322" t="s">
        <v>6</v>
      </c>
      <c r="N1302" s="322" t="s">
        <v>368</v>
      </c>
      <c r="O1302" s="322" t="s">
        <v>530</v>
      </c>
      <c r="P1302" s="322" t="s">
        <v>417</v>
      </c>
      <c r="Q1302" s="322" t="s">
        <v>1021</v>
      </c>
      <c r="R1302" s="322" t="s">
        <v>1181</v>
      </c>
      <c r="S1302" s="303">
        <f t="shared" si="21"/>
        <v>11834831804.500002</v>
      </c>
      <c r="T1302" s="307">
        <f>+IFERROR(VLOOKUP(C1302,'Tasas Diarias'!$B:$F,5,FALSE)*G1302,0)</f>
        <v>8.1937217037328957E-6</v>
      </c>
      <c r="U1302" s="311" t="str">
        <f ca="1">+VLOOKUP(C1302,Spreads!$A$2:$G$345,7,0)</f>
        <v/>
      </c>
    </row>
    <row r="1303" spans="1:21" ht="15.75" hidden="1" customHeight="1" thickTop="1" thickBot="1">
      <c r="A1303" s="317" t="s">
        <v>2137</v>
      </c>
      <c r="B1303" s="318" t="s">
        <v>161</v>
      </c>
      <c r="C1303" s="318" t="s">
        <v>1574</v>
      </c>
      <c r="D1303" s="318" t="s">
        <v>776</v>
      </c>
      <c r="E1303" s="319">
        <v>1147159359</v>
      </c>
      <c r="F1303" s="319">
        <v>35000</v>
      </c>
      <c r="G1303" s="314">
        <v>8.0249999999999991E-3</v>
      </c>
      <c r="H1303" s="320">
        <v>2.86</v>
      </c>
      <c r="I1303" s="318" t="s">
        <v>1575</v>
      </c>
      <c r="J1303" s="318">
        <v>5002</v>
      </c>
      <c r="K1303" s="318">
        <v>10.48</v>
      </c>
      <c r="L1303" s="318">
        <v>121.15</v>
      </c>
      <c r="M1303" s="318" t="s">
        <v>6</v>
      </c>
      <c r="N1303" s="318" t="s">
        <v>368</v>
      </c>
      <c r="O1303" s="318" t="s">
        <v>1347</v>
      </c>
      <c r="P1303" s="318" t="s">
        <v>392</v>
      </c>
      <c r="Q1303" s="318" t="s">
        <v>778</v>
      </c>
      <c r="R1303" s="318" t="s">
        <v>1576</v>
      </c>
      <c r="S1303" s="303">
        <f t="shared" si="21"/>
        <v>12022230082.32</v>
      </c>
      <c r="T1303" s="307">
        <f>+IFERROR(VLOOKUP(C1303,'Tasas Diarias'!$B:$F,5,FALSE)*G1303,0)</f>
        <v>8.4563757747176695E-6</v>
      </c>
      <c r="U1303" s="311" t="e">
        <f>+VLOOKUP(C1303,Spreads!$A$2:$G$345,7,0)</f>
        <v>#N/A</v>
      </c>
    </row>
    <row r="1304" spans="1:21" ht="15.75" hidden="1" customHeight="1" thickTop="1" thickBot="1">
      <c r="A1304" s="321" t="s">
        <v>2137</v>
      </c>
      <c r="B1304" s="322" t="s">
        <v>161</v>
      </c>
      <c r="C1304" s="322" t="s">
        <v>996</v>
      </c>
      <c r="D1304" s="322" t="s">
        <v>292</v>
      </c>
      <c r="E1304" s="323">
        <v>597200908</v>
      </c>
      <c r="F1304" s="323">
        <v>20000</v>
      </c>
      <c r="G1304" s="314">
        <v>4.1780000000000003E-3</v>
      </c>
      <c r="H1304" s="324">
        <v>2.94</v>
      </c>
      <c r="I1304" s="322" t="s">
        <v>997</v>
      </c>
      <c r="J1304" s="322">
        <v>5985</v>
      </c>
      <c r="K1304" s="322">
        <v>10.95</v>
      </c>
      <c r="L1304" s="322">
        <v>109.43</v>
      </c>
      <c r="M1304" s="322" t="s">
        <v>6</v>
      </c>
      <c r="N1304" s="322" t="s">
        <v>368</v>
      </c>
      <c r="O1304" s="322" t="s">
        <v>551</v>
      </c>
      <c r="P1304" s="322" t="s">
        <v>392</v>
      </c>
      <c r="Q1304" s="322" t="s">
        <v>327</v>
      </c>
      <c r="R1304" s="322" t="s">
        <v>552</v>
      </c>
      <c r="S1304" s="303">
        <f t="shared" si="21"/>
        <v>6539349942.5999994</v>
      </c>
      <c r="T1304" s="307">
        <f>+IFERROR(VLOOKUP(C1304,'Tasas Diarias'!$B:$F,5,FALSE)*G1304,0)</f>
        <v>9.2008368247309257E-6</v>
      </c>
      <c r="U1304" s="311" t="str">
        <f ca="1">+VLOOKUP(C1304,Spreads!$A$2:$G$345,7,0)</f>
        <v/>
      </c>
    </row>
    <row r="1305" spans="1:21" ht="15.75" hidden="1" customHeight="1" thickTop="1" thickBot="1">
      <c r="A1305" s="317" t="s">
        <v>2137</v>
      </c>
      <c r="B1305" s="318" t="s">
        <v>161</v>
      </c>
      <c r="C1305" s="318" t="s">
        <v>944</v>
      </c>
      <c r="D1305" s="318" t="s">
        <v>170</v>
      </c>
      <c r="E1305" s="319">
        <v>1349478661</v>
      </c>
      <c r="F1305" s="319">
        <v>45000</v>
      </c>
      <c r="G1305" s="314">
        <v>9.4409999999999997E-3</v>
      </c>
      <c r="H1305" s="320">
        <v>2.92</v>
      </c>
      <c r="I1305" s="318" t="s">
        <v>945</v>
      </c>
      <c r="J1305" s="318">
        <v>5077</v>
      </c>
      <c r="K1305" s="318">
        <v>10.99</v>
      </c>
      <c r="L1305" s="318">
        <v>112.01</v>
      </c>
      <c r="M1305" s="318" t="s">
        <v>6</v>
      </c>
      <c r="N1305" s="318" t="s">
        <v>368</v>
      </c>
      <c r="O1305" s="318" t="s">
        <v>8</v>
      </c>
      <c r="P1305" s="318" t="s">
        <v>417</v>
      </c>
      <c r="Q1305" s="318" t="s">
        <v>88</v>
      </c>
      <c r="R1305" s="318" t="s">
        <v>946</v>
      </c>
      <c r="S1305" s="303">
        <f t="shared" si="21"/>
        <v>14830770484.389999</v>
      </c>
      <c r="T1305" s="307">
        <f>+IFERROR(VLOOKUP(C1305,'Tasas Diarias'!$B:$F,5,FALSE)*G1305,0)</f>
        <v>1.042908934230548E-5</v>
      </c>
      <c r="U1305" s="311" t="str">
        <f ca="1">+VLOOKUP(C1305,Spreads!$A$2:$G$345,7,0)</f>
        <v/>
      </c>
    </row>
    <row r="1306" spans="1:21" ht="15.75" hidden="1" customHeight="1" thickTop="1" thickBot="1">
      <c r="A1306" s="317" t="s">
        <v>2137</v>
      </c>
      <c r="B1306" s="318" t="s">
        <v>161</v>
      </c>
      <c r="C1306" s="318" t="s">
        <v>1237</v>
      </c>
      <c r="D1306" s="318" t="s">
        <v>427</v>
      </c>
      <c r="E1306" s="319">
        <v>84046597</v>
      </c>
      <c r="F1306" s="319">
        <v>3000</v>
      </c>
      <c r="G1306" s="314">
        <v>5.8699999999999996E-4</v>
      </c>
      <c r="H1306" s="320">
        <v>2.91</v>
      </c>
      <c r="I1306" s="318" t="s">
        <v>1238</v>
      </c>
      <c r="J1306" s="318">
        <v>7590</v>
      </c>
      <c r="K1306" s="318">
        <v>11.23</v>
      </c>
      <c r="L1306" s="318">
        <v>104.3</v>
      </c>
      <c r="M1306" s="318" t="s">
        <v>6</v>
      </c>
      <c r="N1306" s="318" t="s">
        <v>368</v>
      </c>
      <c r="O1306" s="318" t="s">
        <v>429</v>
      </c>
      <c r="P1306" s="318" t="s">
        <v>392</v>
      </c>
      <c r="Q1306" s="318" t="s">
        <v>430</v>
      </c>
      <c r="R1306" s="318" t="s">
        <v>431</v>
      </c>
      <c r="S1306" s="303">
        <f t="shared" si="21"/>
        <v>943843284.31000006</v>
      </c>
      <c r="T1306" s="307">
        <f>+IFERROR(VLOOKUP(C1306,'Tasas Diarias'!$B:$F,5,FALSE)*G1306,0)</f>
        <v>0</v>
      </c>
      <c r="U1306" s="311" t="str">
        <f ca="1">+VLOOKUP(C1306,Spreads!$A$2:$G$345,7,0)</f>
        <v/>
      </c>
    </row>
    <row r="1307" spans="1:21" ht="15.75" hidden="1" customHeight="1" thickTop="1" thickBot="1">
      <c r="A1307" s="327" t="s">
        <v>2137</v>
      </c>
      <c r="B1307" s="328" t="s">
        <v>161</v>
      </c>
      <c r="C1307" s="328" t="s">
        <v>950</v>
      </c>
      <c r="D1307" s="328" t="s">
        <v>182</v>
      </c>
      <c r="E1307" s="328">
        <v>585697076</v>
      </c>
      <c r="F1307" s="328">
        <v>20000</v>
      </c>
      <c r="G1307" s="328">
        <v>4.0969999999999999E-3</v>
      </c>
      <c r="H1307" s="329">
        <v>2.8</v>
      </c>
      <c r="I1307" s="328" t="s">
        <v>774</v>
      </c>
      <c r="J1307" s="328">
        <v>5307</v>
      </c>
      <c r="K1307" s="328">
        <v>11.51</v>
      </c>
      <c r="L1307" s="328">
        <v>108.04</v>
      </c>
      <c r="M1307" s="328" t="s">
        <v>6</v>
      </c>
      <c r="N1307" s="328" t="s">
        <v>368</v>
      </c>
      <c r="O1307" s="328" t="s">
        <v>8</v>
      </c>
      <c r="P1307" s="328" t="s">
        <v>417</v>
      </c>
      <c r="Q1307" s="328" t="s">
        <v>390</v>
      </c>
      <c r="R1307" s="328" t="s">
        <v>402</v>
      </c>
      <c r="S1307" s="303">
        <f t="shared" si="21"/>
        <v>6741373344.7600002</v>
      </c>
      <c r="T1307" s="307">
        <f>+IFERROR(VLOOKUP(C1307,'Tasas Diarias'!$B:$F,5,FALSE)*G1307,0)</f>
        <v>4.7364281447508766E-6</v>
      </c>
      <c r="U1307" s="311" t="str">
        <f ca="1">+VLOOKUP(C1307,Spreads!$A$2:$G$345,7,0)</f>
        <v/>
      </c>
    </row>
    <row r="1308" spans="1:21" ht="15.75" hidden="1" customHeight="1" thickTop="1" thickBot="1">
      <c r="A1308" s="321" t="s">
        <v>2137</v>
      </c>
      <c r="B1308" s="322" t="s">
        <v>161</v>
      </c>
      <c r="C1308" s="322" t="s">
        <v>953</v>
      </c>
      <c r="D1308" s="322" t="s">
        <v>50</v>
      </c>
      <c r="E1308" s="323">
        <v>1238963029</v>
      </c>
      <c r="F1308" s="323">
        <v>43500</v>
      </c>
      <c r="G1308" s="314">
        <v>8.6669999999999994E-3</v>
      </c>
      <c r="H1308" s="324">
        <v>3.21</v>
      </c>
      <c r="I1308" s="322" t="s">
        <v>954</v>
      </c>
      <c r="J1308" s="322">
        <v>6385</v>
      </c>
      <c r="K1308" s="322">
        <v>11.54</v>
      </c>
      <c r="L1308" s="322">
        <v>106.74</v>
      </c>
      <c r="M1308" s="322" t="s">
        <v>6</v>
      </c>
      <c r="N1308" s="322" t="s">
        <v>368</v>
      </c>
      <c r="O1308" s="322" t="s">
        <v>429</v>
      </c>
      <c r="P1308" s="322" t="s">
        <v>25</v>
      </c>
      <c r="Q1308" s="322" t="s">
        <v>899</v>
      </c>
      <c r="R1308" s="322" t="s">
        <v>900</v>
      </c>
      <c r="S1308" s="303">
        <f t="shared" si="21"/>
        <v>14297633354.66</v>
      </c>
      <c r="T1308" s="307">
        <f>+IFERROR(VLOOKUP(C1308,'Tasas Diarias'!$B:$F,5,FALSE)*G1308,0)</f>
        <v>9.8799593335415302E-6</v>
      </c>
      <c r="U1308" s="311" t="str">
        <f ca="1">+VLOOKUP(C1308,Spreads!$A$2:$G$345,7,0)</f>
        <v/>
      </c>
    </row>
    <row r="1309" spans="1:21" ht="15.75" hidden="1" customHeight="1" thickTop="1" thickBot="1">
      <c r="A1309" s="317" t="s">
        <v>2137</v>
      </c>
      <c r="B1309" s="318" t="s">
        <v>161</v>
      </c>
      <c r="C1309" s="318" t="s">
        <v>951</v>
      </c>
      <c r="D1309" s="318" t="s">
        <v>917</v>
      </c>
      <c r="E1309" s="319">
        <v>2319608444</v>
      </c>
      <c r="F1309" s="319">
        <v>76500</v>
      </c>
      <c r="G1309" s="314">
        <v>1.6227999999999999E-2</v>
      </c>
      <c r="H1309" s="320">
        <v>3.04</v>
      </c>
      <c r="I1309" s="318" t="s">
        <v>952</v>
      </c>
      <c r="J1309" s="318">
        <v>5474</v>
      </c>
      <c r="K1309" s="318">
        <v>11.57</v>
      </c>
      <c r="L1309" s="318">
        <v>113.62</v>
      </c>
      <c r="M1309" s="318" t="s">
        <v>6</v>
      </c>
      <c r="N1309" s="318" t="s">
        <v>368</v>
      </c>
      <c r="O1309" s="318" t="s">
        <v>429</v>
      </c>
      <c r="P1309" s="318" t="s">
        <v>25</v>
      </c>
      <c r="Q1309" s="318" t="s">
        <v>918</v>
      </c>
      <c r="R1309" s="318" t="s">
        <v>919</v>
      </c>
      <c r="S1309" s="303">
        <f t="shared" si="21"/>
        <v>26837869697.080002</v>
      </c>
      <c r="T1309" s="307">
        <f>+IFERROR(VLOOKUP(C1309,'Tasas Diarias'!$B:$F,5,FALSE)*G1309,0)</f>
        <v>1.8524366834965722E-5</v>
      </c>
      <c r="U1309" s="311" t="str">
        <f ca="1">+VLOOKUP(C1309,Spreads!$A$2:$G$345,7,0)</f>
        <v/>
      </c>
    </row>
    <row r="1310" spans="1:21" ht="15.75" hidden="1" customHeight="1" thickTop="1" thickBot="1">
      <c r="A1310" s="317" t="s">
        <v>2137</v>
      </c>
      <c r="B1310" s="318" t="s">
        <v>161</v>
      </c>
      <c r="C1310" s="318" t="s">
        <v>955</v>
      </c>
      <c r="D1310" s="318" t="s">
        <v>24</v>
      </c>
      <c r="E1310" s="319">
        <v>1046831277</v>
      </c>
      <c r="F1310" s="319">
        <v>34500</v>
      </c>
      <c r="G1310" s="314">
        <v>7.3229999999999996E-3</v>
      </c>
      <c r="H1310" s="320">
        <v>2.91</v>
      </c>
      <c r="I1310" s="318" t="s">
        <v>956</v>
      </c>
      <c r="J1310" s="318">
        <v>7041</v>
      </c>
      <c r="K1310" s="318">
        <v>11.6</v>
      </c>
      <c r="L1310" s="318">
        <v>112.8</v>
      </c>
      <c r="M1310" s="318" t="s">
        <v>6</v>
      </c>
      <c r="N1310" s="318" t="s">
        <v>368</v>
      </c>
      <c r="O1310" s="318" t="s">
        <v>8</v>
      </c>
      <c r="P1310" s="318" t="s">
        <v>25</v>
      </c>
      <c r="Q1310" s="318" t="s">
        <v>51</v>
      </c>
      <c r="R1310" s="318" t="s">
        <v>908</v>
      </c>
      <c r="S1310" s="303">
        <f t="shared" si="21"/>
        <v>12143242813.199999</v>
      </c>
      <c r="T1310" s="307">
        <f>+IFERROR(VLOOKUP(C1310,'Tasas Diarias'!$B:$F,5,FALSE)*G1310,0)</f>
        <v>8.5215573410558788E-6</v>
      </c>
      <c r="U1310" s="311" t="str">
        <f ca="1">+VLOOKUP(C1310,Spreads!$A$2:$G$345,7,0)</f>
        <v/>
      </c>
    </row>
    <row r="1311" spans="1:21" ht="15.75" hidden="1" customHeight="1" thickTop="1" thickBot="1">
      <c r="A1311" s="321" t="s">
        <v>2137</v>
      </c>
      <c r="B1311" s="322" t="s">
        <v>161</v>
      </c>
      <c r="C1311" s="322" t="s">
        <v>958</v>
      </c>
      <c r="D1311" s="322" t="s">
        <v>11</v>
      </c>
      <c r="E1311" s="323">
        <v>1970107698</v>
      </c>
      <c r="F1311" s="323">
        <v>60000</v>
      </c>
      <c r="G1311" s="314">
        <v>1.3782000000000001E-2</v>
      </c>
      <c r="H1311" s="324">
        <v>2.89</v>
      </c>
      <c r="I1311" s="322" t="s">
        <v>959</v>
      </c>
      <c r="J1311" s="322">
        <v>5733</v>
      </c>
      <c r="K1311" s="322">
        <v>11.69</v>
      </c>
      <c r="L1311" s="322">
        <v>121.42</v>
      </c>
      <c r="M1311" s="322" t="s">
        <v>6</v>
      </c>
      <c r="N1311" s="322" t="s">
        <v>368</v>
      </c>
      <c r="O1311" s="322" t="s">
        <v>8</v>
      </c>
      <c r="P1311" s="322" t="s">
        <v>392</v>
      </c>
      <c r="Q1311" s="322" t="s">
        <v>326</v>
      </c>
      <c r="R1311" s="322" t="s">
        <v>949</v>
      </c>
      <c r="S1311" s="303">
        <f t="shared" si="21"/>
        <v>23030558989.619999</v>
      </c>
      <c r="T1311" s="307">
        <f>+IFERROR(VLOOKUP(C1311,'Tasas Diarias'!$B:$F,5,FALSE)*G1311,0)</f>
        <v>2.751230435125312E-4</v>
      </c>
      <c r="U1311" s="311" t="str">
        <f ca="1">+VLOOKUP(C1311,Spreads!$A$2:$G$345,7,0)</f>
        <v/>
      </c>
    </row>
    <row r="1312" spans="1:21" ht="15.75" hidden="1" customHeight="1" thickTop="1" thickBot="1">
      <c r="A1312" s="321" t="s">
        <v>2137</v>
      </c>
      <c r="B1312" s="322" t="s">
        <v>161</v>
      </c>
      <c r="C1312" s="322" t="s">
        <v>1038</v>
      </c>
      <c r="D1312" s="322" t="s">
        <v>999</v>
      </c>
      <c r="E1312" s="323">
        <v>1731841042</v>
      </c>
      <c r="F1312" s="323">
        <v>53500</v>
      </c>
      <c r="G1312" s="314">
        <v>1.2116E-2</v>
      </c>
      <c r="H1312" s="324">
        <v>3.03</v>
      </c>
      <c r="I1312" s="322" t="s">
        <v>1039</v>
      </c>
      <c r="J1312" s="322">
        <v>6136</v>
      </c>
      <c r="K1312" s="322">
        <v>11.73</v>
      </c>
      <c r="L1312" s="322">
        <v>120.27</v>
      </c>
      <c r="M1312" s="322" t="s">
        <v>6</v>
      </c>
      <c r="N1312" s="322" t="s">
        <v>368</v>
      </c>
      <c r="O1312" s="322" t="s">
        <v>8</v>
      </c>
      <c r="P1312" s="322" t="s">
        <v>417</v>
      </c>
      <c r="Q1312" s="322" t="s">
        <v>1001</v>
      </c>
      <c r="R1312" s="322" t="s">
        <v>1002</v>
      </c>
      <c r="S1312" s="303">
        <f t="shared" si="21"/>
        <v>20314495422.66</v>
      </c>
      <c r="T1312" s="307">
        <f>+IFERROR(VLOOKUP(C1312,'Tasas Diarias'!$B:$F,5,FALSE)*G1312,0)</f>
        <v>1.4270105783410964E-5</v>
      </c>
      <c r="U1312" s="311" t="str">
        <f ca="1">+VLOOKUP(C1312,Spreads!$A$2:$G$345,7,0)</f>
        <v/>
      </c>
    </row>
    <row r="1313" spans="1:21" ht="15.75" hidden="1" customHeight="1" thickTop="1" thickBot="1">
      <c r="A1313" s="321" t="s">
        <v>2137</v>
      </c>
      <c r="B1313" s="322" t="s">
        <v>161</v>
      </c>
      <c r="C1313" s="322" t="s">
        <v>1842</v>
      </c>
      <c r="D1313" s="322" t="s">
        <v>1462</v>
      </c>
      <c r="E1313" s="323">
        <v>725325931</v>
      </c>
      <c r="F1313" s="323">
        <v>25000</v>
      </c>
      <c r="G1313" s="314">
        <v>5.0740000000000004E-3</v>
      </c>
      <c r="H1313" s="324">
        <v>3.15</v>
      </c>
      <c r="I1313" s="322" t="s">
        <v>1843</v>
      </c>
      <c r="J1313" s="322">
        <v>5552</v>
      </c>
      <c r="K1313" s="322">
        <v>11.75</v>
      </c>
      <c r="L1313" s="322">
        <v>107.56</v>
      </c>
      <c r="M1313" s="322" t="s">
        <v>6</v>
      </c>
      <c r="N1313" s="322" t="s">
        <v>368</v>
      </c>
      <c r="O1313" s="322" t="s">
        <v>1348</v>
      </c>
      <c r="P1313" s="322" t="s">
        <v>417</v>
      </c>
      <c r="Q1313" s="322" t="s">
        <v>1464</v>
      </c>
      <c r="R1313" s="322" t="s">
        <v>1465</v>
      </c>
      <c r="S1313" s="303">
        <f t="shared" si="21"/>
        <v>8522579689.25</v>
      </c>
      <c r="T1313" s="307">
        <f>+IFERROR(VLOOKUP(C1313,'Tasas Diarias'!$B:$F,5,FALSE)*G1313,0)</f>
        <v>5.9886301566435623E-6</v>
      </c>
      <c r="U1313" s="311" t="e">
        <f>+VLOOKUP(C1313,Spreads!$A$2:$G$345,7,0)</f>
        <v>#N/A</v>
      </c>
    </row>
    <row r="1314" spans="1:21" ht="15.75" hidden="1" customHeight="1" thickTop="1" thickBot="1">
      <c r="A1314" s="317" t="s">
        <v>2137</v>
      </c>
      <c r="B1314" s="318" t="s">
        <v>161</v>
      </c>
      <c r="C1314" s="318" t="s">
        <v>960</v>
      </c>
      <c r="D1314" s="318" t="s">
        <v>58</v>
      </c>
      <c r="E1314" s="319">
        <v>578332691</v>
      </c>
      <c r="F1314" s="319">
        <v>20000</v>
      </c>
      <c r="G1314" s="314">
        <v>4.0460000000000001E-3</v>
      </c>
      <c r="H1314" s="320">
        <v>2.85</v>
      </c>
      <c r="I1314" s="318" t="s">
        <v>961</v>
      </c>
      <c r="J1314" s="318">
        <v>8137</v>
      </c>
      <c r="K1314" s="318">
        <v>11.77</v>
      </c>
      <c r="L1314" s="318">
        <v>107.61</v>
      </c>
      <c r="M1314" s="318" t="s">
        <v>6</v>
      </c>
      <c r="N1314" s="318" t="s">
        <v>368</v>
      </c>
      <c r="O1314" s="318" t="s">
        <v>8</v>
      </c>
      <c r="P1314" s="318" t="s">
        <v>392</v>
      </c>
      <c r="Q1314" s="318" t="s">
        <v>58</v>
      </c>
      <c r="R1314" s="318" t="s">
        <v>745</v>
      </c>
      <c r="S1314" s="303">
        <f t="shared" si="21"/>
        <v>6806975773.0699997</v>
      </c>
      <c r="T1314" s="307">
        <f>+IFERROR(VLOOKUP(C1314,'Tasas Diarias'!$B:$F,5,FALSE)*G1314,0)</f>
        <v>4.787546228200623E-6</v>
      </c>
      <c r="U1314" s="311" t="str">
        <f ca="1">+VLOOKUP(C1314,Spreads!$A$2:$G$345,7,0)</f>
        <v/>
      </c>
    </row>
    <row r="1315" spans="1:21" ht="15.75" hidden="1" customHeight="1" thickTop="1" thickBot="1">
      <c r="A1315" s="321" t="s">
        <v>2137</v>
      </c>
      <c r="B1315" s="322" t="s">
        <v>161</v>
      </c>
      <c r="C1315" s="322" t="s">
        <v>1199</v>
      </c>
      <c r="D1315" s="322" t="s">
        <v>1227</v>
      </c>
      <c r="E1315" s="323">
        <v>1556644578</v>
      </c>
      <c r="F1315" s="323">
        <v>60500</v>
      </c>
      <c r="G1315" s="314">
        <v>1.089E-2</v>
      </c>
      <c r="H1315" s="324">
        <v>3.13</v>
      </c>
      <c r="I1315" s="322" t="s">
        <v>1229</v>
      </c>
      <c r="J1315" s="322">
        <v>7269</v>
      </c>
      <c r="K1315" s="322">
        <v>11.93</v>
      </c>
      <c r="L1315" s="322">
        <v>96.21</v>
      </c>
      <c r="M1315" s="322" t="s">
        <v>6</v>
      </c>
      <c r="N1315" s="322" t="s">
        <v>368</v>
      </c>
      <c r="O1315" s="322" t="s">
        <v>429</v>
      </c>
      <c r="P1315" s="322" t="s">
        <v>417</v>
      </c>
      <c r="Q1315" s="322" t="s">
        <v>904</v>
      </c>
      <c r="R1315" s="322" t="s">
        <v>905</v>
      </c>
      <c r="S1315" s="303">
        <f t="shared" si="21"/>
        <v>18570769815.540001</v>
      </c>
      <c r="T1315" s="307">
        <f>+IFERROR(VLOOKUP(C1315,'Tasas Diarias'!$B:$F,5,FALSE)*G1315,0)</f>
        <v>0</v>
      </c>
      <c r="U1315" s="311" t="str">
        <f ca="1">+VLOOKUP(C1315,Spreads!$A$2:$G$345,7,0)</f>
        <v/>
      </c>
    </row>
    <row r="1316" spans="1:21" ht="15.75" hidden="1" customHeight="1" thickTop="1" thickBot="1">
      <c r="A1316" s="321" t="s">
        <v>2137</v>
      </c>
      <c r="B1316" s="322" t="s">
        <v>161</v>
      </c>
      <c r="C1316" s="322" t="s">
        <v>1495</v>
      </c>
      <c r="D1316" s="322" t="s">
        <v>1496</v>
      </c>
      <c r="E1316" s="323">
        <v>1825523388</v>
      </c>
      <c r="F1316" s="323">
        <v>65000</v>
      </c>
      <c r="G1316" s="314">
        <v>1.2770999999999999E-2</v>
      </c>
      <c r="H1316" s="324">
        <v>3.02</v>
      </c>
      <c r="I1316" s="322" t="s">
        <v>1497</v>
      </c>
      <c r="J1316" s="322">
        <v>10806</v>
      </c>
      <c r="K1316" s="322">
        <v>12.09</v>
      </c>
      <c r="L1316" s="322">
        <v>103.87</v>
      </c>
      <c r="M1316" s="322" t="s">
        <v>6</v>
      </c>
      <c r="N1316" s="322" t="s">
        <v>368</v>
      </c>
      <c r="O1316" s="322" t="s">
        <v>1494</v>
      </c>
      <c r="P1316" s="322" t="s">
        <v>417</v>
      </c>
      <c r="Q1316" s="322" t="s">
        <v>1479</v>
      </c>
      <c r="R1316" s="322" t="s">
        <v>1498</v>
      </c>
      <c r="S1316" s="303">
        <f t="shared" si="21"/>
        <v>22070577760.919998</v>
      </c>
      <c r="T1316" s="307">
        <f>+IFERROR(VLOOKUP(C1316,'Tasas Diarias'!$B:$F,5,FALSE)*G1316,0)</f>
        <v>0</v>
      </c>
      <c r="U1316" s="311" t="e">
        <f>+VLOOKUP(C1316,Spreads!$A$2:$G$345,7,0)</f>
        <v>#N/A</v>
      </c>
    </row>
    <row r="1317" spans="1:21" ht="15.75" hidden="1" customHeight="1" thickTop="1" thickBot="1">
      <c r="A1317" s="321" t="s">
        <v>2137</v>
      </c>
      <c r="B1317" s="322" t="s">
        <v>161</v>
      </c>
      <c r="C1317" s="322" t="s">
        <v>962</v>
      </c>
      <c r="D1317" s="322" t="s">
        <v>24</v>
      </c>
      <c r="E1317" s="323">
        <v>1179569434</v>
      </c>
      <c r="F1317" s="323">
        <v>39000</v>
      </c>
      <c r="G1317" s="314">
        <v>8.2520000000000007E-3</v>
      </c>
      <c r="H1317" s="324">
        <v>2.99</v>
      </c>
      <c r="I1317" s="322" t="s">
        <v>963</v>
      </c>
      <c r="J1317" s="322">
        <v>7620</v>
      </c>
      <c r="K1317" s="322">
        <v>12.53</v>
      </c>
      <c r="L1317" s="322">
        <v>112.79</v>
      </c>
      <c r="M1317" s="322" t="s">
        <v>6</v>
      </c>
      <c r="N1317" s="322" t="s">
        <v>368</v>
      </c>
      <c r="O1317" s="322" t="s">
        <v>8</v>
      </c>
      <c r="P1317" s="322" t="s">
        <v>25</v>
      </c>
      <c r="Q1317" s="322" t="s">
        <v>51</v>
      </c>
      <c r="R1317" s="322" t="s">
        <v>908</v>
      </c>
      <c r="S1317" s="303">
        <f t="shared" si="21"/>
        <v>14780005008.019999</v>
      </c>
      <c r="T1317" s="307">
        <f>+IFERROR(VLOOKUP(C1317,'Tasas Diarias'!$B:$F,5,FALSE)*G1317,0)</f>
        <v>0</v>
      </c>
      <c r="U1317" s="311" t="str">
        <f ca="1">+VLOOKUP(C1317,Spreads!$A$2:$G$345,7,0)</f>
        <v/>
      </c>
    </row>
    <row r="1318" spans="1:21" ht="15.75" hidden="1" customHeight="1" thickTop="1" thickBot="1">
      <c r="A1318" s="321" t="s">
        <v>2137</v>
      </c>
      <c r="B1318" s="322" t="s">
        <v>161</v>
      </c>
      <c r="C1318" s="322" t="s">
        <v>964</v>
      </c>
      <c r="D1318" s="322" t="s">
        <v>11</v>
      </c>
      <c r="E1318" s="323">
        <v>618152762</v>
      </c>
      <c r="F1318" s="323">
        <v>20000</v>
      </c>
      <c r="G1318" s="314">
        <v>4.3239999999999997E-3</v>
      </c>
      <c r="H1318" s="324">
        <v>2.97</v>
      </c>
      <c r="I1318" s="322" t="s">
        <v>965</v>
      </c>
      <c r="J1318" s="322">
        <v>6432</v>
      </c>
      <c r="K1318" s="322">
        <v>13</v>
      </c>
      <c r="L1318" s="322">
        <v>114.12</v>
      </c>
      <c r="M1318" s="322" t="s">
        <v>6</v>
      </c>
      <c r="N1318" s="322" t="s">
        <v>368</v>
      </c>
      <c r="O1318" s="322" t="s">
        <v>8</v>
      </c>
      <c r="P1318" s="322" t="s">
        <v>392</v>
      </c>
      <c r="Q1318" s="322" t="s">
        <v>326</v>
      </c>
      <c r="R1318" s="322" t="s">
        <v>949</v>
      </c>
      <c r="S1318" s="303">
        <f t="shared" si="21"/>
        <v>8035985906</v>
      </c>
      <c r="T1318" s="307">
        <f>+IFERROR(VLOOKUP(C1318,'Tasas Diarias'!$B:$F,5,FALSE)*G1318,0)</f>
        <v>8.4647681459365626E-5</v>
      </c>
      <c r="U1318" s="311" t="str">
        <f ca="1">+VLOOKUP(C1318,Spreads!$A$2:$G$345,7,0)</f>
        <v/>
      </c>
    </row>
    <row r="1319" spans="1:21" ht="15.75" hidden="1" customHeight="1" thickTop="1" thickBot="1">
      <c r="A1319" s="321" t="s">
        <v>2137</v>
      </c>
      <c r="B1319" s="322" t="s">
        <v>161</v>
      </c>
      <c r="C1319" s="322" t="s">
        <v>998</v>
      </c>
      <c r="D1319" s="322" t="s">
        <v>999</v>
      </c>
      <c r="E1319" s="323">
        <v>2069208800</v>
      </c>
      <c r="F1319" s="323">
        <v>65000</v>
      </c>
      <c r="G1319" s="314">
        <v>1.4475999999999999E-2</v>
      </c>
      <c r="H1319" s="322">
        <v>3.14</v>
      </c>
      <c r="I1319" s="322" t="s">
        <v>1000</v>
      </c>
      <c r="J1319" s="322">
        <v>6867</v>
      </c>
      <c r="K1319" s="322">
        <v>13.13</v>
      </c>
      <c r="L1319" s="322">
        <v>118.32</v>
      </c>
      <c r="M1319" s="322" t="s">
        <v>6</v>
      </c>
      <c r="N1319" s="322" t="s">
        <v>368</v>
      </c>
      <c r="O1319" s="322" t="s">
        <v>8</v>
      </c>
      <c r="P1319" s="322" t="s">
        <v>417</v>
      </c>
      <c r="Q1319" s="322" t="s">
        <v>1001</v>
      </c>
      <c r="R1319" s="322" t="s">
        <v>1002</v>
      </c>
      <c r="S1319" s="303">
        <f t="shared" si="21"/>
        <v>27168711544</v>
      </c>
      <c r="T1319" s="307">
        <f>+IFERROR(VLOOKUP(C1319,'Tasas Diarias'!$B:$F,5,FALSE)*G1319,0)</f>
        <v>0</v>
      </c>
      <c r="U1319" s="311" t="str">
        <f ca="1">+VLOOKUP(C1319,Spreads!$A$2:$G$345,7,0)</f>
        <v/>
      </c>
    </row>
    <row r="1320" spans="1:21" ht="15.75" hidden="1" customHeight="1" thickTop="1" thickBot="1">
      <c r="A1320" s="321" t="s">
        <v>2137</v>
      </c>
      <c r="B1320" s="322" t="s">
        <v>161</v>
      </c>
      <c r="C1320" s="322" t="s">
        <v>1239</v>
      </c>
      <c r="D1320" s="322" t="s">
        <v>11</v>
      </c>
      <c r="E1320" s="323">
        <v>618152303</v>
      </c>
      <c r="F1320" s="323">
        <v>20000</v>
      </c>
      <c r="G1320" s="314">
        <v>4.3239999999999997E-3</v>
      </c>
      <c r="H1320" s="324">
        <v>3.01</v>
      </c>
      <c r="I1320" s="322" t="s">
        <v>1240</v>
      </c>
      <c r="J1320" s="322">
        <v>6798</v>
      </c>
      <c r="K1320" s="322">
        <v>13.52</v>
      </c>
      <c r="L1320" s="322">
        <v>114.12</v>
      </c>
      <c r="M1320" s="322" t="s">
        <v>6</v>
      </c>
      <c r="N1320" s="322" t="s">
        <v>368</v>
      </c>
      <c r="O1320" s="322" t="s">
        <v>8</v>
      </c>
      <c r="P1320" s="322" t="s">
        <v>392</v>
      </c>
      <c r="Q1320" s="322" t="s">
        <v>326</v>
      </c>
      <c r="R1320" s="322" t="s">
        <v>949</v>
      </c>
      <c r="S1320" s="303">
        <f t="shared" si="21"/>
        <v>8357419136.5599995</v>
      </c>
      <c r="T1320" s="307">
        <f>+IFERROR(VLOOKUP(C1320,'Tasas Diarias'!$B:$F,5,FALSE)*G1320,0)</f>
        <v>9.3902644303592287E-5</v>
      </c>
      <c r="U1320" s="311" t="str">
        <f ca="1">+VLOOKUP(C1320,Spreads!$A$2:$G$345,7,0)</f>
        <v/>
      </c>
    </row>
    <row r="1321" spans="1:21" ht="15.75" hidden="1" customHeight="1" thickTop="1" thickBot="1">
      <c r="A1321" s="317" t="s">
        <v>2137</v>
      </c>
      <c r="B1321" s="318" t="s">
        <v>161</v>
      </c>
      <c r="C1321" s="318" t="s">
        <v>1180</v>
      </c>
      <c r="D1321" s="318" t="s">
        <v>1020</v>
      </c>
      <c r="E1321" s="319">
        <v>618677124</v>
      </c>
      <c r="F1321" s="319">
        <v>20000</v>
      </c>
      <c r="G1321" s="314">
        <v>4.3280000000000002E-3</v>
      </c>
      <c r="H1321" s="318">
        <v>3.18</v>
      </c>
      <c r="I1321" s="318" t="s">
        <v>1234</v>
      </c>
      <c r="J1321" s="318">
        <v>8730</v>
      </c>
      <c r="K1321" s="318">
        <v>14.98</v>
      </c>
      <c r="L1321" s="318">
        <v>115.52</v>
      </c>
      <c r="M1321" s="318" t="s">
        <v>6</v>
      </c>
      <c r="N1321" s="318" t="s">
        <v>368</v>
      </c>
      <c r="O1321" s="318" t="s">
        <v>530</v>
      </c>
      <c r="P1321" s="318" t="s">
        <v>417</v>
      </c>
      <c r="Q1321" s="318" t="s">
        <v>1021</v>
      </c>
      <c r="R1321" s="318" t="s">
        <v>1181</v>
      </c>
      <c r="S1321" s="303">
        <f t="shared" si="21"/>
        <v>9267783317.5200005</v>
      </c>
      <c r="T1321" s="307">
        <f>+IFERROR(VLOOKUP(C1321,'Tasas Diarias'!$B:$F,5,FALSE)*G1321,0)</f>
        <v>0</v>
      </c>
      <c r="U1321" s="311" t="str">
        <f ca="1">+VLOOKUP(C1321,Spreads!$A$2:$G$345,7,0)</f>
        <v/>
      </c>
    </row>
    <row r="1322" spans="1:21" ht="15.75" hidden="1" customHeight="1" thickTop="1" thickBot="1">
      <c r="A1322" s="317" t="s">
        <v>2137</v>
      </c>
      <c r="B1322" s="318" t="s">
        <v>161</v>
      </c>
      <c r="C1322" s="318" t="s">
        <v>970</v>
      </c>
      <c r="D1322" s="318" t="s">
        <v>170</v>
      </c>
      <c r="E1322" s="319">
        <v>362590366</v>
      </c>
      <c r="F1322" s="319">
        <v>12000</v>
      </c>
      <c r="G1322" s="314">
        <v>2.5360000000000001E-3</v>
      </c>
      <c r="H1322" s="320">
        <v>3.16</v>
      </c>
      <c r="I1322" s="318" t="s">
        <v>971</v>
      </c>
      <c r="J1322" s="318">
        <v>7802</v>
      </c>
      <c r="K1322" s="318">
        <v>14.99</v>
      </c>
      <c r="L1322" s="318">
        <v>112.68</v>
      </c>
      <c r="M1322" s="318" t="s">
        <v>6</v>
      </c>
      <c r="N1322" s="318" t="s">
        <v>368</v>
      </c>
      <c r="O1322" s="318" t="s">
        <v>8</v>
      </c>
      <c r="P1322" s="318" t="s">
        <v>417</v>
      </c>
      <c r="Q1322" s="318" t="s">
        <v>88</v>
      </c>
      <c r="R1322" s="318" t="s">
        <v>946</v>
      </c>
      <c r="S1322" s="303">
        <f t="shared" si="21"/>
        <v>5435229586.3400002</v>
      </c>
      <c r="T1322" s="307">
        <f>+IFERROR(VLOOKUP(C1322,'Tasas Diarias'!$B:$F,5,FALSE)*G1322,0)</f>
        <v>0</v>
      </c>
      <c r="U1322" s="311" t="str">
        <f ca="1">+VLOOKUP(C1322,Spreads!$A$2:$G$345,7,0)</f>
        <v/>
      </c>
    </row>
    <row r="1323" spans="1:21" ht="15.75" hidden="1" customHeight="1" thickTop="1" thickBot="1">
      <c r="A1323" s="321" t="s">
        <v>2137</v>
      </c>
      <c r="B1323" s="322" t="s">
        <v>161</v>
      </c>
      <c r="C1323" s="322" t="s">
        <v>972</v>
      </c>
      <c r="D1323" s="322" t="s">
        <v>170</v>
      </c>
      <c r="E1323" s="323">
        <v>1463676915</v>
      </c>
      <c r="F1323" s="323">
        <v>50000</v>
      </c>
      <c r="G1323" s="314">
        <v>1.0239E-2</v>
      </c>
      <c r="H1323" s="324">
        <v>3.18</v>
      </c>
      <c r="I1323" s="322" t="s">
        <v>973</v>
      </c>
      <c r="J1323" s="322">
        <v>8016</v>
      </c>
      <c r="K1323" s="322">
        <v>15.45</v>
      </c>
      <c r="L1323" s="322">
        <v>109.55</v>
      </c>
      <c r="M1323" s="322" t="s">
        <v>6</v>
      </c>
      <c r="N1323" s="322" t="s">
        <v>368</v>
      </c>
      <c r="O1323" s="322" t="s">
        <v>8</v>
      </c>
      <c r="P1323" s="322" t="s">
        <v>417</v>
      </c>
      <c r="Q1323" s="322" t="s">
        <v>88</v>
      </c>
      <c r="R1323" s="322" t="s">
        <v>946</v>
      </c>
      <c r="S1323" s="303">
        <f t="shared" si="21"/>
        <v>22613808336.75</v>
      </c>
      <c r="T1323" s="307">
        <f>+IFERROR(VLOOKUP(C1323,'Tasas Diarias'!$B:$F,5,FALSE)*G1323,0)</f>
        <v>1.5600444703070449E-5</v>
      </c>
      <c r="U1323" s="311" t="str">
        <f ca="1">+VLOOKUP(C1323,Spreads!$A$2:$G$345,7,0)</f>
        <v/>
      </c>
    </row>
    <row r="1324" spans="1:21" ht="15.75" hidden="1" customHeight="1" thickTop="1" thickBot="1">
      <c r="A1324" s="317"/>
      <c r="B1324" s="318"/>
      <c r="C1324" s="318"/>
      <c r="D1324" s="318"/>
      <c r="E1324" s="319"/>
      <c r="F1324" s="319"/>
      <c r="G1324" s="314"/>
      <c r="H1324" s="320"/>
      <c r="I1324" s="318"/>
      <c r="J1324" s="318"/>
      <c r="K1324" s="318"/>
      <c r="L1324" s="318"/>
      <c r="M1324" s="318"/>
      <c r="N1324" s="318"/>
      <c r="O1324" s="318"/>
      <c r="P1324" s="318"/>
      <c r="Q1324" s="318"/>
      <c r="R1324" s="318"/>
      <c r="S1324" s="303"/>
      <c r="T1324" s="307"/>
      <c r="U1324" s="311" t="e">
        <f>+VLOOKUP(C1324,Spreads!$A$2:$G$345,7,0)</f>
        <v>#N/A</v>
      </c>
    </row>
    <row r="1325" spans="1:21" ht="15.75" hidden="1" customHeight="1" thickTop="1" thickBot="1">
      <c r="A1325" s="321"/>
      <c r="B1325" s="322"/>
      <c r="C1325" s="322"/>
      <c r="D1325" s="322"/>
      <c r="E1325" s="323"/>
      <c r="F1325" s="323"/>
      <c r="G1325" s="314"/>
      <c r="H1325" s="324"/>
      <c r="I1325" s="322"/>
      <c r="J1325" s="322"/>
      <c r="K1325" s="322"/>
      <c r="L1325" s="322"/>
      <c r="M1325" s="322"/>
      <c r="N1325" s="322"/>
      <c r="O1325" s="322"/>
      <c r="P1325" s="322"/>
      <c r="Q1325" s="322"/>
      <c r="R1325" s="322"/>
      <c r="S1325" s="303"/>
      <c r="T1325" s="307"/>
      <c r="U1325" s="311" t="e">
        <f>+VLOOKUP(C1325,Spreads!$A$2:$G$345,7,0)</f>
        <v>#N/A</v>
      </c>
    </row>
    <row r="1326" spans="1:21" ht="15.75" hidden="1" customHeight="1" thickTop="1" thickBot="1">
      <c r="A1326" s="317"/>
      <c r="B1326" s="318"/>
      <c r="C1326" s="318"/>
      <c r="D1326" s="318"/>
      <c r="E1326" s="319"/>
      <c r="F1326" s="319"/>
      <c r="G1326" s="314"/>
      <c r="H1326" s="320"/>
      <c r="I1326" s="318"/>
      <c r="J1326" s="318"/>
      <c r="K1326" s="318"/>
      <c r="L1326" s="318"/>
      <c r="M1326" s="318"/>
      <c r="N1326" s="318"/>
      <c r="O1326" s="318"/>
      <c r="P1326" s="318"/>
      <c r="Q1326" s="318"/>
      <c r="R1326" s="318"/>
      <c r="S1326" s="303"/>
      <c r="T1326" s="307"/>
      <c r="U1326" s="311" t="e">
        <f>+VLOOKUP(C1326,Spreads!$A$2:$G$345,7,0)</f>
        <v>#N/A</v>
      </c>
    </row>
    <row r="1327" spans="1:21" ht="15.75" hidden="1" customHeight="1" thickTop="1" thickBot="1">
      <c r="A1327" s="321"/>
      <c r="B1327" s="322"/>
      <c r="C1327" s="322"/>
      <c r="D1327" s="322"/>
      <c r="E1327" s="323"/>
      <c r="F1327" s="323"/>
      <c r="G1327" s="314"/>
      <c r="H1327" s="324"/>
      <c r="I1327" s="322"/>
      <c r="J1327" s="322"/>
      <c r="K1327" s="322"/>
      <c r="L1327" s="322"/>
      <c r="M1327" s="322"/>
      <c r="N1327" s="322"/>
      <c r="O1327" s="322"/>
      <c r="P1327" s="322"/>
      <c r="Q1327" s="322"/>
      <c r="R1327" s="322"/>
      <c r="S1327" s="303"/>
      <c r="T1327" s="307"/>
      <c r="U1327" s="311" t="e">
        <f>+VLOOKUP(C1327,Spreads!$A$2:$G$345,7,0)</f>
        <v>#N/A</v>
      </c>
    </row>
    <row r="1328" spans="1:21" ht="15.75" hidden="1" customHeight="1" thickTop="1" thickBot="1">
      <c r="A1328" s="321"/>
      <c r="B1328" s="322"/>
      <c r="C1328" s="322"/>
      <c r="D1328" s="322"/>
      <c r="E1328" s="323"/>
      <c r="F1328" s="323"/>
      <c r="G1328" s="314"/>
      <c r="H1328" s="324"/>
      <c r="I1328" s="322"/>
      <c r="J1328" s="322"/>
      <c r="K1328" s="322"/>
      <c r="L1328" s="322"/>
      <c r="M1328" s="322"/>
      <c r="N1328" s="322"/>
      <c r="O1328" s="322"/>
      <c r="P1328" s="322"/>
      <c r="Q1328" s="322"/>
      <c r="R1328" s="322"/>
      <c r="S1328" s="303"/>
      <c r="T1328" s="307"/>
      <c r="U1328" s="311" t="e">
        <f>+VLOOKUP(C1328,Spreads!$A$2:$G$345,7,0)</f>
        <v>#N/A</v>
      </c>
    </row>
    <row r="1329" spans="1:21" ht="15.75" hidden="1" customHeight="1" thickTop="1" thickBot="1">
      <c r="A1329" s="321"/>
      <c r="B1329" s="322"/>
      <c r="C1329" s="322"/>
      <c r="D1329" s="322"/>
      <c r="E1329" s="323"/>
      <c r="F1329" s="323"/>
      <c r="G1329" s="314"/>
      <c r="H1329" s="324"/>
      <c r="I1329" s="322"/>
      <c r="J1329" s="322"/>
      <c r="K1329" s="322"/>
      <c r="L1329" s="322"/>
      <c r="M1329" s="322"/>
      <c r="N1329" s="322"/>
      <c r="O1329" s="322"/>
      <c r="P1329" s="322"/>
      <c r="Q1329" s="322"/>
      <c r="R1329" s="322"/>
      <c r="S1329" s="303"/>
      <c r="T1329" s="307"/>
      <c r="U1329" s="311" t="e">
        <f>+VLOOKUP(C1329,Spreads!$A$2:$G$345,7,0)</f>
        <v>#N/A</v>
      </c>
    </row>
    <row r="1330" spans="1:21" ht="15.75" hidden="1" customHeight="1" thickTop="1" thickBot="1">
      <c r="A1330" s="327"/>
      <c r="B1330" s="328"/>
      <c r="C1330" s="328"/>
      <c r="D1330" s="328"/>
      <c r="E1330" s="328"/>
      <c r="F1330" s="328"/>
      <c r="G1330" s="314"/>
      <c r="H1330" s="329"/>
      <c r="I1330" s="328"/>
      <c r="J1330" s="328"/>
      <c r="K1330" s="328"/>
      <c r="L1330" s="328"/>
      <c r="M1330" s="328"/>
      <c r="N1330" s="328"/>
      <c r="O1330" s="328"/>
      <c r="P1330" s="328"/>
      <c r="Q1330" s="328"/>
      <c r="R1330" s="328"/>
      <c r="S1330" s="303"/>
      <c r="T1330" s="307"/>
      <c r="U1330" s="311" t="e">
        <f>+VLOOKUP(C1330,Spreads!$A$2:$G$345,7,0)</f>
        <v>#N/A</v>
      </c>
    </row>
    <row r="1331" spans="1:21" ht="15.75" hidden="1" customHeight="1" thickTop="1" thickBot="1">
      <c r="A1331" s="317"/>
      <c r="B1331" s="318"/>
      <c r="C1331" s="318"/>
      <c r="D1331" s="318"/>
      <c r="E1331" s="319"/>
      <c r="F1331" s="319"/>
      <c r="G1331" s="314"/>
      <c r="H1331" s="320"/>
      <c r="I1331" s="318"/>
      <c r="J1331" s="318"/>
      <c r="K1331" s="318"/>
      <c r="L1331" s="318"/>
      <c r="M1331" s="318"/>
      <c r="N1331" s="318"/>
      <c r="O1331" s="318"/>
      <c r="P1331" s="318"/>
      <c r="Q1331" s="318"/>
      <c r="R1331" s="318"/>
      <c r="S1331" s="303"/>
      <c r="T1331" s="307"/>
      <c r="U1331" s="311" t="e">
        <f>+VLOOKUP(C1331,Spreads!$A$2:$G$345,7,0)</f>
        <v>#N/A</v>
      </c>
    </row>
    <row r="1332" spans="1:21" ht="15.75" hidden="1" customHeight="1" thickTop="1" thickBot="1">
      <c r="A1332" s="321"/>
      <c r="B1332" s="322"/>
      <c r="C1332" s="322"/>
      <c r="D1332" s="322"/>
      <c r="E1332" s="323"/>
      <c r="F1332" s="323"/>
      <c r="G1332" s="314"/>
      <c r="H1332" s="322"/>
      <c r="I1332" s="322"/>
      <c r="J1332" s="322"/>
      <c r="K1332" s="322"/>
      <c r="L1332" s="322"/>
      <c r="M1332" s="322"/>
      <c r="N1332" s="322"/>
      <c r="O1332" s="322"/>
      <c r="P1332" s="322"/>
      <c r="Q1332" s="322"/>
      <c r="R1332" s="322"/>
      <c r="S1332" s="303"/>
      <c r="T1332" s="307"/>
      <c r="U1332" s="311" t="e">
        <f>+VLOOKUP(C1332,Spreads!$A$2:$G$345,7,0)</f>
        <v>#N/A</v>
      </c>
    </row>
    <row r="1333" spans="1:21" ht="15.75" hidden="1" customHeight="1" thickTop="1" thickBot="1">
      <c r="A1333" s="321"/>
      <c r="B1333" s="322"/>
      <c r="C1333" s="322"/>
      <c r="D1333" s="322"/>
      <c r="E1333" s="323"/>
      <c r="F1333" s="323"/>
      <c r="G1333" s="314"/>
      <c r="H1333" s="324"/>
      <c r="I1333" s="322"/>
      <c r="J1333" s="322"/>
      <c r="K1333" s="322"/>
      <c r="L1333" s="322"/>
      <c r="M1333" s="322"/>
      <c r="N1333" s="322"/>
      <c r="O1333" s="322"/>
      <c r="P1333" s="322"/>
      <c r="Q1333" s="322"/>
      <c r="R1333" s="322"/>
      <c r="S1333" s="303"/>
      <c r="T1333" s="307"/>
      <c r="U1333" s="311" t="e">
        <f>+VLOOKUP(C1333,Spreads!$A$2:$G$345,7,0)</f>
        <v>#N/A</v>
      </c>
    </row>
    <row r="1334" spans="1:21" ht="15.75" hidden="1" customHeight="1" thickTop="1" thickBot="1">
      <c r="A1334" s="321"/>
      <c r="B1334" s="322"/>
      <c r="C1334" s="322"/>
      <c r="D1334" s="322"/>
      <c r="E1334" s="323"/>
      <c r="F1334" s="323"/>
      <c r="G1334" s="314"/>
      <c r="H1334" s="324"/>
      <c r="I1334" s="322"/>
      <c r="J1334" s="322"/>
      <c r="K1334" s="322"/>
      <c r="L1334" s="322"/>
      <c r="M1334" s="322"/>
      <c r="N1334" s="322"/>
      <c r="O1334" s="322"/>
      <c r="P1334" s="322"/>
      <c r="Q1334" s="322"/>
      <c r="R1334" s="322"/>
      <c r="S1334" s="303"/>
      <c r="T1334" s="307"/>
      <c r="U1334" s="311" t="e">
        <f>+VLOOKUP(C1334,Spreads!$A$2:$G$345,7,0)</f>
        <v>#N/A</v>
      </c>
    </row>
    <row r="1335" spans="1:21" ht="15.75" hidden="1" customHeight="1" thickTop="1" thickBot="1">
      <c r="A1335" s="317"/>
      <c r="B1335" s="318"/>
      <c r="C1335" s="318"/>
      <c r="D1335" s="318"/>
      <c r="E1335" s="319"/>
      <c r="F1335" s="319"/>
      <c r="G1335" s="314"/>
      <c r="H1335" s="320"/>
      <c r="I1335" s="318"/>
      <c r="J1335" s="318"/>
      <c r="K1335" s="318"/>
      <c r="L1335" s="318"/>
      <c r="M1335" s="318"/>
      <c r="N1335" s="318"/>
      <c r="O1335" s="318"/>
      <c r="P1335" s="318"/>
      <c r="Q1335" s="318"/>
      <c r="R1335" s="318"/>
      <c r="S1335" s="303"/>
      <c r="T1335" s="307"/>
      <c r="U1335" s="311" t="e">
        <f>+VLOOKUP(C1335,Spreads!$A$2:$G$345,7,0)</f>
        <v>#N/A</v>
      </c>
    </row>
    <row r="1336" spans="1:21" ht="15.75" hidden="1" customHeight="1" thickTop="1" thickBot="1">
      <c r="A1336" s="317"/>
      <c r="B1336" s="318"/>
      <c r="C1336" s="318"/>
      <c r="D1336" s="318"/>
      <c r="E1336" s="319"/>
      <c r="F1336" s="319"/>
      <c r="G1336" s="314"/>
      <c r="H1336" s="320"/>
      <c r="I1336" s="318"/>
      <c r="J1336" s="318"/>
      <c r="K1336" s="318"/>
      <c r="L1336" s="318"/>
      <c r="M1336" s="318"/>
      <c r="N1336" s="318"/>
      <c r="O1336" s="318"/>
      <c r="P1336" s="318"/>
      <c r="Q1336" s="318"/>
      <c r="R1336" s="318"/>
      <c r="S1336" s="303"/>
      <c r="T1336" s="307"/>
      <c r="U1336" s="311" t="e">
        <f>+VLOOKUP(C1336,Spreads!$A$2:$G$345,7,0)</f>
        <v>#N/A</v>
      </c>
    </row>
    <row r="1337" spans="1:21" ht="15.75" hidden="1" customHeight="1" thickTop="1" thickBot="1">
      <c r="A1337" s="317"/>
      <c r="B1337" s="318"/>
      <c r="C1337" s="318"/>
      <c r="D1337" s="318"/>
      <c r="E1337" s="319"/>
      <c r="F1337" s="319"/>
      <c r="G1337" s="314"/>
      <c r="H1337" s="320"/>
      <c r="I1337" s="318"/>
      <c r="J1337" s="318"/>
      <c r="K1337" s="318"/>
      <c r="L1337" s="318"/>
      <c r="M1337" s="318"/>
      <c r="N1337" s="318"/>
      <c r="O1337" s="318"/>
      <c r="P1337" s="318"/>
      <c r="Q1337" s="318"/>
      <c r="R1337" s="318"/>
      <c r="S1337" s="303"/>
      <c r="T1337" s="307"/>
      <c r="U1337" s="311" t="e">
        <f>+VLOOKUP(C1337,Spreads!$A$2:$G$345,7,0)</f>
        <v>#N/A</v>
      </c>
    </row>
    <row r="1338" spans="1:21" ht="15.75" hidden="1" customHeight="1" thickTop="1" thickBot="1">
      <c r="A1338" s="317"/>
      <c r="B1338" s="318"/>
      <c r="C1338" s="318"/>
      <c r="D1338" s="318"/>
      <c r="E1338" s="319"/>
      <c r="F1338" s="319"/>
      <c r="G1338" s="314"/>
      <c r="H1338" s="320"/>
      <c r="I1338" s="318"/>
      <c r="J1338" s="318"/>
      <c r="K1338" s="318"/>
      <c r="L1338" s="318"/>
      <c r="M1338" s="318"/>
      <c r="N1338" s="318"/>
      <c r="O1338" s="318"/>
      <c r="P1338" s="318"/>
      <c r="Q1338" s="318"/>
      <c r="R1338" s="318"/>
      <c r="S1338" s="303"/>
      <c r="T1338" s="307"/>
      <c r="U1338" s="311" t="e">
        <f>+VLOOKUP(C1338,Spreads!$A$2:$G$345,7,0)</f>
        <v>#N/A</v>
      </c>
    </row>
    <row r="1339" spans="1:21" ht="15.75" hidden="1" customHeight="1" thickTop="1" thickBot="1">
      <c r="A1339" s="317"/>
      <c r="B1339" s="318"/>
      <c r="C1339" s="318"/>
      <c r="D1339" s="318"/>
      <c r="E1339" s="319"/>
      <c r="F1339" s="319"/>
      <c r="G1339" s="314"/>
      <c r="H1339" s="320"/>
      <c r="I1339" s="318"/>
      <c r="J1339" s="318"/>
      <c r="K1339" s="318"/>
      <c r="L1339" s="318"/>
      <c r="M1339" s="318"/>
      <c r="N1339" s="318"/>
      <c r="O1339" s="318"/>
      <c r="P1339" s="318"/>
      <c r="Q1339" s="318"/>
      <c r="R1339" s="318"/>
      <c r="S1339" s="303"/>
      <c r="T1339" s="307"/>
      <c r="U1339" s="311" t="e">
        <f>+VLOOKUP(C1339,Spreads!$A$2:$G$345,7,0)</f>
        <v>#N/A</v>
      </c>
    </row>
    <row r="1340" spans="1:21" ht="15.75" hidden="1" customHeight="1" thickTop="1" thickBot="1">
      <c r="A1340" s="321"/>
      <c r="B1340" s="322"/>
      <c r="C1340" s="322"/>
      <c r="D1340" s="322"/>
      <c r="E1340" s="323"/>
      <c r="F1340" s="323"/>
      <c r="G1340" s="314"/>
      <c r="H1340" s="324"/>
      <c r="I1340" s="322"/>
      <c r="J1340" s="322"/>
      <c r="K1340" s="322"/>
      <c r="L1340" s="322"/>
      <c r="M1340" s="322"/>
      <c r="N1340" s="322"/>
      <c r="O1340" s="322"/>
      <c r="P1340" s="322"/>
      <c r="Q1340" s="322"/>
      <c r="R1340" s="322"/>
      <c r="S1340" s="303"/>
      <c r="T1340" s="307"/>
      <c r="U1340" s="311" t="e">
        <f>+VLOOKUP(C1340,Spreads!$A$2:$G$345,7,0)</f>
        <v>#N/A</v>
      </c>
    </row>
    <row r="1341" spans="1:21" ht="15.75" hidden="1" customHeight="1" thickTop="1" thickBot="1">
      <c r="A1341" s="317"/>
      <c r="B1341" s="318"/>
      <c r="C1341" s="318"/>
      <c r="D1341" s="318"/>
      <c r="E1341" s="319"/>
      <c r="F1341" s="319"/>
      <c r="G1341" s="314"/>
      <c r="H1341" s="320"/>
      <c r="I1341" s="318"/>
      <c r="J1341" s="318"/>
      <c r="K1341" s="318"/>
      <c r="L1341" s="318"/>
      <c r="M1341" s="318"/>
      <c r="N1341" s="318"/>
      <c r="O1341" s="318"/>
      <c r="P1341" s="318"/>
      <c r="Q1341" s="318"/>
      <c r="R1341" s="318"/>
      <c r="S1341" s="303"/>
      <c r="T1341" s="307"/>
      <c r="U1341" s="311" t="e">
        <f>+VLOOKUP(C1341,Spreads!$A$2:$G$345,7,0)</f>
        <v>#N/A</v>
      </c>
    </row>
    <row r="1342" spans="1:21" ht="15.75" hidden="1" customHeight="1" thickTop="1" thickBot="1">
      <c r="A1342" s="317"/>
      <c r="B1342" s="318"/>
      <c r="C1342" s="318"/>
      <c r="D1342" s="318"/>
      <c r="E1342" s="319"/>
      <c r="F1342" s="319"/>
      <c r="G1342" s="314"/>
      <c r="H1342" s="320"/>
      <c r="I1342" s="318"/>
      <c r="J1342" s="318"/>
      <c r="K1342" s="318"/>
      <c r="L1342" s="318"/>
      <c r="M1342" s="318"/>
      <c r="N1342" s="318"/>
      <c r="O1342" s="318"/>
      <c r="P1342" s="318"/>
      <c r="Q1342" s="318"/>
      <c r="R1342" s="318"/>
      <c r="S1342" s="303"/>
      <c r="T1342" s="307"/>
      <c r="U1342" s="311" t="e">
        <f>+VLOOKUP(C1342,Spreads!$A$2:$G$345,7,0)</f>
        <v>#N/A</v>
      </c>
    </row>
    <row r="1343" spans="1:21" ht="15.75" hidden="1" customHeight="1" thickTop="1" thickBot="1">
      <c r="A1343" s="317"/>
      <c r="B1343" s="318"/>
      <c r="C1343" s="318"/>
      <c r="D1343" s="318"/>
      <c r="E1343" s="319"/>
      <c r="F1343" s="319"/>
      <c r="G1343" s="314"/>
      <c r="H1343" s="320"/>
      <c r="I1343" s="318"/>
      <c r="J1343" s="318"/>
      <c r="K1343" s="318"/>
      <c r="L1343" s="318"/>
      <c r="M1343" s="318"/>
      <c r="N1343" s="318"/>
      <c r="O1343" s="318"/>
      <c r="P1343" s="318"/>
      <c r="Q1343" s="318"/>
      <c r="R1343" s="318"/>
      <c r="S1343" s="303"/>
      <c r="T1343" s="307"/>
      <c r="U1343" s="311" t="e">
        <f>+VLOOKUP(C1343,Spreads!$A$2:$G$345,7,0)</f>
        <v>#N/A</v>
      </c>
    </row>
    <row r="1344" spans="1:21" ht="15.75" hidden="1" customHeight="1" thickTop="1" thickBot="1">
      <c r="A1344" s="317"/>
      <c r="B1344" s="318"/>
      <c r="C1344" s="318"/>
      <c r="D1344" s="318"/>
      <c r="E1344" s="319"/>
      <c r="F1344" s="319"/>
      <c r="G1344" s="314"/>
      <c r="H1344" s="318"/>
      <c r="I1344" s="318"/>
      <c r="J1344" s="318"/>
      <c r="K1344" s="318"/>
      <c r="L1344" s="318"/>
      <c r="M1344" s="318"/>
      <c r="N1344" s="318"/>
      <c r="O1344" s="318"/>
      <c r="P1344" s="318"/>
      <c r="Q1344" s="318"/>
      <c r="R1344" s="318"/>
      <c r="S1344" s="303"/>
      <c r="T1344" s="307"/>
      <c r="U1344" s="311" t="e">
        <f>+VLOOKUP(C1344,Spreads!$A$2:$G$345,7,0)</f>
        <v>#N/A</v>
      </c>
    </row>
    <row r="1345" spans="1:21" ht="15.75" hidden="1" customHeight="1" thickTop="1" thickBot="1">
      <c r="A1345" s="317"/>
      <c r="B1345" s="318"/>
      <c r="C1345" s="318"/>
      <c r="D1345" s="318"/>
      <c r="E1345" s="319"/>
      <c r="F1345" s="319"/>
      <c r="G1345" s="314"/>
      <c r="H1345" s="320"/>
      <c r="I1345" s="318"/>
      <c r="J1345" s="318"/>
      <c r="K1345" s="318"/>
      <c r="L1345" s="318"/>
      <c r="M1345" s="318"/>
      <c r="N1345" s="318"/>
      <c r="O1345" s="318"/>
      <c r="P1345" s="318"/>
      <c r="Q1345" s="318"/>
      <c r="R1345" s="318"/>
      <c r="S1345" s="303"/>
      <c r="T1345" s="307"/>
      <c r="U1345" s="311" t="e">
        <f>+VLOOKUP(C1345,Spreads!$A$2:$G$345,7,0)</f>
        <v>#N/A</v>
      </c>
    </row>
    <row r="1346" spans="1:21" ht="15.75" hidden="1" customHeight="1" thickTop="1" thickBot="1">
      <c r="A1346" s="317"/>
      <c r="B1346" s="318"/>
      <c r="C1346" s="318"/>
      <c r="D1346" s="318"/>
      <c r="E1346" s="319"/>
      <c r="F1346" s="319"/>
      <c r="G1346" s="314"/>
      <c r="H1346" s="320"/>
      <c r="I1346" s="318"/>
      <c r="J1346" s="318"/>
      <c r="K1346" s="318"/>
      <c r="L1346" s="318"/>
      <c r="M1346" s="318"/>
      <c r="N1346" s="318"/>
      <c r="O1346" s="318"/>
      <c r="P1346" s="318"/>
      <c r="Q1346" s="318"/>
      <c r="R1346" s="318"/>
      <c r="S1346" s="303"/>
      <c r="T1346" s="307"/>
      <c r="U1346" s="311" t="e">
        <f>+VLOOKUP(C1346,Spreads!$A$2:$G$345,7,0)</f>
        <v>#N/A</v>
      </c>
    </row>
    <row r="1347" spans="1:21" ht="15.75" hidden="1" customHeight="1" thickTop="1" thickBot="1">
      <c r="A1347" s="317"/>
      <c r="B1347" s="318"/>
      <c r="C1347" s="318"/>
      <c r="D1347" s="318"/>
      <c r="E1347" s="319"/>
      <c r="F1347" s="319"/>
      <c r="G1347" s="314"/>
      <c r="H1347" s="320"/>
      <c r="I1347" s="318"/>
      <c r="J1347" s="318"/>
      <c r="K1347" s="318"/>
      <c r="L1347" s="318"/>
      <c r="M1347" s="318"/>
      <c r="N1347" s="318"/>
      <c r="O1347" s="318"/>
      <c r="P1347" s="318"/>
      <c r="Q1347" s="318"/>
      <c r="R1347" s="318"/>
      <c r="S1347" s="303"/>
      <c r="T1347" s="307"/>
      <c r="U1347" s="311" t="e">
        <f>+VLOOKUP(C1347,Spreads!$A$2:$G$345,7,0)</f>
        <v>#N/A</v>
      </c>
    </row>
    <row r="1348" spans="1:21" ht="15.75" hidden="1" customHeight="1" thickTop="1" thickBot="1">
      <c r="A1348" s="321"/>
      <c r="B1348" s="322"/>
      <c r="C1348" s="322"/>
      <c r="D1348" s="322"/>
      <c r="E1348" s="323"/>
      <c r="F1348" s="323"/>
      <c r="G1348" s="314"/>
      <c r="H1348" s="324"/>
      <c r="I1348" s="322"/>
      <c r="J1348" s="322"/>
      <c r="K1348" s="322"/>
      <c r="L1348" s="322"/>
      <c r="M1348" s="322"/>
      <c r="N1348" s="322"/>
      <c r="O1348" s="322"/>
      <c r="P1348" s="322"/>
      <c r="Q1348" s="322"/>
      <c r="R1348" s="322"/>
      <c r="S1348" s="303"/>
      <c r="T1348" s="307"/>
      <c r="U1348" s="311" t="e">
        <f>+VLOOKUP(C1348,Spreads!$A$2:$G$345,7,0)</f>
        <v>#N/A</v>
      </c>
    </row>
    <row r="1349" spans="1:21" ht="15.75" hidden="1" customHeight="1" thickTop="1" thickBot="1">
      <c r="A1349" s="317"/>
      <c r="B1349" s="318"/>
      <c r="C1349" s="318"/>
      <c r="D1349" s="318"/>
      <c r="E1349" s="319"/>
      <c r="F1349" s="319"/>
      <c r="G1349" s="314"/>
      <c r="H1349" s="320"/>
      <c r="I1349" s="318"/>
      <c r="J1349" s="318"/>
      <c r="K1349" s="318"/>
      <c r="L1349" s="318"/>
      <c r="M1349" s="318"/>
      <c r="N1349" s="318"/>
      <c r="O1349" s="318"/>
      <c r="P1349" s="318"/>
      <c r="Q1349" s="318"/>
      <c r="R1349" s="318"/>
      <c r="S1349" s="303"/>
      <c r="T1349" s="307"/>
      <c r="U1349" s="311" t="e">
        <f>+VLOOKUP(C1349,Spreads!$A$2:$G$345,7,0)</f>
        <v>#N/A</v>
      </c>
    </row>
    <row r="1350" spans="1:21" ht="15.75" hidden="1" customHeight="1" thickTop="1" thickBot="1">
      <c r="A1350" s="321"/>
      <c r="B1350" s="322"/>
      <c r="C1350" s="322"/>
      <c r="D1350" s="322"/>
      <c r="E1350" s="323"/>
      <c r="F1350" s="323"/>
      <c r="G1350" s="314"/>
      <c r="H1350" s="324"/>
      <c r="I1350" s="322"/>
      <c r="J1350" s="322"/>
      <c r="K1350" s="322"/>
      <c r="L1350" s="322"/>
      <c r="M1350" s="322"/>
      <c r="N1350" s="322"/>
      <c r="O1350" s="322"/>
      <c r="P1350" s="322"/>
      <c r="Q1350" s="322"/>
      <c r="R1350" s="322"/>
      <c r="S1350" s="303"/>
      <c r="T1350" s="307"/>
      <c r="U1350" s="311" t="e">
        <f>+VLOOKUP(C1350,Spreads!$A$2:$G$345,7,0)</f>
        <v>#N/A</v>
      </c>
    </row>
    <row r="1351" spans="1:21" ht="15.75" hidden="1" customHeight="1" thickTop="1" thickBot="1">
      <c r="A1351" s="317"/>
      <c r="B1351" s="318"/>
      <c r="C1351" s="318"/>
      <c r="D1351" s="318"/>
      <c r="E1351" s="319"/>
      <c r="F1351" s="319"/>
      <c r="G1351" s="314"/>
      <c r="H1351" s="318"/>
      <c r="I1351" s="318"/>
      <c r="J1351" s="318"/>
      <c r="K1351" s="318"/>
      <c r="L1351" s="318"/>
      <c r="M1351" s="318"/>
      <c r="N1351" s="318"/>
      <c r="O1351" s="318"/>
      <c r="P1351" s="318"/>
      <c r="Q1351" s="318"/>
      <c r="R1351" s="318"/>
      <c r="S1351" s="303"/>
      <c r="T1351" s="307"/>
      <c r="U1351" s="311" t="e">
        <f>+VLOOKUP(C1351,Spreads!$A$2:$G$345,7,0)</f>
        <v>#N/A</v>
      </c>
    </row>
    <row r="1352" spans="1:21" ht="15.75" hidden="1" customHeight="1" thickTop="1" thickBot="1">
      <c r="A1352" s="321"/>
      <c r="B1352" s="322"/>
      <c r="C1352" s="322"/>
      <c r="D1352" s="322"/>
      <c r="E1352" s="323"/>
      <c r="F1352" s="323"/>
      <c r="G1352" s="314"/>
      <c r="H1352" s="324"/>
      <c r="I1352" s="322"/>
      <c r="J1352" s="322"/>
      <c r="K1352" s="322"/>
      <c r="L1352" s="322"/>
      <c r="M1352" s="322"/>
      <c r="N1352" s="322"/>
      <c r="O1352" s="322"/>
      <c r="P1352" s="322"/>
      <c r="Q1352" s="322"/>
      <c r="R1352" s="322"/>
      <c r="S1352" s="303"/>
      <c r="T1352" s="307"/>
      <c r="U1352" s="311" t="e">
        <f>+VLOOKUP(C1352,Spreads!$A$2:$G$345,7,0)</f>
        <v>#N/A</v>
      </c>
    </row>
    <row r="1353" spans="1:21" ht="15.75" hidden="1" customHeight="1" thickTop="1" thickBot="1">
      <c r="A1353" s="317"/>
      <c r="B1353" s="318"/>
      <c r="C1353" s="318"/>
      <c r="D1353" s="318"/>
      <c r="E1353" s="319"/>
      <c r="F1353" s="319"/>
      <c r="G1353" s="314"/>
      <c r="H1353" s="320"/>
      <c r="I1353" s="318"/>
      <c r="J1353" s="318"/>
      <c r="K1353" s="318"/>
      <c r="L1353" s="318"/>
      <c r="M1353" s="318"/>
      <c r="N1353" s="318"/>
      <c r="O1353" s="318"/>
      <c r="P1353" s="318"/>
      <c r="Q1353" s="318"/>
      <c r="R1353" s="318"/>
      <c r="S1353" s="303"/>
      <c r="T1353" s="307"/>
      <c r="U1353" s="311" t="e">
        <f>+VLOOKUP(C1353,Spreads!$A$2:$G$345,7,0)</f>
        <v>#N/A</v>
      </c>
    </row>
    <row r="1354" spans="1:21" ht="15.75" hidden="1" customHeight="1" thickTop="1" thickBot="1">
      <c r="A1354" s="317"/>
      <c r="B1354" s="318"/>
      <c r="C1354" s="318"/>
      <c r="D1354" s="318"/>
      <c r="E1354" s="319"/>
      <c r="F1354" s="319"/>
      <c r="G1354" s="314"/>
      <c r="H1354" s="320"/>
      <c r="I1354" s="318"/>
      <c r="J1354" s="318"/>
      <c r="K1354" s="318"/>
      <c r="L1354" s="318"/>
      <c r="M1354" s="318"/>
      <c r="N1354" s="318"/>
      <c r="O1354" s="318"/>
      <c r="P1354" s="318"/>
      <c r="Q1354" s="318"/>
      <c r="R1354" s="318"/>
      <c r="S1354" s="303"/>
      <c r="T1354" s="307"/>
      <c r="U1354" s="311" t="e">
        <f>+VLOOKUP(C1354,Spreads!$A$2:$G$345,7,0)</f>
        <v>#N/A</v>
      </c>
    </row>
    <row r="1355" spans="1:21" ht="15.75" hidden="1" customHeight="1" thickTop="1" thickBot="1">
      <c r="A1355" s="317"/>
      <c r="B1355" s="318"/>
      <c r="C1355" s="318"/>
      <c r="D1355" s="318"/>
      <c r="E1355" s="319"/>
      <c r="F1355" s="319"/>
      <c r="G1355" s="314"/>
      <c r="H1355" s="320"/>
      <c r="I1355" s="318"/>
      <c r="J1355" s="318"/>
      <c r="K1355" s="318"/>
      <c r="L1355" s="318"/>
      <c r="M1355" s="318"/>
      <c r="N1355" s="318"/>
      <c r="O1355" s="318"/>
      <c r="P1355" s="318"/>
      <c r="Q1355" s="318"/>
      <c r="R1355" s="318"/>
      <c r="S1355" s="303"/>
      <c r="T1355" s="307"/>
      <c r="U1355" s="311" t="e">
        <f>+VLOOKUP(C1355,Spreads!$A$2:$G$345,7,0)</f>
        <v>#N/A</v>
      </c>
    </row>
    <row r="1356" spans="1:21" ht="15.75" hidden="1" customHeight="1" thickTop="1" thickBot="1">
      <c r="A1356" s="317"/>
      <c r="B1356" s="318"/>
      <c r="C1356" s="318"/>
      <c r="D1356" s="318"/>
      <c r="E1356" s="319"/>
      <c r="F1356" s="319"/>
      <c r="G1356" s="314"/>
      <c r="H1356" s="320"/>
      <c r="I1356" s="318"/>
      <c r="J1356" s="318"/>
      <c r="K1356" s="318"/>
      <c r="L1356" s="318"/>
      <c r="M1356" s="318"/>
      <c r="N1356" s="318"/>
      <c r="O1356" s="318"/>
      <c r="P1356" s="318"/>
      <c r="Q1356" s="318"/>
      <c r="R1356" s="318"/>
      <c r="S1356" s="303"/>
      <c r="T1356" s="307"/>
      <c r="U1356" s="311" t="e">
        <f>+VLOOKUP(C1356,Spreads!$A$2:$G$345,7,0)</f>
        <v>#N/A</v>
      </c>
    </row>
    <row r="1357" spans="1:21" ht="15.75" hidden="1" customHeight="1" thickTop="1" thickBot="1">
      <c r="A1357" s="327"/>
      <c r="B1357" s="328"/>
      <c r="C1357" s="328"/>
      <c r="D1357" s="328"/>
      <c r="E1357" s="328"/>
      <c r="F1357" s="328"/>
      <c r="G1357" s="328"/>
      <c r="H1357" s="329"/>
      <c r="I1357" s="328"/>
      <c r="J1357" s="328"/>
      <c r="K1357" s="328"/>
      <c r="L1357" s="328"/>
      <c r="M1357" s="328"/>
      <c r="N1357" s="328"/>
      <c r="O1357" s="328"/>
      <c r="P1357" s="328"/>
      <c r="Q1357" s="328"/>
      <c r="R1357" s="328"/>
      <c r="S1357" s="303"/>
      <c r="T1357" s="307"/>
      <c r="U1357" s="311" t="e">
        <f>+VLOOKUP(C1357,Spreads!$A$2:$G$345,7,0)</f>
        <v>#N/A</v>
      </c>
    </row>
    <row r="1358" spans="1:21" ht="15.75" hidden="1" customHeight="1" thickTop="1" thickBot="1">
      <c r="A1358" s="317"/>
      <c r="B1358" s="318"/>
      <c r="C1358" s="318"/>
      <c r="D1358" s="318"/>
      <c r="E1358" s="319"/>
      <c r="F1358" s="319"/>
      <c r="G1358" s="314"/>
      <c r="H1358" s="320"/>
      <c r="I1358" s="318"/>
      <c r="J1358" s="318"/>
      <c r="K1358" s="318"/>
      <c r="L1358" s="318"/>
      <c r="M1358" s="318"/>
      <c r="N1358" s="318"/>
      <c r="O1358" s="318"/>
      <c r="P1358" s="318"/>
      <c r="Q1358" s="318"/>
      <c r="R1358" s="318"/>
      <c r="S1358" s="303"/>
      <c r="T1358" s="307"/>
      <c r="U1358" s="311" t="e">
        <f>+VLOOKUP(C1358,Spreads!$A$2:$G$345,7,0)</f>
        <v>#N/A</v>
      </c>
    </row>
    <row r="1359" spans="1:21" ht="15.75" hidden="1" customHeight="1" thickTop="1" thickBot="1">
      <c r="A1359" s="317"/>
      <c r="B1359" s="318"/>
      <c r="C1359" s="318"/>
      <c r="D1359" s="318"/>
      <c r="E1359" s="319"/>
      <c r="F1359" s="319"/>
      <c r="G1359" s="314"/>
      <c r="H1359" s="320"/>
      <c r="I1359" s="318"/>
      <c r="J1359" s="318"/>
      <c r="K1359" s="318"/>
      <c r="L1359" s="318"/>
      <c r="M1359" s="318"/>
      <c r="N1359" s="318"/>
      <c r="O1359" s="318"/>
      <c r="P1359" s="318"/>
      <c r="Q1359" s="318"/>
      <c r="R1359" s="318"/>
      <c r="S1359" s="303"/>
      <c r="T1359" s="307"/>
      <c r="U1359" s="311" t="e">
        <f>+VLOOKUP(C1359,Spreads!$A$2:$G$345,7,0)</f>
        <v>#N/A</v>
      </c>
    </row>
    <row r="1360" spans="1:21" ht="15.75" hidden="1" customHeight="1" thickTop="1" thickBot="1">
      <c r="A1360" s="321"/>
      <c r="B1360" s="322"/>
      <c r="C1360" s="322"/>
      <c r="D1360" s="322"/>
      <c r="E1360" s="323"/>
      <c r="F1360" s="323"/>
      <c r="G1360" s="314"/>
      <c r="H1360" s="324"/>
      <c r="I1360" s="322"/>
      <c r="J1360" s="322"/>
      <c r="K1360" s="322"/>
      <c r="L1360" s="322"/>
      <c r="M1360" s="322"/>
      <c r="N1360" s="322"/>
      <c r="O1360" s="322"/>
      <c r="P1360" s="322"/>
      <c r="Q1360" s="322"/>
      <c r="R1360" s="322"/>
      <c r="S1360" s="303"/>
      <c r="T1360" s="307"/>
      <c r="U1360" s="311" t="e">
        <f>+VLOOKUP(C1360,Spreads!$A$2:$G$345,7,0)</f>
        <v>#N/A</v>
      </c>
    </row>
    <row r="1361" spans="1:21" ht="15.75" hidden="1" customHeight="1" thickTop="1" thickBot="1">
      <c r="A1361" s="317"/>
      <c r="B1361" s="318"/>
      <c r="C1361" s="318"/>
      <c r="D1361" s="318"/>
      <c r="E1361" s="319"/>
      <c r="F1361" s="319"/>
      <c r="G1361" s="314"/>
      <c r="H1361" s="320"/>
      <c r="I1361" s="318"/>
      <c r="J1361" s="318"/>
      <c r="K1361" s="318"/>
      <c r="L1361" s="318"/>
      <c r="M1361" s="318"/>
      <c r="N1361" s="318"/>
      <c r="O1361" s="318"/>
      <c r="P1361" s="318"/>
      <c r="Q1361" s="318"/>
      <c r="R1361" s="318"/>
      <c r="S1361" s="303"/>
      <c r="T1361" s="307"/>
      <c r="U1361" s="311" t="e">
        <f>+VLOOKUP(C1361,Spreads!$A$2:$G$345,7,0)</f>
        <v>#N/A</v>
      </c>
    </row>
    <row r="1362" spans="1:21" ht="15.75" hidden="1" customHeight="1" thickTop="1" thickBot="1">
      <c r="A1362" s="327"/>
      <c r="B1362" s="328"/>
      <c r="C1362" s="328"/>
      <c r="D1362" s="328"/>
      <c r="E1362" s="328"/>
      <c r="F1362" s="328"/>
      <c r="G1362" s="328"/>
      <c r="H1362" s="329"/>
      <c r="I1362" s="328"/>
      <c r="J1362" s="328"/>
      <c r="K1362" s="328"/>
      <c r="L1362" s="328"/>
      <c r="M1362" s="328"/>
      <c r="N1362" s="328"/>
      <c r="O1362" s="328"/>
      <c r="P1362" s="328"/>
      <c r="Q1362" s="328"/>
      <c r="R1362" s="328"/>
      <c r="S1362" s="303"/>
      <c r="T1362" s="307"/>
      <c r="U1362" s="311" t="e">
        <f>+VLOOKUP(C1362,Spreads!$A$2:$G$345,7,0)</f>
        <v>#N/A</v>
      </c>
    </row>
    <row r="1363" spans="1:21" ht="15.75" hidden="1" customHeight="1" thickTop="1" thickBot="1">
      <c r="A1363" s="327"/>
      <c r="B1363" s="328"/>
      <c r="C1363" s="328"/>
      <c r="D1363" s="328"/>
      <c r="E1363" s="328"/>
      <c r="F1363" s="328"/>
      <c r="G1363" s="328"/>
      <c r="H1363" s="329"/>
      <c r="I1363" s="328"/>
      <c r="J1363" s="328"/>
      <c r="K1363" s="328"/>
      <c r="L1363" s="328"/>
      <c r="M1363" s="328"/>
      <c r="N1363" s="328"/>
      <c r="O1363" s="328"/>
      <c r="P1363" s="328"/>
      <c r="Q1363" s="328"/>
      <c r="R1363" s="328"/>
      <c r="S1363" s="303"/>
      <c r="T1363" s="307"/>
      <c r="U1363" s="311" t="e">
        <f>+VLOOKUP(C1363,Spreads!$A$2:$G$345,7,0)</f>
        <v>#N/A</v>
      </c>
    </row>
    <row r="1364" spans="1:21" ht="15.75" hidden="1" customHeight="1" thickTop="1" thickBot="1">
      <c r="A1364" s="317"/>
      <c r="B1364" s="318"/>
      <c r="C1364" s="318"/>
      <c r="D1364" s="318"/>
      <c r="E1364" s="319"/>
      <c r="F1364" s="319"/>
      <c r="G1364" s="314"/>
      <c r="H1364" s="318"/>
      <c r="I1364" s="318"/>
      <c r="J1364" s="318"/>
      <c r="K1364" s="318"/>
      <c r="L1364" s="318"/>
      <c r="M1364" s="318"/>
      <c r="N1364" s="318"/>
      <c r="O1364" s="318"/>
      <c r="P1364" s="318"/>
      <c r="Q1364" s="318"/>
      <c r="R1364" s="318"/>
      <c r="S1364" s="303"/>
      <c r="T1364" s="307"/>
      <c r="U1364" s="311" t="e">
        <f>+VLOOKUP(C1364,Spreads!$A$2:$G$345,7,0)</f>
        <v>#N/A</v>
      </c>
    </row>
    <row r="1365" spans="1:21" ht="15.75" hidden="1" customHeight="1" thickTop="1" thickBot="1">
      <c r="A1365" s="327"/>
      <c r="B1365" s="328"/>
      <c r="C1365" s="328"/>
      <c r="D1365" s="328"/>
      <c r="E1365" s="328"/>
      <c r="F1365" s="328"/>
      <c r="G1365" s="328"/>
      <c r="H1365" s="329"/>
      <c r="I1365" s="328"/>
      <c r="J1365" s="328"/>
      <c r="K1365" s="328"/>
      <c r="L1365" s="328"/>
      <c r="M1365" s="328"/>
      <c r="N1365" s="328"/>
      <c r="O1365" s="328"/>
      <c r="P1365" s="328"/>
      <c r="Q1365" s="328"/>
      <c r="R1365" s="328"/>
      <c r="S1365" s="303"/>
      <c r="T1365" s="307"/>
      <c r="U1365" s="311" t="e">
        <f>+VLOOKUP(C1365,Spreads!$A$2:$G$345,7,0)</f>
        <v>#N/A</v>
      </c>
    </row>
    <row r="1366" spans="1:21" ht="15.75" hidden="1" customHeight="1" thickTop="1" thickBot="1">
      <c r="A1366" s="321"/>
      <c r="B1366" s="322"/>
      <c r="C1366" s="322"/>
      <c r="D1366" s="322"/>
      <c r="E1366" s="323"/>
      <c r="F1366" s="323"/>
      <c r="G1366" s="314"/>
      <c r="H1366" s="322"/>
      <c r="I1366" s="322"/>
      <c r="J1366" s="322"/>
      <c r="K1366" s="322"/>
      <c r="L1366" s="322"/>
      <c r="M1366" s="322"/>
      <c r="N1366" s="322"/>
      <c r="O1366" s="322"/>
      <c r="P1366" s="322"/>
      <c r="Q1366" s="322"/>
      <c r="R1366" s="322"/>
      <c r="S1366" s="303"/>
      <c r="T1366" s="307"/>
      <c r="U1366" s="311" t="e">
        <f>+VLOOKUP(C1366,Spreads!$A$2:$G$345,7,0)</f>
        <v>#N/A</v>
      </c>
    </row>
    <row r="1367" spans="1:21" ht="15.75" hidden="1" customHeight="1" thickTop="1" thickBot="1">
      <c r="A1367" s="321"/>
      <c r="B1367" s="322"/>
      <c r="C1367" s="322"/>
      <c r="D1367" s="322"/>
      <c r="E1367" s="323"/>
      <c r="F1367" s="323"/>
      <c r="G1367" s="314"/>
      <c r="H1367" s="324"/>
      <c r="I1367" s="322"/>
      <c r="J1367" s="322"/>
      <c r="K1367" s="322"/>
      <c r="L1367" s="322"/>
      <c r="M1367" s="322"/>
      <c r="N1367" s="322"/>
      <c r="O1367" s="322"/>
      <c r="P1367" s="322"/>
      <c r="Q1367" s="322"/>
      <c r="R1367" s="322"/>
      <c r="S1367" s="303"/>
      <c r="T1367" s="307"/>
      <c r="U1367" s="311" t="e">
        <f>+VLOOKUP(C1367,Spreads!$A$2:$G$345,7,0)</f>
        <v>#N/A</v>
      </c>
    </row>
    <row r="1368" spans="1:21" ht="15.75" hidden="1" customHeight="1" thickTop="1" thickBot="1">
      <c r="A1368" s="321"/>
      <c r="B1368" s="322"/>
      <c r="C1368" s="322"/>
      <c r="D1368" s="322"/>
      <c r="E1368" s="323"/>
      <c r="F1368" s="323"/>
      <c r="G1368" s="314"/>
      <c r="H1368" s="324"/>
      <c r="I1368" s="322"/>
      <c r="J1368" s="322"/>
      <c r="K1368" s="322"/>
      <c r="L1368" s="322"/>
      <c r="M1368" s="322"/>
      <c r="N1368" s="322"/>
      <c r="O1368" s="322"/>
      <c r="P1368" s="322"/>
      <c r="Q1368" s="322"/>
      <c r="R1368" s="322"/>
      <c r="S1368" s="303"/>
      <c r="T1368" s="307"/>
      <c r="U1368" s="311" t="e">
        <f>+VLOOKUP(C1368,Spreads!$A$2:$G$345,7,0)</f>
        <v>#N/A</v>
      </c>
    </row>
    <row r="1369" spans="1:21" ht="15.75" hidden="1" customHeight="1" thickTop="1" thickBot="1">
      <c r="A1369" s="321"/>
      <c r="B1369" s="322"/>
      <c r="C1369" s="322"/>
      <c r="D1369" s="322"/>
      <c r="E1369" s="323"/>
      <c r="F1369" s="323"/>
      <c r="G1369" s="314"/>
      <c r="H1369" s="322"/>
      <c r="I1369" s="322"/>
      <c r="J1369" s="322"/>
      <c r="K1369" s="322"/>
      <c r="L1369" s="322"/>
      <c r="M1369" s="322"/>
      <c r="N1369" s="322"/>
      <c r="O1369" s="322"/>
      <c r="P1369" s="322"/>
      <c r="Q1369" s="322"/>
      <c r="R1369" s="322"/>
      <c r="S1369" s="303"/>
      <c r="T1369" s="307"/>
      <c r="U1369" s="311" t="e">
        <f>+VLOOKUP(C1369,Spreads!$A$2:$G$345,7,0)</f>
        <v>#N/A</v>
      </c>
    </row>
    <row r="1370" spans="1:21" ht="15.75" hidden="1" customHeight="1" thickTop="1" thickBot="1">
      <c r="A1370" s="327"/>
      <c r="B1370" s="328"/>
      <c r="C1370" s="328"/>
      <c r="D1370" s="328"/>
      <c r="E1370" s="328"/>
      <c r="F1370" s="328"/>
      <c r="G1370" s="328"/>
      <c r="H1370" s="329"/>
      <c r="I1370" s="328"/>
      <c r="J1370" s="328"/>
      <c r="K1370" s="328"/>
      <c r="L1370" s="328"/>
      <c r="M1370" s="328"/>
      <c r="N1370" s="328"/>
      <c r="O1370" s="328"/>
      <c r="P1370" s="328"/>
      <c r="Q1370" s="328"/>
      <c r="R1370" s="328"/>
      <c r="S1370" s="303"/>
      <c r="T1370" s="307"/>
      <c r="U1370" s="311" t="e">
        <f>+VLOOKUP(C1370,Spreads!$A$2:$G$345,7,0)</f>
        <v>#N/A</v>
      </c>
    </row>
    <row r="1371" spans="1:21" ht="15.75" hidden="1" customHeight="1" thickTop="1" thickBot="1">
      <c r="A1371" s="321"/>
      <c r="B1371" s="322"/>
      <c r="C1371" s="322"/>
      <c r="D1371" s="322"/>
      <c r="E1371" s="323"/>
      <c r="F1371" s="323"/>
      <c r="G1371" s="314"/>
      <c r="H1371" s="324"/>
      <c r="I1371" s="322"/>
      <c r="J1371" s="322"/>
      <c r="K1371" s="322"/>
      <c r="L1371" s="322"/>
      <c r="M1371" s="322"/>
      <c r="N1371" s="322"/>
      <c r="O1371" s="322"/>
      <c r="P1371" s="322"/>
      <c r="Q1371" s="322"/>
      <c r="R1371" s="322"/>
      <c r="S1371" s="303"/>
      <c r="T1371" s="307"/>
      <c r="U1371" s="311" t="e">
        <f>+VLOOKUP(C1371,Spreads!$A$2:$G$345,7,0)</f>
        <v>#N/A</v>
      </c>
    </row>
    <row r="1372" spans="1:21" ht="15.75" hidden="1" customHeight="1" thickTop="1" thickBot="1">
      <c r="A1372" s="321"/>
      <c r="B1372" s="322"/>
      <c r="C1372" s="322"/>
      <c r="D1372" s="322"/>
      <c r="E1372" s="323"/>
      <c r="F1372" s="323"/>
      <c r="G1372" s="314"/>
      <c r="H1372" s="324"/>
      <c r="I1372" s="322"/>
      <c r="J1372" s="322"/>
      <c r="K1372" s="322"/>
      <c r="L1372" s="322"/>
      <c r="M1372" s="322"/>
      <c r="N1372" s="322"/>
      <c r="O1372" s="322"/>
      <c r="P1372" s="322"/>
      <c r="Q1372" s="322"/>
      <c r="R1372" s="322"/>
      <c r="S1372" s="303"/>
      <c r="T1372" s="307"/>
      <c r="U1372" s="311" t="e">
        <f>+VLOOKUP(C1372,Spreads!$A$2:$G$345,7,0)</f>
        <v>#N/A</v>
      </c>
    </row>
    <row r="1373" spans="1:21" ht="15.75" hidden="1" customHeight="1" thickTop="1" thickBot="1">
      <c r="A1373" s="321"/>
      <c r="B1373" s="322"/>
      <c r="C1373" s="322"/>
      <c r="D1373" s="322"/>
      <c r="E1373" s="323"/>
      <c r="F1373" s="323"/>
      <c r="G1373" s="314"/>
      <c r="H1373" s="322"/>
      <c r="I1373" s="322"/>
      <c r="J1373" s="322"/>
      <c r="K1373" s="322"/>
      <c r="L1373" s="322"/>
      <c r="M1373" s="322"/>
      <c r="N1373" s="322"/>
      <c r="O1373" s="322"/>
      <c r="P1373" s="322"/>
      <c r="Q1373" s="322"/>
      <c r="R1373" s="322"/>
      <c r="S1373" s="303"/>
      <c r="T1373" s="307"/>
      <c r="U1373" s="311" t="e">
        <f>+VLOOKUP(C1373,Spreads!$A$2:$G$345,7,0)</f>
        <v>#N/A</v>
      </c>
    </row>
    <row r="1374" spans="1:21" ht="15.75" hidden="1" customHeight="1" thickTop="1" thickBot="1">
      <c r="A1374" s="321"/>
      <c r="B1374" s="322"/>
      <c r="C1374" s="322"/>
      <c r="D1374" s="322"/>
      <c r="E1374" s="323"/>
      <c r="F1374" s="323"/>
      <c r="G1374" s="314"/>
      <c r="H1374" s="324"/>
      <c r="I1374" s="322"/>
      <c r="J1374" s="322"/>
      <c r="K1374" s="322"/>
      <c r="L1374" s="322"/>
      <c r="M1374" s="322"/>
      <c r="N1374" s="322"/>
      <c r="O1374" s="322"/>
      <c r="P1374" s="322"/>
      <c r="Q1374" s="322"/>
      <c r="R1374" s="322"/>
      <c r="S1374" s="303"/>
      <c r="T1374" s="307"/>
      <c r="U1374" s="311" t="e">
        <f>+VLOOKUP(C1374,Spreads!$A$2:$G$345,7,0)</f>
        <v>#N/A</v>
      </c>
    </row>
    <row r="1375" spans="1:21" ht="15.75" hidden="1" customHeight="1" thickTop="1" thickBot="1">
      <c r="A1375" s="321"/>
      <c r="B1375" s="322"/>
      <c r="C1375" s="322"/>
      <c r="D1375" s="322"/>
      <c r="E1375" s="323"/>
      <c r="F1375" s="323"/>
      <c r="G1375" s="314"/>
      <c r="H1375" s="322"/>
      <c r="I1375" s="322"/>
      <c r="J1375" s="322"/>
      <c r="K1375" s="322"/>
      <c r="L1375" s="322"/>
      <c r="M1375" s="322"/>
      <c r="N1375" s="322"/>
      <c r="O1375" s="322"/>
      <c r="P1375" s="322"/>
      <c r="Q1375" s="322"/>
      <c r="R1375" s="322"/>
      <c r="S1375" s="303"/>
      <c r="T1375" s="307"/>
      <c r="U1375" s="311" t="e">
        <f>+VLOOKUP(C1375,Spreads!$A$2:$G$345,7,0)</f>
        <v>#N/A</v>
      </c>
    </row>
    <row r="1376" spans="1:21" ht="15.75" hidden="1" customHeight="1" thickTop="1" thickBot="1">
      <c r="A1376" s="321"/>
      <c r="B1376" s="322"/>
      <c r="C1376" s="322"/>
      <c r="D1376" s="322"/>
      <c r="E1376" s="323"/>
      <c r="F1376" s="323"/>
      <c r="G1376" s="314"/>
      <c r="H1376" s="324"/>
      <c r="I1376" s="322"/>
      <c r="J1376" s="322"/>
      <c r="K1376" s="322"/>
      <c r="L1376" s="322"/>
      <c r="M1376" s="322"/>
      <c r="N1376" s="322"/>
      <c r="O1376" s="322"/>
      <c r="P1376" s="322"/>
      <c r="Q1376" s="322"/>
      <c r="R1376" s="322"/>
      <c r="S1376" s="303"/>
      <c r="T1376" s="307"/>
      <c r="U1376" s="311" t="e">
        <f>+VLOOKUP(C1376,Spreads!$A$2:$G$345,7,0)</f>
        <v>#N/A</v>
      </c>
    </row>
    <row r="1377" spans="1:21" ht="15.75" hidden="1" customHeight="1" thickTop="1" thickBot="1">
      <c r="A1377" s="317"/>
      <c r="B1377" s="318"/>
      <c r="C1377" s="318"/>
      <c r="D1377" s="318"/>
      <c r="E1377" s="319"/>
      <c r="F1377" s="319"/>
      <c r="G1377" s="314"/>
      <c r="H1377" s="318"/>
      <c r="I1377" s="318"/>
      <c r="J1377" s="318"/>
      <c r="K1377" s="318"/>
      <c r="L1377" s="318"/>
      <c r="M1377" s="318"/>
      <c r="N1377" s="318"/>
      <c r="O1377" s="318"/>
      <c r="P1377" s="318"/>
      <c r="Q1377" s="318"/>
      <c r="R1377" s="318"/>
      <c r="S1377" s="303"/>
      <c r="T1377" s="307"/>
      <c r="U1377" s="311" t="e">
        <f>+VLOOKUP(C1377,Spreads!$A$2:$G$345,7,0)</f>
        <v>#N/A</v>
      </c>
    </row>
    <row r="1378" spans="1:21" ht="15.75" hidden="1" customHeight="1" thickTop="1" thickBot="1">
      <c r="A1378" s="327"/>
      <c r="B1378" s="328"/>
      <c r="C1378" s="328"/>
      <c r="D1378" s="328"/>
      <c r="E1378" s="330"/>
      <c r="F1378" s="343"/>
      <c r="G1378" s="332"/>
      <c r="H1378" s="329"/>
      <c r="I1378" s="328"/>
      <c r="J1378" s="328"/>
      <c r="K1378" s="328"/>
      <c r="L1378" s="328"/>
      <c r="M1378" s="328"/>
      <c r="N1378" s="328"/>
      <c r="O1378" s="328"/>
      <c r="P1378" s="328"/>
      <c r="Q1378" s="328"/>
      <c r="R1378" s="328"/>
      <c r="S1378" s="303"/>
      <c r="T1378" s="307"/>
      <c r="U1378" s="311" t="e">
        <f>+VLOOKUP(C1378,Spreads!$A$2:$G$345,7,0)</f>
        <v>#N/A</v>
      </c>
    </row>
    <row r="1379" spans="1:21" ht="15.75" hidden="1" customHeight="1" thickTop="1" thickBot="1">
      <c r="A1379" s="317"/>
      <c r="B1379" s="318"/>
      <c r="C1379" s="318"/>
      <c r="D1379" s="318"/>
      <c r="E1379" s="319"/>
      <c r="F1379" s="319"/>
      <c r="G1379" s="314"/>
      <c r="H1379" s="320"/>
      <c r="I1379" s="318"/>
      <c r="J1379" s="318"/>
      <c r="K1379" s="318"/>
      <c r="L1379" s="318"/>
      <c r="M1379" s="318"/>
      <c r="N1379" s="318"/>
      <c r="O1379" s="318"/>
      <c r="P1379" s="318"/>
      <c r="Q1379" s="318"/>
      <c r="R1379" s="318"/>
      <c r="S1379" s="303"/>
      <c r="T1379" s="307"/>
      <c r="U1379" s="311" t="e">
        <f>+VLOOKUP(C1379,Spreads!$A$2:$G$345,7,0)</f>
        <v>#N/A</v>
      </c>
    </row>
    <row r="1380" spans="1:21" ht="15.75" hidden="1" customHeight="1" thickTop="1" thickBot="1">
      <c r="A1380" s="321"/>
      <c r="B1380" s="322"/>
      <c r="C1380" s="322"/>
      <c r="D1380" s="322"/>
      <c r="E1380" s="323"/>
      <c r="F1380" s="323"/>
      <c r="G1380" s="314"/>
      <c r="H1380" s="324"/>
      <c r="I1380" s="322"/>
      <c r="J1380" s="322"/>
      <c r="K1380" s="322"/>
      <c r="L1380" s="322"/>
      <c r="M1380" s="322"/>
      <c r="N1380" s="322"/>
      <c r="O1380" s="322"/>
      <c r="P1380" s="322"/>
      <c r="Q1380" s="322"/>
      <c r="R1380" s="322"/>
      <c r="S1380" s="303"/>
      <c r="T1380" s="307"/>
      <c r="U1380" s="311" t="e">
        <f>+VLOOKUP(C1380,Spreads!$A$2:$G$345,7,0)</f>
        <v>#N/A</v>
      </c>
    </row>
    <row r="1381" spans="1:21" ht="15.75" hidden="1" customHeight="1" thickTop="1" thickBot="1">
      <c r="A1381" s="321"/>
      <c r="B1381" s="322"/>
      <c r="C1381" s="322"/>
      <c r="D1381" s="322"/>
      <c r="E1381" s="323"/>
      <c r="F1381" s="323"/>
      <c r="G1381" s="314"/>
      <c r="H1381" s="324"/>
      <c r="I1381" s="322"/>
      <c r="J1381" s="322"/>
      <c r="K1381" s="322"/>
      <c r="L1381" s="322"/>
      <c r="M1381" s="322"/>
      <c r="N1381" s="322"/>
      <c r="O1381" s="322"/>
      <c r="P1381" s="322"/>
      <c r="Q1381" s="322"/>
      <c r="R1381" s="322"/>
      <c r="S1381" s="303"/>
      <c r="T1381" s="307"/>
      <c r="U1381" s="311" t="e">
        <f>+VLOOKUP(C1381,Spreads!$A$2:$G$345,7,0)</f>
        <v>#N/A</v>
      </c>
    </row>
    <row r="1382" spans="1:21" ht="15.75" hidden="1" customHeight="1" thickTop="1" thickBot="1">
      <c r="A1382" s="321"/>
      <c r="B1382" s="322"/>
      <c r="C1382" s="322"/>
      <c r="D1382" s="322"/>
      <c r="E1382" s="323"/>
      <c r="F1382" s="323"/>
      <c r="G1382" s="314"/>
      <c r="H1382" s="324"/>
      <c r="I1382" s="322"/>
      <c r="J1382" s="322"/>
      <c r="K1382" s="322"/>
      <c r="L1382" s="322"/>
      <c r="M1382" s="322"/>
      <c r="N1382" s="322"/>
      <c r="O1382" s="322"/>
      <c r="P1382" s="322"/>
      <c r="Q1382" s="322"/>
      <c r="R1382" s="322"/>
      <c r="S1382" s="303"/>
      <c r="T1382" s="307"/>
      <c r="U1382" s="311" t="e">
        <f>+VLOOKUP(C1382,Spreads!$A$2:$G$345,7,0)</f>
        <v>#N/A</v>
      </c>
    </row>
    <row r="1383" spans="1:21" ht="15.75" hidden="1" customHeight="1" thickTop="1" thickBot="1">
      <c r="A1383" s="321"/>
      <c r="B1383" s="322"/>
      <c r="C1383" s="322"/>
      <c r="D1383" s="322"/>
      <c r="E1383" s="323"/>
      <c r="F1383" s="323"/>
      <c r="G1383" s="314"/>
      <c r="H1383" s="324"/>
      <c r="I1383" s="322"/>
      <c r="J1383" s="322"/>
      <c r="K1383" s="322"/>
      <c r="L1383" s="322"/>
      <c r="M1383" s="322"/>
      <c r="N1383" s="322"/>
      <c r="O1383" s="322"/>
      <c r="P1383" s="322"/>
      <c r="Q1383" s="322"/>
      <c r="R1383" s="322"/>
      <c r="S1383" s="303"/>
      <c r="T1383" s="307"/>
      <c r="U1383" s="311" t="e">
        <f>+VLOOKUP(C1383,Spreads!$A$2:$G$345,7,0)</f>
        <v>#N/A</v>
      </c>
    </row>
    <row r="1384" spans="1:21" ht="15.75" hidden="1" customHeight="1" thickTop="1" thickBot="1">
      <c r="A1384" s="317"/>
      <c r="B1384" s="318"/>
      <c r="C1384" s="318"/>
      <c r="D1384" s="318"/>
      <c r="E1384" s="319"/>
      <c r="F1384" s="319"/>
      <c r="G1384" s="314"/>
      <c r="H1384" s="320"/>
      <c r="I1384" s="318"/>
      <c r="J1384" s="318"/>
      <c r="K1384" s="318"/>
      <c r="L1384" s="318"/>
      <c r="M1384" s="318"/>
      <c r="N1384" s="318"/>
      <c r="O1384" s="318"/>
      <c r="P1384" s="318"/>
      <c r="Q1384" s="318"/>
      <c r="R1384" s="318"/>
      <c r="S1384" s="303"/>
      <c r="T1384" s="307"/>
      <c r="U1384" s="311" t="e">
        <f>+VLOOKUP(C1384,Spreads!$A$2:$G$345,7,0)</f>
        <v>#N/A</v>
      </c>
    </row>
    <row r="1385" spans="1:21" ht="15.75" hidden="1" customHeight="1" thickTop="1" thickBot="1">
      <c r="A1385" s="327"/>
      <c r="B1385" s="328"/>
      <c r="C1385" s="328"/>
      <c r="D1385" s="328"/>
      <c r="E1385" s="328"/>
      <c r="F1385" s="328"/>
      <c r="G1385" s="328"/>
      <c r="H1385" s="329"/>
      <c r="I1385" s="328"/>
      <c r="J1385" s="328"/>
      <c r="K1385" s="328"/>
      <c r="L1385" s="328"/>
      <c r="M1385" s="328"/>
      <c r="N1385" s="328"/>
      <c r="O1385" s="328"/>
      <c r="P1385" s="328"/>
      <c r="Q1385" s="328"/>
      <c r="R1385" s="328"/>
      <c r="S1385" s="303"/>
      <c r="T1385" s="307"/>
      <c r="U1385" s="311" t="e">
        <f>+VLOOKUP(C1385,Spreads!$A$2:$G$345,7,0)</f>
        <v>#N/A</v>
      </c>
    </row>
    <row r="1386" spans="1:21" ht="15.75" hidden="1" customHeight="1" thickTop="1" thickBot="1">
      <c r="A1386" s="317"/>
      <c r="B1386" s="318"/>
      <c r="C1386" s="318"/>
      <c r="D1386" s="318"/>
      <c r="E1386" s="319"/>
      <c r="F1386" s="319"/>
      <c r="G1386" s="314"/>
      <c r="H1386" s="320"/>
      <c r="I1386" s="318"/>
      <c r="J1386" s="318"/>
      <c r="K1386" s="318"/>
      <c r="L1386" s="318"/>
      <c r="M1386" s="318"/>
      <c r="N1386" s="318"/>
      <c r="O1386" s="318"/>
      <c r="P1386" s="318"/>
      <c r="Q1386" s="318"/>
      <c r="R1386" s="318"/>
      <c r="S1386" s="303"/>
      <c r="T1386" s="307"/>
      <c r="U1386" s="311" t="e">
        <f>+VLOOKUP(C1386,Spreads!$A$2:$G$345,7,0)</f>
        <v>#N/A</v>
      </c>
    </row>
    <row r="1387" spans="1:21" ht="15.75" hidden="1" customHeight="1" thickTop="1" thickBot="1">
      <c r="A1387" s="327"/>
      <c r="B1387" s="328"/>
      <c r="C1387" s="328"/>
      <c r="D1387" s="328"/>
      <c r="E1387" s="328"/>
      <c r="F1387" s="328"/>
      <c r="G1387" s="332"/>
      <c r="H1387" s="329"/>
      <c r="I1387" s="328"/>
      <c r="J1387" s="328"/>
      <c r="K1387" s="328"/>
      <c r="L1387" s="328"/>
      <c r="M1387" s="328"/>
      <c r="N1387" s="328"/>
      <c r="O1387" s="328"/>
      <c r="P1387" s="328"/>
      <c r="Q1387" s="328"/>
      <c r="R1387" s="328"/>
      <c r="S1387" s="303"/>
      <c r="T1387" s="307"/>
      <c r="U1387" s="311" t="e">
        <f>+VLOOKUP(C1387,Spreads!$A$2:$G$345,7,0)</f>
        <v>#N/A</v>
      </c>
    </row>
    <row r="1388" spans="1:21" ht="15.75" hidden="1" customHeight="1" thickTop="1" thickBot="1">
      <c r="A1388" s="317"/>
      <c r="B1388" s="318"/>
      <c r="C1388" s="318"/>
      <c r="D1388" s="318"/>
      <c r="E1388" s="319"/>
      <c r="F1388" s="326"/>
      <c r="G1388" s="314"/>
      <c r="H1388" s="320"/>
      <c r="I1388" s="318"/>
      <c r="J1388" s="318"/>
      <c r="K1388" s="318"/>
      <c r="L1388" s="318"/>
      <c r="M1388" s="318"/>
      <c r="N1388" s="318"/>
      <c r="O1388" s="318"/>
      <c r="P1388" s="318"/>
      <c r="Q1388" s="318"/>
      <c r="R1388" s="318"/>
      <c r="S1388" s="303"/>
      <c r="T1388" s="307"/>
      <c r="U1388" s="311" t="e">
        <f>+VLOOKUP(C1388,Spreads!$A$2:$G$345,7,0)</f>
        <v>#N/A</v>
      </c>
    </row>
    <row r="1389" spans="1:21" ht="15.75" hidden="1" customHeight="1" thickTop="1" thickBot="1">
      <c r="A1389" s="317"/>
      <c r="B1389" s="318"/>
      <c r="C1389" s="318"/>
      <c r="D1389" s="318"/>
      <c r="E1389" s="319"/>
      <c r="F1389" s="319"/>
      <c r="G1389" s="314"/>
      <c r="H1389" s="320"/>
      <c r="I1389" s="318"/>
      <c r="J1389" s="318"/>
      <c r="K1389" s="318"/>
      <c r="L1389" s="318"/>
      <c r="M1389" s="318"/>
      <c r="N1389" s="318"/>
      <c r="O1389" s="318"/>
      <c r="P1389" s="318"/>
      <c r="Q1389" s="318"/>
      <c r="R1389" s="318"/>
      <c r="S1389" s="303"/>
      <c r="T1389" s="307"/>
      <c r="U1389" s="311" t="e">
        <f>+VLOOKUP(C1389,Spreads!$A$2:$G$345,7,0)</f>
        <v>#N/A</v>
      </c>
    </row>
    <row r="1390" spans="1:21" ht="15.75" hidden="1" customHeight="1" thickTop="1" thickBot="1">
      <c r="A1390" s="317"/>
      <c r="B1390" s="318"/>
      <c r="C1390" s="318"/>
      <c r="D1390" s="318"/>
      <c r="E1390" s="319"/>
      <c r="F1390" s="319"/>
      <c r="G1390" s="314"/>
      <c r="H1390" s="320"/>
      <c r="I1390" s="318"/>
      <c r="J1390" s="318"/>
      <c r="K1390" s="318"/>
      <c r="L1390" s="318"/>
      <c r="M1390" s="318"/>
      <c r="N1390" s="318"/>
      <c r="O1390" s="318"/>
      <c r="P1390" s="318"/>
      <c r="Q1390" s="318"/>
      <c r="R1390" s="318"/>
      <c r="S1390" s="303"/>
      <c r="T1390" s="307"/>
      <c r="U1390" s="311" t="e">
        <f>+VLOOKUP(C1390,Spreads!$A$2:$G$345,7,0)</f>
        <v>#N/A</v>
      </c>
    </row>
    <row r="1391" spans="1:21" ht="15.75" hidden="1" customHeight="1" thickTop="1" thickBot="1">
      <c r="A1391" s="321"/>
      <c r="B1391" s="322"/>
      <c r="C1391" s="322"/>
      <c r="D1391" s="322"/>
      <c r="E1391" s="323"/>
      <c r="F1391" s="323"/>
      <c r="G1391" s="314"/>
      <c r="H1391" s="324"/>
      <c r="I1391" s="322"/>
      <c r="J1391" s="322"/>
      <c r="K1391" s="322"/>
      <c r="L1391" s="322"/>
      <c r="M1391" s="322"/>
      <c r="N1391" s="322"/>
      <c r="O1391" s="322"/>
      <c r="P1391" s="322"/>
      <c r="Q1391" s="322"/>
      <c r="R1391" s="322"/>
      <c r="S1391" s="303"/>
      <c r="T1391" s="307"/>
      <c r="U1391" s="311" t="e">
        <f>+VLOOKUP(C1391,Spreads!$A$2:$G$345,7,0)</f>
        <v>#N/A</v>
      </c>
    </row>
    <row r="1392" spans="1:21" ht="15.75" hidden="1" customHeight="1" thickTop="1" thickBot="1">
      <c r="A1392" s="317"/>
      <c r="B1392" s="318"/>
      <c r="C1392" s="318"/>
      <c r="D1392" s="318"/>
      <c r="E1392" s="319"/>
      <c r="F1392" s="319"/>
      <c r="G1392" s="314"/>
      <c r="H1392" s="318"/>
      <c r="I1392" s="318"/>
      <c r="J1392" s="318"/>
      <c r="K1392" s="318"/>
      <c r="L1392" s="318"/>
      <c r="M1392" s="318"/>
      <c r="N1392" s="318"/>
      <c r="O1392" s="318"/>
      <c r="P1392" s="318"/>
      <c r="Q1392" s="318"/>
      <c r="R1392" s="318"/>
      <c r="S1392" s="303"/>
      <c r="T1392" s="307"/>
      <c r="U1392" s="311" t="e">
        <f>+VLOOKUP(C1392,Spreads!$A$2:$G$345,7,0)</f>
        <v>#N/A</v>
      </c>
    </row>
    <row r="1393" spans="1:21" ht="15.75" hidden="1" customHeight="1" thickTop="1" thickBot="1">
      <c r="A1393" s="321"/>
      <c r="B1393" s="322"/>
      <c r="C1393" s="322"/>
      <c r="D1393" s="322"/>
      <c r="E1393" s="323"/>
      <c r="F1393" s="323"/>
      <c r="G1393" s="314"/>
      <c r="H1393" s="324"/>
      <c r="I1393" s="322"/>
      <c r="J1393" s="322"/>
      <c r="K1393" s="322"/>
      <c r="L1393" s="322"/>
      <c r="M1393" s="322"/>
      <c r="N1393" s="322"/>
      <c r="O1393" s="322"/>
      <c r="P1393" s="322"/>
      <c r="Q1393" s="322"/>
      <c r="R1393" s="322"/>
      <c r="S1393" s="303"/>
      <c r="T1393" s="307"/>
      <c r="U1393" s="311" t="e">
        <f>+VLOOKUP(C1393,Spreads!$A$2:$G$345,7,0)</f>
        <v>#N/A</v>
      </c>
    </row>
    <row r="1394" spans="1:21" ht="15.75" hidden="1" customHeight="1" thickTop="1" thickBot="1">
      <c r="A1394" s="317"/>
      <c r="B1394" s="318"/>
      <c r="C1394" s="318"/>
      <c r="D1394" s="318"/>
      <c r="E1394" s="319"/>
      <c r="F1394" s="319"/>
      <c r="G1394" s="314"/>
      <c r="H1394" s="318"/>
      <c r="I1394" s="318"/>
      <c r="J1394" s="318"/>
      <c r="K1394" s="318"/>
      <c r="L1394" s="318"/>
      <c r="M1394" s="318"/>
      <c r="N1394" s="318"/>
      <c r="O1394" s="318"/>
      <c r="P1394" s="318"/>
      <c r="Q1394" s="318"/>
      <c r="R1394" s="318"/>
      <c r="S1394" s="303"/>
      <c r="T1394" s="307"/>
      <c r="U1394" s="311" t="e">
        <f>+VLOOKUP(C1394,Spreads!$A$2:$G$345,7,0)</f>
        <v>#N/A</v>
      </c>
    </row>
    <row r="1395" spans="1:21" ht="15.75" hidden="1" customHeight="1" thickTop="1" thickBot="1">
      <c r="A1395" s="321"/>
      <c r="B1395" s="322"/>
      <c r="C1395" s="322"/>
      <c r="D1395" s="322"/>
      <c r="E1395" s="323"/>
      <c r="F1395" s="323"/>
      <c r="G1395" s="314"/>
      <c r="H1395" s="324"/>
      <c r="I1395" s="322"/>
      <c r="J1395" s="322"/>
      <c r="K1395" s="322"/>
      <c r="L1395" s="322"/>
      <c r="M1395" s="322"/>
      <c r="N1395" s="322"/>
      <c r="O1395" s="322"/>
      <c r="P1395" s="322"/>
      <c r="Q1395" s="322"/>
      <c r="R1395" s="322"/>
      <c r="S1395" s="303"/>
      <c r="T1395" s="307"/>
      <c r="U1395" s="311" t="e">
        <f>+VLOOKUP(C1395,Spreads!$A$2:$G$345,7,0)</f>
        <v>#N/A</v>
      </c>
    </row>
    <row r="1396" spans="1:21" ht="15.75" hidden="1" customHeight="1" thickTop="1" thickBot="1">
      <c r="A1396" s="321"/>
      <c r="B1396" s="322"/>
      <c r="C1396" s="322"/>
      <c r="D1396" s="322"/>
      <c r="E1396" s="323"/>
      <c r="F1396" s="323"/>
      <c r="G1396" s="314"/>
      <c r="H1396" s="324"/>
      <c r="I1396" s="322"/>
      <c r="J1396" s="322"/>
      <c r="K1396" s="322"/>
      <c r="L1396" s="322"/>
      <c r="M1396" s="322"/>
      <c r="N1396" s="322"/>
      <c r="O1396" s="322"/>
      <c r="P1396" s="322"/>
      <c r="Q1396" s="322"/>
      <c r="R1396" s="322"/>
      <c r="S1396" s="303"/>
      <c r="T1396" s="307"/>
      <c r="U1396" s="311" t="e">
        <f>+VLOOKUP(C1396,Spreads!$A$2:$G$345,7,0)</f>
        <v>#N/A</v>
      </c>
    </row>
    <row r="1397" spans="1:21" ht="15.75" hidden="1" customHeight="1" thickTop="1" thickBot="1">
      <c r="A1397" s="317"/>
      <c r="B1397" s="318"/>
      <c r="C1397" s="318"/>
      <c r="D1397" s="318"/>
      <c r="E1397" s="319"/>
      <c r="F1397" s="319"/>
      <c r="G1397" s="314"/>
      <c r="H1397" s="320"/>
      <c r="I1397" s="318"/>
      <c r="J1397" s="318"/>
      <c r="K1397" s="318"/>
      <c r="L1397" s="318"/>
      <c r="M1397" s="318"/>
      <c r="N1397" s="318"/>
      <c r="O1397" s="318"/>
      <c r="P1397" s="318"/>
      <c r="Q1397" s="318"/>
      <c r="R1397" s="318"/>
      <c r="S1397" s="303"/>
      <c r="T1397" s="307"/>
      <c r="U1397" s="311" t="e">
        <f>+VLOOKUP(C1397,Spreads!$A$2:$G$345,7,0)</f>
        <v>#N/A</v>
      </c>
    </row>
    <row r="1398" spans="1:21" ht="15.75" hidden="1" customHeight="1" thickTop="1" thickBot="1">
      <c r="A1398" s="317"/>
      <c r="B1398" s="318"/>
      <c r="C1398" s="318"/>
      <c r="D1398" s="318"/>
      <c r="E1398" s="319"/>
      <c r="F1398" s="319"/>
      <c r="G1398" s="314"/>
      <c r="H1398" s="320"/>
      <c r="I1398" s="318"/>
      <c r="J1398" s="318"/>
      <c r="K1398" s="318"/>
      <c r="L1398" s="318"/>
      <c r="M1398" s="318"/>
      <c r="N1398" s="318"/>
      <c r="O1398" s="318"/>
      <c r="P1398" s="318"/>
      <c r="Q1398" s="318"/>
      <c r="R1398" s="318"/>
      <c r="S1398" s="303"/>
      <c r="T1398" s="307"/>
      <c r="U1398" s="311" t="e">
        <f>+VLOOKUP(C1398,Spreads!$A$2:$G$345,7,0)</f>
        <v>#N/A</v>
      </c>
    </row>
    <row r="1399" spans="1:21" ht="15.75" hidden="1" customHeight="1" thickTop="1" thickBot="1">
      <c r="A1399" s="327"/>
      <c r="B1399" s="328"/>
      <c r="C1399" s="328"/>
      <c r="D1399" s="328"/>
      <c r="E1399" s="328"/>
      <c r="F1399" s="328"/>
      <c r="G1399" s="328"/>
      <c r="H1399" s="329"/>
      <c r="I1399" s="328"/>
      <c r="J1399" s="328"/>
      <c r="K1399" s="328"/>
      <c r="L1399" s="328"/>
      <c r="M1399" s="328"/>
      <c r="N1399" s="328"/>
      <c r="O1399" s="328"/>
      <c r="P1399" s="328"/>
      <c r="Q1399" s="328"/>
      <c r="R1399" s="328"/>
      <c r="S1399" s="303"/>
      <c r="T1399" s="307"/>
      <c r="U1399" s="311" t="e">
        <f>+VLOOKUP(C1399,Spreads!$A$2:$G$345,7,0)</f>
        <v>#N/A</v>
      </c>
    </row>
    <row r="1400" spans="1:21" ht="15.75" hidden="1" customHeight="1" thickTop="1" thickBot="1">
      <c r="A1400" s="317"/>
      <c r="B1400" s="318"/>
      <c r="C1400" s="318"/>
      <c r="D1400" s="318"/>
      <c r="E1400" s="319"/>
      <c r="F1400" s="319"/>
      <c r="G1400" s="314"/>
      <c r="H1400" s="320"/>
      <c r="I1400" s="318"/>
      <c r="J1400" s="318"/>
      <c r="K1400" s="318"/>
      <c r="L1400" s="318"/>
      <c r="M1400" s="318"/>
      <c r="N1400" s="318"/>
      <c r="O1400" s="318"/>
      <c r="P1400" s="318"/>
      <c r="Q1400" s="318"/>
      <c r="R1400" s="318"/>
      <c r="S1400" s="303"/>
      <c r="T1400" s="307"/>
      <c r="U1400" s="311" t="e">
        <f>+VLOOKUP(C1400,Spreads!$A$2:$G$345,7,0)</f>
        <v>#N/A</v>
      </c>
    </row>
    <row r="1401" spans="1:21" ht="15.75" hidden="1" customHeight="1" thickTop="1" thickBot="1">
      <c r="A1401" s="317"/>
      <c r="B1401" s="318"/>
      <c r="C1401" s="318"/>
      <c r="D1401" s="318"/>
      <c r="E1401" s="319"/>
      <c r="F1401" s="319"/>
      <c r="G1401" s="314"/>
      <c r="H1401" s="320"/>
      <c r="I1401" s="318"/>
      <c r="J1401" s="318"/>
      <c r="K1401" s="318"/>
      <c r="L1401" s="318"/>
      <c r="M1401" s="318"/>
      <c r="N1401" s="318"/>
      <c r="O1401" s="318"/>
      <c r="P1401" s="318"/>
      <c r="Q1401" s="318"/>
      <c r="R1401" s="318"/>
      <c r="S1401" s="303"/>
      <c r="T1401" s="307"/>
      <c r="U1401" s="311" t="e">
        <f>+VLOOKUP(C1401,Spreads!$A$2:$G$345,7,0)</f>
        <v>#N/A</v>
      </c>
    </row>
    <row r="1402" spans="1:21" ht="15.75" hidden="1" customHeight="1" thickTop="1" thickBot="1">
      <c r="A1402" s="317"/>
      <c r="B1402" s="318"/>
      <c r="C1402" s="318"/>
      <c r="D1402" s="318"/>
      <c r="E1402" s="319"/>
      <c r="F1402" s="319"/>
      <c r="G1402" s="314"/>
      <c r="H1402" s="320"/>
      <c r="I1402" s="318"/>
      <c r="J1402" s="318"/>
      <c r="K1402" s="318"/>
      <c r="L1402" s="318"/>
      <c r="M1402" s="318"/>
      <c r="N1402" s="318"/>
      <c r="O1402" s="318"/>
      <c r="P1402" s="318"/>
      <c r="Q1402" s="318"/>
      <c r="R1402" s="318"/>
      <c r="S1402" s="303"/>
      <c r="T1402" s="307"/>
      <c r="U1402" s="311" t="e">
        <f>+VLOOKUP(C1402,Spreads!$A$2:$G$345,7,0)</f>
        <v>#N/A</v>
      </c>
    </row>
    <row r="1403" spans="1:21" ht="15.75" hidden="1" customHeight="1" thickTop="1" thickBot="1">
      <c r="A1403" s="317"/>
      <c r="B1403" s="318"/>
      <c r="C1403" s="318"/>
      <c r="D1403" s="318"/>
      <c r="E1403" s="319"/>
      <c r="F1403" s="319"/>
      <c r="G1403" s="314"/>
      <c r="H1403" s="320"/>
      <c r="I1403" s="318"/>
      <c r="J1403" s="318"/>
      <c r="K1403" s="318"/>
      <c r="L1403" s="318"/>
      <c r="M1403" s="318"/>
      <c r="N1403" s="318"/>
      <c r="O1403" s="318"/>
      <c r="P1403" s="318"/>
      <c r="Q1403" s="318"/>
      <c r="R1403" s="318"/>
      <c r="S1403" s="303"/>
      <c r="T1403" s="307"/>
      <c r="U1403" s="311" t="e">
        <f>+VLOOKUP(C1403,Spreads!$A$2:$G$345,7,0)</f>
        <v>#N/A</v>
      </c>
    </row>
    <row r="1404" spans="1:21" ht="15.75" hidden="1" customHeight="1" thickTop="1" thickBot="1">
      <c r="A1404" s="317"/>
      <c r="B1404" s="318"/>
      <c r="C1404" s="318"/>
      <c r="D1404" s="318"/>
      <c r="E1404" s="319"/>
      <c r="F1404" s="319"/>
      <c r="G1404" s="314"/>
      <c r="H1404" s="320"/>
      <c r="I1404" s="318"/>
      <c r="J1404" s="318"/>
      <c r="K1404" s="318"/>
      <c r="L1404" s="318"/>
      <c r="M1404" s="318"/>
      <c r="N1404" s="318"/>
      <c r="O1404" s="318"/>
      <c r="P1404" s="318"/>
      <c r="Q1404" s="318"/>
      <c r="R1404" s="318"/>
      <c r="S1404" s="303"/>
      <c r="T1404" s="307"/>
      <c r="U1404" s="311" t="e">
        <f>+VLOOKUP(C1404,Spreads!$A$2:$G$345,7,0)</f>
        <v>#N/A</v>
      </c>
    </row>
    <row r="1405" spans="1:21" ht="15.75" hidden="1" customHeight="1" thickTop="1" thickBot="1">
      <c r="A1405" s="321"/>
      <c r="B1405" s="322"/>
      <c r="C1405" s="322"/>
      <c r="D1405" s="322"/>
      <c r="E1405" s="323"/>
      <c r="F1405" s="323"/>
      <c r="G1405" s="314"/>
      <c r="H1405" s="324"/>
      <c r="I1405" s="322"/>
      <c r="J1405" s="322"/>
      <c r="K1405" s="322"/>
      <c r="L1405" s="322"/>
      <c r="M1405" s="322"/>
      <c r="N1405" s="322"/>
      <c r="O1405" s="322"/>
      <c r="P1405" s="322"/>
      <c r="Q1405" s="322"/>
      <c r="R1405" s="322"/>
      <c r="S1405" s="303"/>
      <c r="T1405" s="307"/>
      <c r="U1405" s="311" t="e">
        <f>+VLOOKUP(C1405,Spreads!$A$2:$G$345,7,0)</f>
        <v>#N/A</v>
      </c>
    </row>
    <row r="1406" spans="1:21" ht="15.75" hidden="1" customHeight="1" thickTop="1" thickBot="1">
      <c r="A1406" s="321"/>
      <c r="B1406" s="322"/>
      <c r="C1406" s="322"/>
      <c r="D1406" s="322"/>
      <c r="E1406" s="323"/>
      <c r="F1406" s="323"/>
      <c r="G1406" s="314"/>
      <c r="H1406" s="324"/>
      <c r="I1406" s="322"/>
      <c r="J1406" s="322"/>
      <c r="K1406" s="322"/>
      <c r="L1406" s="322"/>
      <c r="M1406" s="322"/>
      <c r="N1406" s="322"/>
      <c r="O1406" s="322"/>
      <c r="P1406" s="322"/>
      <c r="Q1406" s="322"/>
      <c r="R1406" s="322"/>
      <c r="S1406" s="303"/>
      <c r="T1406" s="307"/>
      <c r="U1406" s="311" t="e">
        <f>+VLOOKUP(C1406,Spreads!$A$2:$G$345,7,0)</f>
        <v>#N/A</v>
      </c>
    </row>
    <row r="1407" spans="1:21" ht="15.75" hidden="1" customHeight="1" thickTop="1" thickBot="1">
      <c r="A1407" s="321"/>
      <c r="B1407" s="322"/>
      <c r="C1407" s="322"/>
      <c r="D1407" s="322"/>
      <c r="E1407" s="323"/>
      <c r="F1407" s="323"/>
      <c r="G1407" s="314"/>
      <c r="H1407" s="324"/>
      <c r="I1407" s="322"/>
      <c r="J1407" s="322"/>
      <c r="K1407" s="322"/>
      <c r="L1407" s="322"/>
      <c r="M1407" s="322"/>
      <c r="N1407" s="322"/>
      <c r="O1407" s="322"/>
      <c r="P1407" s="322"/>
      <c r="Q1407" s="322"/>
      <c r="R1407" s="322"/>
      <c r="S1407" s="303"/>
      <c r="T1407" s="307"/>
      <c r="U1407" s="311" t="e">
        <f>+VLOOKUP(C1407,Spreads!$A$2:$G$345,7,0)</f>
        <v>#N/A</v>
      </c>
    </row>
    <row r="1408" spans="1:21" ht="15.75" hidden="1" customHeight="1" thickTop="1" thickBot="1">
      <c r="A1408" s="321"/>
      <c r="B1408" s="322"/>
      <c r="C1408" s="322"/>
      <c r="D1408" s="322"/>
      <c r="E1408" s="323"/>
      <c r="F1408" s="323"/>
      <c r="G1408" s="314"/>
      <c r="H1408" s="324"/>
      <c r="I1408" s="322"/>
      <c r="J1408" s="322"/>
      <c r="K1408" s="322"/>
      <c r="L1408" s="322"/>
      <c r="M1408" s="322"/>
      <c r="N1408" s="322"/>
      <c r="O1408" s="322"/>
      <c r="P1408" s="322"/>
      <c r="Q1408" s="322"/>
      <c r="R1408" s="322"/>
      <c r="S1408" s="303"/>
      <c r="T1408" s="307"/>
      <c r="U1408" s="311" t="e">
        <f>+VLOOKUP(C1408,Spreads!$A$2:$G$345,7,0)</f>
        <v>#N/A</v>
      </c>
    </row>
    <row r="1409" spans="1:21" ht="15.75" hidden="1" customHeight="1" thickTop="1" thickBot="1">
      <c r="A1409" s="317"/>
      <c r="B1409" s="318"/>
      <c r="C1409" s="318"/>
      <c r="D1409" s="318"/>
      <c r="E1409" s="319"/>
      <c r="F1409" s="319"/>
      <c r="G1409" s="314"/>
      <c r="H1409" s="320"/>
      <c r="I1409" s="318"/>
      <c r="J1409" s="318"/>
      <c r="K1409" s="318"/>
      <c r="L1409" s="318"/>
      <c r="M1409" s="318"/>
      <c r="N1409" s="318"/>
      <c r="O1409" s="318"/>
      <c r="P1409" s="318"/>
      <c r="Q1409" s="318"/>
      <c r="R1409" s="318"/>
      <c r="S1409" s="303"/>
      <c r="T1409" s="307"/>
      <c r="U1409" s="311" t="e">
        <f>+VLOOKUP(C1409,Spreads!$A$2:$G$345,7,0)</f>
        <v>#N/A</v>
      </c>
    </row>
    <row r="1410" spans="1:21" ht="15.75" hidden="1" customHeight="1" thickTop="1" thickBot="1">
      <c r="A1410" s="321"/>
      <c r="B1410" s="322"/>
      <c r="C1410" s="322"/>
      <c r="D1410" s="322"/>
      <c r="E1410" s="323"/>
      <c r="F1410" s="323"/>
      <c r="G1410" s="314"/>
      <c r="H1410" s="324"/>
      <c r="I1410" s="322"/>
      <c r="J1410" s="322"/>
      <c r="K1410" s="322"/>
      <c r="L1410" s="322"/>
      <c r="M1410" s="322"/>
      <c r="N1410" s="322"/>
      <c r="O1410" s="322"/>
      <c r="P1410" s="322"/>
      <c r="Q1410" s="322"/>
      <c r="R1410" s="322"/>
      <c r="S1410" s="303"/>
      <c r="T1410" s="307"/>
      <c r="U1410" s="311" t="e">
        <f>+VLOOKUP(C1410,Spreads!$A$2:$G$345,7,0)</f>
        <v>#N/A</v>
      </c>
    </row>
    <row r="1411" spans="1:21" ht="15.75" hidden="1" customHeight="1" thickTop="1" thickBot="1">
      <c r="A1411" s="317"/>
      <c r="B1411" s="318"/>
      <c r="C1411" s="318"/>
      <c r="D1411" s="318"/>
      <c r="E1411" s="319"/>
      <c r="F1411" s="319"/>
      <c r="G1411" s="314"/>
      <c r="H1411" s="320"/>
      <c r="I1411" s="318"/>
      <c r="J1411" s="318"/>
      <c r="K1411" s="318"/>
      <c r="L1411" s="318"/>
      <c r="M1411" s="318"/>
      <c r="N1411" s="318"/>
      <c r="O1411" s="318"/>
      <c r="P1411" s="318"/>
      <c r="Q1411" s="318"/>
      <c r="R1411" s="318"/>
      <c r="S1411" s="303"/>
      <c r="T1411" s="307"/>
      <c r="U1411" s="311" t="e">
        <f>+VLOOKUP(C1411,Spreads!$A$2:$G$345,7,0)</f>
        <v>#N/A</v>
      </c>
    </row>
    <row r="1412" spans="1:21" ht="15.75" hidden="1" customHeight="1" thickTop="1" thickBot="1">
      <c r="A1412" s="321"/>
      <c r="B1412" s="322"/>
      <c r="C1412" s="322"/>
      <c r="D1412" s="322"/>
      <c r="E1412" s="323"/>
      <c r="F1412" s="323"/>
      <c r="G1412" s="314"/>
      <c r="H1412" s="324"/>
      <c r="I1412" s="322"/>
      <c r="J1412" s="322"/>
      <c r="K1412" s="322"/>
      <c r="L1412" s="322"/>
      <c r="M1412" s="322"/>
      <c r="N1412" s="322"/>
      <c r="O1412" s="322"/>
      <c r="P1412" s="322"/>
      <c r="Q1412" s="322"/>
      <c r="R1412" s="322"/>
      <c r="S1412" s="303"/>
      <c r="T1412" s="307"/>
      <c r="U1412" s="311" t="e">
        <f>+VLOOKUP(C1412,Spreads!$A$2:$G$345,7,0)</f>
        <v>#N/A</v>
      </c>
    </row>
    <row r="1413" spans="1:21" ht="15.75" hidden="1" customHeight="1" thickTop="1" thickBot="1">
      <c r="A1413" s="321"/>
      <c r="B1413" s="322"/>
      <c r="C1413" s="322"/>
      <c r="D1413" s="322"/>
      <c r="E1413" s="323"/>
      <c r="F1413" s="323"/>
      <c r="G1413" s="314"/>
      <c r="H1413" s="324"/>
      <c r="I1413" s="322"/>
      <c r="J1413" s="322"/>
      <c r="K1413" s="322"/>
      <c r="L1413" s="322"/>
      <c r="M1413" s="322"/>
      <c r="N1413" s="322"/>
      <c r="O1413" s="322"/>
      <c r="P1413" s="322"/>
      <c r="Q1413" s="322"/>
      <c r="R1413" s="322"/>
      <c r="S1413" s="303"/>
      <c r="T1413" s="307"/>
      <c r="U1413" s="311" t="e">
        <f>+VLOOKUP(C1413,Spreads!$A$2:$G$345,7,0)</f>
        <v>#N/A</v>
      </c>
    </row>
    <row r="1414" spans="1:21" ht="15.75" hidden="1" customHeight="1" thickTop="1" thickBot="1">
      <c r="A1414" s="321"/>
      <c r="B1414" s="322"/>
      <c r="C1414" s="322"/>
      <c r="D1414" s="322"/>
      <c r="E1414" s="323"/>
      <c r="F1414" s="323"/>
      <c r="G1414" s="314"/>
      <c r="H1414" s="324"/>
      <c r="I1414" s="322"/>
      <c r="J1414" s="322"/>
      <c r="K1414" s="322"/>
      <c r="L1414" s="322"/>
      <c r="M1414" s="322"/>
      <c r="N1414" s="322"/>
      <c r="O1414" s="322"/>
      <c r="P1414" s="322"/>
      <c r="Q1414" s="322"/>
      <c r="R1414" s="322"/>
      <c r="S1414" s="303"/>
      <c r="T1414" s="307"/>
      <c r="U1414" s="311" t="e">
        <f>+VLOOKUP(C1414,Spreads!$A$2:$G$345,7,0)</f>
        <v>#N/A</v>
      </c>
    </row>
    <row r="1415" spans="1:21" ht="15.75" hidden="1" customHeight="1" thickTop="1" thickBot="1">
      <c r="A1415" s="321"/>
      <c r="B1415" s="322"/>
      <c r="C1415" s="322"/>
      <c r="D1415" s="322"/>
      <c r="E1415" s="323"/>
      <c r="F1415" s="323"/>
      <c r="G1415" s="314"/>
      <c r="H1415" s="324"/>
      <c r="I1415" s="322"/>
      <c r="J1415" s="322"/>
      <c r="K1415" s="322"/>
      <c r="L1415" s="322"/>
      <c r="M1415" s="322"/>
      <c r="N1415" s="322"/>
      <c r="O1415" s="322"/>
      <c r="P1415" s="322"/>
      <c r="Q1415" s="322"/>
      <c r="R1415" s="322"/>
      <c r="S1415" s="303"/>
      <c r="T1415" s="307"/>
      <c r="U1415" s="311" t="e">
        <f>+VLOOKUP(C1415,Spreads!$A$2:$G$345,7,0)</f>
        <v>#N/A</v>
      </c>
    </row>
    <row r="1416" spans="1:21" ht="15.75" hidden="1" customHeight="1" thickTop="1" thickBot="1">
      <c r="A1416" s="327"/>
      <c r="B1416" s="328"/>
      <c r="C1416" s="328"/>
      <c r="D1416" s="328"/>
      <c r="E1416" s="328"/>
      <c r="F1416" s="328"/>
      <c r="G1416" s="328"/>
      <c r="H1416" s="329"/>
      <c r="I1416" s="328"/>
      <c r="J1416" s="328"/>
      <c r="K1416" s="328"/>
      <c r="L1416" s="328"/>
      <c r="M1416" s="328"/>
      <c r="N1416" s="328"/>
      <c r="O1416" s="328"/>
      <c r="P1416" s="328"/>
      <c r="Q1416" s="328"/>
      <c r="R1416" s="328"/>
      <c r="S1416" s="303"/>
      <c r="T1416" s="307"/>
      <c r="U1416" s="311" t="e">
        <f>+VLOOKUP(C1416,Spreads!$A$2:$G$345,7,0)</f>
        <v>#N/A</v>
      </c>
    </row>
    <row r="1417" spans="1:21" ht="15.75" hidden="1" customHeight="1" thickTop="1" thickBot="1">
      <c r="A1417" s="317"/>
      <c r="B1417" s="318"/>
      <c r="C1417" s="318"/>
      <c r="D1417" s="318"/>
      <c r="E1417" s="319"/>
      <c r="F1417" s="319"/>
      <c r="G1417" s="314"/>
      <c r="H1417" s="320"/>
      <c r="I1417" s="318"/>
      <c r="J1417" s="318"/>
      <c r="K1417" s="318"/>
      <c r="L1417" s="318"/>
      <c r="M1417" s="318"/>
      <c r="N1417" s="318"/>
      <c r="O1417" s="318"/>
      <c r="P1417" s="318"/>
      <c r="Q1417" s="318"/>
      <c r="R1417" s="318"/>
      <c r="S1417" s="303"/>
      <c r="T1417" s="307"/>
      <c r="U1417" s="311" t="e">
        <f>+VLOOKUP(C1417,Spreads!$A$2:$G$345,7,0)</f>
        <v>#N/A</v>
      </c>
    </row>
    <row r="1418" spans="1:21" ht="15.75" hidden="1" customHeight="1" thickTop="1" thickBot="1">
      <c r="A1418" s="321"/>
      <c r="B1418" s="322"/>
      <c r="C1418" s="322"/>
      <c r="D1418" s="322"/>
      <c r="E1418" s="323"/>
      <c r="F1418" s="323"/>
      <c r="G1418" s="314"/>
      <c r="H1418" s="324"/>
      <c r="I1418" s="322"/>
      <c r="J1418" s="322"/>
      <c r="K1418" s="322"/>
      <c r="L1418" s="322"/>
      <c r="M1418" s="322"/>
      <c r="N1418" s="322"/>
      <c r="O1418" s="322"/>
      <c r="P1418" s="322"/>
      <c r="Q1418" s="322"/>
      <c r="R1418" s="322"/>
      <c r="S1418" s="303"/>
      <c r="T1418" s="307"/>
      <c r="U1418" s="311" t="e">
        <f>+VLOOKUP(C1418,Spreads!$A$2:$G$345,7,0)</f>
        <v>#N/A</v>
      </c>
    </row>
    <row r="1419" spans="1:21" ht="15.75" hidden="1" customHeight="1" thickTop="1" thickBot="1">
      <c r="A1419" s="317"/>
      <c r="B1419" s="318"/>
      <c r="C1419" s="318"/>
      <c r="D1419" s="318"/>
      <c r="E1419" s="319"/>
      <c r="F1419" s="319"/>
      <c r="G1419" s="314"/>
      <c r="H1419" s="320"/>
      <c r="I1419" s="318"/>
      <c r="J1419" s="318"/>
      <c r="K1419" s="318"/>
      <c r="L1419" s="318"/>
      <c r="M1419" s="318"/>
      <c r="N1419" s="318"/>
      <c r="O1419" s="318"/>
      <c r="P1419" s="318"/>
      <c r="Q1419" s="318"/>
      <c r="R1419" s="318"/>
      <c r="S1419" s="303"/>
      <c r="T1419" s="307"/>
      <c r="U1419" s="311" t="e">
        <f>+VLOOKUP(C1419,Spreads!$A$2:$G$345,7,0)</f>
        <v>#N/A</v>
      </c>
    </row>
    <row r="1420" spans="1:21" ht="15.75" hidden="1" customHeight="1" thickTop="1" thickBot="1">
      <c r="A1420" s="317"/>
      <c r="B1420" s="318"/>
      <c r="C1420" s="318"/>
      <c r="D1420" s="318"/>
      <c r="E1420" s="319"/>
      <c r="F1420" s="319"/>
      <c r="G1420" s="314"/>
      <c r="H1420" s="320"/>
      <c r="I1420" s="318"/>
      <c r="J1420" s="318"/>
      <c r="K1420" s="318"/>
      <c r="L1420" s="318"/>
      <c r="M1420" s="318"/>
      <c r="N1420" s="318"/>
      <c r="O1420" s="318"/>
      <c r="P1420" s="318"/>
      <c r="Q1420" s="318"/>
      <c r="R1420" s="318"/>
      <c r="S1420" s="303"/>
      <c r="T1420" s="307"/>
      <c r="U1420" s="311" t="e">
        <f>+VLOOKUP(C1420,Spreads!$A$2:$G$345,7,0)</f>
        <v>#N/A</v>
      </c>
    </row>
    <row r="1421" spans="1:21" ht="15.75" hidden="1" customHeight="1" thickTop="1" thickBot="1">
      <c r="A1421" s="317"/>
      <c r="B1421" s="318"/>
      <c r="C1421" s="318"/>
      <c r="D1421" s="318"/>
      <c r="E1421" s="319"/>
      <c r="F1421" s="319"/>
      <c r="G1421" s="314"/>
      <c r="H1421" s="320"/>
      <c r="I1421" s="318"/>
      <c r="J1421" s="318"/>
      <c r="K1421" s="318"/>
      <c r="L1421" s="318"/>
      <c r="M1421" s="318"/>
      <c r="N1421" s="318"/>
      <c r="O1421" s="318"/>
      <c r="P1421" s="318"/>
      <c r="Q1421" s="318"/>
      <c r="R1421" s="318"/>
      <c r="S1421" s="303"/>
      <c r="T1421" s="307"/>
      <c r="U1421" s="311" t="e">
        <f>+VLOOKUP(C1421,Spreads!$A$2:$G$345,7,0)</f>
        <v>#N/A</v>
      </c>
    </row>
    <row r="1422" spans="1:21" ht="15.75" hidden="1" customHeight="1" thickTop="1" thickBot="1">
      <c r="A1422" s="317"/>
      <c r="B1422" s="318"/>
      <c r="C1422" s="318"/>
      <c r="D1422" s="318"/>
      <c r="E1422" s="319"/>
      <c r="F1422" s="319"/>
      <c r="G1422" s="314"/>
      <c r="H1422" s="320"/>
      <c r="I1422" s="318"/>
      <c r="J1422" s="318"/>
      <c r="K1422" s="318"/>
      <c r="L1422" s="318"/>
      <c r="M1422" s="318"/>
      <c r="N1422" s="318"/>
      <c r="O1422" s="318"/>
      <c r="P1422" s="318"/>
      <c r="Q1422" s="318"/>
      <c r="R1422" s="318"/>
      <c r="S1422" s="303"/>
      <c r="T1422" s="307"/>
      <c r="U1422" s="311" t="e">
        <f>+VLOOKUP(C1422,Spreads!$A$2:$G$345,7,0)</f>
        <v>#N/A</v>
      </c>
    </row>
    <row r="1423" spans="1:21" ht="15.75" hidden="1" customHeight="1" thickTop="1" thickBot="1">
      <c r="A1423" s="317"/>
      <c r="B1423" s="318"/>
      <c r="C1423" s="318"/>
      <c r="D1423" s="318"/>
      <c r="E1423" s="319"/>
      <c r="F1423" s="319"/>
      <c r="G1423" s="314"/>
      <c r="H1423" s="320"/>
      <c r="I1423" s="318"/>
      <c r="J1423" s="318"/>
      <c r="K1423" s="318"/>
      <c r="L1423" s="318"/>
      <c r="M1423" s="318"/>
      <c r="N1423" s="318"/>
      <c r="O1423" s="318"/>
      <c r="P1423" s="318"/>
      <c r="Q1423" s="318"/>
      <c r="R1423" s="318"/>
      <c r="S1423" s="303"/>
      <c r="T1423" s="307"/>
      <c r="U1423" s="311" t="e">
        <f>+VLOOKUP(C1423,Spreads!$A$2:$G$345,7,0)</f>
        <v>#N/A</v>
      </c>
    </row>
    <row r="1424" spans="1:21" ht="15.75" hidden="1" customHeight="1" thickTop="1" thickBot="1">
      <c r="A1424" s="321"/>
      <c r="B1424" s="322"/>
      <c r="C1424" s="322"/>
      <c r="D1424" s="322"/>
      <c r="E1424" s="323"/>
      <c r="F1424" s="323"/>
      <c r="G1424" s="314"/>
      <c r="H1424" s="324"/>
      <c r="I1424" s="322"/>
      <c r="J1424" s="322"/>
      <c r="K1424" s="322"/>
      <c r="L1424" s="322"/>
      <c r="M1424" s="322"/>
      <c r="N1424" s="322"/>
      <c r="O1424" s="322"/>
      <c r="P1424" s="322"/>
      <c r="Q1424" s="322"/>
      <c r="R1424" s="322"/>
      <c r="S1424" s="303"/>
      <c r="T1424" s="307"/>
      <c r="U1424" s="311" t="e">
        <f>+VLOOKUP(C1424,Spreads!$A$2:$G$345,7,0)</f>
        <v>#N/A</v>
      </c>
    </row>
    <row r="1425" spans="1:21" ht="15.75" hidden="1" customHeight="1" thickTop="1" thickBot="1">
      <c r="A1425" s="327"/>
      <c r="B1425" s="328"/>
      <c r="C1425" s="328"/>
      <c r="D1425" s="328"/>
      <c r="E1425" s="328"/>
      <c r="F1425" s="328"/>
      <c r="G1425" s="328"/>
      <c r="H1425" s="329"/>
      <c r="I1425" s="328"/>
      <c r="J1425" s="328"/>
      <c r="K1425" s="328"/>
      <c r="L1425" s="328"/>
      <c r="M1425" s="328"/>
      <c r="N1425" s="328"/>
      <c r="O1425" s="328"/>
      <c r="P1425" s="328"/>
      <c r="Q1425" s="328"/>
      <c r="R1425" s="328"/>
      <c r="S1425" s="303"/>
      <c r="T1425" s="307"/>
      <c r="U1425" s="311" t="e">
        <f>+VLOOKUP(C1425,Spreads!$A$2:$G$345,7,0)</f>
        <v>#N/A</v>
      </c>
    </row>
    <row r="1426" spans="1:21" ht="15.75" hidden="1" customHeight="1" thickTop="1" thickBot="1">
      <c r="A1426" s="317"/>
      <c r="B1426" s="318"/>
      <c r="C1426" s="318"/>
      <c r="D1426" s="318"/>
      <c r="E1426" s="319"/>
      <c r="F1426" s="319"/>
      <c r="G1426" s="314"/>
      <c r="H1426" s="320"/>
      <c r="I1426" s="318"/>
      <c r="J1426" s="318"/>
      <c r="K1426" s="318"/>
      <c r="L1426" s="318"/>
      <c r="M1426" s="318"/>
      <c r="N1426" s="318"/>
      <c r="O1426" s="318"/>
      <c r="P1426" s="318"/>
      <c r="Q1426" s="318"/>
      <c r="R1426" s="318"/>
      <c r="S1426" s="303"/>
      <c r="T1426" s="307"/>
      <c r="U1426" s="311" t="e">
        <f>+VLOOKUP(C1426,Spreads!$A$2:$G$345,7,0)</f>
        <v>#N/A</v>
      </c>
    </row>
    <row r="1427" spans="1:21" ht="15.75" hidden="1" customHeight="1" thickTop="1" thickBot="1">
      <c r="A1427" s="321"/>
      <c r="B1427" s="322"/>
      <c r="C1427" s="322"/>
      <c r="D1427" s="322"/>
      <c r="E1427" s="323"/>
      <c r="F1427" s="323"/>
      <c r="G1427" s="314"/>
      <c r="H1427" s="324"/>
      <c r="I1427" s="322"/>
      <c r="J1427" s="322"/>
      <c r="K1427" s="322"/>
      <c r="L1427" s="322"/>
      <c r="M1427" s="322"/>
      <c r="N1427" s="322"/>
      <c r="O1427" s="322"/>
      <c r="P1427" s="322"/>
      <c r="Q1427" s="322"/>
      <c r="R1427" s="322"/>
      <c r="S1427" s="303"/>
      <c r="T1427" s="307"/>
      <c r="U1427" s="311" t="e">
        <f>+VLOOKUP(C1427,Spreads!$A$2:$G$345,7,0)</f>
        <v>#N/A</v>
      </c>
    </row>
    <row r="1428" spans="1:21" ht="15.75" hidden="1" customHeight="1" thickTop="1" thickBot="1">
      <c r="A1428" s="317"/>
      <c r="B1428" s="318"/>
      <c r="C1428" s="318"/>
      <c r="D1428" s="318"/>
      <c r="E1428" s="319"/>
      <c r="F1428" s="319"/>
      <c r="G1428" s="314"/>
      <c r="H1428" s="318"/>
      <c r="I1428" s="318"/>
      <c r="J1428" s="318"/>
      <c r="K1428" s="318"/>
      <c r="L1428" s="318"/>
      <c r="M1428" s="318"/>
      <c r="N1428" s="318"/>
      <c r="O1428" s="318"/>
      <c r="P1428" s="318"/>
      <c r="Q1428" s="318"/>
      <c r="R1428" s="318"/>
      <c r="S1428" s="303"/>
      <c r="T1428" s="307"/>
      <c r="U1428" s="311" t="e">
        <f>+VLOOKUP(C1428,Spreads!$A$2:$G$345,7,0)</f>
        <v>#N/A</v>
      </c>
    </row>
    <row r="1429" spans="1:21" ht="15.75" hidden="1" customHeight="1" thickTop="1" thickBot="1">
      <c r="A1429" s="317"/>
      <c r="B1429" s="318"/>
      <c r="C1429" s="318"/>
      <c r="D1429" s="318"/>
      <c r="E1429" s="319"/>
      <c r="F1429" s="319"/>
      <c r="G1429" s="314"/>
      <c r="H1429" s="320"/>
      <c r="I1429" s="318"/>
      <c r="J1429" s="318"/>
      <c r="K1429" s="318"/>
      <c r="L1429" s="318"/>
      <c r="M1429" s="318"/>
      <c r="N1429" s="318"/>
      <c r="O1429" s="318"/>
      <c r="P1429" s="318"/>
      <c r="Q1429" s="318"/>
      <c r="R1429" s="318"/>
      <c r="S1429" s="303"/>
      <c r="T1429" s="307"/>
      <c r="U1429" s="311" t="e">
        <f>+VLOOKUP(C1429,Spreads!$A$2:$G$345,7,0)</f>
        <v>#N/A</v>
      </c>
    </row>
    <row r="1430" spans="1:21" ht="15.75" hidden="1" customHeight="1" thickTop="1" thickBot="1">
      <c r="A1430" s="321"/>
      <c r="B1430" s="322"/>
      <c r="C1430" s="322"/>
      <c r="D1430" s="322"/>
      <c r="E1430" s="323"/>
      <c r="F1430" s="323"/>
      <c r="G1430" s="314"/>
      <c r="H1430" s="324"/>
      <c r="I1430" s="322"/>
      <c r="J1430" s="322"/>
      <c r="K1430" s="322"/>
      <c r="L1430" s="322"/>
      <c r="M1430" s="322"/>
      <c r="N1430" s="322"/>
      <c r="O1430" s="322"/>
      <c r="P1430" s="322"/>
      <c r="Q1430" s="322"/>
      <c r="R1430" s="322"/>
      <c r="S1430" s="303"/>
      <c r="T1430" s="307"/>
      <c r="U1430" s="311" t="e">
        <f>+VLOOKUP(C1430,Spreads!$A$2:$G$345,7,0)</f>
        <v>#N/A</v>
      </c>
    </row>
    <row r="1431" spans="1:21" ht="15.75" hidden="1" customHeight="1" thickTop="1" thickBot="1">
      <c r="A1431" s="321"/>
      <c r="B1431" s="322"/>
      <c r="C1431" s="322"/>
      <c r="D1431" s="322"/>
      <c r="E1431" s="323"/>
      <c r="F1431" s="323"/>
      <c r="G1431" s="314"/>
      <c r="H1431" s="324"/>
      <c r="I1431" s="322"/>
      <c r="J1431" s="322"/>
      <c r="K1431" s="322"/>
      <c r="L1431" s="322"/>
      <c r="M1431" s="322"/>
      <c r="N1431" s="322"/>
      <c r="O1431" s="322"/>
      <c r="P1431" s="322"/>
      <c r="Q1431" s="322"/>
      <c r="R1431" s="322"/>
      <c r="S1431" s="303"/>
      <c r="T1431" s="307"/>
      <c r="U1431" s="311" t="e">
        <f>+VLOOKUP(C1431,Spreads!$A$2:$G$345,7,0)</f>
        <v>#N/A</v>
      </c>
    </row>
    <row r="1432" spans="1:21" ht="15.75" hidden="1" customHeight="1" thickTop="1" thickBot="1">
      <c r="A1432" s="321"/>
      <c r="B1432" s="322"/>
      <c r="C1432" s="322"/>
      <c r="D1432" s="322"/>
      <c r="E1432" s="323"/>
      <c r="F1432" s="323"/>
      <c r="G1432" s="314"/>
      <c r="H1432" s="324"/>
      <c r="I1432" s="322"/>
      <c r="J1432" s="322"/>
      <c r="K1432" s="322"/>
      <c r="L1432" s="322"/>
      <c r="M1432" s="322"/>
      <c r="N1432" s="322"/>
      <c r="O1432" s="322"/>
      <c r="P1432" s="322"/>
      <c r="Q1432" s="322"/>
      <c r="R1432" s="322"/>
      <c r="S1432" s="303"/>
      <c r="T1432" s="307"/>
      <c r="U1432" s="311" t="e">
        <f>+VLOOKUP(C1432,Spreads!$A$2:$G$345,7,0)</f>
        <v>#N/A</v>
      </c>
    </row>
    <row r="1433" spans="1:21" ht="15.75" hidden="1" customHeight="1" thickTop="1" thickBot="1">
      <c r="A1433" s="317"/>
      <c r="B1433" s="318"/>
      <c r="C1433" s="318"/>
      <c r="D1433" s="318"/>
      <c r="E1433" s="319"/>
      <c r="F1433" s="319"/>
      <c r="G1433" s="314"/>
      <c r="H1433" s="320"/>
      <c r="I1433" s="318"/>
      <c r="J1433" s="318"/>
      <c r="K1433" s="318"/>
      <c r="L1433" s="318"/>
      <c r="M1433" s="318"/>
      <c r="N1433" s="318"/>
      <c r="O1433" s="318"/>
      <c r="P1433" s="318"/>
      <c r="Q1433" s="318"/>
      <c r="R1433" s="318"/>
      <c r="S1433" s="303"/>
      <c r="T1433" s="307"/>
      <c r="U1433" s="311" t="e">
        <f>+VLOOKUP(C1433,Spreads!$A$2:$G$345,7,0)</f>
        <v>#N/A</v>
      </c>
    </row>
    <row r="1434" spans="1:21" ht="15.75" hidden="1" customHeight="1" thickTop="1" thickBot="1">
      <c r="A1434" s="317"/>
      <c r="B1434" s="318"/>
      <c r="C1434" s="318"/>
      <c r="D1434" s="318"/>
      <c r="E1434" s="319"/>
      <c r="F1434" s="319"/>
      <c r="G1434" s="314"/>
      <c r="H1434" s="320"/>
      <c r="I1434" s="318"/>
      <c r="J1434" s="318"/>
      <c r="K1434" s="318"/>
      <c r="L1434" s="318"/>
      <c r="M1434" s="318"/>
      <c r="N1434" s="318"/>
      <c r="O1434" s="318"/>
      <c r="P1434" s="318"/>
      <c r="Q1434" s="318"/>
      <c r="R1434" s="318"/>
      <c r="S1434" s="303"/>
      <c r="T1434" s="307"/>
      <c r="U1434" s="311" t="e">
        <f>+VLOOKUP(C1434,Spreads!$A$2:$G$345,7,0)</f>
        <v>#N/A</v>
      </c>
    </row>
    <row r="1435" spans="1:21" ht="15.75" hidden="1" customHeight="1" thickTop="1" thickBot="1">
      <c r="A1435" s="327"/>
      <c r="B1435" s="328"/>
      <c r="C1435" s="328"/>
      <c r="D1435" s="328"/>
      <c r="E1435" s="328"/>
      <c r="F1435" s="328"/>
      <c r="G1435" s="328"/>
      <c r="H1435" s="329"/>
      <c r="I1435" s="328"/>
      <c r="J1435" s="328"/>
      <c r="K1435" s="328"/>
      <c r="L1435" s="328"/>
      <c r="M1435" s="328"/>
      <c r="N1435" s="328"/>
      <c r="O1435" s="328"/>
      <c r="P1435" s="328"/>
      <c r="Q1435" s="328"/>
      <c r="R1435" s="328"/>
      <c r="S1435" s="303"/>
      <c r="T1435" s="307"/>
      <c r="U1435" s="311" t="e">
        <f>+VLOOKUP(C1435,Spreads!$A$2:$G$345,7,0)</f>
        <v>#N/A</v>
      </c>
    </row>
    <row r="1436" spans="1:21" ht="15.75" hidden="1" customHeight="1" thickTop="1" thickBot="1">
      <c r="A1436" s="321"/>
      <c r="B1436" s="322"/>
      <c r="C1436" s="322"/>
      <c r="D1436" s="322"/>
      <c r="E1436" s="323"/>
      <c r="F1436" s="323"/>
      <c r="G1436" s="314"/>
      <c r="H1436" s="324"/>
      <c r="I1436" s="322"/>
      <c r="J1436" s="322"/>
      <c r="K1436" s="322"/>
      <c r="L1436" s="322"/>
      <c r="M1436" s="322"/>
      <c r="N1436" s="322"/>
      <c r="O1436" s="322"/>
      <c r="P1436" s="322"/>
      <c r="Q1436" s="322"/>
      <c r="R1436" s="322"/>
      <c r="S1436" s="303"/>
      <c r="T1436" s="307"/>
      <c r="U1436" s="311" t="e">
        <f>+VLOOKUP(C1436,Spreads!$A$2:$G$345,7,0)</f>
        <v>#N/A</v>
      </c>
    </row>
    <row r="1437" spans="1:21" ht="15.75" hidden="1" customHeight="1" thickTop="1" thickBot="1">
      <c r="A1437" s="317"/>
      <c r="B1437" s="318"/>
      <c r="C1437" s="318"/>
      <c r="D1437" s="318"/>
      <c r="E1437" s="319"/>
      <c r="F1437" s="319"/>
      <c r="G1437" s="314"/>
      <c r="H1437" s="320"/>
      <c r="I1437" s="318"/>
      <c r="J1437" s="318"/>
      <c r="K1437" s="318"/>
      <c r="L1437" s="318"/>
      <c r="M1437" s="318"/>
      <c r="N1437" s="318"/>
      <c r="O1437" s="318"/>
      <c r="P1437" s="318"/>
      <c r="Q1437" s="318"/>
      <c r="R1437" s="318"/>
      <c r="S1437" s="303"/>
      <c r="T1437" s="307"/>
      <c r="U1437" s="311" t="e">
        <f>+VLOOKUP(C1437,Spreads!$A$2:$G$345,7,0)</f>
        <v>#N/A</v>
      </c>
    </row>
    <row r="1438" spans="1:21" ht="15.75" hidden="1" customHeight="1" thickTop="1" thickBot="1">
      <c r="A1438" s="321"/>
      <c r="B1438" s="322"/>
      <c r="C1438" s="322"/>
      <c r="D1438" s="322"/>
      <c r="E1438" s="323"/>
      <c r="F1438" s="323"/>
      <c r="G1438" s="314"/>
      <c r="H1438" s="324"/>
      <c r="I1438" s="322"/>
      <c r="J1438" s="322"/>
      <c r="K1438" s="322"/>
      <c r="L1438" s="322"/>
      <c r="M1438" s="322"/>
      <c r="N1438" s="322"/>
      <c r="O1438" s="322"/>
      <c r="P1438" s="322"/>
      <c r="Q1438" s="322"/>
      <c r="R1438" s="322"/>
      <c r="S1438" s="303"/>
      <c r="T1438" s="307"/>
      <c r="U1438" s="311" t="e">
        <f>+VLOOKUP(C1438,Spreads!$A$2:$G$345,7,0)</f>
        <v>#N/A</v>
      </c>
    </row>
    <row r="1439" spans="1:21" ht="15.75" hidden="1" customHeight="1" thickTop="1" thickBot="1">
      <c r="A1439" s="317"/>
      <c r="B1439" s="318"/>
      <c r="C1439" s="318"/>
      <c r="D1439" s="318"/>
      <c r="E1439" s="319"/>
      <c r="F1439" s="319"/>
      <c r="G1439" s="314"/>
      <c r="H1439" s="320"/>
      <c r="I1439" s="318"/>
      <c r="J1439" s="318"/>
      <c r="K1439" s="318"/>
      <c r="L1439" s="318"/>
      <c r="M1439" s="318"/>
      <c r="N1439" s="318"/>
      <c r="O1439" s="318"/>
      <c r="P1439" s="318"/>
      <c r="Q1439" s="318"/>
      <c r="R1439" s="318"/>
      <c r="S1439" s="303"/>
      <c r="T1439" s="307"/>
      <c r="U1439" s="311" t="e">
        <f>+VLOOKUP(C1439,Spreads!$A$2:$G$345,7,0)</f>
        <v>#N/A</v>
      </c>
    </row>
    <row r="1440" spans="1:21" ht="15.75" hidden="1" customHeight="1" thickTop="1" thickBot="1">
      <c r="A1440" s="321"/>
      <c r="B1440" s="322"/>
      <c r="C1440" s="322"/>
      <c r="D1440" s="322"/>
      <c r="E1440" s="323"/>
      <c r="F1440" s="323"/>
      <c r="G1440" s="314"/>
      <c r="H1440" s="324"/>
      <c r="I1440" s="322"/>
      <c r="J1440" s="322"/>
      <c r="K1440" s="322"/>
      <c r="L1440" s="322"/>
      <c r="M1440" s="322"/>
      <c r="N1440" s="322"/>
      <c r="O1440" s="322"/>
      <c r="P1440" s="322"/>
      <c r="Q1440" s="322"/>
      <c r="R1440" s="322"/>
      <c r="S1440" s="303"/>
      <c r="T1440" s="307"/>
      <c r="U1440" s="311" t="e">
        <f>+VLOOKUP(C1440,Spreads!$A$2:$G$345,7,0)</f>
        <v>#N/A</v>
      </c>
    </row>
    <row r="1441" spans="1:21" ht="15.75" hidden="1" customHeight="1" thickTop="1" thickBot="1">
      <c r="A1441" s="327"/>
      <c r="B1441" s="328"/>
      <c r="C1441" s="328"/>
      <c r="D1441" s="328"/>
      <c r="E1441" s="328"/>
      <c r="F1441" s="328"/>
      <c r="G1441" s="332"/>
      <c r="H1441" s="329"/>
      <c r="I1441" s="328"/>
      <c r="J1441" s="328"/>
      <c r="K1441" s="328"/>
      <c r="L1441" s="328"/>
      <c r="M1441" s="328"/>
      <c r="N1441" s="328"/>
      <c r="O1441" s="328"/>
      <c r="P1441" s="328"/>
      <c r="Q1441" s="328"/>
      <c r="R1441" s="328"/>
      <c r="S1441" s="303"/>
      <c r="T1441" s="307"/>
      <c r="U1441" s="311" t="e">
        <f>+VLOOKUP(C1441,Spreads!$A$2:$G$345,7,0)</f>
        <v>#N/A</v>
      </c>
    </row>
    <row r="1442" spans="1:21" ht="15.75" hidden="1" customHeight="1" thickTop="1" thickBot="1">
      <c r="A1442" s="317"/>
      <c r="B1442" s="318"/>
      <c r="C1442" s="318"/>
      <c r="D1442" s="318"/>
      <c r="E1442" s="319"/>
      <c r="F1442" s="319"/>
      <c r="G1442" s="314"/>
      <c r="H1442" s="318"/>
      <c r="I1442" s="318"/>
      <c r="J1442" s="318"/>
      <c r="K1442" s="318"/>
      <c r="L1442" s="318"/>
      <c r="M1442" s="318"/>
      <c r="N1442" s="318"/>
      <c r="O1442" s="318"/>
      <c r="P1442" s="318"/>
      <c r="Q1442" s="318"/>
      <c r="R1442" s="318"/>
      <c r="S1442" s="303"/>
      <c r="T1442" s="307"/>
      <c r="U1442" s="311" t="e">
        <f>+VLOOKUP(C1442,Spreads!$A$2:$G$345,7,0)</f>
        <v>#N/A</v>
      </c>
    </row>
    <row r="1443" spans="1:21" ht="15.75" hidden="1" customHeight="1" thickTop="1" thickBot="1">
      <c r="A1443" s="321"/>
      <c r="B1443" s="322"/>
      <c r="C1443" s="322"/>
      <c r="D1443" s="322"/>
      <c r="E1443" s="323"/>
      <c r="F1443" s="323"/>
      <c r="G1443" s="314"/>
      <c r="H1443" s="324"/>
      <c r="I1443" s="322"/>
      <c r="J1443" s="322"/>
      <c r="K1443" s="322"/>
      <c r="L1443" s="322"/>
      <c r="M1443" s="322"/>
      <c r="N1443" s="322"/>
      <c r="O1443" s="322"/>
      <c r="P1443" s="322"/>
      <c r="Q1443" s="322"/>
      <c r="R1443" s="322"/>
      <c r="S1443" s="303"/>
      <c r="T1443" s="307"/>
      <c r="U1443" s="311" t="e">
        <f>+VLOOKUP(C1443,Spreads!$A$2:$G$345,7,0)</f>
        <v>#N/A</v>
      </c>
    </row>
    <row r="1444" spans="1:21" ht="15.75" hidden="1" customHeight="1" thickTop="1" thickBot="1">
      <c r="A1444" s="321"/>
      <c r="B1444" s="322"/>
      <c r="C1444" s="322"/>
      <c r="D1444" s="322"/>
      <c r="E1444" s="323"/>
      <c r="F1444" s="323"/>
      <c r="G1444" s="314"/>
      <c r="H1444" s="324"/>
      <c r="I1444" s="322"/>
      <c r="J1444" s="322"/>
      <c r="K1444" s="322"/>
      <c r="L1444" s="322"/>
      <c r="M1444" s="322"/>
      <c r="N1444" s="322"/>
      <c r="O1444" s="322"/>
      <c r="P1444" s="322"/>
      <c r="Q1444" s="322"/>
      <c r="R1444" s="322"/>
      <c r="S1444" s="303"/>
      <c r="T1444" s="307"/>
      <c r="U1444" s="311" t="e">
        <f>+VLOOKUP(C1444,Spreads!$A$2:$G$345,7,0)</f>
        <v>#N/A</v>
      </c>
    </row>
    <row r="1445" spans="1:21" ht="15.75" hidden="1" customHeight="1" thickTop="1" thickBot="1">
      <c r="A1445" s="321"/>
      <c r="B1445" s="322"/>
      <c r="C1445" s="322"/>
      <c r="D1445" s="322"/>
      <c r="E1445" s="323"/>
      <c r="F1445" s="323"/>
      <c r="G1445" s="314"/>
      <c r="H1445" s="324"/>
      <c r="I1445" s="322"/>
      <c r="J1445" s="322"/>
      <c r="K1445" s="322"/>
      <c r="L1445" s="322"/>
      <c r="M1445" s="322"/>
      <c r="N1445" s="322"/>
      <c r="O1445" s="322"/>
      <c r="P1445" s="322"/>
      <c r="Q1445" s="322"/>
      <c r="R1445" s="322"/>
      <c r="S1445" s="303"/>
      <c r="T1445" s="307"/>
      <c r="U1445" s="311" t="e">
        <f>+VLOOKUP(C1445,Spreads!$A$2:$G$345,7,0)</f>
        <v>#N/A</v>
      </c>
    </row>
    <row r="1446" spans="1:21" ht="15.75" hidden="1" customHeight="1" thickTop="1" thickBot="1">
      <c r="A1446" s="321"/>
      <c r="B1446" s="322"/>
      <c r="C1446" s="322"/>
      <c r="D1446" s="322"/>
      <c r="E1446" s="323"/>
      <c r="F1446" s="323"/>
      <c r="G1446" s="314"/>
      <c r="H1446" s="324"/>
      <c r="I1446" s="322"/>
      <c r="J1446" s="322"/>
      <c r="K1446" s="322"/>
      <c r="L1446" s="322"/>
      <c r="M1446" s="322"/>
      <c r="N1446" s="322"/>
      <c r="O1446" s="322"/>
      <c r="P1446" s="322"/>
      <c r="Q1446" s="322"/>
      <c r="R1446" s="322"/>
      <c r="S1446" s="303"/>
      <c r="T1446" s="307"/>
      <c r="U1446" s="311" t="e">
        <f>+VLOOKUP(C1446,Spreads!$A$2:$G$345,7,0)</f>
        <v>#N/A</v>
      </c>
    </row>
    <row r="1447" spans="1:21" ht="15.75" hidden="1" customHeight="1" thickTop="1" thickBot="1">
      <c r="A1447" s="327"/>
      <c r="B1447" s="328"/>
      <c r="C1447" s="328"/>
      <c r="D1447" s="328"/>
      <c r="E1447" s="328"/>
      <c r="F1447" s="328"/>
      <c r="G1447" s="328"/>
      <c r="H1447" s="329"/>
      <c r="I1447" s="328"/>
      <c r="J1447" s="328"/>
      <c r="K1447" s="328"/>
      <c r="L1447" s="328"/>
      <c r="M1447" s="328"/>
      <c r="N1447" s="328"/>
      <c r="O1447" s="328"/>
      <c r="P1447" s="328"/>
      <c r="Q1447" s="328"/>
      <c r="R1447" s="328"/>
      <c r="S1447" s="303"/>
      <c r="T1447" s="307"/>
      <c r="U1447" s="311" t="e">
        <f>+VLOOKUP(C1447,Spreads!$A$2:$G$345,7,0)</f>
        <v>#N/A</v>
      </c>
    </row>
    <row r="1448" spans="1:21" ht="15.75" hidden="1" customHeight="1" thickTop="1" thickBot="1">
      <c r="A1448" s="321"/>
      <c r="B1448" s="322"/>
      <c r="C1448" s="322"/>
      <c r="D1448" s="322"/>
      <c r="E1448" s="323"/>
      <c r="F1448" s="323"/>
      <c r="G1448" s="314"/>
      <c r="H1448" s="324"/>
      <c r="I1448" s="322"/>
      <c r="J1448" s="322"/>
      <c r="K1448" s="322"/>
      <c r="L1448" s="322"/>
      <c r="M1448" s="322"/>
      <c r="N1448" s="322"/>
      <c r="O1448" s="322"/>
      <c r="P1448" s="322"/>
      <c r="Q1448" s="322"/>
      <c r="R1448" s="322"/>
      <c r="S1448" s="303"/>
      <c r="T1448" s="307"/>
      <c r="U1448" s="311" t="e">
        <f>+VLOOKUP(C1448,Spreads!$A$2:$G$345,7,0)</f>
        <v>#N/A</v>
      </c>
    </row>
    <row r="1449" spans="1:21" ht="15.75" hidden="1" customHeight="1" thickTop="1" thickBot="1">
      <c r="A1449" s="317"/>
      <c r="B1449" s="318"/>
      <c r="C1449" s="318"/>
      <c r="D1449" s="318"/>
      <c r="E1449" s="319"/>
      <c r="F1449" s="319"/>
      <c r="G1449" s="314"/>
      <c r="H1449" s="320"/>
      <c r="I1449" s="318"/>
      <c r="J1449" s="318"/>
      <c r="K1449" s="318"/>
      <c r="L1449" s="318"/>
      <c r="M1449" s="318"/>
      <c r="N1449" s="318"/>
      <c r="O1449" s="318"/>
      <c r="P1449" s="318"/>
      <c r="Q1449" s="318"/>
      <c r="R1449" s="318"/>
      <c r="S1449" s="303"/>
      <c r="T1449" s="307"/>
      <c r="U1449" s="311" t="e">
        <f>+VLOOKUP(C1449,Spreads!$A$2:$G$345,7,0)</f>
        <v>#N/A</v>
      </c>
    </row>
    <row r="1450" spans="1:21" ht="15.75" hidden="1" customHeight="1" thickTop="1" thickBot="1">
      <c r="A1450" s="321"/>
      <c r="B1450" s="322"/>
      <c r="C1450" s="322"/>
      <c r="D1450" s="322"/>
      <c r="E1450" s="323"/>
      <c r="F1450" s="323"/>
      <c r="G1450" s="314"/>
      <c r="H1450" s="324"/>
      <c r="I1450" s="322"/>
      <c r="J1450" s="322"/>
      <c r="K1450" s="322"/>
      <c r="L1450" s="322"/>
      <c r="M1450" s="322"/>
      <c r="N1450" s="322"/>
      <c r="O1450" s="322"/>
      <c r="P1450" s="322"/>
      <c r="Q1450" s="322"/>
      <c r="R1450" s="322"/>
      <c r="S1450" s="303"/>
      <c r="T1450" s="307"/>
      <c r="U1450" s="311" t="e">
        <f>+VLOOKUP(C1450,Spreads!$A$2:$G$345,7,0)</f>
        <v>#N/A</v>
      </c>
    </row>
    <row r="1451" spans="1:21" ht="15.75" hidden="1" customHeight="1" thickTop="1" thickBot="1">
      <c r="A1451" s="317"/>
      <c r="B1451" s="318"/>
      <c r="C1451" s="318"/>
      <c r="D1451" s="318"/>
      <c r="E1451" s="319"/>
      <c r="F1451" s="319"/>
      <c r="G1451" s="314"/>
      <c r="H1451" s="320"/>
      <c r="I1451" s="318"/>
      <c r="J1451" s="318"/>
      <c r="K1451" s="318"/>
      <c r="L1451" s="318"/>
      <c r="M1451" s="318"/>
      <c r="N1451" s="318"/>
      <c r="O1451" s="318"/>
      <c r="P1451" s="318"/>
      <c r="Q1451" s="318"/>
      <c r="R1451" s="318"/>
      <c r="S1451" s="303"/>
      <c r="T1451" s="307"/>
      <c r="U1451" s="311" t="e">
        <f>+VLOOKUP(C1451,Spreads!$A$2:$G$345,7,0)</f>
        <v>#N/A</v>
      </c>
    </row>
    <row r="1452" spans="1:21" ht="15.75" hidden="1" customHeight="1" thickTop="1" thickBot="1">
      <c r="A1452" s="317"/>
      <c r="B1452" s="318"/>
      <c r="C1452" s="318"/>
      <c r="D1452" s="318"/>
      <c r="E1452" s="319"/>
      <c r="F1452" s="319"/>
      <c r="G1452" s="314"/>
      <c r="H1452" s="320"/>
      <c r="I1452" s="318"/>
      <c r="J1452" s="318"/>
      <c r="K1452" s="318"/>
      <c r="L1452" s="318"/>
      <c r="M1452" s="318"/>
      <c r="N1452" s="318"/>
      <c r="O1452" s="318"/>
      <c r="P1452" s="318"/>
      <c r="Q1452" s="318"/>
      <c r="R1452" s="318"/>
      <c r="S1452" s="303"/>
      <c r="T1452" s="307"/>
      <c r="U1452" s="311" t="e">
        <f>+VLOOKUP(C1452,Spreads!$A$2:$G$345,7,0)</f>
        <v>#N/A</v>
      </c>
    </row>
    <row r="1453" spans="1:21" ht="15.75" hidden="1" customHeight="1" thickTop="1" thickBot="1">
      <c r="A1453" s="317"/>
      <c r="B1453" s="318"/>
      <c r="C1453" s="318"/>
      <c r="D1453" s="318"/>
      <c r="E1453" s="319"/>
      <c r="F1453" s="319"/>
      <c r="G1453" s="314"/>
      <c r="H1453" s="320"/>
      <c r="I1453" s="318"/>
      <c r="J1453" s="318"/>
      <c r="K1453" s="318"/>
      <c r="L1453" s="318"/>
      <c r="M1453" s="318"/>
      <c r="N1453" s="318"/>
      <c r="O1453" s="318"/>
      <c r="P1453" s="318"/>
      <c r="Q1453" s="318"/>
      <c r="R1453" s="318"/>
      <c r="S1453" s="303"/>
      <c r="T1453" s="307"/>
      <c r="U1453" s="311" t="e">
        <f>+VLOOKUP(C1453,Spreads!$A$2:$G$345,7,0)</f>
        <v>#N/A</v>
      </c>
    </row>
    <row r="1454" spans="1:21" ht="15.75" hidden="1" customHeight="1" thickTop="1" thickBot="1">
      <c r="A1454" s="317"/>
      <c r="B1454" s="318"/>
      <c r="C1454" s="318"/>
      <c r="D1454" s="318"/>
      <c r="E1454" s="319"/>
      <c r="F1454" s="319"/>
      <c r="G1454" s="314"/>
      <c r="H1454" s="320"/>
      <c r="I1454" s="318"/>
      <c r="J1454" s="318"/>
      <c r="K1454" s="318"/>
      <c r="L1454" s="318"/>
      <c r="M1454" s="318"/>
      <c r="N1454" s="318"/>
      <c r="O1454" s="318"/>
      <c r="P1454" s="318"/>
      <c r="Q1454" s="318"/>
      <c r="R1454" s="318"/>
      <c r="S1454" s="303"/>
      <c r="T1454" s="307"/>
      <c r="U1454" s="311" t="e">
        <f>+VLOOKUP(C1454,Spreads!$A$2:$G$345,7,0)</f>
        <v>#N/A</v>
      </c>
    </row>
    <row r="1455" spans="1:21" ht="15.75" hidden="1" customHeight="1" thickTop="1" thickBot="1">
      <c r="A1455" s="317"/>
      <c r="B1455" s="318"/>
      <c r="C1455" s="318"/>
      <c r="D1455" s="318"/>
      <c r="E1455" s="319"/>
      <c r="F1455" s="319"/>
      <c r="G1455" s="314"/>
      <c r="H1455" s="320"/>
      <c r="I1455" s="318"/>
      <c r="J1455" s="318"/>
      <c r="K1455" s="318"/>
      <c r="L1455" s="318"/>
      <c r="M1455" s="318"/>
      <c r="N1455" s="318"/>
      <c r="O1455" s="318"/>
      <c r="P1455" s="318"/>
      <c r="Q1455" s="318"/>
      <c r="R1455" s="318"/>
      <c r="S1455" s="303"/>
      <c r="T1455" s="307"/>
      <c r="U1455" s="311" t="e">
        <f>+VLOOKUP(C1455,Spreads!$A$2:$G$345,7,0)</f>
        <v>#N/A</v>
      </c>
    </row>
    <row r="1456" spans="1:21" ht="15.75" hidden="1" customHeight="1" thickTop="1" thickBot="1">
      <c r="A1456" s="321"/>
      <c r="B1456" s="322"/>
      <c r="C1456" s="322"/>
      <c r="D1456" s="322"/>
      <c r="E1456" s="323"/>
      <c r="F1456" s="323"/>
      <c r="G1456" s="314"/>
      <c r="H1456" s="324"/>
      <c r="I1456" s="322"/>
      <c r="J1456" s="322"/>
      <c r="K1456" s="322"/>
      <c r="L1456" s="322"/>
      <c r="M1456" s="322"/>
      <c r="N1456" s="322"/>
      <c r="O1456" s="322"/>
      <c r="P1456" s="322"/>
      <c r="Q1456" s="322"/>
      <c r="R1456" s="322"/>
      <c r="S1456" s="303"/>
      <c r="T1456" s="307"/>
      <c r="U1456" s="311" t="e">
        <f>+VLOOKUP(C1456,Spreads!$A$2:$G$345,7,0)</f>
        <v>#N/A</v>
      </c>
    </row>
    <row r="1457" spans="1:21" ht="15.75" hidden="1" customHeight="1" thickTop="1" thickBot="1">
      <c r="A1457" s="317"/>
      <c r="B1457" s="318"/>
      <c r="C1457" s="318"/>
      <c r="D1457" s="318"/>
      <c r="E1457" s="319"/>
      <c r="F1457" s="319"/>
      <c r="G1457" s="314"/>
      <c r="H1457" s="320"/>
      <c r="I1457" s="318"/>
      <c r="J1457" s="318"/>
      <c r="K1457" s="318"/>
      <c r="L1457" s="318"/>
      <c r="M1457" s="318"/>
      <c r="N1457" s="318"/>
      <c r="O1457" s="318"/>
      <c r="P1457" s="318"/>
      <c r="Q1457" s="318"/>
      <c r="R1457" s="318"/>
      <c r="S1457" s="303"/>
      <c r="T1457" s="307"/>
      <c r="U1457" s="311" t="e">
        <f>+VLOOKUP(C1457,Spreads!$A$2:$G$345,7,0)</f>
        <v>#N/A</v>
      </c>
    </row>
    <row r="1458" spans="1:21" ht="15.75" hidden="1" customHeight="1" thickTop="1" thickBot="1">
      <c r="A1458" s="321"/>
      <c r="B1458" s="322"/>
      <c r="C1458" s="322"/>
      <c r="D1458" s="322"/>
      <c r="E1458" s="323"/>
      <c r="F1458" s="323"/>
      <c r="G1458" s="314"/>
      <c r="H1458" s="324"/>
      <c r="I1458" s="322"/>
      <c r="J1458" s="322"/>
      <c r="K1458" s="322"/>
      <c r="L1458" s="322"/>
      <c r="M1458" s="322"/>
      <c r="N1458" s="322"/>
      <c r="O1458" s="322"/>
      <c r="P1458" s="322"/>
      <c r="Q1458" s="322"/>
      <c r="R1458" s="322"/>
      <c r="S1458" s="303"/>
      <c r="T1458" s="307"/>
      <c r="U1458" s="311" t="e">
        <f>+VLOOKUP(C1458,Spreads!$A$2:$G$345,7,0)</f>
        <v>#N/A</v>
      </c>
    </row>
    <row r="1459" spans="1:21" ht="15.75" hidden="1" customHeight="1" thickTop="1" thickBot="1">
      <c r="A1459" s="321"/>
      <c r="B1459" s="322"/>
      <c r="C1459" s="322"/>
      <c r="D1459" s="322"/>
      <c r="E1459" s="323"/>
      <c r="F1459" s="323"/>
      <c r="G1459" s="314"/>
      <c r="H1459" s="324"/>
      <c r="I1459" s="322"/>
      <c r="J1459" s="322"/>
      <c r="K1459" s="322"/>
      <c r="L1459" s="322"/>
      <c r="M1459" s="322"/>
      <c r="N1459" s="322"/>
      <c r="O1459" s="322"/>
      <c r="P1459" s="322"/>
      <c r="Q1459" s="322"/>
      <c r="R1459" s="322"/>
      <c r="S1459" s="303"/>
      <c r="T1459" s="307"/>
      <c r="U1459" s="311" t="e">
        <f>+VLOOKUP(C1459,Spreads!$A$2:$G$345,7,0)</f>
        <v>#N/A</v>
      </c>
    </row>
    <row r="1460" spans="1:21" ht="15.75" hidden="1" customHeight="1" thickTop="1" thickBot="1">
      <c r="A1460" s="317"/>
      <c r="B1460" s="318"/>
      <c r="C1460" s="318"/>
      <c r="D1460" s="318"/>
      <c r="E1460" s="319"/>
      <c r="F1460" s="319"/>
      <c r="G1460" s="314"/>
      <c r="H1460" s="318"/>
      <c r="I1460" s="318"/>
      <c r="J1460" s="318"/>
      <c r="K1460" s="318"/>
      <c r="L1460" s="318"/>
      <c r="M1460" s="318"/>
      <c r="N1460" s="318"/>
      <c r="O1460" s="318"/>
      <c r="P1460" s="318"/>
      <c r="Q1460" s="318"/>
      <c r="R1460" s="318"/>
      <c r="S1460" s="303"/>
      <c r="T1460" s="307"/>
      <c r="U1460" s="311" t="e">
        <f>+VLOOKUP(C1460,Spreads!$A$2:$G$345,7,0)</f>
        <v>#N/A</v>
      </c>
    </row>
    <row r="1461" spans="1:21" ht="15.75" hidden="1" customHeight="1" thickTop="1" thickBot="1">
      <c r="A1461" s="321"/>
      <c r="B1461" s="322"/>
      <c r="C1461" s="322"/>
      <c r="D1461" s="322"/>
      <c r="E1461" s="323"/>
      <c r="F1461" s="323"/>
      <c r="G1461" s="314"/>
      <c r="H1461" s="324"/>
      <c r="I1461" s="322"/>
      <c r="J1461" s="322"/>
      <c r="K1461" s="322"/>
      <c r="L1461" s="322"/>
      <c r="M1461" s="322"/>
      <c r="N1461" s="322"/>
      <c r="O1461" s="322"/>
      <c r="P1461" s="322"/>
      <c r="Q1461" s="322"/>
      <c r="R1461" s="322"/>
      <c r="S1461" s="303"/>
      <c r="T1461" s="307"/>
      <c r="U1461" s="311" t="e">
        <f>+VLOOKUP(C1461,Spreads!$A$2:$G$345,7,0)</f>
        <v>#N/A</v>
      </c>
    </row>
    <row r="1462" spans="1:21" ht="15.75" hidden="1" customHeight="1" thickTop="1" thickBot="1">
      <c r="A1462" s="321"/>
      <c r="B1462" s="322"/>
      <c r="C1462" s="322"/>
      <c r="D1462" s="322"/>
      <c r="E1462" s="323"/>
      <c r="F1462" s="323"/>
      <c r="G1462" s="314"/>
      <c r="H1462" s="324"/>
      <c r="I1462" s="322"/>
      <c r="J1462" s="322"/>
      <c r="K1462" s="322"/>
      <c r="L1462" s="322"/>
      <c r="M1462" s="322"/>
      <c r="N1462" s="322"/>
      <c r="O1462" s="322"/>
      <c r="P1462" s="322"/>
      <c r="Q1462" s="322"/>
      <c r="R1462" s="322"/>
      <c r="S1462" s="303"/>
      <c r="T1462" s="307"/>
      <c r="U1462" s="311" t="e">
        <f>+VLOOKUP(C1462,Spreads!$A$2:$G$345,7,0)</f>
        <v>#N/A</v>
      </c>
    </row>
    <row r="1463" spans="1:21" ht="15.75" hidden="1" customHeight="1" thickTop="1" thickBot="1">
      <c r="A1463" s="317"/>
      <c r="B1463" s="318"/>
      <c r="C1463" s="318"/>
      <c r="D1463" s="318"/>
      <c r="E1463" s="319"/>
      <c r="F1463" s="319"/>
      <c r="G1463" s="314"/>
      <c r="H1463" s="320"/>
      <c r="I1463" s="318"/>
      <c r="J1463" s="318"/>
      <c r="K1463" s="318"/>
      <c r="L1463" s="318"/>
      <c r="M1463" s="318"/>
      <c r="N1463" s="318"/>
      <c r="O1463" s="318"/>
      <c r="P1463" s="318"/>
      <c r="Q1463" s="318"/>
      <c r="R1463" s="318"/>
      <c r="S1463" s="303"/>
      <c r="T1463" s="307"/>
      <c r="U1463" s="311" t="e">
        <f>+VLOOKUP(C1463,Spreads!$A$2:$G$345,7,0)</f>
        <v>#N/A</v>
      </c>
    </row>
    <row r="1464" spans="1:21" ht="15.75" hidden="1" customHeight="1" thickTop="1" thickBot="1">
      <c r="A1464" s="317"/>
      <c r="B1464" s="318"/>
      <c r="C1464" s="318"/>
      <c r="D1464" s="318"/>
      <c r="E1464" s="319"/>
      <c r="F1464" s="319"/>
      <c r="G1464" s="314"/>
      <c r="H1464" s="318"/>
      <c r="I1464" s="318"/>
      <c r="J1464" s="318"/>
      <c r="K1464" s="318"/>
      <c r="L1464" s="318"/>
      <c r="M1464" s="318"/>
      <c r="N1464" s="318"/>
      <c r="O1464" s="318"/>
      <c r="P1464" s="318"/>
      <c r="Q1464" s="318"/>
      <c r="R1464" s="318"/>
      <c r="S1464" s="303"/>
      <c r="T1464" s="307"/>
      <c r="U1464" s="311" t="e">
        <f>+VLOOKUP(C1464,Spreads!$A$2:$G$345,7,0)</f>
        <v>#N/A</v>
      </c>
    </row>
    <row r="1465" spans="1:21" ht="15.75" hidden="1" customHeight="1" thickTop="1" thickBot="1">
      <c r="A1465" s="321"/>
      <c r="B1465" s="322"/>
      <c r="C1465" s="322"/>
      <c r="D1465" s="322"/>
      <c r="E1465" s="323"/>
      <c r="F1465" s="323"/>
      <c r="G1465" s="314"/>
      <c r="H1465" s="324"/>
      <c r="I1465" s="322"/>
      <c r="J1465" s="322"/>
      <c r="K1465" s="322"/>
      <c r="L1465" s="322"/>
      <c r="M1465" s="322"/>
      <c r="N1465" s="322"/>
      <c r="O1465" s="322"/>
      <c r="P1465" s="322"/>
      <c r="Q1465" s="322"/>
      <c r="R1465" s="322"/>
      <c r="S1465" s="303"/>
      <c r="T1465" s="307"/>
      <c r="U1465" s="311" t="e">
        <f>+VLOOKUP(C1465,Spreads!$A$2:$G$345,7,0)</f>
        <v>#N/A</v>
      </c>
    </row>
    <row r="1466" spans="1:21" ht="15.75" hidden="1" customHeight="1" thickTop="1" thickBot="1">
      <c r="A1466" s="317"/>
      <c r="B1466" s="318"/>
      <c r="C1466" s="318"/>
      <c r="D1466" s="318"/>
      <c r="E1466" s="319"/>
      <c r="F1466" s="319"/>
      <c r="G1466" s="314"/>
      <c r="H1466" s="320"/>
      <c r="I1466" s="318"/>
      <c r="J1466" s="318"/>
      <c r="K1466" s="318"/>
      <c r="L1466" s="318"/>
      <c r="M1466" s="318"/>
      <c r="N1466" s="318"/>
      <c r="O1466" s="318"/>
      <c r="P1466" s="318"/>
      <c r="Q1466" s="318"/>
      <c r="R1466" s="318"/>
      <c r="S1466" s="303"/>
      <c r="T1466" s="307"/>
      <c r="U1466" s="311" t="e">
        <f>+VLOOKUP(C1466,Spreads!$A$2:$G$345,7,0)</f>
        <v>#N/A</v>
      </c>
    </row>
    <row r="1467" spans="1:21" ht="15.75" hidden="1" customHeight="1" thickTop="1" thickBot="1">
      <c r="A1467" s="321"/>
      <c r="B1467" s="322"/>
      <c r="C1467" s="322"/>
      <c r="D1467" s="322"/>
      <c r="E1467" s="323"/>
      <c r="F1467" s="323"/>
      <c r="G1467" s="314"/>
      <c r="H1467" s="324"/>
      <c r="I1467" s="322"/>
      <c r="J1467" s="322"/>
      <c r="K1467" s="322"/>
      <c r="L1467" s="322"/>
      <c r="M1467" s="322"/>
      <c r="N1467" s="322"/>
      <c r="O1467" s="322"/>
      <c r="P1467" s="322"/>
      <c r="Q1467" s="322"/>
      <c r="R1467" s="322"/>
      <c r="S1467" s="303"/>
      <c r="T1467" s="307"/>
      <c r="U1467" s="311" t="e">
        <f>+VLOOKUP(C1467,Spreads!$A$2:$G$345,7,0)</f>
        <v>#N/A</v>
      </c>
    </row>
    <row r="1468" spans="1:21" ht="15.75" hidden="1" customHeight="1" thickTop="1" thickBot="1">
      <c r="A1468" s="321"/>
      <c r="B1468" s="322"/>
      <c r="C1468" s="322"/>
      <c r="D1468" s="322"/>
      <c r="E1468" s="323"/>
      <c r="F1468" s="323"/>
      <c r="G1468" s="314"/>
      <c r="H1468" s="324"/>
      <c r="I1468" s="322"/>
      <c r="J1468" s="322"/>
      <c r="K1468" s="322"/>
      <c r="L1468" s="322"/>
      <c r="M1468" s="322"/>
      <c r="N1468" s="322"/>
      <c r="O1468" s="322"/>
      <c r="P1468" s="322"/>
      <c r="Q1468" s="322"/>
      <c r="R1468" s="322"/>
      <c r="S1468" s="303"/>
      <c r="T1468" s="307"/>
      <c r="U1468" s="311" t="e">
        <f>+VLOOKUP(C1468,Spreads!$A$2:$G$345,7,0)</f>
        <v>#N/A</v>
      </c>
    </row>
    <row r="1469" spans="1:21" ht="15.75" hidden="1" customHeight="1" thickTop="1" thickBot="1">
      <c r="A1469" s="317"/>
      <c r="B1469" s="318"/>
      <c r="C1469" s="318"/>
      <c r="D1469" s="318"/>
      <c r="E1469" s="319"/>
      <c r="F1469" s="319"/>
      <c r="G1469" s="314"/>
      <c r="H1469" s="320"/>
      <c r="I1469" s="318"/>
      <c r="J1469" s="318"/>
      <c r="K1469" s="318"/>
      <c r="L1469" s="318"/>
      <c r="M1469" s="318"/>
      <c r="N1469" s="318"/>
      <c r="O1469" s="318"/>
      <c r="P1469" s="318"/>
      <c r="Q1469" s="318"/>
      <c r="R1469" s="318"/>
      <c r="S1469" s="303"/>
      <c r="T1469" s="307"/>
      <c r="U1469" s="311" t="e">
        <f>+VLOOKUP(C1469,Spreads!$A$2:$G$345,7,0)</f>
        <v>#N/A</v>
      </c>
    </row>
    <row r="1470" spans="1:21" ht="15.75" hidden="1" customHeight="1" thickTop="1" thickBot="1">
      <c r="A1470" s="317"/>
      <c r="B1470" s="318"/>
      <c r="C1470" s="318"/>
      <c r="D1470" s="318"/>
      <c r="E1470" s="319"/>
      <c r="F1470" s="319"/>
      <c r="G1470" s="314"/>
      <c r="H1470" s="320"/>
      <c r="I1470" s="318"/>
      <c r="J1470" s="318"/>
      <c r="K1470" s="318"/>
      <c r="L1470" s="318"/>
      <c r="M1470" s="318"/>
      <c r="N1470" s="318"/>
      <c r="O1470" s="318"/>
      <c r="P1470" s="318"/>
      <c r="Q1470" s="318"/>
      <c r="R1470" s="318"/>
      <c r="S1470" s="303"/>
      <c r="T1470" s="307"/>
      <c r="U1470" s="311" t="e">
        <f>+VLOOKUP(C1470,Spreads!$A$2:$G$345,7,0)</f>
        <v>#N/A</v>
      </c>
    </row>
    <row r="1471" spans="1:21" ht="15.75" hidden="1" customHeight="1" thickTop="1" thickBot="1">
      <c r="A1471" s="317"/>
      <c r="B1471" s="318"/>
      <c r="C1471" s="318"/>
      <c r="D1471" s="318"/>
      <c r="E1471" s="319"/>
      <c r="F1471" s="319"/>
      <c r="G1471" s="314"/>
      <c r="H1471" s="320"/>
      <c r="I1471" s="318"/>
      <c r="J1471" s="318"/>
      <c r="K1471" s="318"/>
      <c r="L1471" s="318"/>
      <c r="M1471" s="318"/>
      <c r="N1471" s="318"/>
      <c r="O1471" s="318"/>
      <c r="P1471" s="318"/>
      <c r="Q1471" s="318"/>
      <c r="R1471" s="318"/>
      <c r="S1471" s="303"/>
      <c r="T1471" s="307"/>
      <c r="U1471" s="311" t="e">
        <f>+VLOOKUP(C1471,Spreads!$A$2:$G$345,7,0)</f>
        <v>#N/A</v>
      </c>
    </row>
    <row r="1472" spans="1:21" ht="15.75" hidden="1" customHeight="1" thickTop="1" thickBot="1">
      <c r="A1472" s="321"/>
      <c r="B1472" s="322"/>
      <c r="C1472" s="322"/>
      <c r="D1472" s="322"/>
      <c r="E1472" s="323"/>
      <c r="F1472" s="323"/>
      <c r="G1472" s="314"/>
      <c r="H1472" s="324"/>
      <c r="I1472" s="322"/>
      <c r="J1472" s="322"/>
      <c r="K1472" s="322"/>
      <c r="L1472" s="322"/>
      <c r="M1472" s="322"/>
      <c r="N1472" s="322"/>
      <c r="O1472" s="322"/>
      <c r="P1472" s="322"/>
      <c r="Q1472" s="322"/>
      <c r="R1472" s="322"/>
      <c r="S1472" s="303"/>
      <c r="T1472" s="307"/>
      <c r="U1472" s="311" t="e">
        <f>+VLOOKUP(C1472,Spreads!$A$2:$G$345,7,0)</f>
        <v>#N/A</v>
      </c>
    </row>
    <row r="1473" spans="1:21" ht="15.75" hidden="1" customHeight="1" thickTop="1" thickBot="1">
      <c r="A1473" s="317"/>
      <c r="B1473" s="318"/>
      <c r="C1473" s="318"/>
      <c r="D1473" s="318"/>
      <c r="E1473" s="319"/>
      <c r="F1473" s="319"/>
      <c r="G1473" s="314"/>
      <c r="H1473" s="320"/>
      <c r="I1473" s="318"/>
      <c r="J1473" s="318"/>
      <c r="K1473" s="318"/>
      <c r="L1473" s="318"/>
      <c r="M1473" s="318"/>
      <c r="N1473" s="318"/>
      <c r="O1473" s="318"/>
      <c r="P1473" s="318"/>
      <c r="Q1473" s="318"/>
      <c r="R1473" s="318"/>
      <c r="S1473" s="303"/>
      <c r="T1473" s="307"/>
      <c r="U1473" s="311" t="e">
        <f>+VLOOKUP(C1473,Spreads!$A$2:$G$345,7,0)</f>
        <v>#N/A</v>
      </c>
    </row>
    <row r="1474" spans="1:21" ht="15.75" hidden="1" customHeight="1" thickTop="1" thickBot="1">
      <c r="A1474" s="317"/>
      <c r="B1474" s="318"/>
      <c r="C1474" s="318"/>
      <c r="D1474" s="318"/>
      <c r="E1474" s="319"/>
      <c r="F1474" s="319"/>
      <c r="G1474" s="314"/>
      <c r="H1474" s="320"/>
      <c r="I1474" s="318"/>
      <c r="J1474" s="318"/>
      <c r="K1474" s="318"/>
      <c r="L1474" s="318"/>
      <c r="M1474" s="318"/>
      <c r="N1474" s="318"/>
      <c r="O1474" s="318"/>
      <c r="P1474" s="318"/>
      <c r="Q1474" s="318"/>
      <c r="R1474" s="318"/>
      <c r="S1474" s="303"/>
      <c r="T1474" s="307"/>
      <c r="U1474" s="311" t="e">
        <f>+VLOOKUP(C1474,Spreads!$A$2:$G$345,7,0)</f>
        <v>#N/A</v>
      </c>
    </row>
    <row r="1475" spans="1:21" ht="15.75" hidden="1" customHeight="1" thickTop="1" thickBot="1">
      <c r="A1475" s="317"/>
      <c r="B1475" s="318"/>
      <c r="C1475" s="318"/>
      <c r="D1475" s="318"/>
      <c r="E1475" s="319"/>
      <c r="F1475" s="319"/>
      <c r="G1475" s="314"/>
      <c r="H1475" s="320"/>
      <c r="I1475" s="318"/>
      <c r="J1475" s="318"/>
      <c r="K1475" s="318"/>
      <c r="L1475" s="318"/>
      <c r="M1475" s="318"/>
      <c r="N1475" s="318"/>
      <c r="O1475" s="318"/>
      <c r="P1475" s="318"/>
      <c r="Q1475" s="318"/>
      <c r="R1475" s="318"/>
      <c r="S1475" s="303"/>
      <c r="T1475" s="307"/>
      <c r="U1475" s="311" t="e">
        <f>+VLOOKUP(C1475,Spreads!$A$2:$G$345,7,0)</f>
        <v>#N/A</v>
      </c>
    </row>
    <row r="1476" spans="1:21" ht="15.75" hidden="1" customHeight="1" thickTop="1" thickBot="1">
      <c r="A1476" s="317"/>
      <c r="B1476" s="318"/>
      <c r="C1476" s="318"/>
      <c r="D1476" s="318"/>
      <c r="E1476" s="319"/>
      <c r="F1476" s="319"/>
      <c r="G1476" s="314"/>
      <c r="H1476" s="320"/>
      <c r="I1476" s="318"/>
      <c r="J1476" s="318"/>
      <c r="K1476" s="318"/>
      <c r="L1476" s="318"/>
      <c r="M1476" s="318"/>
      <c r="N1476" s="318"/>
      <c r="O1476" s="318"/>
      <c r="P1476" s="318"/>
      <c r="Q1476" s="318"/>
      <c r="R1476" s="318"/>
      <c r="S1476" s="303"/>
      <c r="T1476" s="307"/>
      <c r="U1476" s="311" t="e">
        <f>+VLOOKUP(C1476,Spreads!$A$2:$G$345,7,0)</f>
        <v>#N/A</v>
      </c>
    </row>
    <row r="1477" spans="1:21" ht="15.75" hidden="1" customHeight="1" thickTop="1" thickBot="1">
      <c r="A1477" s="321"/>
      <c r="B1477" s="322"/>
      <c r="C1477" s="322"/>
      <c r="D1477" s="322"/>
      <c r="E1477" s="323"/>
      <c r="F1477" s="323"/>
      <c r="G1477" s="314"/>
      <c r="H1477" s="324"/>
      <c r="I1477" s="322"/>
      <c r="J1477" s="322"/>
      <c r="K1477" s="322"/>
      <c r="L1477" s="322"/>
      <c r="M1477" s="322"/>
      <c r="N1477" s="322"/>
      <c r="O1477" s="322"/>
      <c r="P1477" s="322"/>
      <c r="Q1477" s="322"/>
      <c r="R1477" s="322"/>
      <c r="S1477" s="303"/>
      <c r="T1477" s="307"/>
      <c r="U1477" s="311" t="e">
        <f>+VLOOKUP(C1477,Spreads!$A$2:$G$345,7,0)</f>
        <v>#N/A</v>
      </c>
    </row>
    <row r="1478" spans="1:21" ht="15.75" hidden="1" customHeight="1" thickTop="1" thickBot="1">
      <c r="A1478" s="317"/>
      <c r="B1478" s="318"/>
      <c r="C1478" s="318"/>
      <c r="D1478" s="318"/>
      <c r="E1478" s="319"/>
      <c r="F1478" s="319"/>
      <c r="G1478" s="314"/>
      <c r="H1478" s="320"/>
      <c r="I1478" s="318"/>
      <c r="J1478" s="318"/>
      <c r="K1478" s="318"/>
      <c r="L1478" s="318"/>
      <c r="M1478" s="318"/>
      <c r="N1478" s="318"/>
      <c r="O1478" s="318"/>
      <c r="P1478" s="318"/>
      <c r="Q1478" s="318"/>
      <c r="R1478" s="318"/>
      <c r="S1478" s="303"/>
      <c r="T1478" s="307"/>
      <c r="U1478" s="311" t="e">
        <f>+VLOOKUP(C1478,Spreads!$A$2:$G$345,7,0)</f>
        <v>#N/A</v>
      </c>
    </row>
    <row r="1479" spans="1:21" ht="15.75" hidden="1" customHeight="1" thickTop="1" thickBot="1">
      <c r="A1479" s="321"/>
      <c r="B1479" s="322"/>
      <c r="C1479" s="322"/>
      <c r="D1479" s="322"/>
      <c r="E1479" s="323"/>
      <c r="F1479" s="323"/>
      <c r="G1479" s="314"/>
      <c r="H1479" s="324"/>
      <c r="I1479" s="322"/>
      <c r="J1479" s="322"/>
      <c r="K1479" s="322"/>
      <c r="L1479" s="322"/>
      <c r="M1479" s="322"/>
      <c r="N1479" s="322"/>
      <c r="O1479" s="322"/>
      <c r="P1479" s="322"/>
      <c r="Q1479" s="322"/>
      <c r="R1479" s="322"/>
      <c r="S1479" s="303"/>
      <c r="T1479" s="307"/>
      <c r="U1479" s="311" t="e">
        <f>+VLOOKUP(C1479,Spreads!$A$2:$G$345,7,0)</f>
        <v>#N/A</v>
      </c>
    </row>
    <row r="1480" spans="1:21" ht="15.75" hidden="1" customHeight="1" thickTop="1" thickBot="1">
      <c r="A1480" s="321"/>
      <c r="B1480" s="322"/>
      <c r="C1480" s="322"/>
      <c r="D1480" s="322"/>
      <c r="E1480" s="323"/>
      <c r="F1480" s="323"/>
      <c r="G1480" s="314"/>
      <c r="H1480" s="324"/>
      <c r="I1480" s="322"/>
      <c r="J1480" s="322"/>
      <c r="K1480" s="322"/>
      <c r="L1480" s="322"/>
      <c r="M1480" s="322"/>
      <c r="N1480" s="322"/>
      <c r="O1480" s="322"/>
      <c r="P1480" s="322"/>
      <c r="Q1480" s="322"/>
      <c r="R1480" s="322"/>
      <c r="S1480" s="303"/>
      <c r="T1480" s="307"/>
      <c r="U1480" s="311" t="e">
        <f>+VLOOKUP(C1480,Spreads!$A$2:$G$345,7,0)</f>
        <v>#N/A</v>
      </c>
    </row>
    <row r="1481" spans="1:21" ht="15.75" hidden="1" customHeight="1" thickTop="1" thickBot="1">
      <c r="A1481" s="321"/>
      <c r="B1481" s="322"/>
      <c r="C1481" s="322"/>
      <c r="D1481" s="322"/>
      <c r="E1481" s="323"/>
      <c r="F1481" s="323"/>
      <c r="G1481" s="314"/>
      <c r="H1481" s="324"/>
      <c r="I1481" s="322"/>
      <c r="J1481" s="322"/>
      <c r="K1481" s="322"/>
      <c r="L1481" s="322"/>
      <c r="M1481" s="322"/>
      <c r="N1481" s="322"/>
      <c r="O1481" s="322"/>
      <c r="P1481" s="322"/>
      <c r="Q1481" s="322"/>
      <c r="R1481" s="322"/>
      <c r="S1481" s="303"/>
      <c r="T1481" s="307"/>
      <c r="U1481" s="311" t="e">
        <f>+VLOOKUP(C1481,Spreads!$A$2:$G$345,7,0)</f>
        <v>#N/A</v>
      </c>
    </row>
    <row r="1482" spans="1:21" ht="15.75" hidden="1" customHeight="1" thickTop="1" thickBot="1">
      <c r="A1482" s="317"/>
      <c r="B1482" s="318"/>
      <c r="C1482" s="318"/>
      <c r="D1482" s="318"/>
      <c r="E1482" s="319"/>
      <c r="F1482" s="319"/>
      <c r="G1482" s="314"/>
      <c r="H1482" s="318"/>
      <c r="I1482" s="318"/>
      <c r="J1482" s="318"/>
      <c r="K1482" s="318"/>
      <c r="L1482" s="318"/>
      <c r="M1482" s="318"/>
      <c r="N1482" s="318"/>
      <c r="O1482" s="318"/>
      <c r="P1482" s="318"/>
      <c r="Q1482" s="318"/>
      <c r="R1482" s="318"/>
      <c r="S1482" s="303"/>
      <c r="T1482" s="307"/>
      <c r="U1482" s="311" t="e">
        <f>+VLOOKUP(C1482,Spreads!$A$2:$G$345,7,0)</f>
        <v>#N/A</v>
      </c>
    </row>
    <row r="1483" spans="1:21" ht="15.75" hidden="1" customHeight="1" thickTop="1" thickBot="1">
      <c r="A1483" s="321"/>
      <c r="B1483" s="322"/>
      <c r="C1483" s="322"/>
      <c r="D1483" s="322"/>
      <c r="E1483" s="323"/>
      <c r="F1483" s="323"/>
      <c r="G1483" s="314"/>
      <c r="H1483" s="324"/>
      <c r="I1483" s="322"/>
      <c r="J1483" s="322"/>
      <c r="K1483" s="322"/>
      <c r="L1483" s="322"/>
      <c r="M1483" s="322"/>
      <c r="N1483" s="322"/>
      <c r="O1483" s="322"/>
      <c r="P1483" s="322"/>
      <c r="Q1483" s="322"/>
      <c r="R1483" s="322"/>
      <c r="S1483" s="303"/>
      <c r="T1483" s="307"/>
      <c r="U1483" s="311" t="e">
        <f>+VLOOKUP(C1483,Spreads!$A$2:$G$345,7,0)</f>
        <v>#N/A</v>
      </c>
    </row>
    <row r="1484" spans="1:21" ht="15.75" hidden="1" customHeight="1" thickTop="1" thickBot="1">
      <c r="A1484" s="321"/>
      <c r="B1484" s="322"/>
      <c r="C1484" s="322"/>
      <c r="D1484" s="322"/>
      <c r="E1484" s="323"/>
      <c r="F1484" s="323"/>
      <c r="G1484" s="314"/>
      <c r="H1484" s="322"/>
      <c r="I1484" s="322"/>
      <c r="J1484" s="322"/>
      <c r="K1484" s="322"/>
      <c r="L1484" s="322"/>
      <c r="M1484" s="322"/>
      <c r="N1484" s="322"/>
      <c r="O1484" s="322"/>
      <c r="P1484" s="322"/>
      <c r="Q1484" s="322"/>
      <c r="R1484" s="322"/>
      <c r="S1484" s="303"/>
      <c r="T1484" s="307"/>
      <c r="U1484" s="311" t="e">
        <f>+VLOOKUP(C1484,Spreads!$A$2:$G$345,7,0)</f>
        <v>#N/A</v>
      </c>
    </row>
    <row r="1485" spans="1:21" ht="15.75" hidden="1" customHeight="1" thickTop="1" thickBot="1">
      <c r="A1485" s="321"/>
      <c r="B1485" s="322"/>
      <c r="C1485" s="322"/>
      <c r="D1485" s="322"/>
      <c r="E1485" s="323"/>
      <c r="F1485" s="323"/>
      <c r="G1485" s="314"/>
      <c r="H1485" s="324"/>
      <c r="I1485" s="322"/>
      <c r="J1485" s="322"/>
      <c r="K1485" s="322"/>
      <c r="L1485" s="322"/>
      <c r="M1485" s="322"/>
      <c r="N1485" s="322"/>
      <c r="O1485" s="322"/>
      <c r="P1485" s="322"/>
      <c r="Q1485" s="322"/>
      <c r="R1485" s="322"/>
      <c r="S1485" s="303"/>
      <c r="T1485" s="307"/>
      <c r="U1485" s="311" t="e">
        <f>+VLOOKUP(C1485,Spreads!$A$2:$G$345,7,0)</f>
        <v>#N/A</v>
      </c>
    </row>
    <row r="1486" spans="1:21" ht="15.75" hidden="1" customHeight="1" thickTop="1" thickBot="1">
      <c r="A1486" s="317"/>
      <c r="B1486" s="318"/>
      <c r="C1486" s="318"/>
      <c r="D1486" s="318"/>
      <c r="E1486" s="319"/>
      <c r="F1486" s="319"/>
      <c r="G1486" s="314"/>
      <c r="H1486" s="318"/>
      <c r="I1486" s="318"/>
      <c r="J1486" s="318"/>
      <c r="K1486" s="318"/>
      <c r="L1486" s="318"/>
      <c r="M1486" s="318"/>
      <c r="N1486" s="318"/>
      <c r="O1486" s="318"/>
      <c r="P1486" s="318"/>
      <c r="Q1486" s="318"/>
      <c r="R1486" s="318"/>
      <c r="S1486" s="303"/>
      <c r="T1486" s="307"/>
      <c r="U1486" s="311" t="e">
        <f>+VLOOKUP(C1486,Spreads!$A$2:$G$345,7,0)</f>
        <v>#N/A</v>
      </c>
    </row>
    <row r="1487" spans="1:21" ht="15.75" hidden="1" customHeight="1" thickTop="1" thickBot="1">
      <c r="A1487" s="321"/>
      <c r="B1487" s="322"/>
      <c r="C1487" s="322"/>
      <c r="D1487" s="322"/>
      <c r="E1487" s="323"/>
      <c r="F1487" s="323"/>
      <c r="G1487" s="314"/>
      <c r="H1487" s="324"/>
      <c r="I1487" s="322"/>
      <c r="J1487" s="322"/>
      <c r="K1487" s="322"/>
      <c r="L1487" s="322"/>
      <c r="M1487" s="322"/>
      <c r="N1487" s="322"/>
      <c r="O1487" s="322"/>
      <c r="P1487" s="322"/>
      <c r="Q1487" s="322"/>
      <c r="R1487" s="322"/>
      <c r="S1487" s="303"/>
      <c r="T1487" s="307"/>
      <c r="U1487" s="311" t="e">
        <f>+VLOOKUP(C1487,Spreads!$A$2:$G$345,7,0)</f>
        <v>#N/A</v>
      </c>
    </row>
    <row r="1488" spans="1:21" ht="15.75" hidden="1" customHeight="1" thickTop="1" thickBot="1">
      <c r="A1488" s="321"/>
      <c r="B1488" s="322"/>
      <c r="C1488" s="322"/>
      <c r="D1488" s="322"/>
      <c r="E1488" s="323"/>
      <c r="F1488" s="323"/>
      <c r="G1488" s="314"/>
      <c r="H1488" s="324"/>
      <c r="I1488" s="322"/>
      <c r="J1488" s="322"/>
      <c r="K1488" s="322"/>
      <c r="L1488" s="322"/>
      <c r="M1488" s="322"/>
      <c r="N1488" s="322"/>
      <c r="O1488" s="322"/>
      <c r="P1488" s="322"/>
      <c r="Q1488" s="322"/>
      <c r="R1488" s="322"/>
      <c r="S1488" s="303"/>
      <c r="T1488" s="307"/>
      <c r="U1488" s="311" t="e">
        <f>+VLOOKUP(C1488,Spreads!$A$2:$G$345,7,0)</f>
        <v>#N/A</v>
      </c>
    </row>
    <row r="1489" spans="1:21" ht="15.75" hidden="1" customHeight="1" thickTop="1" thickBot="1">
      <c r="A1489" s="317"/>
      <c r="B1489" s="318"/>
      <c r="C1489" s="318"/>
      <c r="D1489" s="318"/>
      <c r="E1489" s="319"/>
      <c r="F1489" s="319"/>
      <c r="G1489" s="314"/>
      <c r="H1489" s="320"/>
      <c r="I1489" s="318"/>
      <c r="J1489" s="318"/>
      <c r="K1489" s="318"/>
      <c r="L1489" s="318"/>
      <c r="M1489" s="318"/>
      <c r="N1489" s="318"/>
      <c r="O1489" s="318"/>
      <c r="P1489" s="318"/>
      <c r="Q1489" s="318"/>
      <c r="R1489" s="318"/>
      <c r="S1489" s="303"/>
      <c r="T1489" s="307"/>
      <c r="U1489" s="311" t="e">
        <f>+VLOOKUP(C1489,Spreads!$A$2:$G$345,7,0)</f>
        <v>#N/A</v>
      </c>
    </row>
    <row r="1490" spans="1:21" ht="15.75" hidden="1" customHeight="1" thickTop="1" thickBot="1">
      <c r="A1490" s="321"/>
      <c r="B1490" s="322"/>
      <c r="C1490" s="322"/>
      <c r="D1490" s="322"/>
      <c r="E1490" s="323"/>
      <c r="F1490" s="323"/>
      <c r="G1490" s="314"/>
      <c r="H1490" s="322"/>
      <c r="I1490" s="322"/>
      <c r="J1490" s="322"/>
      <c r="K1490" s="322"/>
      <c r="L1490" s="322"/>
      <c r="M1490" s="322"/>
      <c r="N1490" s="322"/>
      <c r="O1490" s="322"/>
      <c r="P1490" s="322"/>
      <c r="Q1490" s="322"/>
      <c r="R1490" s="322"/>
      <c r="S1490" s="303"/>
      <c r="T1490" s="307"/>
      <c r="U1490" s="311" t="e">
        <f>+VLOOKUP(C1490,Spreads!$A$2:$G$345,7,0)</f>
        <v>#N/A</v>
      </c>
    </row>
    <row r="1491" spans="1:21" ht="15.75" hidden="1" customHeight="1" thickTop="1" thickBot="1">
      <c r="A1491" s="321"/>
      <c r="B1491" s="322"/>
      <c r="C1491" s="322"/>
      <c r="D1491" s="322"/>
      <c r="E1491" s="323"/>
      <c r="F1491" s="323"/>
      <c r="G1491" s="314"/>
      <c r="H1491" s="324"/>
      <c r="I1491" s="322"/>
      <c r="J1491" s="322"/>
      <c r="K1491" s="322"/>
      <c r="L1491" s="322"/>
      <c r="M1491" s="322"/>
      <c r="N1491" s="322"/>
      <c r="O1491" s="322"/>
      <c r="P1491" s="322"/>
      <c r="Q1491" s="322"/>
      <c r="R1491" s="322"/>
      <c r="S1491" s="303"/>
      <c r="T1491" s="307"/>
      <c r="U1491" s="311" t="e">
        <f>+VLOOKUP(C1491,Spreads!$A$2:$G$345,7,0)</f>
        <v>#N/A</v>
      </c>
    </row>
    <row r="1492" spans="1:21" ht="15.75" hidden="1" customHeight="1" thickTop="1" thickBot="1">
      <c r="A1492" s="317"/>
      <c r="B1492" s="318"/>
      <c r="C1492" s="318"/>
      <c r="D1492" s="318"/>
      <c r="E1492" s="319"/>
      <c r="F1492" s="319"/>
      <c r="G1492" s="314"/>
      <c r="H1492" s="318"/>
      <c r="I1492" s="318"/>
      <c r="J1492" s="318"/>
      <c r="K1492" s="318"/>
      <c r="L1492" s="318"/>
      <c r="M1492" s="318"/>
      <c r="N1492" s="318"/>
      <c r="O1492" s="318"/>
      <c r="P1492" s="318"/>
      <c r="Q1492" s="318"/>
      <c r="R1492" s="318"/>
      <c r="S1492" s="303"/>
      <c r="T1492" s="307"/>
      <c r="U1492" s="311" t="e">
        <f>+VLOOKUP(C1492,Spreads!$A$2:$G$345,7,0)</f>
        <v>#N/A</v>
      </c>
    </row>
    <row r="1493" spans="1:21" ht="15.75" hidden="1" customHeight="1" thickTop="1" thickBot="1">
      <c r="A1493" s="321"/>
      <c r="B1493" s="322"/>
      <c r="C1493" s="322"/>
      <c r="D1493" s="322"/>
      <c r="E1493" s="323"/>
      <c r="F1493" s="323"/>
      <c r="G1493" s="314"/>
      <c r="H1493" s="324"/>
      <c r="I1493" s="322"/>
      <c r="J1493" s="322"/>
      <c r="K1493" s="322"/>
      <c r="L1493" s="322"/>
      <c r="M1493" s="322"/>
      <c r="N1493" s="322"/>
      <c r="O1493" s="322"/>
      <c r="P1493" s="322"/>
      <c r="Q1493" s="322"/>
      <c r="R1493" s="322"/>
      <c r="S1493" s="303"/>
      <c r="T1493" s="307"/>
      <c r="U1493" s="311" t="e">
        <f>+VLOOKUP(C1493,Spreads!$A$2:$G$345,7,0)</f>
        <v>#N/A</v>
      </c>
    </row>
    <row r="1494" spans="1:21" ht="15.75" hidden="1" customHeight="1" thickTop="1" thickBot="1">
      <c r="A1494" s="321"/>
      <c r="B1494" s="322"/>
      <c r="C1494" s="322"/>
      <c r="D1494" s="322"/>
      <c r="E1494" s="323"/>
      <c r="F1494" s="323"/>
      <c r="G1494" s="314"/>
      <c r="H1494" s="324"/>
      <c r="I1494" s="322"/>
      <c r="J1494" s="322"/>
      <c r="K1494" s="322"/>
      <c r="L1494" s="322"/>
      <c r="M1494" s="322"/>
      <c r="N1494" s="322"/>
      <c r="O1494" s="322"/>
      <c r="P1494" s="322"/>
      <c r="Q1494" s="322"/>
      <c r="R1494" s="322"/>
      <c r="S1494" s="303"/>
      <c r="T1494" s="307"/>
      <c r="U1494" s="311" t="e">
        <f>+VLOOKUP(C1494,Spreads!$A$2:$G$345,7,0)</f>
        <v>#N/A</v>
      </c>
    </row>
    <row r="1495" spans="1:21" ht="15.75" hidden="1" customHeight="1" thickTop="1" thickBot="1">
      <c r="A1495" s="317"/>
      <c r="B1495" s="318"/>
      <c r="C1495" s="318"/>
      <c r="D1495" s="318"/>
      <c r="E1495" s="319"/>
      <c r="F1495" s="319"/>
      <c r="G1495" s="314"/>
      <c r="H1495" s="320"/>
      <c r="I1495" s="318"/>
      <c r="J1495" s="318"/>
      <c r="K1495" s="318"/>
      <c r="L1495" s="318"/>
      <c r="M1495" s="318"/>
      <c r="N1495" s="318"/>
      <c r="O1495" s="318"/>
      <c r="P1495" s="318"/>
      <c r="Q1495" s="318"/>
      <c r="R1495" s="318"/>
      <c r="S1495" s="303"/>
      <c r="T1495" s="307"/>
      <c r="U1495" s="311" t="e">
        <f>+VLOOKUP(C1495,Spreads!$A$2:$G$345,7,0)</f>
        <v>#N/A</v>
      </c>
    </row>
    <row r="1496" spans="1:21" ht="15.75" hidden="1" customHeight="1" thickTop="1" thickBot="1">
      <c r="A1496" s="321"/>
      <c r="B1496" s="322"/>
      <c r="C1496" s="322"/>
      <c r="D1496" s="322"/>
      <c r="E1496" s="323"/>
      <c r="F1496" s="323"/>
      <c r="G1496" s="314"/>
      <c r="H1496" s="324"/>
      <c r="I1496" s="322"/>
      <c r="J1496" s="322"/>
      <c r="K1496" s="322"/>
      <c r="L1496" s="322"/>
      <c r="M1496" s="322"/>
      <c r="N1496" s="322"/>
      <c r="O1496" s="322"/>
      <c r="P1496" s="322"/>
      <c r="Q1496" s="322"/>
      <c r="R1496" s="322"/>
      <c r="S1496" s="303"/>
      <c r="T1496" s="307"/>
      <c r="U1496" s="311" t="e">
        <f>+VLOOKUP(C1496,Spreads!$A$2:$G$345,7,0)</f>
        <v>#N/A</v>
      </c>
    </row>
    <row r="1497" spans="1:21" ht="15.75" hidden="1" customHeight="1" thickTop="1" thickBot="1">
      <c r="A1497" s="321"/>
      <c r="B1497" s="322"/>
      <c r="C1497" s="322"/>
      <c r="D1497" s="322"/>
      <c r="E1497" s="323"/>
      <c r="F1497" s="323"/>
      <c r="G1497" s="314"/>
      <c r="H1497" s="322"/>
      <c r="I1497" s="322"/>
      <c r="J1497" s="322"/>
      <c r="K1497" s="322"/>
      <c r="L1497" s="322"/>
      <c r="M1497" s="322"/>
      <c r="N1497" s="322"/>
      <c r="O1497" s="322"/>
      <c r="P1497" s="322"/>
      <c r="Q1497" s="322"/>
      <c r="R1497" s="322"/>
      <c r="S1497" s="303"/>
      <c r="T1497" s="307"/>
      <c r="U1497" s="311" t="e">
        <f>+VLOOKUP(C1497,Spreads!$A$2:$G$345,7,0)</f>
        <v>#N/A</v>
      </c>
    </row>
    <row r="1498" spans="1:21" ht="15.75" hidden="1" customHeight="1" thickTop="1" thickBot="1">
      <c r="A1498" s="321"/>
      <c r="B1498" s="322"/>
      <c r="C1498" s="322"/>
      <c r="D1498" s="322"/>
      <c r="E1498" s="323"/>
      <c r="F1498" s="323"/>
      <c r="G1498" s="314"/>
      <c r="H1498" s="324"/>
      <c r="I1498" s="322"/>
      <c r="J1498" s="322"/>
      <c r="K1498" s="322"/>
      <c r="L1498" s="322"/>
      <c r="M1498" s="322"/>
      <c r="N1498" s="322"/>
      <c r="O1498" s="322"/>
      <c r="P1498" s="322"/>
      <c r="Q1498" s="322"/>
      <c r="R1498" s="322"/>
      <c r="S1498" s="303"/>
      <c r="T1498" s="307"/>
      <c r="U1498" s="311" t="e">
        <f>+VLOOKUP(C1498,Spreads!$A$2:$G$345,7,0)</f>
        <v>#N/A</v>
      </c>
    </row>
    <row r="1499" spans="1:21" ht="15.75" hidden="1" customHeight="1" thickTop="1" thickBot="1">
      <c r="A1499" s="317"/>
      <c r="B1499" s="318"/>
      <c r="C1499" s="318"/>
      <c r="D1499" s="318"/>
      <c r="E1499" s="319"/>
      <c r="F1499" s="319"/>
      <c r="G1499" s="314"/>
      <c r="H1499" s="320"/>
      <c r="I1499" s="318"/>
      <c r="J1499" s="318"/>
      <c r="K1499" s="318"/>
      <c r="L1499" s="318"/>
      <c r="M1499" s="318"/>
      <c r="N1499" s="318"/>
      <c r="O1499" s="318"/>
      <c r="P1499" s="318"/>
      <c r="Q1499" s="318"/>
      <c r="R1499" s="318"/>
      <c r="S1499" s="303"/>
      <c r="T1499" s="307"/>
      <c r="U1499" s="311" t="e">
        <f>+VLOOKUP(C1499,Spreads!$A$2:$G$345,7,0)</f>
        <v>#N/A</v>
      </c>
    </row>
    <row r="1500" spans="1:21" ht="15.75" hidden="1" customHeight="1" thickTop="1" thickBot="1">
      <c r="A1500" s="317"/>
      <c r="B1500" s="318"/>
      <c r="C1500" s="318"/>
      <c r="D1500" s="318"/>
      <c r="E1500" s="319"/>
      <c r="F1500" s="319"/>
      <c r="G1500" s="314"/>
      <c r="H1500" s="320"/>
      <c r="I1500" s="318"/>
      <c r="J1500" s="318"/>
      <c r="K1500" s="318"/>
      <c r="L1500" s="318"/>
      <c r="M1500" s="318"/>
      <c r="N1500" s="318"/>
      <c r="O1500" s="318"/>
      <c r="P1500" s="318"/>
      <c r="Q1500" s="318"/>
      <c r="R1500" s="318"/>
      <c r="S1500" s="303"/>
      <c r="T1500" s="307"/>
      <c r="U1500" s="311" t="e">
        <f>+VLOOKUP(C1500,Spreads!$A$2:$G$345,7,0)</f>
        <v>#N/A</v>
      </c>
    </row>
    <row r="1501" spans="1:21" ht="15.75" hidden="1" customHeight="1" thickTop="1" thickBot="1">
      <c r="A1501" s="317"/>
      <c r="B1501" s="318"/>
      <c r="C1501" s="318"/>
      <c r="D1501" s="318"/>
      <c r="E1501" s="319"/>
      <c r="F1501" s="319"/>
      <c r="G1501" s="314"/>
      <c r="H1501" s="318"/>
      <c r="I1501" s="318"/>
      <c r="J1501" s="318"/>
      <c r="K1501" s="318"/>
      <c r="L1501" s="318"/>
      <c r="M1501" s="318"/>
      <c r="N1501" s="318"/>
      <c r="O1501" s="318"/>
      <c r="P1501" s="318"/>
      <c r="Q1501" s="318"/>
      <c r="R1501" s="318"/>
      <c r="S1501" s="303"/>
      <c r="T1501" s="307"/>
      <c r="U1501" s="311" t="e">
        <f>+VLOOKUP(C1501,Spreads!$A$2:$G$345,7,0)</f>
        <v>#N/A</v>
      </c>
    </row>
    <row r="1502" spans="1:21" ht="15.75" hidden="1" customHeight="1" thickTop="1" thickBot="1">
      <c r="A1502" s="317"/>
      <c r="B1502" s="318"/>
      <c r="C1502" s="318"/>
      <c r="D1502" s="318"/>
      <c r="E1502" s="319"/>
      <c r="F1502" s="319"/>
      <c r="G1502" s="314"/>
      <c r="H1502" s="320"/>
      <c r="I1502" s="318"/>
      <c r="J1502" s="318"/>
      <c r="K1502" s="318"/>
      <c r="L1502" s="318"/>
      <c r="M1502" s="318"/>
      <c r="N1502" s="318"/>
      <c r="O1502" s="318"/>
      <c r="P1502" s="318"/>
      <c r="Q1502" s="318"/>
      <c r="R1502" s="318"/>
      <c r="S1502" s="303"/>
      <c r="T1502" s="307"/>
      <c r="U1502" s="311" t="e">
        <f>+VLOOKUP(C1502,Spreads!$A$2:$G$345,7,0)</f>
        <v>#N/A</v>
      </c>
    </row>
    <row r="1503" spans="1:21" ht="15.75" hidden="1" customHeight="1" thickTop="1" thickBot="1">
      <c r="A1503" s="317"/>
      <c r="B1503" s="318"/>
      <c r="C1503" s="318"/>
      <c r="D1503" s="318"/>
      <c r="E1503" s="319"/>
      <c r="F1503" s="319"/>
      <c r="G1503" s="314"/>
      <c r="H1503" s="318"/>
      <c r="I1503" s="318"/>
      <c r="J1503" s="318"/>
      <c r="K1503" s="318"/>
      <c r="L1503" s="318"/>
      <c r="M1503" s="318"/>
      <c r="N1503" s="318"/>
      <c r="O1503" s="318"/>
      <c r="P1503" s="318"/>
      <c r="Q1503" s="318"/>
      <c r="R1503" s="318"/>
      <c r="S1503" s="303"/>
      <c r="T1503" s="307"/>
      <c r="U1503" s="311" t="e">
        <f>+VLOOKUP(C1503,Spreads!$A$2:$G$345,7,0)</f>
        <v>#N/A</v>
      </c>
    </row>
    <row r="1504" spans="1:21" ht="15.75" hidden="1" customHeight="1" thickTop="1" thickBot="1">
      <c r="A1504" s="321"/>
      <c r="B1504" s="322"/>
      <c r="C1504" s="322"/>
      <c r="D1504" s="322"/>
      <c r="E1504" s="323"/>
      <c r="F1504" s="323"/>
      <c r="G1504" s="314"/>
      <c r="H1504" s="324"/>
      <c r="I1504" s="322"/>
      <c r="J1504" s="322"/>
      <c r="K1504" s="322"/>
      <c r="L1504" s="322"/>
      <c r="M1504" s="322"/>
      <c r="N1504" s="322"/>
      <c r="O1504" s="322"/>
      <c r="P1504" s="322"/>
      <c r="Q1504" s="322"/>
      <c r="R1504" s="322"/>
      <c r="S1504" s="303"/>
      <c r="T1504" s="307"/>
      <c r="U1504" s="311" t="e">
        <f>+VLOOKUP(C1504,Spreads!$A$2:$G$345,7,0)</f>
        <v>#N/A</v>
      </c>
    </row>
    <row r="1505" spans="1:21" ht="15.75" hidden="1" customHeight="1" thickTop="1" thickBot="1">
      <c r="A1505" s="317"/>
      <c r="B1505" s="318"/>
      <c r="C1505" s="318"/>
      <c r="D1505" s="318"/>
      <c r="E1505" s="319"/>
      <c r="F1505" s="319"/>
      <c r="G1505" s="314"/>
      <c r="H1505" s="320"/>
      <c r="I1505" s="318"/>
      <c r="J1505" s="318"/>
      <c r="K1505" s="318"/>
      <c r="L1505" s="318"/>
      <c r="M1505" s="318"/>
      <c r="N1505" s="318"/>
      <c r="O1505" s="318"/>
      <c r="P1505" s="318"/>
      <c r="Q1505" s="318"/>
      <c r="R1505" s="318"/>
      <c r="S1505" s="303"/>
      <c r="T1505" s="307"/>
      <c r="U1505" s="311" t="e">
        <f>+VLOOKUP(C1505,Spreads!$A$2:$G$345,7,0)</f>
        <v>#N/A</v>
      </c>
    </row>
    <row r="1506" spans="1:21" ht="15.75" hidden="1" customHeight="1" thickTop="1" thickBot="1">
      <c r="A1506" s="317"/>
      <c r="B1506" s="318"/>
      <c r="C1506" s="318"/>
      <c r="D1506" s="318"/>
      <c r="E1506" s="319"/>
      <c r="F1506" s="319"/>
      <c r="G1506" s="314"/>
      <c r="H1506" s="320"/>
      <c r="I1506" s="318"/>
      <c r="J1506" s="318"/>
      <c r="K1506" s="318"/>
      <c r="L1506" s="318"/>
      <c r="M1506" s="318"/>
      <c r="N1506" s="318"/>
      <c r="O1506" s="318"/>
      <c r="P1506" s="318"/>
      <c r="Q1506" s="318"/>
      <c r="R1506" s="318"/>
      <c r="S1506" s="303"/>
      <c r="T1506" s="307"/>
      <c r="U1506" s="311" t="e">
        <f>+VLOOKUP(C1506,Spreads!$A$2:$G$345,7,0)</f>
        <v>#N/A</v>
      </c>
    </row>
    <row r="1507" spans="1:21" ht="15.75" hidden="1" customHeight="1" thickTop="1" thickBot="1">
      <c r="A1507" s="317"/>
      <c r="B1507" s="318"/>
      <c r="C1507" s="318"/>
      <c r="D1507" s="318"/>
      <c r="E1507" s="319"/>
      <c r="F1507" s="319"/>
      <c r="G1507" s="314"/>
      <c r="H1507" s="320"/>
      <c r="I1507" s="318"/>
      <c r="J1507" s="318"/>
      <c r="K1507" s="318"/>
      <c r="L1507" s="318"/>
      <c r="M1507" s="318"/>
      <c r="N1507" s="318"/>
      <c r="O1507" s="318"/>
      <c r="P1507" s="318"/>
      <c r="Q1507" s="318"/>
      <c r="R1507" s="318"/>
      <c r="S1507" s="303"/>
      <c r="T1507" s="307"/>
      <c r="U1507" s="311" t="e">
        <f>+VLOOKUP(C1507,Spreads!$A$2:$G$345,7,0)</f>
        <v>#N/A</v>
      </c>
    </row>
    <row r="1508" spans="1:21" ht="15" hidden="1" customHeight="1" thickTop="1" thickBot="1">
      <c r="A1508" s="317"/>
      <c r="B1508" s="318"/>
      <c r="C1508" s="318"/>
      <c r="D1508" s="318"/>
      <c r="E1508" s="319"/>
      <c r="F1508" s="319"/>
      <c r="G1508" s="314"/>
      <c r="H1508" s="320"/>
      <c r="I1508" s="318"/>
      <c r="J1508" s="318"/>
      <c r="K1508" s="318"/>
      <c r="L1508" s="318"/>
      <c r="M1508" s="318"/>
      <c r="N1508" s="318"/>
      <c r="O1508" s="318"/>
      <c r="P1508" s="318"/>
      <c r="Q1508" s="318"/>
      <c r="R1508" s="318"/>
      <c r="S1508" s="303"/>
      <c r="T1508" s="307"/>
      <c r="U1508" s="311" t="e">
        <f>+VLOOKUP(C1508,Spreads!$A$2:$G$345,7,0)</f>
        <v>#N/A</v>
      </c>
    </row>
    <row r="1509" spans="1:21" ht="15.75" hidden="1" thickTop="1">
      <c r="A1509" s="321"/>
      <c r="B1509" s="322"/>
      <c r="C1509" s="322"/>
      <c r="D1509" s="322"/>
      <c r="E1509" s="323"/>
      <c r="F1509" s="323"/>
      <c r="G1509" s="314"/>
      <c r="H1509" s="324"/>
      <c r="I1509" s="322"/>
      <c r="J1509" s="322"/>
      <c r="K1509" s="322"/>
      <c r="L1509" s="322"/>
      <c r="M1509" s="322"/>
      <c r="N1509" s="322"/>
      <c r="O1509" s="322"/>
      <c r="P1509" s="322"/>
      <c r="Q1509" s="322"/>
      <c r="R1509" s="322"/>
      <c r="S1509" s="303"/>
      <c r="T1509" s="307"/>
      <c r="U1509" s="311" t="e">
        <f>+VLOOKUP(C1509,Spreads!$A$2:$G$345,7,0)</f>
        <v>#N/A</v>
      </c>
    </row>
    <row r="1510" spans="1:21" ht="15.75" hidden="1" thickTop="1">
      <c r="A1510" s="321"/>
      <c r="B1510" s="322"/>
      <c r="C1510" s="322"/>
      <c r="D1510" s="322"/>
      <c r="E1510" s="323"/>
      <c r="F1510" s="323"/>
      <c r="G1510" s="314"/>
      <c r="H1510" s="324"/>
      <c r="I1510" s="322"/>
      <c r="J1510" s="322"/>
      <c r="K1510" s="322"/>
      <c r="L1510" s="322"/>
      <c r="M1510" s="322"/>
      <c r="N1510" s="322"/>
      <c r="O1510" s="322"/>
      <c r="P1510" s="322"/>
      <c r="Q1510" s="322"/>
      <c r="R1510" s="322"/>
      <c r="S1510" s="303"/>
      <c r="T1510" s="307"/>
      <c r="U1510" s="311" t="e">
        <f>+VLOOKUP(C1510,Spreads!$A$2:$G$345,7,0)</f>
        <v>#N/A</v>
      </c>
    </row>
    <row r="1511" spans="1:21" ht="15.75" hidden="1" thickTop="1">
      <c r="A1511" s="317"/>
      <c r="B1511" s="318"/>
      <c r="C1511" s="318"/>
      <c r="D1511" s="318"/>
      <c r="E1511" s="319"/>
      <c r="F1511" s="319"/>
      <c r="G1511" s="314"/>
      <c r="H1511" s="320"/>
      <c r="I1511" s="318"/>
      <c r="J1511" s="318"/>
      <c r="K1511" s="318"/>
      <c r="L1511" s="318"/>
      <c r="M1511" s="318"/>
      <c r="N1511" s="318"/>
      <c r="O1511" s="318"/>
      <c r="P1511" s="318"/>
      <c r="Q1511" s="318"/>
      <c r="R1511" s="318"/>
      <c r="S1511" s="303"/>
      <c r="T1511" s="307"/>
      <c r="U1511" s="311" t="e">
        <f>+VLOOKUP(C1511,Spreads!$A$2:$G$345,7,0)</f>
        <v>#N/A</v>
      </c>
    </row>
    <row r="1512" spans="1:21" ht="15.75" hidden="1" thickTop="1">
      <c r="A1512" s="321"/>
      <c r="B1512" s="322"/>
      <c r="C1512" s="322"/>
      <c r="D1512" s="322"/>
      <c r="E1512" s="323"/>
      <c r="F1512" s="323"/>
      <c r="G1512" s="314"/>
      <c r="H1512" s="324"/>
      <c r="I1512" s="322"/>
      <c r="J1512" s="322"/>
      <c r="K1512" s="322"/>
      <c r="L1512" s="322"/>
      <c r="M1512" s="322"/>
      <c r="N1512" s="322"/>
      <c r="O1512" s="322"/>
      <c r="P1512" s="322"/>
      <c r="Q1512" s="322"/>
      <c r="R1512" s="322"/>
      <c r="S1512" s="303"/>
      <c r="T1512" s="307"/>
      <c r="U1512" s="311" t="e">
        <f>+VLOOKUP(C1512,Spreads!$A$2:$G$345,7,0)</f>
        <v>#N/A</v>
      </c>
    </row>
    <row r="1513" spans="1:21" ht="15.75" hidden="1" thickTop="1">
      <c r="A1513" s="317"/>
      <c r="B1513" s="318"/>
      <c r="C1513" s="318"/>
      <c r="D1513" s="318"/>
      <c r="E1513" s="319"/>
      <c r="F1513" s="319"/>
      <c r="G1513" s="314"/>
      <c r="H1513" s="320"/>
      <c r="I1513" s="318"/>
      <c r="J1513" s="318"/>
      <c r="K1513" s="318"/>
      <c r="L1513" s="318"/>
      <c r="M1513" s="318"/>
      <c r="N1513" s="318"/>
      <c r="O1513" s="318"/>
      <c r="P1513" s="318"/>
      <c r="Q1513" s="318"/>
      <c r="R1513" s="318"/>
      <c r="S1513" s="303"/>
      <c r="T1513" s="307"/>
      <c r="U1513" s="311" t="e">
        <f>+VLOOKUP(C1513,Spreads!$A$2:$G$345,7,0)</f>
        <v>#N/A</v>
      </c>
    </row>
    <row r="1514" spans="1:21" ht="15.75" hidden="1" thickTop="1">
      <c r="A1514" s="321"/>
      <c r="B1514" s="322"/>
      <c r="C1514" s="322"/>
      <c r="D1514" s="322"/>
      <c r="E1514" s="323"/>
      <c r="F1514" s="323"/>
      <c r="G1514" s="314"/>
      <c r="H1514" s="324"/>
      <c r="I1514" s="322"/>
      <c r="J1514" s="322"/>
      <c r="K1514" s="322"/>
      <c r="L1514" s="322"/>
      <c r="M1514" s="322"/>
      <c r="N1514" s="322"/>
      <c r="O1514" s="322"/>
      <c r="P1514" s="322"/>
      <c r="Q1514" s="322"/>
      <c r="R1514" s="322"/>
      <c r="S1514" s="303"/>
      <c r="T1514" s="307"/>
      <c r="U1514" s="311" t="e">
        <f>+VLOOKUP(C1514,Spreads!$A$2:$G$345,7,0)</f>
        <v>#N/A</v>
      </c>
    </row>
    <row r="1515" spans="1:21" ht="15.75" hidden="1" thickTop="1">
      <c r="A1515" s="321"/>
      <c r="B1515" s="322"/>
      <c r="C1515" s="322"/>
      <c r="D1515" s="322"/>
      <c r="E1515" s="323"/>
      <c r="F1515" s="323"/>
      <c r="G1515" s="314"/>
      <c r="H1515" s="324"/>
      <c r="I1515" s="322"/>
      <c r="J1515" s="322"/>
      <c r="K1515" s="322"/>
      <c r="L1515" s="322"/>
      <c r="M1515" s="322"/>
      <c r="N1515" s="322"/>
      <c r="O1515" s="322"/>
      <c r="P1515" s="322"/>
      <c r="Q1515" s="322"/>
      <c r="R1515" s="322"/>
      <c r="S1515" s="303"/>
      <c r="T1515" s="307"/>
      <c r="U1515" s="311" t="e">
        <f>+VLOOKUP(C1515,Spreads!$A$2:$G$345,7,0)</f>
        <v>#N/A</v>
      </c>
    </row>
    <row r="1516" spans="1:21" ht="15.75" hidden="1" thickTop="1">
      <c r="A1516" s="317"/>
      <c r="B1516" s="318"/>
      <c r="C1516" s="318"/>
      <c r="D1516" s="318"/>
      <c r="E1516" s="319"/>
      <c r="F1516" s="319"/>
      <c r="G1516" s="314"/>
      <c r="H1516" s="320"/>
      <c r="I1516" s="318"/>
      <c r="J1516" s="318"/>
      <c r="K1516" s="318"/>
      <c r="L1516" s="318"/>
      <c r="M1516" s="318"/>
      <c r="N1516" s="318"/>
      <c r="O1516" s="318"/>
      <c r="P1516" s="318"/>
      <c r="Q1516" s="318"/>
      <c r="R1516" s="318"/>
      <c r="S1516" s="303"/>
      <c r="T1516" s="307"/>
      <c r="U1516" s="311" t="e">
        <f>+VLOOKUP(C1516,Spreads!$A$2:$G$345,7,0)</f>
        <v>#N/A</v>
      </c>
    </row>
    <row r="1517" spans="1:21" ht="15.75" hidden="1" thickTop="1">
      <c r="A1517" s="317"/>
      <c r="B1517" s="318"/>
      <c r="C1517" s="318"/>
      <c r="D1517" s="318"/>
      <c r="E1517" s="319"/>
      <c r="F1517" s="319"/>
      <c r="G1517" s="314"/>
      <c r="H1517" s="320"/>
      <c r="I1517" s="318"/>
      <c r="J1517" s="318"/>
      <c r="K1517" s="318"/>
      <c r="L1517" s="318"/>
      <c r="M1517" s="318"/>
      <c r="N1517" s="318"/>
      <c r="O1517" s="318"/>
      <c r="P1517" s="318"/>
      <c r="Q1517" s="318"/>
      <c r="R1517" s="318"/>
      <c r="S1517" s="303"/>
      <c r="T1517" s="307"/>
      <c r="U1517" s="311" t="e">
        <f>+VLOOKUP(C1517,Spreads!$A$2:$G$345,7,0)</f>
        <v>#N/A</v>
      </c>
    </row>
    <row r="1518" spans="1:21" ht="15.75" hidden="1" thickTop="1">
      <c r="A1518" s="321"/>
      <c r="B1518" s="322"/>
      <c r="C1518" s="322"/>
      <c r="D1518" s="322"/>
      <c r="E1518" s="323"/>
      <c r="F1518" s="323"/>
      <c r="G1518" s="314"/>
      <c r="H1518" s="324"/>
      <c r="I1518" s="322"/>
      <c r="J1518" s="322"/>
      <c r="K1518" s="322"/>
      <c r="L1518" s="322"/>
      <c r="M1518" s="322"/>
      <c r="N1518" s="322"/>
      <c r="O1518" s="322"/>
      <c r="P1518" s="322"/>
      <c r="Q1518" s="322"/>
      <c r="R1518" s="322"/>
      <c r="S1518" s="303"/>
      <c r="T1518" s="307"/>
      <c r="U1518" s="311" t="e">
        <f>+VLOOKUP(C1518,Spreads!$A$2:$G$345,7,0)</f>
        <v>#N/A</v>
      </c>
    </row>
    <row r="1519" spans="1:21" ht="15.75" hidden="1" thickTop="1">
      <c r="A1519" s="321"/>
      <c r="B1519" s="322"/>
      <c r="C1519" s="322"/>
      <c r="D1519" s="322"/>
      <c r="E1519" s="323"/>
      <c r="F1519" s="323"/>
      <c r="G1519" s="314"/>
      <c r="H1519" s="324"/>
      <c r="I1519" s="322"/>
      <c r="J1519" s="322"/>
      <c r="K1519" s="322"/>
      <c r="L1519" s="322"/>
      <c r="M1519" s="322"/>
      <c r="N1519" s="322"/>
      <c r="O1519" s="322"/>
      <c r="P1519" s="322"/>
      <c r="Q1519" s="322"/>
      <c r="R1519" s="322"/>
      <c r="S1519" s="303"/>
      <c r="T1519" s="307"/>
      <c r="U1519" s="311" t="e">
        <f>+VLOOKUP(C1519,Spreads!$A$2:$G$345,7,0)</f>
        <v>#N/A</v>
      </c>
    </row>
    <row r="1520" spans="1:21" ht="15.75" hidden="1" thickTop="1">
      <c r="A1520" s="317"/>
      <c r="B1520" s="318"/>
      <c r="C1520" s="318"/>
      <c r="D1520" s="318"/>
      <c r="E1520" s="319"/>
      <c r="F1520" s="319"/>
      <c r="G1520" s="314"/>
      <c r="H1520" s="318"/>
      <c r="I1520" s="318"/>
      <c r="J1520" s="318"/>
      <c r="K1520" s="318"/>
      <c r="L1520" s="318"/>
      <c r="M1520" s="318"/>
      <c r="N1520" s="318"/>
      <c r="O1520" s="318"/>
      <c r="P1520" s="318"/>
      <c r="Q1520" s="318"/>
      <c r="R1520" s="318"/>
      <c r="S1520" s="303"/>
      <c r="T1520" s="307"/>
      <c r="U1520" s="311" t="e">
        <f>+VLOOKUP(C1520,Spreads!$A$2:$G$345,7,0)</f>
        <v>#N/A</v>
      </c>
    </row>
    <row r="1521" spans="1:21" ht="15.75" hidden="1" thickTop="1">
      <c r="A1521" s="317"/>
      <c r="B1521" s="318"/>
      <c r="C1521" s="318"/>
      <c r="D1521" s="318"/>
      <c r="E1521" s="319"/>
      <c r="F1521" s="319"/>
      <c r="G1521" s="314"/>
      <c r="H1521" s="320"/>
      <c r="I1521" s="318"/>
      <c r="J1521" s="318"/>
      <c r="K1521" s="318"/>
      <c r="L1521" s="318"/>
      <c r="M1521" s="318"/>
      <c r="N1521" s="318"/>
      <c r="O1521" s="318"/>
      <c r="P1521" s="318"/>
      <c r="Q1521" s="318"/>
      <c r="R1521" s="318"/>
      <c r="S1521" s="303"/>
      <c r="T1521" s="307"/>
      <c r="U1521" s="311" t="e">
        <f>+VLOOKUP(C1521,Spreads!$A$2:$G$345,7,0)</f>
        <v>#N/A</v>
      </c>
    </row>
    <row r="1522" spans="1:21" ht="15.75" hidden="1" thickTop="1">
      <c r="A1522" s="317"/>
      <c r="B1522" s="318"/>
      <c r="C1522" s="318"/>
      <c r="D1522" s="318"/>
      <c r="E1522" s="319"/>
      <c r="F1522" s="319"/>
      <c r="G1522" s="314"/>
      <c r="H1522" s="318"/>
      <c r="I1522" s="318"/>
      <c r="J1522" s="318"/>
      <c r="K1522" s="318"/>
      <c r="L1522" s="318"/>
      <c r="M1522" s="318"/>
      <c r="N1522" s="318"/>
      <c r="O1522" s="318"/>
      <c r="P1522" s="318"/>
      <c r="Q1522" s="318"/>
      <c r="R1522" s="318"/>
      <c r="S1522" s="303"/>
      <c r="T1522" s="307"/>
      <c r="U1522" s="311" t="e">
        <f>+VLOOKUP(C1522,Spreads!$A$2:$G$345,7,0)</f>
        <v>#N/A</v>
      </c>
    </row>
    <row r="1523" spans="1:21" ht="15.75" hidden="1" thickTop="1">
      <c r="A1523" s="317"/>
      <c r="B1523" s="318"/>
      <c r="C1523" s="318"/>
      <c r="D1523" s="318"/>
      <c r="E1523" s="319"/>
      <c r="F1523" s="319"/>
      <c r="G1523" s="314"/>
      <c r="H1523" s="320"/>
      <c r="I1523" s="318"/>
      <c r="J1523" s="318"/>
      <c r="K1523" s="318"/>
      <c r="L1523" s="318"/>
      <c r="M1523" s="318"/>
      <c r="N1523" s="318"/>
      <c r="O1523" s="318"/>
      <c r="P1523" s="318"/>
      <c r="Q1523" s="318"/>
      <c r="R1523" s="318"/>
      <c r="S1523" s="303"/>
      <c r="T1523" s="307"/>
      <c r="U1523" s="311" t="e">
        <f>+VLOOKUP(C1523,Spreads!$A$2:$G$345,7,0)</f>
        <v>#N/A</v>
      </c>
    </row>
    <row r="1524" spans="1:21" ht="15.75" hidden="1" thickTop="1">
      <c r="A1524" s="317"/>
      <c r="B1524" s="318"/>
      <c r="C1524" s="318"/>
      <c r="D1524" s="318"/>
      <c r="E1524" s="319"/>
      <c r="F1524" s="319"/>
      <c r="G1524" s="314"/>
      <c r="H1524" s="320"/>
      <c r="I1524" s="318"/>
      <c r="J1524" s="318"/>
      <c r="K1524" s="318"/>
      <c r="L1524" s="318"/>
      <c r="M1524" s="318"/>
      <c r="N1524" s="318"/>
      <c r="O1524" s="318"/>
      <c r="P1524" s="318"/>
      <c r="Q1524" s="318"/>
      <c r="R1524" s="318"/>
      <c r="S1524" s="303"/>
      <c r="T1524" s="307"/>
      <c r="U1524" s="311" t="e">
        <f>+VLOOKUP(C1524,Spreads!$A$2:$G$345,7,0)</f>
        <v>#N/A</v>
      </c>
    </row>
    <row r="1525" spans="1:21" ht="15.75" hidden="1" thickTop="1">
      <c r="A1525" s="317"/>
      <c r="B1525" s="318"/>
      <c r="C1525" s="318"/>
      <c r="D1525" s="318"/>
      <c r="E1525" s="319"/>
      <c r="F1525" s="319"/>
      <c r="G1525" s="314"/>
      <c r="H1525" s="318"/>
      <c r="I1525" s="318"/>
      <c r="J1525" s="318"/>
      <c r="K1525" s="318"/>
      <c r="L1525" s="318"/>
      <c r="M1525" s="318"/>
      <c r="N1525" s="318"/>
      <c r="O1525" s="318"/>
      <c r="P1525" s="318"/>
      <c r="Q1525" s="318"/>
      <c r="R1525" s="318"/>
      <c r="S1525" s="303"/>
      <c r="T1525" s="307"/>
      <c r="U1525" s="311" t="e">
        <f>+VLOOKUP(C1525,Spreads!$A$2:$G$345,7,0)</f>
        <v>#N/A</v>
      </c>
    </row>
    <row r="1526" spans="1:21" ht="15.75" hidden="1" thickTop="1">
      <c r="A1526" s="317"/>
      <c r="B1526" s="318"/>
      <c r="C1526" s="318"/>
      <c r="D1526" s="318"/>
      <c r="E1526" s="319"/>
      <c r="F1526" s="319"/>
      <c r="G1526" s="314"/>
      <c r="H1526" s="318"/>
      <c r="I1526" s="318"/>
      <c r="J1526" s="318"/>
      <c r="K1526" s="318"/>
      <c r="L1526" s="318"/>
      <c r="M1526" s="318"/>
      <c r="N1526" s="318"/>
      <c r="O1526" s="318"/>
      <c r="P1526" s="318"/>
      <c r="Q1526" s="318"/>
      <c r="R1526" s="318"/>
      <c r="S1526" s="303"/>
      <c r="T1526" s="307"/>
      <c r="U1526" s="311" t="e">
        <f>+VLOOKUP(C1526,Spreads!$A$2:$G$345,7,0)</f>
        <v>#N/A</v>
      </c>
    </row>
    <row r="1527" spans="1:21" ht="15.75" hidden="1" thickTop="1">
      <c r="A1527" s="321"/>
      <c r="B1527" s="322"/>
      <c r="C1527" s="322"/>
      <c r="D1527" s="322"/>
      <c r="E1527" s="323"/>
      <c r="F1527" s="323"/>
      <c r="G1527" s="314"/>
      <c r="H1527" s="324"/>
      <c r="I1527" s="322"/>
      <c r="J1527" s="322"/>
      <c r="K1527" s="322"/>
      <c r="L1527" s="322"/>
      <c r="M1527" s="322"/>
      <c r="N1527" s="322"/>
      <c r="O1527" s="322"/>
      <c r="P1527" s="322"/>
      <c r="Q1527" s="322"/>
      <c r="R1527" s="322"/>
      <c r="S1527" s="303"/>
      <c r="T1527" s="307"/>
      <c r="U1527" s="311" t="e">
        <f>+VLOOKUP(C1527,Spreads!$A$2:$G$345,7,0)</f>
        <v>#N/A</v>
      </c>
    </row>
    <row r="1528" spans="1:21" ht="15.75" hidden="1" thickTop="1">
      <c r="A1528" s="321"/>
      <c r="B1528" s="322"/>
      <c r="C1528" s="322"/>
      <c r="D1528" s="322"/>
      <c r="E1528" s="323"/>
      <c r="F1528" s="323"/>
      <c r="G1528" s="314"/>
      <c r="H1528" s="324"/>
      <c r="I1528" s="322"/>
      <c r="J1528" s="322"/>
      <c r="K1528" s="322"/>
      <c r="L1528" s="322"/>
      <c r="M1528" s="322"/>
      <c r="N1528" s="322"/>
      <c r="O1528" s="322"/>
      <c r="P1528" s="322"/>
      <c r="Q1528" s="322"/>
      <c r="R1528" s="322"/>
      <c r="S1528" s="303"/>
      <c r="T1528" s="307"/>
      <c r="U1528" s="311" t="e">
        <f>+VLOOKUP(C1528,Spreads!$A$2:$G$345,7,0)</f>
        <v>#N/A</v>
      </c>
    </row>
    <row r="1529" spans="1:21" ht="15.75" hidden="1" thickTop="1">
      <c r="A1529" s="317"/>
      <c r="B1529" s="318"/>
      <c r="C1529" s="318"/>
      <c r="D1529" s="318"/>
      <c r="E1529" s="319"/>
      <c r="F1529" s="319"/>
      <c r="G1529" s="314"/>
      <c r="H1529" s="320"/>
      <c r="I1529" s="318"/>
      <c r="J1529" s="318"/>
      <c r="K1529" s="318"/>
      <c r="L1529" s="318"/>
      <c r="M1529" s="318"/>
      <c r="N1529" s="318"/>
      <c r="O1529" s="318"/>
      <c r="P1529" s="318"/>
      <c r="Q1529" s="318"/>
      <c r="R1529" s="318"/>
      <c r="S1529" s="303"/>
      <c r="T1529" s="307"/>
      <c r="U1529" s="311" t="e">
        <f>+VLOOKUP(C1529,Spreads!$A$2:$G$345,7,0)</f>
        <v>#N/A</v>
      </c>
    </row>
    <row r="1530" spans="1:21" ht="15.75" hidden="1" thickTop="1">
      <c r="A1530" s="321"/>
      <c r="B1530" s="322"/>
      <c r="C1530" s="322"/>
      <c r="D1530" s="322"/>
      <c r="E1530" s="323"/>
      <c r="F1530" s="323"/>
      <c r="G1530" s="314"/>
      <c r="H1530" s="324"/>
      <c r="I1530" s="322"/>
      <c r="J1530" s="322"/>
      <c r="K1530" s="322"/>
      <c r="L1530" s="322"/>
      <c r="M1530" s="322"/>
      <c r="N1530" s="322"/>
      <c r="O1530" s="322"/>
      <c r="P1530" s="322"/>
      <c r="Q1530" s="322"/>
      <c r="R1530" s="322"/>
      <c r="S1530" s="303"/>
      <c r="T1530" s="307"/>
      <c r="U1530" s="311" t="e">
        <f>+VLOOKUP(C1530,Spreads!$A$2:$G$345,7,0)</f>
        <v>#N/A</v>
      </c>
    </row>
    <row r="1531" spans="1:21" ht="15.75" hidden="1" thickTop="1">
      <c r="A1531" s="321"/>
      <c r="B1531" s="322"/>
      <c r="C1531" s="322"/>
      <c r="D1531" s="322"/>
      <c r="E1531" s="323"/>
      <c r="F1531" s="323"/>
      <c r="G1531" s="314"/>
      <c r="H1531" s="324"/>
      <c r="I1531" s="322"/>
      <c r="J1531" s="322"/>
      <c r="K1531" s="322"/>
      <c r="L1531" s="322"/>
      <c r="M1531" s="322"/>
      <c r="N1531" s="322"/>
      <c r="O1531" s="322"/>
      <c r="P1531" s="322"/>
      <c r="Q1531" s="322"/>
      <c r="R1531" s="322"/>
      <c r="S1531" s="303"/>
      <c r="T1531" s="307"/>
      <c r="U1531" s="311" t="e">
        <f>+VLOOKUP(C1531,Spreads!$A$2:$G$345,7,0)</f>
        <v>#N/A</v>
      </c>
    </row>
    <row r="1532" spans="1:21" ht="15.75" hidden="1" thickTop="1">
      <c r="A1532" s="317"/>
      <c r="B1532" s="318"/>
      <c r="C1532" s="318"/>
      <c r="D1532" s="318"/>
      <c r="E1532" s="319"/>
      <c r="F1532" s="319"/>
      <c r="G1532" s="314"/>
      <c r="H1532" s="320"/>
      <c r="I1532" s="318"/>
      <c r="J1532" s="318"/>
      <c r="K1532" s="318"/>
      <c r="L1532" s="318"/>
      <c r="M1532" s="318"/>
      <c r="N1532" s="318"/>
      <c r="O1532" s="318"/>
      <c r="P1532" s="318"/>
      <c r="Q1532" s="318"/>
      <c r="R1532" s="318"/>
      <c r="S1532" s="303"/>
      <c r="T1532" s="307"/>
      <c r="U1532" s="311" t="e">
        <f>+VLOOKUP(C1532,Spreads!$A$2:$G$345,7,0)</f>
        <v>#N/A</v>
      </c>
    </row>
    <row r="1533" spans="1:21" ht="15.75" hidden="1" thickTop="1">
      <c r="A1533" s="317"/>
      <c r="B1533" s="318"/>
      <c r="C1533" s="318"/>
      <c r="D1533" s="318"/>
      <c r="E1533" s="319"/>
      <c r="F1533" s="319"/>
      <c r="G1533" s="314"/>
      <c r="H1533" s="320"/>
      <c r="I1533" s="318"/>
      <c r="J1533" s="318"/>
      <c r="K1533" s="318"/>
      <c r="L1533" s="318"/>
      <c r="M1533" s="318"/>
      <c r="N1533" s="318"/>
      <c r="O1533" s="318"/>
      <c r="P1533" s="318"/>
      <c r="Q1533" s="318"/>
      <c r="R1533" s="318"/>
      <c r="S1533" s="303"/>
      <c r="T1533" s="307"/>
      <c r="U1533" s="311" t="e">
        <f>+VLOOKUP(C1533,Spreads!$A$2:$G$345,7,0)</f>
        <v>#N/A</v>
      </c>
    </row>
    <row r="1534" spans="1:21" ht="15.75" hidden="1" thickTop="1">
      <c r="A1534" s="321"/>
      <c r="B1534" s="322"/>
      <c r="C1534" s="322"/>
      <c r="D1534" s="322"/>
      <c r="E1534" s="323"/>
      <c r="F1534" s="323"/>
      <c r="G1534" s="314"/>
      <c r="H1534" s="324"/>
      <c r="I1534" s="322"/>
      <c r="J1534" s="322"/>
      <c r="K1534" s="322"/>
      <c r="L1534" s="322"/>
      <c r="M1534" s="322"/>
      <c r="N1534" s="322"/>
      <c r="O1534" s="322"/>
      <c r="P1534" s="322"/>
      <c r="Q1534" s="322"/>
      <c r="R1534" s="322"/>
      <c r="S1534" s="303"/>
      <c r="T1534" s="307"/>
      <c r="U1534" s="311" t="e">
        <f>+VLOOKUP(C1534,Spreads!$A$2:$G$345,7,0)</f>
        <v>#N/A</v>
      </c>
    </row>
    <row r="1535" spans="1:21" ht="15.75" hidden="1" thickTop="1">
      <c r="A1535" s="321"/>
      <c r="B1535" s="322"/>
      <c r="C1535" s="322"/>
      <c r="D1535" s="322"/>
      <c r="E1535" s="323"/>
      <c r="F1535" s="323"/>
      <c r="G1535" s="314"/>
      <c r="H1535" s="324"/>
      <c r="I1535" s="322"/>
      <c r="J1535" s="322"/>
      <c r="K1535" s="322"/>
      <c r="L1535" s="322"/>
      <c r="M1535" s="322"/>
      <c r="N1535" s="322"/>
      <c r="O1535" s="322"/>
      <c r="P1535" s="322"/>
      <c r="Q1535" s="322"/>
      <c r="R1535" s="322"/>
      <c r="S1535" s="303"/>
      <c r="T1535" s="307"/>
      <c r="U1535" s="311" t="e">
        <f>+VLOOKUP(C1535,Spreads!$A$2:$G$345,7,0)</f>
        <v>#N/A</v>
      </c>
    </row>
    <row r="1536" spans="1:21" ht="15.75" hidden="1" thickTop="1">
      <c r="A1536" s="321"/>
      <c r="B1536" s="322"/>
      <c r="C1536" s="322"/>
      <c r="D1536" s="322"/>
      <c r="E1536" s="323"/>
      <c r="F1536" s="323"/>
      <c r="G1536" s="314"/>
      <c r="H1536" s="322"/>
      <c r="I1536" s="322"/>
      <c r="J1536" s="322"/>
      <c r="K1536" s="322"/>
      <c r="L1536" s="322"/>
      <c r="M1536" s="322"/>
      <c r="N1536" s="322"/>
      <c r="O1536" s="322"/>
      <c r="P1536" s="322"/>
      <c r="Q1536" s="322"/>
      <c r="R1536" s="322"/>
      <c r="S1536" s="303"/>
      <c r="T1536" s="307"/>
      <c r="U1536" s="311" t="e">
        <f>+VLOOKUP(C1536,Spreads!$A$2:$G$345,7,0)</f>
        <v>#N/A</v>
      </c>
    </row>
    <row r="1537" spans="1:21" ht="15.75" hidden="1" thickTop="1">
      <c r="A1537" s="317"/>
      <c r="B1537" s="318"/>
      <c r="C1537" s="318"/>
      <c r="D1537" s="318"/>
      <c r="E1537" s="319"/>
      <c r="F1537" s="319"/>
      <c r="G1537" s="314"/>
      <c r="H1537" s="318"/>
      <c r="I1537" s="318"/>
      <c r="J1537" s="318"/>
      <c r="K1537" s="318"/>
      <c r="L1537" s="318"/>
      <c r="M1537" s="318"/>
      <c r="N1537" s="318"/>
      <c r="O1537" s="318"/>
      <c r="P1537" s="318"/>
      <c r="Q1537" s="318"/>
      <c r="R1537" s="318"/>
      <c r="S1537" s="303"/>
      <c r="T1537" s="307"/>
      <c r="U1537" s="311" t="e">
        <f>+VLOOKUP(C1537,Spreads!$A$2:$G$345,7,0)</f>
        <v>#N/A</v>
      </c>
    </row>
    <row r="1538" spans="1:21" ht="15.75" hidden="1" thickTop="1">
      <c r="A1538" s="317"/>
      <c r="B1538" s="318"/>
      <c r="C1538" s="318"/>
      <c r="D1538" s="318"/>
      <c r="E1538" s="319"/>
      <c r="F1538" s="319"/>
      <c r="G1538" s="314"/>
      <c r="H1538" s="318"/>
      <c r="I1538" s="318"/>
      <c r="J1538" s="318"/>
      <c r="K1538" s="318"/>
      <c r="L1538" s="318"/>
      <c r="M1538" s="318"/>
      <c r="N1538" s="318"/>
      <c r="O1538" s="318"/>
      <c r="P1538" s="318"/>
      <c r="Q1538" s="318"/>
      <c r="R1538" s="318"/>
      <c r="S1538" s="303"/>
      <c r="T1538" s="307"/>
      <c r="U1538" s="311" t="e">
        <f>+VLOOKUP(C1538,Spreads!$A$2:$G$345,7,0)</f>
        <v>#N/A</v>
      </c>
    </row>
    <row r="1539" spans="1:21" ht="15.75" hidden="1" thickTop="1">
      <c r="A1539" s="317"/>
      <c r="B1539" s="318"/>
      <c r="C1539" s="318"/>
      <c r="D1539" s="318"/>
      <c r="E1539" s="319"/>
      <c r="F1539" s="319"/>
      <c r="G1539" s="314"/>
      <c r="H1539" s="318"/>
      <c r="I1539" s="318"/>
      <c r="J1539" s="318"/>
      <c r="K1539" s="318"/>
      <c r="L1539" s="318"/>
      <c r="M1539" s="318"/>
      <c r="N1539" s="318"/>
      <c r="O1539" s="318"/>
      <c r="P1539" s="318"/>
      <c r="Q1539" s="318"/>
      <c r="R1539" s="318"/>
      <c r="S1539" s="303"/>
      <c r="T1539" s="307"/>
      <c r="U1539" s="311" t="e">
        <f>+VLOOKUP(C1539,Spreads!$A$2:$G$345,7,0)</f>
        <v>#N/A</v>
      </c>
    </row>
    <row r="1540" spans="1:21" ht="15.75" hidden="1" thickTop="1">
      <c r="A1540" s="317"/>
      <c r="B1540" s="318"/>
      <c r="C1540" s="318"/>
      <c r="D1540" s="318"/>
      <c r="E1540" s="319"/>
      <c r="F1540" s="319"/>
      <c r="G1540" s="314"/>
      <c r="H1540" s="320"/>
      <c r="I1540" s="318"/>
      <c r="J1540" s="318"/>
      <c r="K1540" s="318"/>
      <c r="L1540" s="318"/>
      <c r="M1540" s="318"/>
      <c r="N1540" s="318"/>
      <c r="O1540" s="318"/>
      <c r="P1540" s="318"/>
      <c r="Q1540" s="318"/>
      <c r="R1540" s="318"/>
      <c r="S1540" s="303"/>
      <c r="T1540" s="307"/>
      <c r="U1540" s="311" t="e">
        <f>+VLOOKUP(C1540,Spreads!$A$2:$G$345,7,0)</f>
        <v>#N/A</v>
      </c>
    </row>
    <row r="1541" spans="1:21" ht="15.75" hidden="1" thickTop="1">
      <c r="A1541" s="317"/>
      <c r="B1541" s="318"/>
      <c r="C1541" s="318"/>
      <c r="D1541" s="318"/>
      <c r="E1541" s="319"/>
      <c r="F1541" s="319"/>
      <c r="G1541" s="314"/>
      <c r="H1541" s="320"/>
      <c r="I1541" s="318"/>
      <c r="J1541" s="318"/>
      <c r="K1541" s="318"/>
      <c r="L1541" s="318"/>
      <c r="M1541" s="318"/>
      <c r="N1541" s="318"/>
      <c r="O1541" s="318"/>
      <c r="P1541" s="318"/>
      <c r="Q1541" s="318"/>
      <c r="R1541" s="318"/>
      <c r="S1541" s="303"/>
      <c r="T1541" s="307"/>
      <c r="U1541" s="311" t="e">
        <f>+VLOOKUP(C1541,Spreads!$A$2:$G$345,7,0)</f>
        <v>#N/A</v>
      </c>
    </row>
    <row r="1542" spans="1:21" ht="15.75" hidden="1" thickTop="1">
      <c r="A1542" s="317"/>
      <c r="B1542" s="318"/>
      <c r="C1542" s="318"/>
      <c r="D1542" s="318"/>
      <c r="E1542" s="319"/>
      <c r="F1542" s="319"/>
      <c r="G1542" s="314"/>
      <c r="H1542" s="318"/>
      <c r="I1542" s="318"/>
      <c r="J1542" s="318"/>
      <c r="K1542" s="318"/>
      <c r="L1542" s="318"/>
      <c r="M1542" s="318"/>
      <c r="N1542" s="318"/>
      <c r="O1542" s="318"/>
      <c r="P1542" s="318"/>
      <c r="Q1542" s="318"/>
      <c r="R1542" s="318"/>
      <c r="S1542" s="303"/>
      <c r="T1542" s="307"/>
      <c r="U1542" s="311" t="e">
        <f>+VLOOKUP(C1542,Spreads!$A$2:$G$345,7,0)</f>
        <v>#N/A</v>
      </c>
    </row>
    <row r="1543" spans="1:21" ht="15.75" hidden="1" thickTop="1">
      <c r="A1543" s="317"/>
      <c r="B1543" s="318"/>
      <c r="C1543" s="318"/>
      <c r="D1543" s="318"/>
      <c r="E1543" s="319"/>
      <c r="F1543" s="319"/>
      <c r="G1543" s="314"/>
      <c r="H1543" s="320"/>
      <c r="I1543" s="318"/>
      <c r="J1543" s="318"/>
      <c r="K1543" s="318"/>
      <c r="L1543" s="318"/>
      <c r="M1543" s="318"/>
      <c r="N1543" s="318"/>
      <c r="O1543" s="318"/>
      <c r="P1543" s="318"/>
      <c r="Q1543" s="318"/>
      <c r="R1543" s="318"/>
      <c r="S1543" s="303"/>
      <c r="T1543" s="307"/>
      <c r="U1543" s="311" t="e">
        <f>+VLOOKUP(C1543,Spreads!$A$2:$G$345,7,0)</f>
        <v>#N/A</v>
      </c>
    </row>
    <row r="1544" spans="1:21" ht="15.75" hidden="1" thickTop="1">
      <c r="A1544" s="321"/>
      <c r="B1544" s="322"/>
      <c r="C1544" s="322"/>
      <c r="D1544" s="322"/>
      <c r="E1544" s="323"/>
      <c r="F1544" s="323"/>
      <c r="G1544" s="314"/>
      <c r="H1544" s="324"/>
      <c r="I1544" s="322"/>
      <c r="J1544" s="322"/>
      <c r="K1544" s="322"/>
      <c r="L1544" s="322"/>
      <c r="M1544" s="322"/>
      <c r="N1544" s="322"/>
      <c r="O1544" s="322"/>
      <c r="P1544" s="322"/>
      <c r="Q1544" s="322"/>
      <c r="R1544" s="322"/>
      <c r="S1544" s="303"/>
      <c r="T1544" s="307"/>
      <c r="U1544" s="311" t="e">
        <f>+VLOOKUP(C1544,Spreads!$A$2:$G$345,7,0)</f>
        <v>#N/A</v>
      </c>
    </row>
    <row r="1545" spans="1:21" ht="15.75" hidden="1" thickTop="1">
      <c r="A1545" s="354"/>
      <c r="B1545" s="354"/>
      <c r="C1545" s="354"/>
      <c r="D1545" s="354"/>
      <c r="E1545" s="355"/>
      <c r="F1545" s="355"/>
      <c r="G1545" s="356"/>
      <c r="H1545" s="354"/>
      <c r="I1545" s="354"/>
      <c r="J1545" s="354"/>
      <c r="K1545" s="354"/>
      <c r="L1545" s="354"/>
      <c r="M1545" s="354"/>
      <c r="N1545" s="354"/>
      <c r="O1545" s="354"/>
      <c r="P1545" s="354"/>
      <c r="Q1545" s="354"/>
      <c r="R1545" s="354"/>
      <c r="S1545" s="303"/>
      <c r="T1545" s="307"/>
      <c r="U1545" s="311" t="e">
        <f>+VLOOKUP(C1545,Spreads!$A$2:$G$345,7,0)</f>
        <v>#N/A</v>
      </c>
    </row>
    <row r="1546" spans="1:21" ht="15.75" hidden="1" thickTop="1">
      <c r="A1546" s="357"/>
      <c r="B1546" s="357"/>
      <c r="C1546" s="357"/>
      <c r="D1546" s="357"/>
      <c r="E1546" s="358"/>
      <c r="F1546" s="358"/>
      <c r="G1546" s="356"/>
      <c r="H1546" s="359"/>
      <c r="I1546" s="357"/>
      <c r="J1546" s="357"/>
      <c r="K1546" s="357"/>
      <c r="L1546" s="357"/>
      <c r="M1546" s="357"/>
      <c r="N1546" s="357"/>
      <c r="O1546" s="357"/>
      <c r="P1546" s="357"/>
      <c r="Q1546" s="357"/>
      <c r="R1546" s="357"/>
      <c r="S1546" s="303"/>
      <c r="T1546" s="307"/>
      <c r="U1546" s="311" t="e">
        <f>+VLOOKUP(C1546,Spreads!$A$2:$G$345,7,0)</f>
        <v>#N/A</v>
      </c>
    </row>
    <row r="1547" spans="1:21" ht="15.75" hidden="1" thickTop="1">
      <c r="A1547" s="354"/>
      <c r="B1547" s="354"/>
      <c r="C1547" s="354"/>
      <c r="D1547" s="354"/>
      <c r="E1547" s="355"/>
      <c r="F1547" s="355"/>
      <c r="G1547" s="356"/>
      <c r="H1547" s="360"/>
      <c r="I1547" s="354"/>
      <c r="J1547" s="354"/>
      <c r="K1547" s="354"/>
      <c r="L1547" s="354"/>
      <c r="M1547" s="354"/>
      <c r="N1547" s="354"/>
      <c r="O1547" s="354"/>
      <c r="P1547" s="354"/>
      <c r="Q1547" s="354"/>
      <c r="R1547" s="354"/>
      <c r="S1547" s="303"/>
      <c r="T1547" s="307"/>
      <c r="U1547" s="311" t="e">
        <f>+VLOOKUP(C1547,Spreads!$A$2:$G$345,7,0)</f>
        <v>#N/A</v>
      </c>
    </row>
    <row r="1548" spans="1:21" ht="15.75" hidden="1" thickTop="1">
      <c r="A1548" s="354"/>
      <c r="B1548" s="354"/>
      <c r="C1548" s="354"/>
      <c r="D1548" s="354"/>
      <c r="E1548" s="355"/>
      <c r="F1548" s="355"/>
      <c r="G1548" s="356"/>
      <c r="H1548" s="360"/>
      <c r="I1548" s="354"/>
      <c r="J1548" s="354"/>
      <c r="K1548" s="354"/>
      <c r="L1548" s="354"/>
      <c r="M1548" s="354"/>
      <c r="N1548" s="354"/>
      <c r="O1548" s="354"/>
      <c r="P1548" s="354"/>
      <c r="Q1548" s="354"/>
      <c r="R1548" s="354"/>
      <c r="S1548" s="303"/>
      <c r="T1548" s="307"/>
      <c r="U1548" s="311" t="e">
        <f>+VLOOKUP(C1548,Spreads!$A$2:$G$345,7,0)</f>
        <v>#N/A</v>
      </c>
    </row>
    <row r="1549" spans="1:21" ht="15.75" hidden="1" thickTop="1">
      <c r="A1549" s="357"/>
      <c r="B1549" s="357"/>
      <c r="C1549" s="357"/>
      <c r="D1549" s="357"/>
      <c r="E1549" s="358"/>
      <c r="F1549" s="358"/>
      <c r="G1549" s="356"/>
      <c r="H1549" s="359"/>
      <c r="I1549" s="357"/>
      <c r="J1549" s="357"/>
      <c r="K1549" s="357"/>
      <c r="L1549" s="357"/>
      <c r="M1549" s="357"/>
      <c r="N1549" s="357"/>
      <c r="O1549" s="357"/>
      <c r="P1549" s="357"/>
      <c r="Q1549" s="357"/>
      <c r="R1549" s="357"/>
      <c r="S1549" s="303"/>
      <c r="T1549" s="307"/>
      <c r="U1549" s="311" t="e">
        <f>+VLOOKUP(C1549,Spreads!$A$2:$G$345,7,0)</f>
        <v>#N/A</v>
      </c>
    </row>
    <row r="1550" spans="1:21" ht="15.75" hidden="1" thickTop="1">
      <c r="A1550" s="354"/>
      <c r="B1550" s="354"/>
      <c r="C1550" s="354"/>
      <c r="D1550" s="354"/>
      <c r="E1550" s="355"/>
      <c r="F1550" s="355"/>
      <c r="G1550" s="356"/>
      <c r="H1550" s="360"/>
      <c r="I1550" s="354"/>
      <c r="J1550" s="354"/>
      <c r="K1550" s="354"/>
      <c r="L1550" s="354"/>
      <c r="M1550" s="354"/>
      <c r="N1550" s="354"/>
      <c r="O1550" s="354"/>
      <c r="P1550" s="354"/>
      <c r="Q1550" s="354"/>
      <c r="R1550" s="354"/>
      <c r="S1550" s="303"/>
      <c r="T1550" s="307"/>
      <c r="U1550" s="311" t="e">
        <f>+VLOOKUP(C1550,Spreads!$A$2:$G$345,7,0)</f>
        <v>#N/A</v>
      </c>
    </row>
    <row r="1551" spans="1:21" ht="15.75" hidden="1" thickTop="1">
      <c r="A1551" s="354"/>
      <c r="B1551" s="354"/>
      <c r="C1551" s="354"/>
      <c r="D1551" s="354"/>
      <c r="E1551" s="355"/>
      <c r="F1551" s="355"/>
      <c r="G1551" s="356"/>
      <c r="H1551" s="360"/>
      <c r="I1551" s="354"/>
      <c r="J1551" s="354"/>
      <c r="K1551" s="354"/>
      <c r="L1551" s="354"/>
      <c r="M1551" s="354"/>
      <c r="N1551" s="354"/>
      <c r="O1551" s="354"/>
      <c r="P1551" s="354"/>
      <c r="Q1551" s="354"/>
      <c r="R1551" s="354"/>
      <c r="S1551" s="303"/>
      <c r="T1551" s="307"/>
      <c r="U1551" s="311" t="e">
        <f>+VLOOKUP(C1551,Spreads!$A$2:$G$345,7,0)</f>
        <v>#N/A</v>
      </c>
    </row>
    <row r="1552" spans="1:21" ht="15.75" hidden="1" thickTop="1">
      <c r="A1552" s="357"/>
      <c r="B1552" s="357"/>
      <c r="C1552" s="357"/>
      <c r="D1552" s="357"/>
      <c r="E1552" s="358"/>
      <c r="F1552" s="358"/>
      <c r="G1552" s="356"/>
      <c r="H1552" s="359"/>
      <c r="I1552" s="357"/>
      <c r="J1552" s="357"/>
      <c r="K1552" s="357"/>
      <c r="L1552" s="357"/>
      <c r="M1552" s="357"/>
      <c r="N1552" s="357"/>
      <c r="O1552" s="357"/>
      <c r="P1552" s="357"/>
      <c r="Q1552" s="357"/>
      <c r="R1552" s="357"/>
      <c r="S1552" s="303"/>
      <c r="T1552" s="307"/>
      <c r="U1552" s="311" t="e">
        <f>+VLOOKUP(C1552,Spreads!$A$2:$G$345,7,0)</f>
        <v>#N/A</v>
      </c>
    </row>
    <row r="1553" spans="1:21" ht="15.75" hidden="1" thickTop="1">
      <c r="A1553" s="357"/>
      <c r="B1553" s="357"/>
      <c r="C1553" s="357"/>
      <c r="D1553" s="357"/>
      <c r="E1553" s="358"/>
      <c r="F1553" s="358"/>
      <c r="G1553" s="356"/>
      <c r="H1553" s="359"/>
      <c r="I1553" s="357"/>
      <c r="J1553" s="357"/>
      <c r="K1553" s="357"/>
      <c r="L1553" s="357"/>
      <c r="M1553" s="357"/>
      <c r="N1553" s="357"/>
      <c r="O1553" s="357"/>
      <c r="P1553" s="357"/>
      <c r="Q1553" s="357"/>
      <c r="R1553" s="357"/>
      <c r="S1553" s="303"/>
      <c r="T1553" s="307"/>
      <c r="U1553" s="311" t="e">
        <f>+VLOOKUP(C1553,Spreads!$A$2:$G$345,7,0)</f>
        <v>#N/A</v>
      </c>
    </row>
    <row r="1554" spans="1:21" ht="15.75" hidden="1" thickTop="1">
      <c r="A1554" s="354"/>
      <c r="B1554" s="354"/>
      <c r="C1554" s="354"/>
      <c r="D1554" s="354"/>
      <c r="E1554" s="355"/>
      <c r="F1554" s="355"/>
      <c r="G1554" s="356"/>
      <c r="H1554" s="360"/>
      <c r="I1554" s="354"/>
      <c r="J1554" s="354"/>
      <c r="K1554" s="354"/>
      <c r="L1554" s="354"/>
      <c r="M1554" s="354"/>
      <c r="N1554" s="354"/>
      <c r="O1554" s="354"/>
      <c r="P1554" s="354"/>
      <c r="Q1554" s="354"/>
      <c r="R1554" s="354"/>
      <c r="S1554" s="303"/>
      <c r="T1554" s="307"/>
      <c r="U1554" s="311" t="e">
        <f>+VLOOKUP(C1554,Spreads!$A$2:$G$345,7,0)</f>
        <v>#N/A</v>
      </c>
    </row>
    <row r="1555" spans="1:21" ht="15.75" hidden="1" thickTop="1">
      <c r="A1555" s="357"/>
      <c r="B1555" s="357"/>
      <c r="C1555" s="357"/>
      <c r="D1555" s="357"/>
      <c r="E1555" s="358"/>
      <c r="F1555" s="358"/>
      <c r="G1555" s="356"/>
      <c r="H1555" s="359"/>
      <c r="I1555" s="357"/>
      <c r="J1555" s="357"/>
      <c r="K1555" s="357"/>
      <c r="L1555" s="357"/>
      <c r="M1555" s="357"/>
      <c r="N1555" s="357"/>
      <c r="O1555" s="357"/>
      <c r="P1555" s="357"/>
      <c r="Q1555" s="357"/>
      <c r="R1555" s="357"/>
      <c r="S1555" s="303"/>
      <c r="T1555" s="307"/>
      <c r="U1555" s="311" t="e">
        <f>+VLOOKUP(C1555,Spreads!$A$2:$G$345,7,0)</f>
        <v>#N/A</v>
      </c>
    </row>
    <row r="1556" spans="1:21" ht="15.75" hidden="1" thickTop="1">
      <c r="A1556" s="354"/>
      <c r="B1556" s="354"/>
      <c r="C1556" s="354"/>
      <c r="D1556" s="354"/>
      <c r="E1556" s="355"/>
      <c r="F1556" s="355"/>
      <c r="G1556" s="356"/>
      <c r="H1556" s="354"/>
      <c r="I1556" s="354"/>
      <c r="J1556" s="354"/>
      <c r="K1556" s="354"/>
      <c r="L1556" s="354"/>
      <c r="M1556" s="354"/>
      <c r="N1556" s="354"/>
      <c r="O1556" s="354"/>
      <c r="P1556" s="354"/>
      <c r="Q1556" s="354"/>
      <c r="R1556" s="354"/>
      <c r="S1556" s="303"/>
      <c r="T1556" s="307"/>
      <c r="U1556" s="311" t="e">
        <f>+VLOOKUP(C1556,Spreads!$A$2:$G$345,7,0)</f>
        <v>#N/A</v>
      </c>
    </row>
    <row r="1557" spans="1:21" ht="15.75" hidden="1" thickTop="1">
      <c r="A1557" s="357"/>
      <c r="B1557" s="357"/>
      <c r="C1557" s="357"/>
      <c r="D1557" s="357"/>
      <c r="E1557" s="358"/>
      <c r="F1557" s="358"/>
      <c r="G1557" s="356"/>
      <c r="H1557" s="359"/>
      <c r="I1557" s="357"/>
      <c r="J1557" s="357"/>
      <c r="K1557" s="357"/>
      <c r="L1557" s="357"/>
      <c r="M1557" s="357"/>
      <c r="N1557" s="357"/>
      <c r="O1557" s="357"/>
      <c r="P1557" s="357"/>
      <c r="Q1557" s="357"/>
      <c r="R1557" s="357"/>
      <c r="S1557" s="303"/>
      <c r="T1557" s="307"/>
      <c r="U1557" s="311" t="e">
        <f>+VLOOKUP(C1557,Spreads!$A$2:$G$345,7,0)</f>
        <v>#N/A</v>
      </c>
    </row>
    <row r="1558" spans="1:21" ht="15.75" hidden="1" thickTop="1">
      <c r="A1558" s="357"/>
      <c r="B1558" s="357"/>
      <c r="C1558" s="357"/>
      <c r="D1558" s="357"/>
      <c r="E1558" s="358"/>
      <c r="F1558" s="358"/>
      <c r="G1558" s="356"/>
      <c r="H1558" s="359"/>
      <c r="I1558" s="357"/>
      <c r="J1558" s="357"/>
      <c r="K1558" s="357"/>
      <c r="L1558" s="357"/>
      <c r="M1558" s="357"/>
      <c r="N1558" s="357"/>
      <c r="O1558" s="357"/>
      <c r="P1558" s="357"/>
      <c r="Q1558" s="357"/>
      <c r="R1558" s="357"/>
      <c r="S1558" s="303"/>
      <c r="T1558" s="307"/>
      <c r="U1558" s="311" t="e">
        <f>+VLOOKUP(C1558,Spreads!$A$2:$G$345,7,0)</f>
        <v>#N/A</v>
      </c>
    </row>
    <row r="1559" spans="1:21" ht="15.75" hidden="1" thickTop="1">
      <c r="A1559" s="354"/>
      <c r="B1559" s="354"/>
      <c r="C1559" s="354"/>
      <c r="D1559" s="354"/>
      <c r="E1559" s="355"/>
      <c r="F1559" s="355"/>
      <c r="G1559" s="356"/>
      <c r="H1559" s="360"/>
      <c r="I1559" s="354"/>
      <c r="J1559" s="354"/>
      <c r="K1559" s="354"/>
      <c r="L1559" s="354"/>
      <c r="M1559" s="354"/>
      <c r="N1559" s="354"/>
      <c r="O1559" s="354"/>
      <c r="P1559" s="354"/>
      <c r="Q1559" s="354"/>
      <c r="R1559" s="354"/>
      <c r="S1559" s="303"/>
      <c r="T1559" s="307"/>
      <c r="U1559" s="311" t="e">
        <f>+VLOOKUP(C1559,Spreads!$A$2:$G$345,7,0)</f>
        <v>#N/A</v>
      </c>
    </row>
    <row r="1560" spans="1:21" ht="15.75" hidden="1" thickTop="1">
      <c r="A1560" s="357"/>
      <c r="B1560" s="357"/>
      <c r="C1560" s="357"/>
      <c r="D1560" s="357"/>
      <c r="E1560" s="358"/>
      <c r="F1560" s="358"/>
      <c r="G1560" s="356"/>
      <c r="H1560" s="359"/>
      <c r="I1560" s="357"/>
      <c r="J1560" s="357"/>
      <c r="K1560" s="357"/>
      <c r="L1560" s="357"/>
      <c r="M1560" s="357"/>
      <c r="N1560" s="357"/>
      <c r="O1560" s="357"/>
      <c r="P1560" s="357"/>
      <c r="Q1560" s="357"/>
      <c r="R1560" s="357"/>
      <c r="S1560" s="303"/>
      <c r="T1560" s="307"/>
      <c r="U1560" s="311" t="e">
        <f>+VLOOKUP(C1560,Spreads!$A$2:$G$345,7,0)</f>
        <v>#N/A</v>
      </c>
    </row>
    <row r="1561" spans="1:21" ht="15.75" hidden="1" thickTop="1">
      <c r="A1561" s="357"/>
      <c r="B1561" s="357"/>
      <c r="C1561" s="357"/>
      <c r="D1561" s="357"/>
      <c r="E1561" s="358"/>
      <c r="F1561" s="358"/>
      <c r="G1561" s="356"/>
      <c r="H1561" s="359"/>
      <c r="I1561" s="357"/>
      <c r="J1561" s="357"/>
      <c r="K1561" s="357"/>
      <c r="L1561" s="357"/>
      <c r="M1561" s="357"/>
      <c r="N1561" s="357"/>
      <c r="O1561" s="357"/>
      <c r="P1561" s="357"/>
      <c r="Q1561" s="357"/>
      <c r="R1561" s="357"/>
      <c r="S1561" s="303"/>
      <c r="T1561" s="307"/>
      <c r="U1561" s="311" t="e">
        <f>+VLOOKUP(C1561,Spreads!$A$2:$G$345,7,0)</f>
        <v>#N/A</v>
      </c>
    </row>
    <row r="1562" spans="1:21" ht="15.75" hidden="1" thickTop="1">
      <c r="A1562" s="357"/>
      <c r="B1562" s="357"/>
      <c r="C1562" s="357"/>
      <c r="D1562" s="357"/>
      <c r="E1562" s="358"/>
      <c r="F1562" s="358"/>
      <c r="G1562" s="356"/>
      <c r="H1562" s="359"/>
      <c r="I1562" s="357"/>
      <c r="J1562" s="357"/>
      <c r="K1562" s="357"/>
      <c r="L1562" s="357"/>
      <c r="M1562" s="357"/>
      <c r="N1562" s="357"/>
      <c r="O1562" s="357"/>
      <c r="P1562" s="357"/>
      <c r="Q1562" s="357"/>
      <c r="R1562" s="357"/>
      <c r="S1562" s="303"/>
      <c r="T1562" s="307"/>
      <c r="U1562" s="311" t="e">
        <f>+VLOOKUP(C1562,Spreads!$A$2:$G$345,7,0)</f>
        <v>#N/A</v>
      </c>
    </row>
    <row r="1563" spans="1:21" ht="15.75" hidden="1" thickTop="1">
      <c r="A1563" s="357"/>
      <c r="B1563" s="357"/>
      <c r="C1563" s="357"/>
      <c r="D1563" s="357"/>
      <c r="E1563" s="358"/>
      <c r="F1563" s="358"/>
      <c r="G1563" s="356"/>
      <c r="H1563" s="359"/>
      <c r="I1563" s="357"/>
      <c r="J1563" s="357"/>
      <c r="K1563" s="357"/>
      <c r="L1563" s="357"/>
      <c r="M1563" s="357"/>
      <c r="N1563" s="357"/>
      <c r="O1563" s="357"/>
      <c r="P1563" s="357"/>
      <c r="Q1563" s="357"/>
      <c r="R1563" s="357"/>
      <c r="S1563" s="303"/>
      <c r="T1563" s="307"/>
      <c r="U1563" s="311" t="e">
        <f>+VLOOKUP(C1563,Spreads!$A$2:$G$345,7,0)</f>
        <v>#N/A</v>
      </c>
    </row>
    <row r="1564" spans="1:21" ht="15.75" hidden="1" thickTop="1">
      <c r="A1564" s="357"/>
      <c r="B1564" s="357"/>
      <c r="C1564" s="357"/>
      <c r="D1564" s="357"/>
      <c r="E1564" s="358"/>
      <c r="F1564" s="358"/>
      <c r="G1564" s="356"/>
      <c r="H1564" s="359"/>
      <c r="I1564" s="357"/>
      <c r="J1564" s="357"/>
      <c r="K1564" s="357"/>
      <c r="L1564" s="357"/>
      <c r="M1564" s="357"/>
      <c r="N1564" s="357"/>
      <c r="O1564" s="357"/>
      <c r="P1564" s="357"/>
      <c r="Q1564" s="357"/>
      <c r="R1564" s="357"/>
      <c r="S1564" s="303"/>
      <c r="T1564" s="307"/>
      <c r="U1564" s="311" t="e">
        <f>+VLOOKUP(C1564,Spreads!$A$2:$G$345,7,0)</f>
        <v>#N/A</v>
      </c>
    </row>
    <row r="1565" spans="1:21" ht="15.75" hidden="1" thickTop="1">
      <c r="A1565" s="357"/>
      <c r="B1565" s="357"/>
      <c r="C1565" s="357"/>
      <c r="D1565" s="357"/>
      <c r="E1565" s="358"/>
      <c r="F1565" s="358"/>
      <c r="G1565" s="356"/>
      <c r="H1565" s="359"/>
      <c r="I1565" s="357"/>
      <c r="J1565" s="357"/>
      <c r="K1565" s="357"/>
      <c r="L1565" s="357"/>
      <c r="M1565" s="357"/>
      <c r="N1565" s="357"/>
      <c r="O1565" s="357"/>
      <c r="P1565" s="357"/>
      <c r="Q1565" s="357"/>
      <c r="R1565" s="357"/>
      <c r="S1565" s="303"/>
      <c r="T1565" s="307"/>
      <c r="U1565" s="311" t="e">
        <f>+VLOOKUP(C1565,Spreads!$A$2:$G$345,7,0)</f>
        <v>#N/A</v>
      </c>
    </row>
    <row r="1566" spans="1:21" ht="15.75" hidden="1" thickTop="1">
      <c r="A1566" s="354"/>
      <c r="B1566" s="354"/>
      <c r="C1566" s="354"/>
      <c r="D1566" s="354"/>
      <c r="E1566" s="355"/>
      <c r="F1566" s="355"/>
      <c r="G1566" s="356"/>
      <c r="H1566" s="360"/>
      <c r="I1566" s="354"/>
      <c r="J1566" s="354"/>
      <c r="K1566" s="354"/>
      <c r="L1566" s="354"/>
      <c r="M1566" s="354"/>
      <c r="N1566" s="354"/>
      <c r="O1566" s="354"/>
      <c r="P1566" s="354"/>
      <c r="Q1566" s="354"/>
      <c r="R1566" s="354"/>
      <c r="S1566" s="303"/>
      <c r="T1566" s="307"/>
      <c r="U1566" s="311" t="e">
        <f>+VLOOKUP(C1566,Spreads!$A$2:$G$345,7,0)</f>
        <v>#N/A</v>
      </c>
    </row>
    <row r="1567" spans="1:21" ht="15.75" hidden="1" thickTop="1">
      <c r="A1567" s="357"/>
      <c r="B1567" s="357"/>
      <c r="C1567" s="357"/>
      <c r="D1567" s="357"/>
      <c r="E1567" s="358"/>
      <c r="F1567" s="358"/>
      <c r="G1567" s="356"/>
      <c r="H1567" s="359"/>
      <c r="I1567" s="357"/>
      <c r="J1567" s="357"/>
      <c r="K1567" s="357"/>
      <c r="L1567" s="357"/>
      <c r="M1567" s="357"/>
      <c r="N1567" s="357"/>
      <c r="O1567" s="357"/>
      <c r="P1567" s="357"/>
      <c r="Q1567" s="357"/>
      <c r="R1567" s="357"/>
      <c r="S1567" s="303"/>
      <c r="T1567" s="307"/>
      <c r="U1567" s="311" t="e">
        <f>+VLOOKUP(C1567,Spreads!$A$2:$G$345,7,0)</f>
        <v>#N/A</v>
      </c>
    </row>
    <row r="1568" spans="1:21" ht="15.75" hidden="1" thickTop="1">
      <c r="A1568" s="357"/>
      <c r="B1568" s="357"/>
      <c r="C1568" s="357"/>
      <c r="D1568" s="357"/>
      <c r="E1568" s="358"/>
      <c r="F1568" s="358"/>
      <c r="G1568" s="356"/>
      <c r="H1568" s="359"/>
      <c r="I1568" s="357"/>
      <c r="J1568" s="357"/>
      <c r="K1568" s="357"/>
      <c r="L1568" s="357"/>
      <c r="M1568" s="357"/>
      <c r="N1568" s="357"/>
      <c r="O1568" s="357"/>
      <c r="P1568" s="357"/>
      <c r="Q1568" s="357"/>
      <c r="R1568" s="357"/>
      <c r="S1568" s="303"/>
      <c r="T1568" s="307"/>
      <c r="U1568" s="311" t="e">
        <f>+VLOOKUP(C1568,Spreads!$A$2:$G$345,7,0)</f>
        <v>#N/A</v>
      </c>
    </row>
    <row r="1569" spans="1:21" ht="15.75" hidden="1" thickTop="1">
      <c r="A1569" s="357"/>
      <c r="B1569" s="357"/>
      <c r="C1569" s="357"/>
      <c r="D1569" s="357"/>
      <c r="E1569" s="358"/>
      <c r="F1569" s="358"/>
      <c r="G1569" s="356"/>
      <c r="H1569" s="359"/>
      <c r="I1569" s="357"/>
      <c r="J1569" s="357"/>
      <c r="K1569" s="357"/>
      <c r="L1569" s="357"/>
      <c r="M1569" s="357"/>
      <c r="N1569" s="357"/>
      <c r="O1569" s="357"/>
      <c r="P1569" s="357"/>
      <c r="Q1569" s="357"/>
      <c r="R1569" s="357"/>
      <c r="S1569" s="303"/>
      <c r="T1569" s="307"/>
      <c r="U1569" s="311" t="e">
        <f>+VLOOKUP(C1569,Spreads!$A$2:$G$345,7,0)</f>
        <v>#N/A</v>
      </c>
    </row>
    <row r="1570" spans="1:21" ht="15.75" hidden="1" thickTop="1">
      <c r="A1570" s="357"/>
      <c r="B1570" s="357"/>
      <c r="C1570" s="357"/>
      <c r="D1570" s="357"/>
      <c r="E1570" s="358"/>
      <c r="F1570" s="358"/>
      <c r="G1570" s="356"/>
      <c r="H1570" s="359"/>
      <c r="I1570" s="357"/>
      <c r="J1570" s="357"/>
      <c r="K1570" s="357"/>
      <c r="L1570" s="357"/>
      <c r="M1570" s="357"/>
      <c r="N1570" s="357"/>
      <c r="O1570" s="357"/>
      <c r="P1570" s="357"/>
      <c r="Q1570" s="357"/>
      <c r="R1570" s="357"/>
      <c r="S1570" s="303"/>
      <c r="T1570" s="307"/>
      <c r="U1570" s="311" t="e">
        <f>+VLOOKUP(C1570,Spreads!$A$2:$G$345,7,0)</f>
        <v>#N/A</v>
      </c>
    </row>
    <row r="1571" spans="1:21" ht="15.75" hidden="1" thickTop="1">
      <c r="A1571" s="361"/>
      <c r="B1571" s="361"/>
      <c r="C1571" s="361"/>
      <c r="D1571" s="361"/>
      <c r="E1571" s="362"/>
      <c r="F1571" s="361"/>
      <c r="G1571" s="361"/>
      <c r="H1571" s="363"/>
      <c r="I1571" s="361"/>
      <c r="J1571" s="361"/>
      <c r="K1571" s="361"/>
      <c r="L1571" s="361"/>
      <c r="M1571" s="361"/>
      <c r="N1571" s="361"/>
      <c r="O1571" s="361"/>
      <c r="P1571" s="361"/>
      <c r="Q1571" s="361"/>
      <c r="R1571" s="361"/>
      <c r="S1571" s="303"/>
      <c r="T1571" s="307"/>
      <c r="U1571" s="311" t="e">
        <f>+VLOOKUP(C1571,Spreads!$A$2:$G$345,7,0)</f>
        <v>#N/A</v>
      </c>
    </row>
    <row r="1572" spans="1:21" ht="15.75" hidden="1" thickTop="1">
      <c r="A1572" s="361"/>
      <c r="B1572" s="361"/>
      <c r="C1572" s="361"/>
      <c r="D1572" s="361"/>
      <c r="E1572" s="364"/>
      <c r="F1572" s="365"/>
      <c r="G1572" s="361"/>
      <c r="H1572" s="363"/>
      <c r="I1572" s="361"/>
      <c r="J1572" s="361"/>
      <c r="K1572" s="361"/>
      <c r="L1572" s="361"/>
      <c r="M1572" s="361"/>
      <c r="N1572" s="361"/>
      <c r="O1572" s="361"/>
      <c r="P1572" s="361"/>
      <c r="Q1572" s="361"/>
      <c r="R1572" s="361"/>
      <c r="S1572" s="303"/>
      <c r="T1572" s="307"/>
      <c r="U1572" s="311" t="e">
        <f>+VLOOKUP(C1572,Spreads!$A$2:$G$345,7,0)</f>
        <v>#N/A</v>
      </c>
    </row>
    <row r="1573" spans="1:21" ht="15.75" hidden="1" thickTop="1">
      <c r="A1573" s="357"/>
      <c r="B1573" s="357"/>
      <c r="C1573" s="357"/>
      <c r="D1573" s="357"/>
      <c r="E1573" s="358"/>
      <c r="F1573" s="358"/>
      <c r="G1573" s="356"/>
      <c r="H1573" s="359"/>
      <c r="I1573" s="357"/>
      <c r="J1573" s="357"/>
      <c r="K1573" s="357"/>
      <c r="L1573" s="357"/>
      <c r="M1573" s="357"/>
      <c r="N1573" s="357"/>
      <c r="O1573" s="357"/>
      <c r="P1573" s="357"/>
      <c r="Q1573" s="357"/>
      <c r="R1573" s="357"/>
      <c r="S1573" s="303"/>
      <c r="T1573" s="307"/>
      <c r="U1573" s="311" t="e">
        <f>+VLOOKUP(C1573,Spreads!$A$2:$G$345,7,0)</f>
        <v>#N/A</v>
      </c>
    </row>
    <row r="1574" spans="1:21" ht="15.75" hidden="1" thickTop="1">
      <c r="A1574" s="361"/>
      <c r="B1574" s="361"/>
      <c r="C1574" s="361"/>
      <c r="D1574" s="361"/>
      <c r="E1574" s="361"/>
      <c r="F1574" s="361"/>
      <c r="G1574" s="361"/>
      <c r="H1574" s="363"/>
      <c r="I1574" s="361"/>
      <c r="J1574" s="361"/>
      <c r="K1574" s="361"/>
      <c r="L1574" s="361"/>
      <c r="M1574" s="361"/>
      <c r="N1574" s="361"/>
      <c r="O1574" s="361"/>
      <c r="P1574" s="361"/>
      <c r="Q1574" s="361"/>
      <c r="R1574" s="361"/>
      <c r="S1574" s="303"/>
      <c r="T1574" s="307"/>
      <c r="U1574" s="311" t="e">
        <f>+VLOOKUP(C1574,Spreads!$A$2:$G$345,7,0)</f>
        <v>#N/A</v>
      </c>
    </row>
    <row r="1575" spans="1:21" ht="15.75" hidden="1" thickTop="1">
      <c r="A1575" s="354"/>
      <c r="B1575" s="354"/>
      <c r="C1575" s="354"/>
      <c r="D1575" s="354"/>
      <c r="E1575" s="355"/>
      <c r="F1575" s="355"/>
      <c r="G1575" s="356"/>
      <c r="H1575" s="360"/>
      <c r="I1575" s="354"/>
      <c r="J1575" s="354"/>
      <c r="K1575" s="354"/>
      <c r="L1575" s="354"/>
      <c r="M1575" s="354"/>
      <c r="N1575" s="354"/>
      <c r="O1575" s="354"/>
      <c r="P1575" s="354"/>
      <c r="Q1575" s="354"/>
      <c r="R1575" s="354"/>
      <c r="S1575" s="303"/>
      <c r="T1575" s="307"/>
      <c r="U1575" s="311" t="e">
        <f>+VLOOKUP(C1575,Spreads!$A$2:$G$345,7,0)</f>
        <v>#N/A</v>
      </c>
    </row>
    <row r="1576" spans="1:21" ht="15.75" hidden="1" thickTop="1">
      <c r="A1576" s="354"/>
      <c r="B1576" s="354"/>
      <c r="C1576" s="354"/>
      <c r="D1576" s="354"/>
      <c r="E1576" s="355"/>
      <c r="F1576" s="355"/>
      <c r="G1576" s="356"/>
      <c r="H1576" s="360"/>
      <c r="I1576" s="354"/>
      <c r="J1576" s="354"/>
      <c r="K1576" s="354"/>
      <c r="L1576" s="354"/>
      <c r="M1576" s="354"/>
      <c r="N1576" s="354"/>
      <c r="O1576" s="354"/>
      <c r="P1576" s="354"/>
      <c r="Q1576" s="354"/>
      <c r="R1576" s="354"/>
      <c r="S1576" s="303"/>
      <c r="T1576" s="307"/>
      <c r="U1576" s="311" t="e">
        <f>+VLOOKUP(C1576,Spreads!$A$2:$G$345,7,0)</f>
        <v>#N/A</v>
      </c>
    </row>
    <row r="1577" spans="1:21" ht="15.75" hidden="1" thickTop="1">
      <c r="A1577" s="361"/>
      <c r="B1577" s="361"/>
      <c r="C1577" s="361"/>
      <c r="D1577" s="361"/>
      <c r="E1577" s="361"/>
      <c r="F1577" s="361"/>
      <c r="G1577" s="356"/>
      <c r="H1577" s="363"/>
      <c r="I1577" s="361"/>
      <c r="J1577" s="361"/>
      <c r="K1577" s="361"/>
      <c r="L1577" s="361"/>
      <c r="M1577" s="361"/>
      <c r="N1577" s="361"/>
      <c r="O1577" s="361"/>
      <c r="P1577" s="361"/>
      <c r="Q1577" s="361"/>
      <c r="R1577" s="361"/>
      <c r="S1577" s="303"/>
      <c r="T1577" s="307"/>
      <c r="U1577" s="311" t="e">
        <f>+VLOOKUP(C1577,Spreads!$A$2:$G$345,7,0)</f>
        <v>#N/A</v>
      </c>
    </row>
    <row r="1578" spans="1:21" ht="15.75" hidden="1" thickTop="1">
      <c r="A1578" s="357"/>
      <c r="B1578" s="357"/>
      <c r="C1578" s="357"/>
      <c r="D1578" s="357"/>
      <c r="E1578" s="358"/>
      <c r="F1578" s="358"/>
      <c r="G1578" s="356"/>
      <c r="H1578" s="359"/>
      <c r="I1578" s="357"/>
      <c r="J1578" s="357"/>
      <c r="K1578" s="357"/>
      <c r="L1578" s="357"/>
      <c r="M1578" s="357"/>
      <c r="N1578" s="357"/>
      <c r="O1578" s="357"/>
      <c r="P1578" s="357"/>
      <c r="Q1578" s="357"/>
      <c r="R1578" s="357"/>
      <c r="S1578" s="303"/>
      <c r="T1578" s="307"/>
      <c r="U1578" s="311" t="e">
        <f>+VLOOKUP(C1578,Spreads!$A$2:$G$345,7,0)</f>
        <v>#N/A</v>
      </c>
    </row>
    <row r="1579" spans="1:21" ht="15.75" hidden="1" thickTop="1">
      <c r="A1579" s="354"/>
      <c r="B1579" s="354"/>
      <c r="C1579" s="354"/>
      <c r="D1579" s="354"/>
      <c r="E1579" s="355"/>
      <c r="F1579" s="355"/>
      <c r="G1579" s="356"/>
      <c r="H1579" s="360"/>
      <c r="I1579" s="354"/>
      <c r="J1579" s="354"/>
      <c r="K1579" s="354"/>
      <c r="L1579" s="354"/>
      <c r="M1579" s="354"/>
      <c r="N1579" s="354"/>
      <c r="O1579" s="354"/>
      <c r="P1579" s="354"/>
      <c r="Q1579" s="354"/>
      <c r="R1579" s="354"/>
      <c r="S1579" s="303"/>
      <c r="T1579" s="307"/>
      <c r="U1579" s="311" t="e">
        <f>+VLOOKUP(C1579,Spreads!$A$2:$G$345,7,0)</f>
        <v>#N/A</v>
      </c>
    </row>
    <row r="1580" spans="1:21" ht="15.75" hidden="1" thickTop="1">
      <c r="A1580" s="361"/>
      <c r="B1580" s="361"/>
      <c r="C1580" s="361"/>
      <c r="D1580" s="361"/>
      <c r="E1580" s="361"/>
      <c r="F1580" s="361"/>
      <c r="G1580" s="361"/>
      <c r="H1580" s="363"/>
      <c r="I1580" s="361"/>
      <c r="J1580" s="361"/>
      <c r="K1580" s="361"/>
      <c r="L1580" s="361"/>
      <c r="M1580" s="361"/>
      <c r="N1580" s="361"/>
      <c r="O1580" s="361"/>
      <c r="P1580" s="361"/>
      <c r="Q1580" s="361"/>
      <c r="R1580" s="361"/>
      <c r="S1580" s="303"/>
      <c r="T1580" s="307"/>
      <c r="U1580" s="311" t="e">
        <f>+VLOOKUP(C1580,Spreads!$A$2:$G$345,7,0)</f>
        <v>#N/A</v>
      </c>
    </row>
    <row r="1581" spans="1:21" ht="15.75" hidden="1" thickTop="1">
      <c r="A1581" s="361"/>
      <c r="B1581" s="361"/>
      <c r="C1581" s="361"/>
      <c r="D1581" s="361"/>
      <c r="E1581" s="361"/>
      <c r="F1581" s="361"/>
      <c r="G1581" s="361"/>
      <c r="H1581" s="363"/>
      <c r="I1581" s="361"/>
      <c r="J1581" s="361"/>
      <c r="K1581" s="361"/>
      <c r="L1581" s="361"/>
      <c r="M1581" s="361"/>
      <c r="N1581" s="361"/>
      <c r="O1581" s="361"/>
      <c r="P1581" s="361"/>
      <c r="Q1581" s="361"/>
      <c r="R1581" s="361"/>
      <c r="S1581" s="303"/>
      <c r="T1581" s="307"/>
      <c r="U1581" s="311" t="e">
        <f>+VLOOKUP(C1581,Spreads!$A$2:$G$345,7,0)</f>
        <v>#N/A</v>
      </c>
    </row>
    <row r="1582" spans="1:21" ht="15.75" hidden="1" thickTop="1">
      <c r="A1582" s="354"/>
      <c r="B1582" s="354"/>
      <c r="C1582" s="354"/>
      <c r="D1582" s="354"/>
      <c r="E1582" s="355"/>
      <c r="F1582" s="355"/>
      <c r="G1582" s="356"/>
      <c r="H1582" s="360"/>
      <c r="I1582" s="354"/>
      <c r="J1582" s="354"/>
      <c r="K1582" s="354"/>
      <c r="L1582" s="354"/>
      <c r="M1582" s="354"/>
      <c r="N1582" s="354"/>
      <c r="O1582" s="354"/>
      <c r="P1582" s="354"/>
      <c r="Q1582" s="354"/>
      <c r="R1582" s="354"/>
      <c r="S1582" s="303"/>
      <c r="T1582" s="307"/>
      <c r="U1582" s="311" t="e">
        <f>+VLOOKUP(C1582,Spreads!$A$2:$G$345,7,0)</f>
        <v>#N/A</v>
      </c>
    </row>
    <row r="1583" spans="1:21" ht="15.75" hidden="1" thickTop="1">
      <c r="A1583" s="357"/>
      <c r="B1583" s="357"/>
      <c r="C1583" s="357"/>
      <c r="D1583" s="357"/>
      <c r="E1583" s="358"/>
      <c r="F1583" s="358"/>
      <c r="G1583" s="356"/>
      <c r="H1583" s="359"/>
      <c r="I1583" s="357"/>
      <c r="J1583" s="357"/>
      <c r="K1583" s="357"/>
      <c r="L1583" s="357"/>
      <c r="M1583" s="357"/>
      <c r="N1583" s="357"/>
      <c r="O1583" s="357"/>
      <c r="P1583" s="357"/>
      <c r="Q1583" s="357"/>
      <c r="R1583" s="357"/>
      <c r="S1583" s="303"/>
      <c r="T1583" s="307"/>
      <c r="U1583" s="311" t="e">
        <f>+VLOOKUP(C1583,Spreads!$A$2:$G$345,7,0)</f>
        <v>#N/A</v>
      </c>
    </row>
    <row r="1584" spans="1:21" ht="15.75" hidden="1" thickTop="1">
      <c r="A1584" s="357"/>
      <c r="B1584" s="357"/>
      <c r="C1584" s="357"/>
      <c r="D1584" s="357"/>
      <c r="E1584" s="358"/>
      <c r="F1584" s="358"/>
      <c r="G1584" s="356"/>
      <c r="H1584" s="359"/>
      <c r="I1584" s="357"/>
      <c r="J1584" s="357"/>
      <c r="K1584" s="357"/>
      <c r="L1584" s="357"/>
      <c r="M1584" s="357"/>
      <c r="N1584" s="357"/>
      <c r="O1584" s="357"/>
      <c r="P1584" s="357"/>
      <c r="Q1584" s="357"/>
      <c r="R1584" s="357"/>
      <c r="S1584" s="303"/>
      <c r="T1584" s="307"/>
      <c r="U1584" s="311" t="e">
        <f>+VLOOKUP(C1584,Spreads!$A$2:$G$345,7,0)</f>
        <v>#N/A</v>
      </c>
    </row>
    <row r="1585" spans="1:21" ht="15.75" hidden="1" thickTop="1">
      <c r="A1585" s="354"/>
      <c r="B1585" s="354"/>
      <c r="C1585" s="354"/>
      <c r="D1585" s="354"/>
      <c r="E1585" s="355"/>
      <c r="F1585" s="355"/>
      <c r="G1585" s="356"/>
      <c r="H1585" s="360"/>
      <c r="I1585" s="354"/>
      <c r="J1585" s="354"/>
      <c r="K1585" s="354"/>
      <c r="L1585" s="354"/>
      <c r="M1585" s="354"/>
      <c r="N1585" s="354"/>
      <c r="O1585" s="354"/>
      <c r="P1585" s="354"/>
      <c r="Q1585" s="354"/>
      <c r="R1585" s="354"/>
      <c r="S1585" s="303"/>
      <c r="T1585" s="307"/>
      <c r="U1585" s="311" t="e">
        <f>+VLOOKUP(C1585,Spreads!$A$2:$G$345,7,0)</f>
        <v>#N/A</v>
      </c>
    </row>
    <row r="1586" spans="1:21" ht="15.75" hidden="1" thickTop="1">
      <c r="A1586" s="357"/>
      <c r="B1586" s="357"/>
      <c r="C1586" s="357"/>
      <c r="D1586" s="357"/>
      <c r="E1586" s="358"/>
      <c r="F1586" s="358"/>
      <c r="G1586" s="356"/>
      <c r="H1586" s="359"/>
      <c r="I1586" s="357"/>
      <c r="J1586" s="357"/>
      <c r="K1586" s="357"/>
      <c r="L1586" s="357"/>
      <c r="M1586" s="357"/>
      <c r="N1586" s="357"/>
      <c r="O1586" s="357"/>
      <c r="P1586" s="357"/>
      <c r="Q1586" s="357"/>
      <c r="R1586" s="357"/>
      <c r="S1586" s="303"/>
      <c r="T1586" s="307"/>
      <c r="U1586" s="311" t="e">
        <f>+VLOOKUP(C1586,Spreads!$A$2:$G$345,7,0)</f>
        <v>#N/A</v>
      </c>
    </row>
    <row r="1587" spans="1:21" ht="15.75" hidden="1" thickTop="1">
      <c r="A1587" s="357"/>
      <c r="B1587" s="357"/>
      <c r="C1587" s="357"/>
      <c r="D1587" s="357"/>
      <c r="E1587" s="358"/>
      <c r="F1587" s="358"/>
      <c r="G1587" s="356"/>
      <c r="H1587" s="359"/>
      <c r="I1587" s="357"/>
      <c r="J1587" s="357"/>
      <c r="K1587" s="357"/>
      <c r="L1587" s="357"/>
      <c r="M1587" s="357"/>
      <c r="N1587" s="357"/>
      <c r="O1587" s="357"/>
      <c r="P1587" s="357"/>
      <c r="Q1587" s="357"/>
      <c r="R1587" s="357"/>
      <c r="S1587" s="303"/>
      <c r="T1587" s="307"/>
      <c r="U1587" s="311" t="e">
        <f>+VLOOKUP(C1587,Spreads!$A$2:$G$345,7,0)</f>
        <v>#N/A</v>
      </c>
    </row>
    <row r="1588" spans="1:21" ht="15.75" hidden="1" thickTop="1">
      <c r="A1588" s="354"/>
      <c r="B1588" s="354"/>
      <c r="C1588" s="354"/>
      <c r="D1588" s="354"/>
      <c r="E1588" s="355"/>
      <c r="F1588" s="355"/>
      <c r="G1588" s="356"/>
      <c r="H1588" s="360"/>
      <c r="I1588" s="354"/>
      <c r="J1588" s="354"/>
      <c r="K1588" s="354"/>
      <c r="L1588" s="354"/>
      <c r="M1588" s="354"/>
      <c r="N1588" s="354"/>
      <c r="O1588" s="354"/>
      <c r="P1588" s="354"/>
      <c r="Q1588" s="354"/>
      <c r="R1588" s="354"/>
      <c r="S1588" s="303"/>
      <c r="T1588" s="307"/>
      <c r="U1588" s="311" t="e">
        <f>+VLOOKUP(C1588,Spreads!$A$2:$G$345,7,0)</f>
        <v>#N/A</v>
      </c>
    </row>
    <row r="1589" spans="1:21" ht="15.75" hidden="1" thickTop="1">
      <c r="A1589" s="357"/>
      <c r="B1589" s="357"/>
      <c r="C1589" s="357"/>
      <c r="D1589" s="357"/>
      <c r="E1589" s="358"/>
      <c r="F1589" s="358"/>
      <c r="G1589" s="356"/>
      <c r="H1589" s="359"/>
      <c r="I1589" s="357"/>
      <c r="J1589" s="357"/>
      <c r="K1589" s="357"/>
      <c r="L1589" s="357"/>
      <c r="M1589" s="357"/>
      <c r="N1589" s="357"/>
      <c r="O1589" s="357"/>
      <c r="P1589" s="357"/>
      <c r="Q1589" s="357"/>
      <c r="R1589" s="357"/>
      <c r="S1589" s="303"/>
      <c r="T1589" s="307"/>
      <c r="U1589" s="311" t="e">
        <f>+VLOOKUP(C1589,Spreads!$A$2:$G$345,7,0)</f>
        <v>#N/A</v>
      </c>
    </row>
    <row r="1590" spans="1:21" ht="15.75" hidden="1" thickTop="1">
      <c r="A1590" s="357"/>
      <c r="B1590" s="357"/>
      <c r="C1590" s="357"/>
      <c r="D1590" s="357"/>
      <c r="E1590" s="358"/>
      <c r="F1590" s="358"/>
      <c r="G1590" s="356"/>
      <c r="H1590" s="359"/>
      <c r="I1590" s="357"/>
      <c r="J1590" s="357"/>
      <c r="K1590" s="357"/>
      <c r="L1590" s="357"/>
      <c r="M1590" s="357"/>
      <c r="N1590" s="357"/>
      <c r="O1590" s="357"/>
      <c r="P1590" s="357"/>
      <c r="Q1590" s="357"/>
      <c r="R1590" s="357"/>
      <c r="S1590" s="303"/>
      <c r="T1590" s="307"/>
      <c r="U1590" s="311" t="e">
        <f>+VLOOKUP(C1590,Spreads!$A$2:$G$345,7,0)</f>
        <v>#N/A</v>
      </c>
    </row>
    <row r="1591" spans="1:21" ht="15.75" hidden="1" thickTop="1">
      <c r="A1591" s="354"/>
      <c r="B1591" s="354"/>
      <c r="C1591" s="354"/>
      <c r="D1591" s="354"/>
      <c r="E1591" s="355"/>
      <c r="F1591" s="355"/>
      <c r="G1591" s="356"/>
      <c r="H1591" s="360"/>
      <c r="I1591" s="354"/>
      <c r="J1591" s="354"/>
      <c r="K1591" s="354"/>
      <c r="L1591" s="354"/>
      <c r="M1591" s="354"/>
      <c r="N1591" s="354"/>
      <c r="O1591" s="354"/>
      <c r="P1591" s="354"/>
      <c r="Q1591" s="354"/>
      <c r="R1591" s="354"/>
      <c r="S1591" s="303"/>
      <c r="T1591" s="307"/>
      <c r="U1591" s="311" t="e">
        <f>+VLOOKUP(C1591,Spreads!$A$2:$G$345,7,0)</f>
        <v>#N/A</v>
      </c>
    </row>
    <row r="1592" spans="1:21" ht="15.75" hidden="1" thickTop="1">
      <c r="A1592" s="361"/>
      <c r="B1592" s="361"/>
      <c r="C1592" s="361"/>
      <c r="D1592" s="361"/>
      <c r="E1592" s="361"/>
      <c r="F1592" s="361"/>
      <c r="G1592" s="356"/>
      <c r="H1592" s="363"/>
      <c r="I1592" s="361"/>
      <c r="J1592" s="361"/>
      <c r="K1592" s="361"/>
      <c r="L1592" s="361"/>
      <c r="M1592" s="361"/>
      <c r="N1592" s="361"/>
      <c r="O1592" s="361"/>
      <c r="P1592" s="361"/>
      <c r="Q1592" s="361"/>
      <c r="R1592" s="361"/>
      <c r="S1592" s="303"/>
      <c r="T1592" s="307"/>
      <c r="U1592" s="311" t="e">
        <f>+VLOOKUP(C1592,Spreads!$A$2:$G$345,7,0)</f>
        <v>#N/A</v>
      </c>
    </row>
    <row r="1593" spans="1:21" ht="15.75" hidden="1" thickTop="1">
      <c r="A1593" s="354"/>
      <c r="B1593" s="354"/>
      <c r="C1593" s="354"/>
      <c r="D1593" s="354"/>
      <c r="E1593" s="355"/>
      <c r="F1593" s="355"/>
      <c r="G1593" s="356"/>
      <c r="H1593" s="360"/>
      <c r="I1593" s="354"/>
      <c r="J1593" s="354"/>
      <c r="K1593" s="354"/>
      <c r="L1593" s="354"/>
      <c r="M1593" s="354"/>
      <c r="N1593" s="354"/>
      <c r="O1593" s="354"/>
      <c r="P1593" s="354"/>
      <c r="Q1593" s="354"/>
      <c r="R1593" s="354"/>
      <c r="S1593" s="303"/>
      <c r="T1593" s="307"/>
      <c r="U1593" s="311" t="e">
        <f>+VLOOKUP(C1593,Spreads!$A$2:$G$345,7,0)</f>
        <v>#N/A</v>
      </c>
    </row>
    <row r="1594" spans="1:21" ht="15.75" hidden="1" thickTop="1">
      <c r="A1594" s="354"/>
      <c r="B1594" s="354"/>
      <c r="C1594" s="354"/>
      <c r="D1594" s="354"/>
      <c r="E1594" s="355"/>
      <c r="F1594" s="355"/>
      <c r="G1594" s="356"/>
      <c r="H1594" s="360"/>
      <c r="I1594" s="354"/>
      <c r="J1594" s="354"/>
      <c r="K1594" s="354"/>
      <c r="L1594" s="354"/>
      <c r="M1594" s="354"/>
      <c r="N1594" s="354"/>
      <c r="O1594" s="354"/>
      <c r="P1594" s="354"/>
      <c r="Q1594" s="354"/>
      <c r="R1594" s="354"/>
      <c r="S1594" s="303"/>
      <c r="T1594" s="307"/>
      <c r="U1594" s="311" t="e">
        <f>+VLOOKUP(C1594,Spreads!$A$2:$G$345,7,0)</f>
        <v>#N/A</v>
      </c>
    </row>
    <row r="1595" spans="1:21" ht="15.75" hidden="1" thickTop="1">
      <c r="A1595" s="357"/>
      <c r="B1595" s="357"/>
      <c r="C1595" s="357"/>
      <c r="D1595" s="357"/>
      <c r="E1595" s="358"/>
      <c r="F1595" s="358"/>
      <c r="G1595" s="356"/>
      <c r="H1595" s="359"/>
      <c r="I1595" s="357"/>
      <c r="J1595" s="357"/>
      <c r="K1595" s="357"/>
      <c r="L1595" s="357"/>
      <c r="M1595" s="357"/>
      <c r="N1595" s="357"/>
      <c r="O1595" s="357"/>
      <c r="P1595" s="357"/>
      <c r="Q1595" s="357"/>
      <c r="R1595" s="357"/>
      <c r="S1595" s="303"/>
      <c r="T1595" s="307"/>
      <c r="U1595" s="311" t="e">
        <f>+VLOOKUP(C1595,Spreads!$A$2:$G$345,7,0)</f>
        <v>#N/A</v>
      </c>
    </row>
    <row r="1596" spans="1:21" ht="15.75" hidden="1" thickTop="1">
      <c r="A1596" s="354"/>
      <c r="B1596" s="354"/>
      <c r="C1596" s="354"/>
      <c r="D1596" s="354"/>
      <c r="E1596" s="355"/>
      <c r="F1596" s="355"/>
      <c r="G1596" s="356"/>
      <c r="H1596" s="360"/>
      <c r="I1596" s="354"/>
      <c r="J1596" s="354"/>
      <c r="K1596" s="354"/>
      <c r="L1596" s="354"/>
      <c r="M1596" s="354"/>
      <c r="N1596" s="354"/>
      <c r="O1596" s="354"/>
      <c r="P1596" s="354"/>
      <c r="Q1596" s="354"/>
      <c r="R1596" s="354"/>
      <c r="S1596" s="303"/>
      <c r="T1596" s="307"/>
      <c r="U1596" s="311" t="e">
        <f>+VLOOKUP(C1596,Spreads!$A$2:$G$345,7,0)</f>
        <v>#N/A</v>
      </c>
    </row>
    <row r="1597" spans="1:21" ht="15.75" hidden="1" thickTop="1">
      <c r="A1597" s="361"/>
      <c r="B1597" s="361"/>
      <c r="C1597" s="361"/>
      <c r="D1597" s="361"/>
      <c r="E1597" s="361"/>
      <c r="F1597" s="361"/>
      <c r="G1597" s="361"/>
      <c r="H1597" s="363"/>
      <c r="I1597" s="361"/>
      <c r="J1597" s="361"/>
      <c r="K1597" s="361"/>
      <c r="L1597" s="361"/>
      <c r="M1597" s="361"/>
      <c r="N1597" s="361"/>
      <c r="O1597" s="361"/>
      <c r="P1597" s="361"/>
      <c r="Q1597" s="361"/>
      <c r="R1597" s="361"/>
      <c r="S1597" s="303"/>
      <c r="T1597" s="307"/>
      <c r="U1597" s="311" t="e">
        <f>+VLOOKUP(C1597,Spreads!$A$2:$G$345,7,0)</f>
        <v>#N/A</v>
      </c>
    </row>
    <row r="1598" spans="1:21" ht="15.75" hidden="1" thickTop="1">
      <c r="A1598" s="354"/>
      <c r="B1598" s="354"/>
      <c r="C1598" s="354"/>
      <c r="D1598" s="354"/>
      <c r="E1598" s="355"/>
      <c r="F1598" s="355"/>
      <c r="G1598" s="356"/>
      <c r="H1598" s="360"/>
      <c r="I1598" s="354"/>
      <c r="J1598" s="354"/>
      <c r="K1598" s="354"/>
      <c r="L1598" s="354"/>
      <c r="M1598" s="354"/>
      <c r="N1598" s="354"/>
      <c r="O1598" s="354"/>
      <c r="P1598" s="354"/>
      <c r="Q1598" s="354"/>
      <c r="R1598" s="354"/>
      <c r="S1598" s="303"/>
      <c r="T1598" s="307"/>
      <c r="U1598" s="311" t="e">
        <f>+VLOOKUP(C1598,Spreads!$A$2:$G$345,7,0)</f>
        <v>#N/A</v>
      </c>
    </row>
    <row r="1599" spans="1:21" ht="15.75" hidden="1" thickTop="1">
      <c r="A1599" s="357"/>
      <c r="B1599" s="357"/>
      <c r="C1599" s="357"/>
      <c r="D1599" s="357"/>
      <c r="E1599" s="358"/>
      <c r="F1599" s="358"/>
      <c r="G1599" s="356"/>
      <c r="H1599" s="359"/>
      <c r="I1599" s="357"/>
      <c r="J1599" s="357"/>
      <c r="K1599" s="357"/>
      <c r="L1599" s="357"/>
      <c r="M1599" s="357"/>
      <c r="N1599" s="357"/>
      <c r="O1599" s="357"/>
      <c r="P1599" s="357"/>
      <c r="Q1599" s="357"/>
      <c r="R1599" s="357"/>
      <c r="S1599" s="303"/>
      <c r="T1599" s="307"/>
      <c r="U1599" s="311" t="e">
        <f>+VLOOKUP(C1599,Spreads!$A$2:$G$345,7,0)</f>
        <v>#N/A</v>
      </c>
    </row>
    <row r="1600" spans="1:21" ht="15.75" hidden="1" thickTop="1">
      <c r="A1600" s="357"/>
      <c r="B1600" s="357"/>
      <c r="C1600" s="357"/>
      <c r="D1600" s="357"/>
      <c r="E1600" s="358"/>
      <c r="F1600" s="358"/>
      <c r="G1600" s="314"/>
      <c r="H1600" s="359"/>
      <c r="I1600" s="357"/>
      <c r="J1600" s="357"/>
      <c r="K1600" s="357"/>
      <c r="L1600" s="357"/>
      <c r="M1600" s="357"/>
      <c r="N1600" s="357"/>
      <c r="O1600" s="357"/>
      <c r="P1600" s="357"/>
      <c r="Q1600" s="357"/>
      <c r="R1600" s="357"/>
      <c r="S1600" s="303"/>
      <c r="T1600" s="307"/>
      <c r="U1600" s="311" t="e">
        <f>+VLOOKUP(C1600,Spreads!$A$2:$G$345,7,0)</f>
        <v>#N/A</v>
      </c>
    </row>
    <row r="1601" spans="1:21" ht="15.75" hidden="1" thickTop="1">
      <c r="A1601" s="354"/>
      <c r="B1601" s="354"/>
      <c r="C1601" s="354"/>
      <c r="D1601" s="354"/>
      <c r="E1601" s="355"/>
      <c r="F1601" s="355"/>
      <c r="G1601" s="314"/>
      <c r="H1601" s="360"/>
      <c r="I1601" s="354"/>
      <c r="J1601" s="354"/>
      <c r="K1601" s="354"/>
      <c r="L1601" s="354"/>
      <c r="M1601" s="354"/>
      <c r="N1601" s="354"/>
      <c r="O1601" s="354"/>
      <c r="P1601" s="354"/>
      <c r="Q1601" s="354"/>
      <c r="R1601" s="354"/>
      <c r="S1601" s="303"/>
      <c r="T1601" s="307"/>
      <c r="U1601" s="311" t="e">
        <f>+VLOOKUP(C1601,Spreads!$A$2:$G$345,7,0)</f>
        <v>#N/A</v>
      </c>
    </row>
    <row r="1602" spans="1:21" ht="15.75" hidden="1" thickTop="1">
      <c r="A1602" s="354"/>
      <c r="B1602" s="354"/>
      <c r="C1602" s="354"/>
      <c r="D1602" s="354"/>
      <c r="E1602" s="355"/>
      <c r="F1602" s="355"/>
      <c r="G1602" s="314"/>
      <c r="H1602" s="360"/>
      <c r="I1602" s="354"/>
      <c r="J1602" s="354"/>
      <c r="K1602" s="354"/>
      <c r="L1602" s="354"/>
      <c r="M1602" s="354"/>
      <c r="N1602" s="354"/>
      <c r="O1602" s="354"/>
      <c r="P1602" s="354"/>
      <c r="Q1602" s="354"/>
      <c r="R1602" s="354"/>
      <c r="S1602" s="303"/>
      <c r="T1602" s="307"/>
      <c r="U1602" s="311" t="e">
        <f>+VLOOKUP(C1602,Spreads!$A$2:$G$345,7,0)</f>
        <v>#N/A</v>
      </c>
    </row>
    <row r="1603" spans="1:21" ht="15.75" hidden="1" thickTop="1">
      <c r="A1603" s="357"/>
      <c r="B1603" s="357"/>
      <c r="C1603" s="357"/>
      <c r="D1603" s="357"/>
      <c r="E1603" s="358"/>
      <c r="F1603" s="358"/>
      <c r="G1603" s="314"/>
      <c r="H1603" s="357"/>
      <c r="I1603" s="357"/>
      <c r="J1603" s="357"/>
      <c r="K1603" s="357"/>
      <c r="L1603" s="357"/>
      <c r="M1603" s="357"/>
      <c r="N1603" s="357"/>
      <c r="O1603" s="357"/>
      <c r="P1603" s="357"/>
      <c r="Q1603" s="357"/>
      <c r="R1603" s="357"/>
      <c r="S1603" s="303"/>
      <c r="T1603" s="307"/>
      <c r="U1603" s="311" t="e">
        <f>+VLOOKUP(C1603,Spreads!$A$2:$G$345,7,0)</f>
        <v>#N/A</v>
      </c>
    </row>
    <row r="1604" spans="1:21" ht="15.75" hidden="1" thickTop="1">
      <c r="A1604" s="357"/>
      <c r="B1604" s="357"/>
      <c r="C1604" s="357"/>
      <c r="D1604" s="357"/>
      <c r="E1604" s="358"/>
      <c r="F1604" s="358"/>
      <c r="G1604" s="314"/>
      <c r="H1604" s="359"/>
      <c r="I1604" s="357"/>
      <c r="J1604" s="357"/>
      <c r="K1604" s="357"/>
      <c r="L1604" s="357"/>
      <c r="M1604" s="357"/>
      <c r="N1604" s="357"/>
      <c r="O1604" s="357"/>
      <c r="P1604" s="357"/>
      <c r="Q1604" s="357"/>
      <c r="R1604" s="357"/>
      <c r="S1604" s="303"/>
      <c r="T1604" s="307"/>
      <c r="U1604" s="311" t="e">
        <f>+VLOOKUP(C1604,Spreads!$A$2:$G$345,7,0)</f>
        <v>#N/A</v>
      </c>
    </row>
    <row r="1605" spans="1:21" ht="15.75" hidden="1" thickTop="1">
      <c r="A1605" s="357"/>
      <c r="B1605" s="357"/>
      <c r="C1605" s="357"/>
      <c r="D1605" s="357"/>
      <c r="E1605" s="358"/>
      <c r="F1605" s="358"/>
      <c r="G1605" s="356"/>
      <c r="H1605" s="359"/>
      <c r="I1605" s="357"/>
      <c r="J1605" s="357"/>
      <c r="K1605" s="357"/>
      <c r="L1605" s="357"/>
      <c r="M1605" s="357"/>
      <c r="N1605" s="357"/>
      <c r="O1605" s="357"/>
      <c r="P1605" s="357"/>
      <c r="Q1605" s="357"/>
      <c r="R1605" s="357"/>
      <c r="S1605" s="303"/>
      <c r="T1605" s="307"/>
      <c r="U1605" s="311" t="e">
        <f>+VLOOKUP(C1605,Spreads!$A$2:$G$345,7,0)</f>
        <v>#N/A</v>
      </c>
    </row>
    <row r="1606" spans="1:21" ht="15.75" hidden="1" thickTop="1">
      <c r="A1606" s="361"/>
      <c r="B1606" s="361"/>
      <c r="C1606" s="361"/>
      <c r="D1606" s="361"/>
      <c r="E1606" s="361"/>
      <c r="F1606" s="361"/>
      <c r="G1606" s="361"/>
      <c r="H1606" s="363"/>
      <c r="I1606" s="361"/>
      <c r="J1606" s="361"/>
      <c r="K1606" s="361"/>
      <c r="L1606" s="361"/>
      <c r="M1606" s="361"/>
      <c r="N1606" s="361"/>
      <c r="O1606" s="361"/>
      <c r="P1606" s="361"/>
      <c r="Q1606" s="361"/>
      <c r="R1606" s="361"/>
      <c r="S1606" s="303"/>
      <c r="T1606" s="307"/>
      <c r="U1606" s="311" t="e">
        <f>+VLOOKUP(C1606,Spreads!$A$2:$G$345,7,0)</f>
        <v>#N/A</v>
      </c>
    </row>
    <row r="1607" spans="1:21" ht="15.75" hidden="1" thickTop="1">
      <c r="A1607" s="354"/>
      <c r="B1607" s="354"/>
      <c r="C1607" s="354"/>
      <c r="D1607" s="354"/>
      <c r="E1607" s="355"/>
      <c r="F1607" s="355"/>
      <c r="G1607" s="356"/>
      <c r="H1607" s="360"/>
      <c r="I1607" s="354"/>
      <c r="J1607" s="354"/>
      <c r="K1607" s="354"/>
      <c r="L1607" s="354"/>
      <c r="M1607" s="354"/>
      <c r="N1607" s="354"/>
      <c r="O1607" s="354"/>
      <c r="P1607" s="354"/>
      <c r="Q1607" s="354"/>
      <c r="R1607" s="354"/>
      <c r="S1607" s="303"/>
      <c r="T1607" s="307"/>
      <c r="U1607" s="311" t="e">
        <f>+VLOOKUP(C1607,Spreads!$A$2:$G$345,7,0)</f>
        <v>#N/A</v>
      </c>
    </row>
    <row r="1608" spans="1:21" ht="15.75" hidden="1" thickTop="1">
      <c r="A1608" s="354"/>
      <c r="B1608" s="354"/>
      <c r="C1608" s="354"/>
      <c r="D1608" s="354"/>
      <c r="E1608" s="355"/>
      <c r="F1608" s="355"/>
      <c r="G1608" s="356"/>
      <c r="H1608" s="360"/>
      <c r="I1608" s="354"/>
      <c r="J1608" s="354"/>
      <c r="K1608" s="354"/>
      <c r="L1608" s="354"/>
      <c r="M1608" s="354"/>
      <c r="N1608" s="354"/>
      <c r="O1608" s="354"/>
      <c r="P1608" s="354"/>
      <c r="Q1608" s="354"/>
      <c r="R1608" s="354"/>
      <c r="S1608" s="303"/>
      <c r="T1608" s="307"/>
      <c r="U1608" s="311" t="e">
        <f>+VLOOKUP(C1608,Spreads!$A$2:$G$345,7,0)</f>
        <v>#N/A</v>
      </c>
    </row>
    <row r="1609" spans="1:21" ht="15.75" hidden="1" thickTop="1">
      <c r="A1609" s="361"/>
      <c r="B1609" s="361"/>
      <c r="C1609" s="361"/>
      <c r="D1609" s="361"/>
      <c r="E1609" s="361"/>
      <c r="F1609" s="361"/>
      <c r="G1609" s="361"/>
      <c r="H1609" s="363"/>
      <c r="I1609" s="361"/>
      <c r="J1609" s="361"/>
      <c r="K1609" s="361"/>
      <c r="L1609" s="361"/>
      <c r="M1609" s="361"/>
      <c r="N1609" s="361"/>
      <c r="O1609" s="361"/>
      <c r="P1609" s="361"/>
      <c r="Q1609" s="361"/>
      <c r="R1609" s="361"/>
      <c r="S1609" s="303"/>
      <c r="T1609" s="307"/>
      <c r="U1609" s="311" t="e">
        <f>+VLOOKUP(C1609,Spreads!$A$2:$G$345,7,0)</f>
        <v>#N/A</v>
      </c>
    </row>
    <row r="1610" spans="1:21" ht="15.75" hidden="1" thickTop="1">
      <c r="A1610" s="357"/>
      <c r="B1610" s="357"/>
      <c r="C1610" s="357"/>
      <c r="D1610" s="357"/>
      <c r="E1610" s="358"/>
      <c r="F1610" s="358"/>
      <c r="G1610" s="356"/>
      <c r="H1610" s="359"/>
      <c r="I1610" s="357"/>
      <c r="J1610" s="357"/>
      <c r="K1610" s="357"/>
      <c r="L1610" s="357"/>
      <c r="M1610" s="357"/>
      <c r="N1610" s="357"/>
      <c r="O1610" s="357"/>
      <c r="P1610" s="357"/>
      <c r="Q1610" s="357"/>
      <c r="R1610" s="357"/>
      <c r="S1610" s="303"/>
      <c r="T1610" s="307"/>
      <c r="U1610" s="311" t="e">
        <f>+VLOOKUP(C1610,Spreads!$A$2:$G$345,7,0)</f>
        <v>#N/A</v>
      </c>
    </row>
    <row r="1611" spans="1:21" ht="15.75" hidden="1" thickTop="1">
      <c r="A1611" s="361"/>
      <c r="B1611" s="361"/>
      <c r="C1611" s="361"/>
      <c r="D1611" s="361"/>
      <c r="E1611" s="361"/>
      <c r="F1611" s="361"/>
      <c r="G1611" s="361"/>
      <c r="H1611" s="363"/>
      <c r="I1611" s="361"/>
      <c r="J1611" s="361"/>
      <c r="K1611" s="361"/>
      <c r="L1611" s="361"/>
      <c r="M1611" s="361"/>
      <c r="N1611" s="361"/>
      <c r="O1611" s="361"/>
      <c r="P1611" s="361"/>
      <c r="Q1611" s="361"/>
      <c r="R1611" s="361"/>
      <c r="S1611" s="303"/>
      <c r="T1611" s="307"/>
      <c r="U1611" s="311" t="e">
        <f>+VLOOKUP(C1611,Spreads!$A$2:$G$345,7,0)</f>
        <v>#N/A</v>
      </c>
    </row>
    <row r="1612" spans="1:21" ht="15.75" hidden="1" thickTop="1">
      <c r="A1612" s="357"/>
      <c r="B1612" s="357"/>
      <c r="C1612" s="357"/>
      <c r="D1612" s="357"/>
      <c r="E1612" s="358"/>
      <c r="F1612" s="358"/>
      <c r="G1612" s="356"/>
      <c r="H1612" s="359"/>
      <c r="I1612" s="357"/>
      <c r="J1612" s="357"/>
      <c r="K1612" s="357"/>
      <c r="L1612" s="357"/>
      <c r="M1612" s="357"/>
      <c r="N1612" s="357"/>
      <c r="O1612" s="357"/>
      <c r="P1612" s="357"/>
      <c r="Q1612" s="357"/>
      <c r="R1612" s="357"/>
      <c r="S1612" s="303"/>
      <c r="T1612" s="307"/>
      <c r="U1612" s="311" t="e">
        <f>+VLOOKUP(C1612,Spreads!$A$2:$G$345,7,0)</f>
        <v>#N/A</v>
      </c>
    </row>
    <row r="1613" spans="1:21" ht="15.75" hidden="1" thickTop="1">
      <c r="A1613" s="354"/>
      <c r="B1613" s="354"/>
      <c r="C1613" s="354"/>
      <c r="D1613" s="354"/>
      <c r="E1613" s="355"/>
      <c r="F1613" s="355"/>
      <c r="G1613" s="356"/>
      <c r="H1613" s="354"/>
      <c r="I1613" s="354"/>
      <c r="J1613" s="354"/>
      <c r="K1613" s="354"/>
      <c r="L1613" s="354"/>
      <c r="M1613" s="354"/>
      <c r="N1613" s="354"/>
      <c r="O1613" s="354"/>
      <c r="P1613" s="354"/>
      <c r="Q1613" s="354"/>
      <c r="R1613" s="354"/>
      <c r="S1613" s="303"/>
      <c r="T1613" s="307"/>
      <c r="U1613" s="311" t="e">
        <f>+VLOOKUP(C1613,Spreads!$A$2:$G$345,7,0)</f>
        <v>#N/A</v>
      </c>
    </row>
    <row r="1614" spans="1:21" ht="15.75" hidden="1" thickTop="1">
      <c r="A1614" s="354"/>
      <c r="B1614" s="354"/>
      <c r="C1614" s="354"/>
      <c r="D1614" s="354"/>
      <c r="E1614" s="355"/>
      <c r="F1614" s="355"/>
      <c r="G1614" s="356"/>
      <c r="H1614" s="360"/>
      <c r="I1614" s="354"/>
      <c r="J1614" s="354"/>
      <c r="K1614" s="354"/>
      <c r="L1614" s="354"/>
      <c r="M1614" s="354"/>
      <c r="N1614" s="354"/>
      <c r="O1614" s="354"/>
      <c r="P1614" s="354"/>
      <c r="Q1614" s="354"/>
      <c r="R1614" s="354"/>
      <c r="S1614" s="303"/>
      <c r="T1614" s="307"/>
      <c r="U1614" s="311" t="e">
        <f>+VLOOKUP(C1614,Spreads!$A$2:$G$345,7,0)</f>
        <v>#N/A</v>
      </c>
    </row>
    <row r="1615" spans="1:21" ht="15.75" hidden="1" thickTop="1">
      <c r="A1615" s="357"/>
      <c r="B1615" s="357"/>
      <c r="C1615" s="357"/>
      <c r="D1615" s="357"/>
      <c r="E1615" s="358"/>
      <c r="F1615" s="358"/>
      <c r="G1615" s="356"/>
      <c r="H1615" s="359"/>
      <c r="I1615" s="357"/>
      <c r="J1615" s="357"/>
      <c r="K1615" s="357"/>
      <c r="L1615" s="357"/>
      <c r="M1615" s="357"/>
      <c r="N1615" s="357"/>
      <c r="O1615" s="357"/>
      <c r="P1615" s="357"/>
      <c r="Q1615" s="357"/>
      <c r="R1615" s="357"/>
      <c r="S1615" s="303"/>
      <c r="T1615" s="307"/>
      <c r="U1615" s="311" t="e">
        <f>+VLOOKUP(C1615,Spreads!$A$2:$G$345,7,0)</f>
        <v>#N/A</v>
      </c>
    </row>
    <row r="1616" spans="1:21" ht="15.75" hidden="1" thickTop="1">
      <c r="A1616" s="354"/>
      <c r="B1616" s="354"/>
      <c r="C1616" s="354"/>
      <c r="D1616" s="354"/>
      <c r="E1616" s="355"/>
      <c r="F1616" s="355"/>
      <c r="G1616" s="314"/>
      <c r="H1616" s="360"/>
      <c r="I1616" s="354"/>
      <c r="J1616" s="354"/>
      <c r="K1616" s="354"/>
      <c r="L1616" s="354"/>
      <c r="M1616" s="354"/>
      <c r="N1616" s="354"/>
      <c r="O1616" s="354"/>
      <c r="P1616" s="354"/>
      <c r="Q1616" s="354"/>
      <c r="R1616" s="354"/>
      <c r="S1616" s="303"/>
      <c r="T1616" s="307"/>
      <c r="U1616" s="311" t="e">
        <f>+VLOOKUP(C1616,Spreads!$A$2:$G$345,7,0)</f>
        <v>#N/A</v>
      </c>
    </row>
    <row r="1617" spans="1:21" ht="15.75" hidden="1" thickTop="1">
      <c r="A1617" s="357"/>
      <c r="B1617" s="357"/>
      <c r="C1617" s="357"/>
      <c r="D1617" s="357"/>
      <c r="E1617" s="358"/>
      <c r="F1617" s="358"/>
      <c r="G1617" s="356"/>
      <c r="H1617" s="359"/>
      <c r="I1617" s="357"/>
      <c r="J1617" s="357"/>
      <c r="K1617" s="357"/>
      <c r="L1617" s="357"/>
      <c r="M1617" s="357"/>
      <c r="N1617" s="357"/>
      <c r="O1617" s="357"/>
      <c r="P1617" s="357"/>
      <c r="Q1617" s="357"/>
      <c r="R1617" s="357"/>
      <c r="S1617" s="303"/>
      <c r="T1617" s="307"/>
      <c r="U1617" s="311" t="e">
        <f>+VLOOKUP(C1617,Spreads!$A$2:$G$345,7,0)</f>
        <v>#N/A</v>
      </c>
    </row>
    <row r="1618" spans="1:21" ht="15.75" hidden="1" thickTop="1">
      <c r="A1618" s="354"/>
      <c r="B1618" s="354"/>
      <c r="C1618" s="354"/>
      <c r="D1618" s="354"/>
      <c r="E1618" s="355"/>
      <c r="F1618" s="355"/>
      <c r="G1618" s="314"/>
      <c r="H1618" s="366"/>
      <c r="I1618" s="354"/>
      <c r="J1618" s="354"/>
      <c r="K1618" s="354"/>
      <c r="L1618" s="354"/>
      <c r="M1618" s="354"/>
      <c r="N1618" s="354"/>
      <c r="O1618" s="354"/>
      <c r="P1618" s="354"/>
      <c r="Q1618" s="354"/>
      <c r="R1618" s="354"/>
      <c r="S1618" s="303"/>
      <c r="T1618" s="307"/>
      <c r="U1618" s="311" t="e">
        <f>+VLOOKUP(C1618,Spreads!$A$2:$G$345,7,0)</f>
        <v>#N/A</v>
      </c>
    </row>
    <row r="1619" spans="1:21" ht="15.75" hidden="1" thickTop="1">
      <c r="A1619" s="361"/>
      <c r="B1619" s="361"/>
      <c r="C1619" s="361"/>
      <c r="D1619" s="361"/>
      <c r="E1619" s="361"/>
      <c r="F1619" s="361"/>
      <c r="G1619" s="328"/>
      <c r="H1619" s="363"/>
      <c r="I1619" s="361"/>
      <c r="J1619" s="361"/>
      <c r="K1619" s="361"/>
      <c r="L1619" s="361"/>
      <c r="M1619" s="361"/>
      <c r="N1619" s="361"/>
      <c r="O1619" s="361"/>
      <c r="P1619" s="361"/>
      <c r="Q1619" s="361"/>
      <c r="R1619" s="361"/>
      <c r="S1619" s="303"/>
      <c r="T1619" s="307"/>
      <c r="U1619" s="311" t="e">
        <f>+VLOOKUP(C1619,Spreads!$A$2:$G$345,7,0)</f>
        <v>#N/A</v>
      </c>
    </row>
    <row r="1620" spans="1:21" ht="15.75" hidden="1" thickTop="1">
      <c r="A1620" s="354"/>
      <c r="B1620" s="354"/>
      <c r="C1620" s="354"/>
      <c r="D1620" s="354"/>
      <c r="E1620" s="355"/>
      <c r="F1620" s="355"/>
      <c r="G1620" s="314"/>
      <c r="H1620" s="360"/>
      <c r="I1620" s="354"/>
      <c r="J1620" s="354"/>
      <c r="K1620" s="354"/>
      <c r="L1620" s="354"/>
      <c r="M1620" s="354"/>
      <c r="N1620" s="354"/>
      <c r="O1620" s="354"/>
      <c r="P1620" s="354"/>
      <c r="Q1620" s="354"/>
      <c r="R1620" s="354"/>
      <c r="S1620" s="303"/>
      <c r="T1620" s="307"/>
      <c r="U1620" s="311" t="e">
        <f>+VLOOKUP(C1620,Spreads!$A$2:$G$345,7,0)</f>
        <v>#N/A</v>
      </c>
    </row>
    <row r="1621" spans="1:21" ht="15.75" hidden="1" thickTop="1">
      <c r="A1621" s="354"/>
      <c r="B1621" s="354"/>
      <c r="C1621" s="354"/>
      <c r="D1621" s="354"/>
      <c r="E1621" s="355"/>
      <c r="F1621" s="355"/>
      <c r="G1621" s="356"/>
      <c r="H1621" s="360"/>
      <c r="I1621" s="354"/>
      <c r="J1621" s="354"/>
      <c r="K1621" s="354"/>
      <c r="L1621" s="354"/>
      <c r="M1621" s="354"/>
      <c r="N1621" s="354"/>
      <c r="O1621" s="354"/>
      <c r="P1621" s="354"/>
      <c r="Q1621" s="354"/>
      <c r="R1621" s="354"/>
      <c r="S1621" s="303"/>
      <c r="T1621" s="307"/>
      <c r="U1621" s="311" t="e">
        <f>+VLOOKUP(C1621,Spreads!$A$2:$G$345,7,0)</f>
        <v>#N/A</v>
      </c>
    </row>
    <row r="1622" spans="1:21" ht="15.75" hidden="1" thickTop="1">
      <c r="A1622" s="357"/>
      <c r="B1622" s="357"/>
      <c r="C1622" s="357"/>
      <c r="D1622" s="357"/>
      <c r="E1622" s="358"/>
      <c r="F1622" s="358"/>
      <c r="G1622" s="356"/>
      <c r="H1622" s="359"/>
      <c r="I1622" s="357"/>
      <c r="J1622" s="357"/>
      <c r="K1622" s="357"/>
      <c r="L1622" s="357"/>
      <c r="M1622" s="357"/>
      <c r="N1622" s="357"/>
      <c r="O1622" s="357"/>
      <c r="P1622" s="357"/>
      <c r="Q1622" s="357"/>
      <c r="R1622" s="357"/>
      <c r="S1622" s="303"/>
      <c r="T1622" s="307"/>
      <c r="U1622" s="311" t="e">
        <f>+VLOOKUP(C1622,Spreads!$A$2:$G$345,7,0)</f>
        <v>#N/A</v>
      </c>
    </row>
    <row r="1623" spans="1:21" ht="15.75" hidden="1" thickTop="1">
      <c r="A1623" s="357"/>
      <c r="B1623" s="357"/>
      <c r="C1623" s="357"/>
      <c r="D1623" s="357"/>
      <c r="E1623" s="358"/>
      <c r="F1623" s="358"/>
      <c r="G1623" s="356"/>
      <c r="H1623" s="359"/>
      <c r="I1623" s="357"/>
      <c r="J1623" s="357"/>
      <c r="K1623" s="357"/>
      <c r="L1623" s="357"/>
      <c r="M1623" s="357"/>
      <c r="N1623" s="357"/>
      <c r="O1623" s="357"/>
      <c r="P1623" s="357"/>
      <c r="Q1623" s="357"/>
      <c r="R1623" s="357"/>
      <c r="S1623" s="303"/>
      <c r="T1623" s="307"/>
      <c r="U1623" s="311" t="e">
        <f>+VLOOKUP(C1623,Spreads!$A$2:$G$345,7,0)</f>
        <v>#N/A</v>
      </c>
    </row>
    <row r="1624" spans="1:21" ht="15.75" hidden="1" thickTop="1">
      <c r="A1624" s="354"/>
      <c r="B1624" s="354"/>
      <c r="C1624" s="354"/>
      <c r="D1624" s="354"/>
      <c r="E1624" s="355"/>
      <c r="F1624" s="355"/>
      <c r="G1624" s="356"/>
      <c r="H1624" s="360"/>
      <c r="I1624" s="354"/>
      <c r="J1624" s="354"/>
      <c r="K1624" s="354"/>
      <c r="L1624" s="354"/>
      <c r="M1624" s="354"/>
      <c r="N1624" s="354"/>
      <c r="O1624" s="354"/>
      <c r="P1624" s="354"/>
      <c r="Q1624" s="354"/>
      <c r="R1624" s="354"/>
      <c r="S1624" s="303"/>
      <c r="T1624" s="307"/>
      <c r="U1624" s="311" t="e">
        <f>+VLOOKUP(C1624,Spreads!$A$2:$G$345,7,0)</f>
        <v>#N/A</v>
      </c>
    </row>
    <row r="1625" spans="1:21" ht="15.75" hidden="1" thickTop="1">
      <c r="A1625" s="361"/>
      <c r="B1625" s="361"/>
      <c r="C1625" s="361"/>
      <c r="D1625" s="361"/>
      <c r="E1625" s="361"/>
      <c r="F1625" s="364"/>
      <c r="G1625" s="361"/>
      <c r="H1625" s="363"/>
      <c r="I1625" s="361"/>
      <c r="J1625" s="361"/>
      <c r="K1625" s="361"/>
      <c r="L1625" s="361"/>
      <c r="M1625" s="361"/>
      <c r="N1625" s="361"/>
      <c r="O1625" s="361"/>
      <c r="P1625" s="361"/>
      <c r="Q1625" s="361"/>
      <c r="R1625" s="361"/>
      <c r="S1625" s="303"/>
      <c r="T1625" s="307"/>
      <c r="U1625" s="311" t="e">
        <f>+VLOOKUP(C1625,Spreads!$A$2:$G$345,7,0)</f>
        <v>#N/A</v>
      </c>
    </row>
    <row r="1626" spans="1:21" ht="15.75" hidden="1" thickTop="1">
      <c r="A1626" s="354"/>
      <c r="B1626" s="354"/>
      <c r="C1626" s="354"/>
      <c r="D1626" s="354"/>
      <c r="E1626" s="355"/>
      <c r="F1626" s="355"/>
      <c r="G1626" s="356"/>
      <c r="H1626" s="360"/>
      <c r="I1626" s="354"/>
      <c r="J1626" s="354"/>
      <c r="K1626" s="354"/>
      <c r="L1626" s="354"/>
      <c r="M1626" s="354"/>
      <c r="N1626" s="354"/>
      <c r="O1626" s="354"/>
      <c r="P1626" s="354"/>
      <c r="Q1626" s="354"/>
      <c r="R1626" s="354"/>
      <c r="S1626" s="303"/>
      <c r="T1626" s="307"/>
      <c r="U1626" s="311" t="e">
        <f>+VLOOKUP(C1626,Spreads!$A$2:$G$345,7,0)</f>
        <v>#N/A</v>
      </c>
    </row>
    <row r="1627" spans="1:21" ht="15.75" hidden="1" thickTop="1">
      <c r="A1627" s="354"/>
      <c r="B1627" s="354"/>
      <c r="C1627" s="354"/>
      <c r="D1627" s="354"/>
      <c r="E1627" s="355"/>
      <c r="F1627" s="355"/>
      <c r="G1627" s="356"/>
      <c r="H1627" s="360"/>
      <c r="I1627" s="354"/>
      <c r="J1627" s="354"/>
      <c r="K1627" s="354"/>
      <c r="L1627" s="354"/>
      <c r="M1627" s="354"/>
      <c r="N1627" s="354"/>
      <c r="O1627" s="354"/>
      <c r="P1627" s="354"/>
      <c r="Q1627" s="354"/>
      <c r="R1627" s="354"/>
      <c r="S1627" s="303"/>
      <c r="T1627" s="307"/>
      <c r="U1627" s="311" t="e">
        <f>+VLOOKUP(C1627,Spreads!$A$2:$G$345,7,0)</f>
        <v>#N/A</v>
      </c>
    </row>
    <row r="1628" spans="1:21" ht="15.75" hidden="1" thickTop="1">
      <c r="A1628" s="354"/>
      <c r="B1628" s="354"/>
      <c r="C1628" s="354"/>
      <c r="D1628" s="354"/>
      <c r="E1628" s="355"/>
      <c r="F1628" s="355"/>
      <c r="G1628" s="356"/>
      <c r="H1628" s="360"/>
      <c r="I1628" s="354"/>
      <c r="J1628" s="354"/>
      <c r="K1628" s="354"/>
      <c r="L1628" s="354"/>
      <c r="M1628" s="354"/>
      <c r="N1628" s="354"/>
      <c r="O1628" s="354"/>
      <c r="P1628" s="354"/>
      <c r="Q1628" s="354"/>
      <c r="R1628" s="354"/>
      <c r="S1628" s="303"/>
      <c r="T1628" s="307"/>
      <c r="U1628" s="311" t="e">
        <f>+VLOOKUP(C1628,Spreads!$A$2:$G$345,7,0)</f>
        <v>#N/A</v>
      </c>
    </row>
    <row r="1629" spans="1:21" ht="15.75" hidden="1" thickTop="1">
      <c r="A1629" s="354"/>
      <c r="B1629" s="354"/>
      <c r="C1629" s="354"/>
      <c r="D1629" s="354"/>
      <c r="E1629" s="355"/>
      <c r="F1629" s="355"/>
      <c r="G1629" s="356"/>
      <c r="H1629" s="360"/>
      <c r="I1629" s="354"/>
      <c r="J1629" s="354"/>
      <c r="K1629" s="354"/>
      <c r="L1629" s="354"/>
      <c r="M1629" s="354"/>
      <c r="N1629" s="354"/>
      <c r="O1629" s="354"/>
      <c r="P1629" s="354"/>
      <c r="Q1629" s="354"/>
      <c r="R1629" s="354"/>
      <c r="S1629" s="303"/>
      <c r="T1629" s="307"/>
      <c r="U1629" s="311" t="e">
        <f>+VLOOKUP(C1629,Spreads!$A$2:$G$345,7,0)</f>
        <v>#N/A</v>
      </c>
    </row>
    <row r="1630" spans="1:21" ht="15.75" hidden="1" thickTop="1">
      <c r="A1630" s="357"/>
      <c r="B1630" s="357"/>
      <c r="C1630" s="357"/>
      <c r="D1630" s="357"/>
      <c r="E1630" s="358"/>
      <c r="F1630" s="358"/>
      <c r="G1630" s="356"/>
      <c r="H1630" s="357"/>
      <c r="I1630" s="357"/>
      <c r="J1630" s="357"/>
      <c r="K1630" s="357"/>
      <c r="L1630" s="357"/>
      <c r="M1630" s="357"/>
      <c r="N1630" s="357"/>
      <c r="O1630" s="357"/>
      <c r="P1630" s="357"/>
      <c r="Q1630" s="357"/>
      <c r="R1630" s="357"/>
      <c r="S1630" s="303"/>
      <c r="T1630" s="307"/>
      <c r="U1630" s="311" t="e">
        <f>+VLOOKUP(C1630,Spreads!$A$2:$G$345,7,0)</f>
        <v>#N/A</v>
      </c>
    </row>
    <row r="1631" spans="1:21" ht="15.75" hidden="1" thickTop="1">
      <c r="A1631" s="357"/>
      <c r="B1631" s="357"/>
      <c r="C1631" s="357"/>
      <c r="D1631" s="357"/>
      <c r="E1631" s="358"/>
      <c r="F1631" s="358"/>
      <c r="G1631" s="356"/>
      <c r="H1631" s="357"/>
      <c r="I1631" s="357"/>
      <c r="J1631" s="357"/>
      <c r="K1631" s="357"/>
      <c r="L1631" s="357"/>
      <c r="M1631" s="357"/>
      <c r="N1631" s="357"/>
      <c r="O1631" s="357"/>
      <c r="P1631" s="357"/>
      <c r="Q1631" s="357"/>
      <c r="R1631" s="357"/>
      <c r="S1631" s="303"/>
      <c r="T1631" s="307"/>
      <c r="U1631" s="311" t="e">
        <f>+VLOOKUP(C1631,Spreads!$A$2:$G$345,7,0)</f>
        <v>#N/A</v>
      </c>
    </row>
    <row r="1632" spans="1:21" ht="15.75" hidden="1" thickTop="1">
      <c r="A1632" s="361"/>
      <c r="B1632" s="361"/>
      <c r="C1632" s="361"/>
      <c r="D1632" s="361"/>
      <c r="E1632" s="361"/>
      <c r="F1632" s="361"/>
      <c r="G1632" s="361"/>
      <c r="H1632" s="363"/>
      <c r="I1632" s="361"/>
      <c r="J1632" s="361"/>
      <c r="K1632" s="361"/>
      <c r="L1632" s="361"/>
      <c r="M1632" s="361"/>
      <c r="N1632" s="361"/>
      <c r="O1632" s="361"/>
      <c r="P1632" s="361"/>
      <c r="Q1632" s="361"/>
      <c r="R1632" s="361"/>
      <c r="S1632" s="303"/>
      <c r="T1632" s="307"/>
      <c r="U1632" s="311" t="e">
        <f>+VLOOKUP(C1632,Spreads!$A$2:$G$345,7,0)</f>
        <v>#N/A</v>
      </c>
    </row>
    <row r="1633" spans="1:21" ht="15.75" hidden="1" thickTop="1">
      <c r="A1633" s="357"/>
      <c r="B1633" s="357"/>
      <c r="C1633" s="357"/>
      <c r="D1633" s="357"/>
      <c r="E1633" s="358"/>
      <c r="F1633" s="358"/>
      <c r="G1633" s="356"/>
      <c r="H1633" s="359"/>
      <c r="I1633" s="357"/>
      <c r="J1633" s="357"/>
      <c r="K1633" s="357"/>
      <c r="L1633" s="357"/>
      <c r="M1633" s="357"/>
      <c r="N1633" s="357"/>
      <c r="O1633" s="357"/>
      <c r="P1633" s="357"/>
      <c r="Q1633" s="357"/>
      <c r="R1633" s="357"/>
      <c r="S1633" s="303"/>
      <c r="T1633" s="307"/>
      <c r="U1633" s="311" t="e">
        <f>+VLOOKUP(C1633,Spreads!$A$2:$G$345,7,0)</f>
        <v>#N/A</v>
      </c>
    </row>
    <row r="1634" spans="1:21" ht="15.75" hidden="1" thickTop="1">
      <c r="A1634" s="357"/>
      <c r="B1634" s="357"/>
      <c r="C1634" s="357"/>
      <c r="D1634" s="357"/>
      <c r="E1634" s="358"/>
      <c r="F1634" s="358"/>
      <c r="G1634" s="356"/>
      <c r="H1634" s="359"/>
      <c r="I1634" s="357"/>
      <c r="J1634" s="357"/>
      <c r="K1634" s="357"/>
      <c r="L1634" s="357"/>
      <c r="M1634" s="357"/>
      <c r="N1634" s="357"/>
      <c r="O1634" s="357"/>
      <c r="P1634" s="357"/>
      <c r="Q1634" s="357"/>
      <c r="R1634" s="357"/>
      <c r="S1634" s="303"/>
      <c r="T1634" s="307"/>
      <c r="U1634" s="311" t="e">
        <f>+VLOOKUP(C1634,Spreads!$A$2:$G$345,7,0)</f>
        <v>#N/A</v>
      </c>
    </row>
    <row r="1635" spans="1:21" ht="15.75" hidden="1" thickTop="1">
      <c r="A1635" s="357"/>
      <c r="B1635" s="357"/>
      <c r="C1635" s="357"/>
      <c r="D1635" s="357"/>
      <c r="E1635" s="358"/>
      <c r="F1635" s="358"/>
      <c r="G1635" s="356"/>
      <c r="H1635" s="359"/>
      <c r="I1635" s="357"/>
      <c r="J1635" s="357"/>
      <c r="K1635" s="357"/>
      <c r="L1635" s="357"/>
      <c r="M1635" s="357"/>
      <c r="N1635" s="357"/>
      <c r="O1635" s="357"/>
      <c r="P1635" s="357"/>
      <c r="Q1635" s="357"/>
      <c r="R1635" s="357"/>
      <c r="S1635" s="303"/>
      <c r="T1635" s="307"/>
      <c r="U1635" s="311" t="e">
        <f>+VLOOKUP(C1635,Spreads!$A$2:$G$345,7,0)</f>
        <v>#N/A</v>
      </c>
    </row>
    <row r="1636" spans="1:21" ht="15.75" hidden="1" thickTop="1">
      <c r="A1636" s="354"/>
      <c r="B1636" s="354"/>
      <c r="C1636" s="354"/>
      <c r="D1636" s="354"/>
      <c r="E1636" s="355"/>
      <c r="F1636" s="355"/>
      <c r="G1636" s="356"/>
      <c r="H1636" s="360"/>
      <c r="I1636" s="354"/>
      <c r="J1636" s="354"/>
      <c r="K1636" s="354"/>
      <c r="L1636" s="354"/>
      <c r="M1636" s="354"/>
      <c r="N1636" s="354"/>
      <c r="O1636" s="354"/>
      <c r="P1636" s="354"/>
      <c r="Q1636" s="354"/>
      <c r="R1636" s="354"/>
      <c r="S1636" s="303"/>
      <c r="T1636" s="307"/>
      <c r="U1636" s="311" t="e">
        <f>+VLOOKUP(C1636,Spreads!$A$2:$G$345,7,0)</f>
        <v>#N/A</v>
      </c>
    </row>
    <row r="1637" spans="1:21" ht="15.75" hidden="1" thickTop="1">
      <c r="A1637" s="357"/>
      <c r="B1637" s="357"/>
      <c r="C1637" s="357"/>
      <c r="D1637" s="357"/>
      <c r="E1637" s="358"/>
      <c r="F1637" s="358"/>
      <c r="G1637" s="356"/>
      <c r="H1637" s="359"/>
      <c r="I1637" s="357"/>
      <c r="J1637" s="357"/>
      <c r="K1637" s="357"/>
      <c r="L1637" s="357"/>
      <c r="M1637" s="357"/>
      <c r="N1637" s="357"/>
      <c r="O1637" s="357"/>
      <c r="P1637" s="357"/>
      <c r="Q1637" s="357"/>
      <c r="R1637" s="357"/>
      <c r="S1637" s="303"/>
      <c r="T1637" s="307"/>
      <c r="U1637" s="311" t="e">
        <f>+VLOOKUP(C1637,Spreads!$A$2:$G$345,7,0)</f>
        <v>#N/A</v>
      </c>
    </row>
    <row r="1638" spans="1:21" ht="15.75" hidden="1" thickTop="1">
      <c r="A1638" s="357"/>
      <c r="B1638" s="357"/>
      <c r="C1638" s="357"/>
      <c r="D1638" s="357"/>
      <c r="E1638" s="358"/>
      <c r="F1638" s="358"/>
      <c r="G1638" s="356"/>
      <c r="H1638" s="357"/>
      <c r="I1638" s="357"/>
      <c r="J1638" s="357"/>
      <c r="K1638" s="357"/>
      <c r="L1638" s="357"/>
      <c r="M1638" s="357"/>
      <c r="N1638" s="357"/>
      <c r="O1638" s="357"/>
      <c r="P1638" s="357"/>
      <c r="Q1638" s="357"/>
      <c r="R1638" s="357"/>
      <c r="S1638" s="303"/>
      <c r="T1638" s="307"/>
      <c r="U1638" s="311" t="e">
        <f>+VLOOKUP(C1638,Spreads!$A$2:$G$345,7,0)</f>
        <v>#N/A</v>
      </c>
    </row>
    <row r="1639" spans="1:21" ht="15.75" hidden="1" thickTop="1">
      <c r="A1639" s="357"/>
      <c r="B1639" s="357"/>
      <c r="C1639" s="357"/>
      <c r="D1639" s="357"/>
      <c r="E1639" s="358"/>
      <c r="F1639" s="358"/>
      <c r="G1639" s="356"/>
      <c r="H1639" s="357"/>
      <c r="I1639" s="357"/>
      <c r="J1639" s="357"/>
      <c r="K1639" s="357"/>
      <c r="L1639" s="357"/>
      <c r="M1639" s="357"/>
      <c r="N1639" s="357"/>
      <c r="O1639" s="357"/>
      <c r="P1639" s="357"/>
      <c r="Q1639" s="357"/>
      <c r="R1639" s="357"/>
      <c r="S1639" s="303"/>
      <c r="T1639" s="307"/>
      <c r="U1639" s="311" t="e">
        <f>+VLOOKUP(C1639,Spreads!$A$2:$G$345,7,0)</f>
        <v>#N/A</v>
      </c>
    </row>
    <row r="1640" spans="1:21" ht="15.75" hidden="1" thickTop="1">
      <c r="A1640" s="357"/>
      <c r="B1640" s="357"/>
      <c r="C1640" s="357"/>
      <c r="D1640" s="357"/>
      <c r="E1640" s="358"/>
      <c r="F1640" s="358"/>
      <c r="G1640" s="356"/>
      <c r="H1640" s="359"/>
      <c r="I1640" s="357"/>
      <c r="J1640" s="357"/>
      <c r="K1640" s="357"/>
      <c r="L1640" s="357"/>
      <c r="M1640" s="357"/>
      <c r="N1640" s="357"/>
      <c r="O1640" s="357"/>
      <c r="P1640" s="357"/>
      <c r="Q1640" s="357"/>
      <c r="R1640" s="357"/>
      <c r="S1640" s="303"/>
      <c r="T1640" s="307"/>
      <c r="U1640" s="311" t="e">
        <f>+VLOOKUP(C1640,Spreads!$A$2:$G$345,7,0)</f>
        <v>#N/A</v>
      </c>
    </row>
    <row r="1641" spans="1:21" ht="15.75" hidden="1" thickTop="1">
      <c r="A1641" s="357"/>
      <c r="B1641" s="357"/>
      <c r="C1641" s="357"/>
      <c r="D1641" s="357"/>
      <c r="E1641" s="358"/>
      <c r="F1641" s="358"/>
      <c r="G1641" s="356"/>
      <c r="H1641" s="359"/>
      <c r="I1641" s="357"/>
      <c r="J1641" s="357"/>
      <c r="K1641" s="357"/>
      <c r="L1641" s="357"/>
      <c r="M1641" s="357"/>
      <c r="N1641" s="357"/>
      <c r="O1641" s="357"/>
      <c r="P1641" s="357"/>
      <c r="Q1641" s="357"/>
      <c r="R1641" s="357"/>
      <c r="S1641" s="303"/>
      <c r="T1641" s="307"/>
      <c r="U1641" s="311" t="e">
        <f>+VLOOKUP(C1641,Spreads!$A$2:$G$345,7,0)</f>
        <v>#N/A</v>
      </c>
    </row>
    <row r="1642" spans="1:21" ht="15.75" hidden="1" thickTop="1">
      <c r="A1642" s="354"/>
      <c r="B1642" s="354"/>
      <c r="C1642" s="354"/>
      <c r="D1642" s="354"/>
      <c r="E1642" s="355"/>
      <c r="F1642" s="355"/>
      <c r="G1642" s="356"/>
      <c r="H1642" s="360"/>
      <c r="I1642" s="354"/>
      <c r="J1642" s="354"/>
      <c r="K1642" s="354"/>
      <c r="L1642" s="354"/>
      <c r="M1642" s="354"/>
      <c r="N1642" s="354"/>
      <c r="O1642" s="354"/>
      <c r="P1642" s="354"/>
      <c r="Q1642" s="354"/>
      <c r="R1642" s="354"/>
      <c r="S1642" s="303"/>
      <c r="T1642" s="307"/>
      <c r="U1642" s="311" t="e">
        <f>+VLOOKUP(C1642,Spreads!$A$2:$G$345,7,0)</f>
        <v>#N/A</v>
      </c>
    </row>
    <row r="1643" spans="1:21" ht="15.75" hidden="1" thickTop="1">
      <c r="A1643" s="357"/>
      <c r="B1643" s="357"/>
      <c r="C1643" s="357"/>
      <c r="D1643" s="357"/>
      <c r="E1643" s="358"/>
      <c r="F1643" s="358"/>
      <c r="G1643" s="356"/>
      <c r="H1643" s="359"/>
      <c r="I1643" s="357"/>
      <c r="J1643" s="357"/>
      <c r="K1643" s="357"/>
      <c r="L1643" s="357"/>
      <c r="M1643" s="357"/>
      <c r="N1643" s="357"/>
      <c r="O1643" s="357"/>
      <c r="P1643" s="357"/>
      <c r="Q1643" s="357"/>
      <c r="R1643" s="357"/>
      <c r="S1643" s="303"/>
      <c r="T1643" s="307"/>
      <c r="U1643" s="311" t="e">
        <f>+VLOOKUP(C1643,Spreads!$A$2:$G$345,7,0)</f>
        <v>#N/A</v>
      </c>
    </row>
    <row r="1644" spans="1:21" ht="15.75" hidden="1" thickTop="1">
      <c r="A1644" s="354"/>
      <c r="B1644" s="354"/>
      <c r="C1644" s="354"/>
      <c r="D1644" s="354"/>
      <c r="E1644" s="355"/>
      <c r="F1644" s="355"/>
      <c r="G1644" s="356"/>
      <c r="H1644" s="360"/>
      <c r="I1644" s="354"/>
      <c r="J1644" s="354"/>
      <c r="K1644" s="354"/>
      <c r="L1644" s="354"/>
      <c r="M1644" s="354"/>
      <c r="N1644" s="354"/>
      <c r="O1644" s="354"/>
      <c r="P1644" s="354"/>
      <c r="Q1644" s="354"/>
      <c r="R1644" s="354"/>
      <c r="S1644" s="303"/>
      <c r="T1644" s="307"/>
      <c r="U1644" s="311" t="e">
        <f>+VLOOKUP(C1644,Spreads!$A$2:$G$345,7,0)</f>
        <v>#N/A</v>
      </c>
    </row>
    <row r="1645" spans="1:21" ht="15.75" hidden="1" thickTop="1">
      <c r="A1645" s="357"/>
      <c r="B1645" s="357"/>
      <c r="C1645" s="357"/>
      <c r="D1645" s="357"/>
      <c r="E1645" s="358"/>
      <c r="F1645" s="358"/>
      <c r="G1645" s="356"/>
      <c r="H1645" s="359"/>
      <c r="I1645" s="357"/>
      <c r="J1645" s="357"/>
      <c r="K1645" s="357"/>
      <c r="L1645" s="357"/>
      <c r="M1645" s="357"/>
      <c r="N1645" s="357"/>
      <c r="O1645" s="357"/>
      <c r="P1645" s="357"/>
      <c r="Q1645" s="357"/>
      <c r="R1645" s="357"/>
      <c r="S1645" s="303"/>
      <c r="T1645" s="307"/>
      <c r="U1645" s="311" t="e">
        <f>+VLOOKUP(C1645,Spreads!$A$2:$G$345,7,0)</f>
        <v>#N/A</v>
      </c>
    </row>
    <row r="1646" spans="1:21" ht="15.75" hidden="1" thickTop="1">
      <c r="A1646" s="357"/>
      <c r="B1646" s="357"/>
      <c r="C1646" s="357"/>
      <c r="D1646" s="357"/>
      <c r="E1646" s="358"/>
      <c r="F1646" s="358"/>
      <c r="G1646" s="356"/>
      <c r="H1646" s="359"/>
      <c r="I1646" s="357"/>
      <c r="J1646" s="357"/>
      <c r="K1646" s="357"/>
      <c r="L1646" s="357"/>
      <c r="M1646" s="357"/>
      <c r="N1646" s="357"/>
      <c r="O1646" s="357"/>
      <c r="P1646" s="357"/>
      <c r="Q1646" s="357"/>
      <c r="R1646" s="357"/>
      <c r="S1646" s="303"/>
      <c r="T1646" s="307"/>
      <c r="U1646" s="311" t="e">
        <f>+VLOOKUP(C1646,Spreads!$A$2:$G$345,7,0)</f>
        <v>#N/A</v>
      </c>
    </row>
    <row r="1647" spans="1:21" ht="15.75" hidden="1" thickTop="1">
      <c r="A1647" s="357"/>
      <c r="B1647" s="357"/>
      <c r="C1647" s="357"/>
      <c r="D1647" s="357"/>
      <c r="E1647" s="358"/>
      <c r="F1647" s="358"/>
      <c r="G1647" s="356"/>
      <c r="H1647" s="359"/>
      <c r="I1647" s="357"/>
      <c r="J1647" s="357"/>
      <c r="K1647" s="357"/>
      <c r="L1647" s="357"/>
      <c r="M1647" s="357"/>
      <c r="N1647" s="357"/>
      <c r="O1647" s="357"/>
      <c r="P1647" s="357"/>
      <c r="Q1647" s="357"/>
      <c r="R1647" s="357"/>
      <c r="S1647" s="303"/>
      <c r="T1647" s="307"/>
      <c r="U1647" s="311" t="e">
        <f>+VLOOKUP(C1647,Spreads!$A$2:$G$345,7,0)</f>
        <v>#N/A</v>
      </c>
    </row>
    <row r="1648" spans="1:21" ht="15.75" hidden="1" thickTop="1">
      <c r="A1648" s="357"/>
      <c r="B1648" s="357"/>
      <c r="C1648" s="357"/>
      <c r="D1648" s="357"/>
      <c r="E1648" s="358"/>
      <c r="F1648" s="358"/>
      <c r="G1648" s="356"/>
      <c r="H1648" s="359"/>
      <c r="I1648" s="357"/>
      <c r="J1648" s="357"/>
      <c r="K1648" s="357"/>
      <c r="L1648" s="357"/>
      <c r="M1648" s="357"/>
      <c r="N1648" s="357"/>
      <c r="O1648" s="357"/>
      <c r="P1648" s="357"/>
      <c r="Q1648" s="357"/>
      <c r="R1648" s="357"/>
      <c r="S1648" s="303"/>
      <c r="T1648" s="307"/>
      <c r="U1648" s="311" t="e">
        <f>+VLOOKUP(C1648,Spreads!$A$2:$G$345,7,0)</f>
        <v>#N/A</v>
      </c>
    </row>
    <row r="1649" spans="1:21" ht="15.75" hidden="1" thickTop="1">
      <c r="A1649" s="354"/>
      <c r="B1649" s="354"/>
      <c r="C1649" s="354"/>
      <c r="D1649" s="354"/>
      <c r="E1649" s="355"/>
      <c r="F1649" s="355"/>
      <c r="G1649" s="356"/>
      <c r="H1649" s="360"/>
      <c r="I1649" s="354"/>
      <c r="J1649" s="354"/>
      <c r="K1649" s="354"/>
      <c r="L1649" s="354"/>
      <c r="M1649" s="354"/>
      <c r="N1649" s="354"/>
      <c r="O1649" s="354"/>
      <c r="P1649" s="354"/>
      <c r="Q1649" s="354"/>
      <c r="R1649" s="354"/>
      <c r="S1649" s="303"/>
      <c r="T1649" s="307"/>
      <c r="U1649" s="311" t="e">
        <f>+VLOOKUP(C1649,Spreads!$A$2:$G$345,7,0)</f>
        <v>#N/A</v>
      </c>
    </row>
    <row r="1650" spans="1:21" ht="15.75" hidden="1" thickTop="1">
      <c r="A1650" s="354"/>
      <c r="B1650" s="354"/>
      <c r="C1650" s="354"/>
      <c r="D1650" s="354"/>
      <c r="E1650" s="355"/>
      <c r="F1650" s="355"/>
      <c r="G1650" s="356"/>
      <c r="H1650" s="360"/>
      <c r="I1650" s="354"/>
      <c r="J1650" s="354"/>
      <c r="K1650" s="354"/>
      <c r="L1650" s="354"/>
      <c r="M1650" s="354"/>
      <c r="N1650" s="354"/>
      <c r="O1650" s="354"/>
      <c r="P1650" s="354"/>
      <c r="Q1650" s="354"/>
      <c r="R1650" s="354"/>
      <c r="S1650" s="303"/>
      <c r="T1650" s="307"/>
      <c r="U1650" s="311" t="e">
        <f>+VLOOKUP(C1650,Spreads!$A$2:$G$345,7,0)</f>
        <v>#N/A</v>
      </c>
    </row>
    <row r="1651" spans="1:21" ht="15.75" hidden="1" thickTop="1">
      <c r="A1651" s="357"/>
      <c r="B1651" s="357"/>
      <c r="C1651" s="357"/>
      <c r="D1651" s="357"/>
      <c r="E1651" s="358"/>
      <c r="F1651" s="358"/>
      <c r="G1651" s="356"/>
      <c r="H1651" s="359"/>
      <c r="I1651" s="357"/>
      <c r="J1651" s="357"/>
      <c r="K1651" s="357"/>
      <c r="L1651" s="357"/>
      <c r="M1651" s="357"/>
      <c r="N1651" s="357"/>
      <c r="O1651" s="357"/>
      <c r="P1651" s="357"/>
      <c r="Q1651" s="357"/>
      <c r="R1651" s="357"/>
      <c r="S1651" s="303"/>
      <c r="T1651" s="307"/>
      <c r="U1651" s="311" t="e">
        <f>+VLOOKUP(C1651,Spreads!$A$2:$G$345,7,0)</f>
        <v>#N/A</v>
      </c>
    </row>
    <row r="1652" spans="1:21" ht="15.75" hidden="1" thickTop="1">
      <c r="A1652" s="357"/>
      <c r="B1652" s="357"/>
      <c r="C1652" s="357"/>
      <c r="D1652" s="357"/>
      <c r="E1652" s="358"/>
      <c r="F1652" s="358"/>
      <c r="G1652" s="356"/>
      <c r="H1652" s="359"/>
      <c r="I1652" s="357"/>
      <c r="J1652" s="357"/>
      <c r="K1652" s="357"/>
      <c r="L1652" s="357"/>
      <c r="M1652" s="357"/>
      <c r="N1652" s="357"/>
      <c r="O1652" s="357"/>
      <c r="P1652" s="357"/>
      <c r="Q1652" s="357"/>
      <c r="R1652" s="357"/>
      <c r="S1652" s="303"/>
      <c r="T1652" s="307"/>
      <c r="U1652" s="311" t="e">
        <f>+VLOOKUP(C1652,Spreads!$A$2:$G$345,7,0)</f>
        <v>#N/A</v>
      </c>
    </row>
    <row r="1653" spans="1:21" ht="15.75" hidden="1" thickTop="1">
      <c r="A1653" s="354"/>
      <c r="B1653" s="354"/>
      <c r="C1653" s="354"/>
      <c r="D1653" s="354"/>
      <c r="E1653" s="355"/>
      <c r="F1653" s="355"/>
      <c r="G1653" s="356"/>
      <c r="H1653" s="360"/>
      <c r="I1653" s="354"/>
      <c r="J1653" s="354"/>
      <c r="K1653" s="354"/>
      <c r="L1653" s="354"/>
      <c r="M1653" s="354"/>
      <c r="N1653" s="354"/>
      <c r="O1653" s="354"/>
      <c r="P1653" s="354"/>
      <c r="Q1653" s="354"/>
      <c r="R1653" s="354"/>
      <c r="S1653" s="303"/>
      <c r="T1653" s="307"/>
      <c r="U1653" s="311" t="e">
        <f>+VLOOKUP(C1653,Spreads!$A$2:$G$345,7,0)</f>
        <v>#N/A</v>
      </c>
    </row>
    <row r="1654" spans="1:21" ht="15.75" hidden="1" thickTop="1">
      <c r="A1654" s="354"/>
      <c r="B1654" s="354"/>
      <c r="C1654" s="354"/>
      <c r="D1654" s="354"/>
      <c r="E1654" s="355"/>
      <c r="F1654" s="355"/>
      <c r="G1654" s="356"/>
      <c r="H1654" s="360"/>
      <c r="I1654" s="354"/>
      <c r="J1654" s="354"/>
      <c r="K1654" s="354"/>
      <c r="L1654" s="354"/>
      <c r="M1654" s="354"/>
      <c r="N1654" s="354"/>
      <c r="O1654" s="354"/>
      <c r="P1654" s="354"/>
      <c r="Q1654" s="354"/>
      <c r="R1654" s="354"/>
      <c r="S1654" s="303"/>
      <c r="T1654" s="307"/>
      <c r="U1654" s="311" t="e">
        <f>+VLOOKUP(C1654,Spreads!$A$2:$G$345,7,0)</f>
        <v>#N/A</v>
      </c>
    </row>
    <row r="1655" spans="1:21" ht="15.75" hidden="1" thickTop="1">
      <c r="A1655" s="357"/>
      <c r="B1655" s="357"/>
      <c r="C1655" s="357"/>
      <c r="D1655" s="357"/>
      <c r="E1655" s="358"/>
      <c r="F1655" s="358"/>
      <c r="G1655" s="356"/>
      <c r="H1655" s="359"/>
      <c r="I1655" s="357"/>
      <c r="J1655" s="357"/>
      <c r="K1655" s="357"/>
      <c r="L1655" s="357"/>
      <c r="M1655" s="357"/>
      <c r="N1655" s="357"/>
      <c r="O1655" s="357"/>
      <c r="P1655" s="357"/>
      <c r="Q1655" s="357"/>
      <c r="R1655" s="357"/>
      <c r="S1655" s="303"/>
      <c r="T1655" s="307"/>
      <c r="U1655" s="311" t="e">
        <f>+VLOOKUP(C1655,Spreads!$A$2:$G$345,7,0)</f>
        <v>#N/A</v>
      </c>
    </row>
    <row r="1656" spans="1:21" ht="15.75" hidden="1" thickTop="1">
      <c r="A1656" s="357"/>
      <c r="B1656" s="357"/>
      <c r="C1656" s="357"/>
      <c r="D1656" s="357"/>
      <c r="E1656" s="358"/>
      <c r="F1656" s="358"/>
      <c r="G1656" s="356"/>
      <c r="H1656" s="359"/>
      <c r="I1656" s="357"/>
      <c r="J1656" s="357"/>
      <c r="K1656" s="357"/>
      <c r="L1656" s="357"/>
      <c r="M1656" s="357"/>
      <c r="N1656" s="357"/>
      <c r="O1656" s="357"/>
      <c r="P1656" s="357"/>
      <c r="Q1656" s="357"/>
      <c r="R1656" s="357"/>
      <c r="S1656" s="303"/>
      <c r="T1656" s="307"/>
      <c r="U1656" s="311" t="e">
        <f>+VLOOKUP(C1656,Spreads!$A$2:$G$345,7,0)</f>
        <v>#N/A</v>
      </c>
    </row>
    <row r="1657" spans="1:21" ht="15.75" hidden="1" thickTop="1">
      <c r="A1657" s="361"/>
      <c r="B1657" s="361"/>
      <c r="C1657" s="361"/>
      <c r="D1657" s="361"/>
      <c r="E1657" s="361"/>
      <c r="F1657" s="361"/>
      <c r="G1657" s="361"/>
      <c r="H1657" s="363"/>
      <c r="I1657" s="361"/>
      <c r="J1657" s="361"/>
      <c r="K1657" s="361"/>
      <c r="L1657" s="361"/>
      <c r="M1657" s="361"/>
      <c r="N1657" s="361"/>
      <c r="O1657" s="361"/>
      <c r="P1657" s="361"/>
      <c r="Q1657" s="361"/>
      <c r="R1657" s="361"/>
      <c r="S1657" s="303"/>
      <c r="T1657" s="307"/>
      <c r="U1657" s="311" t="e">
        <f>+VLOOKUP(C1657,Spreads!$A$2:$G$345,7,0)</f>
        <v>#N/A</v>
      </c>
    </row>
    <row r="1658" spans="1:21" ht="15.75" hidden="1" thickTop="1">
      <c r="A1658" s="354"/>
      <c r="B1658" s="354"/>
      <c r="C1658" s="354"/>
      <c r="D1658" s="354"/>
      <c r="E1658" s="355"/>
      <c r="F1658" s="355"/>
      <c r="G1658" s="356"/>
      <c r="H1658" s="360"/>
      <c r="I1658" s="354"/>
      <c r="J1658" s="354"/>
      <c r="K1658" s="354"/>
      <c r="L1658" s="354"/>
      <c r="M1658" s="354"/>
      <c r="N1658" s="354"/>
      <c r="O1658" s="354"/>
      <c r="P1658" s="354"/>
      <c r="Q1658" s="354"/>
      <c r="R1658" s="354"/>
      <c r="S1658" s="303"/>
      <c r="T1658" s="307"/>
      <c r="U1658" s="311" t="e">
        <f>+VLOOKUP(C1658,Spreads!$A$2:$G$345,7,0)</f>
        <v>#N/A</v>
      </c>
    </row>
    <row r="1659" spans="1:21" ht="15.75" hidden="1" thickTop="1">
      <c r="A1659" s="354"/>
      <c r="B1659" s="354"/>
      <c r="C1659" s="354"/>
      <c r="D1659" s="354"/>
      <c r="E1659" s="355"/>
      <c r="F1659" s="355"/>
      <c r="G1659" s="356"/>
      <c r="H1659" s="360"/>
      <c r="I1659" s="354"/>
      <c r="J1659" s="354"/>
      <c r="K1659" s="354"/>
      <c r="L1659" s="354"/>
      <c r="M1659" s="354"/>
      <c r="N1659" s="354"/>
      <c r="O1659" s="354"/>
      <c r="P1659" s="354"/>
      <c r="Q1659" s="354"/>
      <c r="R1659" s="354"/>
      <c r="S1659" s="303"/>
      <c r="T1659" s="307"/>
      <c r="U1659" s="311" t="e">
        <f>+VLOOKUP(C1659,Spreads!$A$2:$G$345,7,0)</f>
        <v>#N/A</v>
      </c>
    </row>
    <row r="1660" spans="1:21" ht="15.75" hidden="1" thickTop="1">
      <c r="A1660" s="357"/>
      <c r="B1660" s="357"/>
      <c r="C1660" s="357"/>
      <c r="D1660" s="357"/>
      <c r="E1660" s="358"/>
      <c r="F1660" s="358"/>
      <c r="G1660" s="356"/>
      <c r="H1660" s="359"/>
      <c r="I1660" s="357"/>
      <c r="J1660" s="357"/>
      <c r="K1660" s="357"/>
      <c r="L1660" s="357"/>
      <c r="M1660" s="357"/>
      <c r="N1660" s="357"/>
      <c r="O1660" s="357"/>
      <c r="P1660" s="357"/>
      <c r="Q1660" s="357"/>
      <c r="R1660" s="357"/>
      <c r="S1660" s="303"/>
      <c r="T1660" s="307"/>
      <c r="U1660" s="311" t="e">
        <f>+VLOOKUP(C1660,Spreads!$A$2:$G$345,7,0)</f>
        <v>#N/A</v>
      </c>
    </row>
    <row r="1661" spans="1:21" ht="15.75" hidden="1" thickTop="1">
      <c r="A1661" s="354"/>
      <c r="B1661" s="354"/>
      <c r="C1661" s="354"/>
      <c r="D1661" s="354"/>
      <c r="E1661" s="355"/>
      <c r="F1661" s="355"/>
      <c r="G1661" s="356"/>
      <c r="H1661" s="360"/>
      <c r="I1661" s="354"/>
      <c r="J1661" s="354"/>
      <c r="K1661" s="354"/>
      <c r="L1661" s="354"/>
      <c r="M1661" s="354"/>
      <c r="N1661" s="354"/>
      <c r="O1661" s="354"/>
      <c r="P1661" s="354"/>
      <c r="Q1661" s="354"/>
      <c r="R1661" s="354"/>
      <c r="S1661" s="303"/>
      <c r="T1661" s="307"/>
      <c r="U1661" s="311" t="e">
        <f>+VLOOKUP(C1661,Spreads!$A$2:$G$345,7,0)</f>
        <v>#N/A</v>
      </c>
    </row>
    <row r="1662" spans="1:21" ht="15.75" hidden="1" thickTop="1">
      <c r="A1662" s="357"/>
      <c r="B1662" s="357"/>
      <c r="C1662" s="357"/>
      <c r="D1662" s="357"/>
      <c r="E1662" s="358"/>
      <c r="F1662" s="358"/>
      <c r="G1662" s="356"/>
      <c r="H1662" s="359"/>
      <c r="I1662" s="357"/>
      <c r="J1662" s="357"/>
      <c r="K1662" s="357"/>
      <c r="L1662" s="357"/>
      <c r="M1662" s="357"/>
      <c r="N1662" s="357"/>
      <c r="O1662" s="357"/>
      <c r="P1662" s="357"/>
      <c r="Q1662" s="357"/>
      <c r="R1662" s="357"/>
      <c r="S1662" s="303"/>
      <c r="T1662" s="307"/>
      <c r="U1662" s="311" t="e">
        <f>+VLOOKUP(C1662,Spreads!$A$2:$G$345,7,0)</f>
        <v>#N/A</v>
      </c>
    </row>
    <row r="1663" spans="1:21" ht="15.75" hidden="1" thickTop="1">
      <c r="A1663" s="357"/>
      <c r="B1663" s="357"/>
      <c r="C1663" s="357"/>
      <c r="D1663" s="357"/>
      <c r="E1663" s="358"/>
      <c r="F1663" s="358"/>
      <c r="G1663" s="356"/>
      <c r="H1663" s="359"/>
      <c r="I1663" s="357"/>
      <c r="J1663" s="357"/>
      <c r="K1663" s="357"/>
      <c r="L1663" s="357"/>
      <c r="M1663" s="357"/>
      <c r="N1663" s="357"/>
      <c r="O1663" s="357"/>
      <c r="P1663" s="357"/>
      <c r="Q1663" s="357"/>
      <c r="R1663" s="357"/>
      <c r="S1663" s="303"/>
      <c r="T1663" s="307"/>
      <c r="U1663" s="311" t="e">
        <f>+VLOOKUP(C1663,Spreads!$A$2:$G$345,7,0)</f>
        <v>#N/A</v>
      </c>
    </row>
    <row r="1664" spans="1:21" ht="15.75" hidden="1" thickTop="1">
      <c r="A1664" s="354"/>
      <c r="B1664" s="354"/>
      <c r="C1664" s="354"/>
      <c r="D1664" s="354"/>
      <c r="E1664" s="355"/>
      <c r="F1664" s="355"/>
      <c r="G1664" s="356"/>
      <c r="H1664" s="360"/>
      <c r="I1664" s="354"/>
      <c r="J1664" s="354"/>
      <c r="K1664" s="354"/>
      <c r="L1664" s="354"/>
      <c r="M1664" s="354"/>
      <c r="N1664" s="354"/>
      <c r="O1664" s="354"/>
      <c r="P1664" s="354"/>
      <c r="Q1664" s="354"/>
      <c r="R1664" s="354"/>
      <c r="S1664" s="303"/>
      <c r="T1664" s="307"/>
      <c r="U1664" s="311" t="e">
        <f>+VLOOKUP(C1664,Spreads!$A$2:$G$345,7,0)</f>
        <v>#N/A</v>
      </c>
    </row>
    <row r="1665" spans="1:21" ht="15.75" hidden="1" thickTop="1">
      <c r="A1665" s="357"/>
      <c r="B1665" s="357"/>
      <c r="C1665" s="357"/>
      <c r="D1665" s="357"/>
      <c r="E1665" s="358"/>
      <c r="F1665" s="358"/>
      <c r="G1665" s="356"/>
      <c r="H1665" s="359"/>
      <c r="I1665" s="357"/>
      <c r="J1665" s="357"/>
      <c r="K1665" s="357"/>
      <c r="L1665" s="357"/>
      <c r="M1665" s="357"/>
      <c r="N1665" s="357"/>
      <c r="O1665" s="357"/>
      <c r="P1665" s="357"/>
      <c r="Q1665" s="357"/>
      <c r="R1665" s="357"/>
      <c r="S1665" s="303"/>
      <c r="T1665" s="307"/>
      <c r="U1665" s="311" t="e">
        <f>+VLOOKUP(C1665,Spreads!$A$2:$G$345,7,0)</f>
        <v>#N/A</v>
      </c>
    </row>
    <row r="1666" spans="1:21" ht="15.75" hidden="1" thickTop="1">
      <c r="A1666" s="354"/>
      <c r="B1666" s="354"/>
      <c r="C1666" s="354"/>
      <c r="D1666" s="354"/>
      <c r="E1666" s="355"/>
      <c r="F1666" s="355"/>
      <c r="G1666" s="356"/>
      <c r="H1666" s="360"/>
      <c r="I1666" s="354"/>
      <c r="J1666" s="354"/>
      <c r="K1666" s="354"/>
      <c r="L1666" s="354"/>
      <c r="M1666" s="354"/>
      <c r="N1666" s="354"/>
      <c r="O1666" s="354"/>
      <c r="P1666" s="354"/>
      <c r="Q1666" s="354"/>
      <c r="R1666" s="354"/>
      <c r="S1666" s="303"/>
      <c r="T1666" s="307"/>
      <c r="U1666" s="311" t="e">
        <f>+VLOOKUP(C1666,Spreads!$A$2:$G$345,7,0)</f>
        <v>#N/A</v>
      </c>
    </row>
    <row r="1667" spans="1:21" ht="15.75" hidden="1" thickTop="1">
      <c r="A1667" s="357"/>
      <c r="B1667" s="357"/>
      <c r="C1667" s="357"/>
      <c r="D1667" s="357"/>
      <c r="E1667" s="358"/>
      <c r="F1667" s="358"/>
      <c r="G1667" s="356"/>
      <c r="H1667" s="359"/>
      <c r="I1667" s="357"/>
      <c r="J1667" s="357"/>
      <c r="K1667" s="357"/>
      <c r="L1667" s="357"/>
      <c r="M1667" s="357"/>
      <c r="N1667" s="357"/>
      <c r="O1667" s="357"/>
      <c r="P1667" s="357"/>
      <c r="Q1667" s="357"/>
      <c r="R1667" s="357"/>
      <c r="S1667" s="303"/>
      <c r="T1667" s="307"/>
      <c r="U1667" s="311" t="e">
        <f>+VLOOKUP(C1667,Spreads!$A$2:$G$345,7,0)</f>
        <v>#N/A</v>
      </c>
    </row>
    <row r="1668" spans="1:21" ht="15.75" hidden="1" thickTop="1">
      <c r="A1668" s="357"/>
      <c r="B1668" s="357"/>
      <c r="C1668" s="357"/>
      <c r="D1668" s="357"/>
      <c r="E1668" s="358"/>
      <c r="F1668" s="358"/>
      <c r="G1668" s="356"/>
      <c r="H1668" s="359"/>
      <c r="I1668" s="357"/>
      <c r="J1668" s="357"/>
      <c r="K1668" s="357"/>
      <c r="L1668" s="357"/>
      <c r="M1668" s="357"/>
      <c r="N1668" s="357"/>
      <c r="O1668" s="357"/>
      <c r="P1668" s="357"/>
      <c r="Q1668" s="357"/>
      <c r="R1668" s="357"/>
      <c r="S1668" s="303"/>
      <c r="T1668" s="307"/>
      <c r="U1668" s="311" t="e">
        <f>+VLOOKUP(C1668,Spreads!$A$2:$G$345,7,0)</f>
        <v>#N/A</v>
      </c>
    </row>
    <row r="1669" spans="1:21">
      <c r="A1669" s="357"/>
      <c r="B1669" s="357"/>
      <c r="C1669" s="357"/>
      <c r="D1669" s="357"/>
      <c r="E1669" s="358"/>
      <c r="F1669" s="358"/>
      <c r="G1669" s="356"/>
      <c r="H1669" s="359"/>
      <c r="I1669" s="357"/>
      <c r="J1669" s="357"/>
      <c r="K1669" s="357"/>
      <c r="L1669" s="357"/>
      <c r="M1669" s="357"/>
      <c r="N1669" s="357"/>
      <c r="O1669" s="357"/>
      <c r="P1669" s="357"/>
      <c r="Q1669" s="357"/>
      <c r="R1669" s="357"/>
    </row>
    <row r="1670" spans="1:21">
      <c r="A1670" s="354"/>
      <c r="B1670" s="354"/>
      <c r="C1670" s="354"/>
      <c r="D1670" s="354"/>
      <c r="E1670" s="355"/>
      <c r="F1670" s="355"/>
      <c r="G1670" s="356"/>
      <c r="H1670" s="360"/>
      <c r="I1670" s="354"/>
      <c r="J1670" s="354"/>
      <c r="K1670" s="354"/>
      <c r="L1670" s="354"/>
      <c r="M1670" s="354"/>
      <c r="N1670" s="354"/>
      <c r="O1670" s="354"/>
      <c r="P1670" s="354"/>
      <c r="Q1670" s="354"/>
      <c r="R1670" s="354"/>
    </row>
    <row r="1671" spans="1:21">
      <c r="A1671" s="354"/>
      <c r="B1671" s="354"/>
      <c r="C1671" s="354"/>
      <c r="D1671" s="354"/>
      <c r="E1671" s="355"/>
      <c r="F1671" s="355"/>
      <c r="G1671" s="356"/>
      <c r="H1671" s="360"/>
      <c r="I1671" s="354"/>
      <c r="J1671" s="354"/>
      <c r="K1671" s="354"/>
      <c r="L1671" s="354"/>
      <c r="M1671" s="354"/>
      <c r="N1671" s="354"/>
      <c r="O1671" s="354"/>
      <c r="P1671" s="354"/>
      <c r="Q1671" s="354"/>
      <c r="R1671" s="354"/>
    </row>
    <row r="1672" spans="1:21">
      <c r="A1672" s="354"/>
      <c r="B1672" s="354"/>
      <c r="C1672" s="354"/>
      <c r="D1672" s="354"/>
      <c r="E1672" s="355"/>
      <c r="F1672" s="355"/>
      <c r="G1672" s="356"/>
      <c r="H1672" s="360"/>
      <c r="I1672" s="354"/>
      <c r="J1672" s="354"/>
      <c r="K1672" s="354"/>
      <c r="L1672" s="354"/>
      <c r="M1672" s="354"/>
      <c r="N1672" s="354"/>
      <c r="O1672" s="354"/>
      <c r="P1672" s="354"/>
      <c r="Q1672" s="354"/>
      <c r="R1672" s="354"/>
    </row>
    <row r="1673" spans="1:21">
      <c r="A1673" s="368"/>
      <c r="B1673" s="357"/>
      <c r="C1673" s="357"/>
      <c r="D1673" s="357"/>
      <c r="E1673" s="358"/>
      <c r="F1673" s="358"/>
      <c r="G1673" s="356"/>
      <c r="H1673" s="359"/>
      <c r="I1673" s="357"/>
      <c r="J1673" s="357"/>
      <c r="K1673" s="357"/>
      <c r="L1673" s="357"/>
      <c r="M1673" s="357"/>
      <c r="N1673" s="357"/>
      <c r="O1673" s="357"/>
      <c r="P1673" s="357"/>
      <c r="Q1673" s="357"/>
      <c r="R1673" s="357"/>
    </row>
    <row r="1674" spans="1:21">
      <c r="A1674" s="369"/>
      <c r="B1674" s="354"/>
      <c r="C1674" s="354"/>
      <c r="D1674" s="354"/>
      <c r="E1674" s="355"/>
      <c r="F1674" s="355"/>
      <c r="G1674" s="356"/>
      <c r="H1674" s="360"/>
      <c r="I1674" s="354"/>
      <c r="J1674" s="354"/>
      <c r="K1674" s="354"/>
      <c r="L1674" s="354"/>
      <c r="M1674" s="354"/>
      <c r="N1674" s="354"/>
      <c r="O1674" s="354"/>
      <c r="P1674" s="354"/>
      <c r="Q1674" s="354"/>
      <c r="R1674" s="354"/>
    </row>
    <row r="1675" spans="1:21">
      <c r="A1675" s="357"/>
      <c r="B1675" s="357"/>
      <c r="C1675" s="357"/>
      <c r="D1675" s="357"/>
      <c r="E1675" s="358"/>
      <c r="F1675" s="358"/>
      <c r="G1675" s="356"/>
      <c r="H1675" s="359"/>
      <c r="I1675" s="357"/>
      <c r="J1675" s="357"/>
      <c r="K1675" s="357"/>
      <c r="L1675" s="357"/>
      <c r="M1675" s="357"/>
      <c r="N1675" s="357"/>
      <c r="O1675" s="357"/>
      <c r="P1675" s="357"/>
      <c r="Q1675" s="357"/>
      <c r="R1675" s="357"/>
    </row>
    <row r="1676" spans="1:21">
      <c r="A1676" s="354"/>
      <c r="B1676" s="354"/>
      <c r="C1676" s="354"/>
      <c r="D1676" s="354"/>
      <c r="E1676" s="355"/>
      <c r="F1676" s="355"/>
      <c r="G1676" s="356"/>
      <c r="H1676" s="360"/>
      <c r="I1676" s="354"/>
      <c r="J1676" s="354"/>
      <c r="K1676" s="354"/>
      <c r="L1676" s="354"/>
      <c r="M1676" s="354"/>
      <c r="N1676" s="354"/>
      <c r="O1676" s="354"/>
      <c r="P1676" s="354"/>
      <c r="Q1676" s="354"/>
      <c r="R1676" s="354"/>
    </row>
    <row r="1677" spans="1:21">
      <c r="A1677" s="357"/>
      <c r="B1677" s="357"/>
      <c r="C1677" s="357"/>
      <c r="D1677" s="357"/>
      <c r="E1677" s="358"/>
      <c r="F1677" s="358"/>
      <c r="G1677" s="356"/>
      <c r="H1677" s="359"/>
      <c r="I1677" s="357"/>
      <c r="J1677" s="357"/>
      <c r="K1677" s="357"/>
      <c r="L1677" s="357"/>
      <c r="M1677" s="357"/>
      <c r="N1677" s="357"/>
      <c r="O1677" s="357"/>
      <c r="P1677" s="357"/>
      <c r="Q1677" s="357"/>
      <c r="R1677" s="357"/>
    </row>
    <row r="1678" spans="1:21">
      <c r="A1678" s="357"/>
      <c r="B1678" s="357"/>
      <c r="C1678" s="357"/>
      <c r="D1678" s="357"/>
      <c r="E1678" s="358"/>
      <c r="F1678" s="358"/>
      <c r="G1678" s="356"/>
      <c r="H1678" s="359"/>
      <c r="I1678" s="357"/>
      <c r="J1678" s="357"/>
      <c r="K1678" s="357"/>
      <c r="L1678" s="357"/>
      <c r="M1678" s="357"/>
      <c r="N1678" s="357"/>
      <c r="O1678" s="357"/>
      <c r="P1678" s="357"/>
      <c r="Q1678" s="357"/>
      <c r="R1678" s="357"/>
    </row>
    <row r="1679" spans="1:21">
      <c r="A1679" s="354"/>
      <c r="B1679" s="354"/>
      <c r="C1679" s="354"/>
      <c r="D1679" s="354"/>
      <c r="E1679" s="355"/>
      <c r="F1679" s="355"/>
      <c r="G1679" s="356"/>
      <c r="H1679" s="360"/>
      <c r="I1679" s="354"/>
      <c r="J1679" s="354"/>
      <c r="K1679" s="354"/>
      <c r="L1679" s="354"/>
      <c r="M1679" s="354"/>
      <c r="N1679" s="354"/>
      <c r="O1679" s="354"/>
      <c r="P1679" s="354"/>
      <c r="Q1679" s="354"/>
      <c r="R1679" s="354"/>
    </row>
    <row r="1680" spans="1:21">
      <c r="A1680" s="354"/>
      <c r="B1680" s="354"/>
      <c r="C1680" s="354"/>
      <c r="D1680" s="354"/>
      <c r="E1680" s="355"/>
      <c r="F1680" s="355"/>
      <c r="G1680" s="356"/>
      <c r="H1680" s="360"/>
      <c r="I1680" s="354"/>
      <c r="J1680" s="354"/>
      <c r="K1680" s="354"/>
      <c r="L1680" s="354"/>
      <c r="M1680" s="354"/>
      <c r="N1680" s="354"/>
      <c r="O1680" s="354"/>
      <c r="P1680" s="354"/>
      <c r="Q1680" s="354"/>
      <c r="R1680" s="354"/>
    </row>
    <row r="1681" spans="1:18">
      <c r="A1681" s="354"/>
      <c r="B1681" s="354"/>
      <c r="C1681" s="354"/>
      <c r="D1681" s="354"/>
      <c r="E1681" s="355"/>
      <c r="F1681" s="355"/>
      <c r="G1681" s="356"/>
      <c r="H1681" s="360"/>
      <c r="I1681" s="354"/>
      <c r="J1681" s="354"/>
      <c r="K1681" s="354"/>
      <c r="L1681" s="354"/>
      <c r="M1681" s="354"/>
      <c r="N1681" s="354"/>
      <c r="O1681" s="354"/>
      <c r="P1681" s="354"/>
      <c r="Q1681" s="354"/>
      <c r="R1681" s="354"/>
    </row>
    <row r="1682" spans="1:18">
      <c r="A1682" s="354"/>
      <c r="B1682" s="354"/>
      <c r="C1682" s="354"/>
      <c r="D1682" s="354"/>
      <c r="E1682" s="355"/>
      <c r="F1682" s="355"/>
      <c r="G1682" s="356"/>
      <c r="H1682" s="360"/>
      <c r="I1682" s="354"/>
      <c r="J1682" s="354"/>
      <c r="K1682" s="354"/>
      <c r="L1682" s="354"/>
      <c r="M1682" s="354"/>
      <c r="N1682" s="354"/>
      <c r="O1682" s="354"/>
      <c r="P1682" s="354"/>
      <c r="Q1682" s="354"/>
      <c r="R1682" s="354"/>
    </row>
    <row r="1684" spans="1:18">
      <c r="A1684" s="357"/>
      <c r="B1684" s="357"/>
      <c r="C1684" s="357"/>
      <c r="D1684" s="357"/>
      <c r="E1684" s="358"/>
      <c r="F1684" s="358"/>
      <c r="G1684" s="356"/>
      <c r="H1684" s="359"/>
      <c r="I1684" s="357"/>
      <c r="J1684" s="357"/>
      <c r="K1684" s="357"/>
      <c r="L1684" s="357"/>
      <c r="M1684" s="357"/>
      <c r="N1684" s="357"/>
      <c r="O1684" s="357"/>
      <c r="P1684" s="357"/>
      <c r="Q1684" s="357"/>
      <c r="R1684" s="357"/>
    </row>
    <row r="1685" spans="1:18">
      <c r="A1685" s="357"/>
      <c r="B1685" s="357"/>
      <c r="C1685" s="357"/>
      <c r="D1685" s="357"/>
      <c r="E1685" s="358"/>
      <c r="F1685" s="358"/>
      <c r="G1685" s="356"/>
      <c r="H1685" s="359"/>
      <c r="I1685" s="357"/>
      <c r="J1685" s="357"/>
      <c r="K1685" s="357"/>
      <c r="L1685" s="357"/>
      <c r="M1685" s="357"/>
      <c r="N1685" s="357"/>
      <c r="O1685" s="357"/>
      <c r="P1685" s="357"/>
      <c r="Q1685" s="357"/>
      <c r="R1685" s="357"/>
    </row>
    <row r="1686" spans="1:18">
      <c r="A1686" s="354"/>
      <c r="B1686" s="354"/>
      <c r="C1686" s="354"/>
      <c r="D1686" s="354"/>
      <c r="E1686" s="355"/>
      <c r="F1686" s="355"/>
      <c r="G1686" s="356"/>
      <c r="H1686" s="360"/>
      <c r="I1686" s="354"/>
      <c r="J1686" s="354"/>
      <c r="K1686" s="354"/>
      <c r="L1686" s="354"/>
      <c r="M1686" s="354"/>
      <c r="N1686" s="354"/>
      <c r="O1686" s="354"/>
      <c r="P1686" s="354"/>
      <c r="Q1686" s="354"/>
      <c r="R1686" s="354"/>
    </row>
    <row r="1687" spans="1:18">
      <c r="A1687" s="354"/>
      <c r="B1687" s="354"/>
      <c r="C1687" s="354"/>
      <c r="D1687" s="354"/>
      <c r="E1687" s="355"/>
      <c r="F1687" s="355"/>
      <c r="G1687" s="356"/>
      <c r="H1687" s="360"/>
      <c r="I1687" s="354"/>
      <c r="J1687" s="354"/>
      <c r="K1687" s="354"/>
      <c r="L1687" s="354"/>
      <c r="M1687" s="354"/>
      <c r="N1687" s="354"/>
      <c r="O1687" s="354"/>
      <c r="P1687" s="354"/>
      <c r="Q1687" s="354"/>
      <c r="R1687" s="354"/>
    </row>
    <row r="1688" spans="1:18">
      <c r="A1688" s="354"/>
      <c r="B1688" s="354"/>
      <c r="C1688" s="354"/>
      <c r="D1688" s="354"/>
      <c r="E1688" s="355"/>
      <c r="F1688" s="355"/>
      <c r="G1688" s="356"/>
      <c r="H1688" s="360"/>
      <c r="I1688" s="354"/>
      <c r="J1688" s="354"/>
      <c r="K1688" s="354"/>
      <c r="L1688" s="354"/>
      <c r="M1688" s="354"/>
      <c r="N1688" s="354"/>
      <c r="O1688" s="354"/>
      <c r="P1688" s="354"/>
      <c r="Q1688" s="354"/>
      <c r="R1688" s="354"/>
    </row>
    <row r="1689" spans="1:18">
      <c r="A1689" s="354"/>
      <c r="B1689" s="354"/>
      <c r="C1689" s="354"/>
      <c r="D1689" s="354"/>
      <c r="E1689" s="355"/>
      <c r="F1689" s="355"/>
      <c r="G1689" s="356"/>
      <c r="H1689" s="360"/>
      <c r="I1689" s="354"/>
      <c r="J1689" s="354"/>
      <c r="K1689" s="354"/>
      <c r="L1689" s="354"/>
      <c r="M1689" s="354"/>
      <c r="N1689" s="354"/>
      <c r="O1689" s="354"/>
      <c r="P1689" s="354"/>
      <c r="Q1689" s="354"/>
      <c r="R1689" s="354"/>
    </row>
    <row r="1690" spans="1:18">
      <c r="A1690" s="357"/>
      <c r="B1690" s="357"/>
      <c r="C1690" s="357"/>
      <c r="D1690" s="357"/>
      <c r="E1690" s="358"/>
      <c r="F1690" s="358"/>
      <c r="G1690" s="356"/>
      <c r="H1690" s="359"/>
      <c r="I1690" s="357"/>
      <c r="J1690" s="357"/>
      <c r="K1690" s="357"/>
      <c r="L1690" s="357"/>
      <c r="M1690" s="357"/>
      <c r="N1690" s="357"/>
      <c r="O1690" s="357"/>
      <c r="P1690" s="357"/>
      <c r="Q1690" s="357"/>
      <c r="R1690" s="357"/>
    </row>
    <row r="1691" spans="1:18">
      <c r="A1691" s="357"/>
      <c r="B1691" s="357"/>
      <c r="C1691" s="357"/>
      <c r="D1691" s="357"/>
      <c r="E1691" s="358"/>
      <c r="F1691" s="358"/>
      <c r="G1691" s="356"/>
      <c r="H1691" s="359"/>
      <c r="I1691" s="357"/>
      <c r="J1691" s="357"/>
      <c r="K1691" s="357"/>
      <c r="L1691" s="357"/>
      <c r="M1691" s="357"/>
      <c r="N1691" s="357"/>
      <c r="O1691" s="357"/>
      <c r="P1691" s="357"/>
      <c r="Q1691" s="357"/>
      <c r="R1691" s="357"/>
    </row>
    <row r="1692" spans="1:18">
      <c r="A1692" s="357"/>
      <c r="B1692" s="357"/>
      <c r="C1692" s="357"/>
      <c r="D1692" s="357"/>
      <c r="E1692" s="358"/>
      <c r="F1692" s="358"/>
      <c r="G1692" s="356"/>
      <c r="H1692" s="359"/>
      <c r="I1692" s="357"/>
      <c r="J1692" s="357"/>
      <c r="K1692" s="357"/>
      <c r="L1692" s="357"/>
      <c r="M1692" s="357"/>
      <c r="N1692" s="357"/>
      <c r="O1692" s="357"/>
      <c r="P1692" s="357"/>
      <c r="Q1692" s="357"/>
      <c r="R1692" s="357"/>
    </row>
    <row r="1815" spans="6:6">
      <c r="F1815" s="371"/>
    </row>
  </sheetData>
  <autoFilter ref="A1:U1668" xr:uid="{00000000-0009-0000-0000-000001000000}">
    <filterColumn colId="1">
      <filters>
        <filter val="IMT E-PLUS"/>
      </filters>
    </filterColumn>
  </autoFilter>
  <sortState ref="A2:U1668">
    <sortCondition ref="T1"/>
  </sortState>
  <conditionalFormatting sqref="G1">
    <cfRule type="cellIs" dxfId="147" priority="12" operator="greaterThanOrEqual">
      <formula>0.03</formula>
    </cfRule>
  </conditionalFormatting>
  <conditionalFormatting sqref="G2:G49">
    <cfRule type="cellIs" dxfId="146" priority="9" operator="greaterThanOrEqual">
      <formula>0.03</formula>
    </cfRule>
  </conditionalFormatting>
  <conditionalFormatting sqref="G50:G100">
    <cfRule type="cellIs" dxfId="145" priority="11" operator="greaterThanOrEqual">
      <formula>0.03</formula>
    </cfRule>
  </conditionalFormatting>
  <conditionalFormatting sqref="G101:G320">
    <cfRule type="cellIs" dxfId="144" priority="8" operator="greaterThanOrEqual">
      <formula>0.03</formula>
    </cfRule>
  </conditionalFormatting>
  <conditionalFormatting sqref="G321:G843">
    <cfRule type="cellIs" dxfId="143" priority="7" operator="greaterThanOrEqual">
      <formula>0.03</formula>
    </cfRule>
  </conditionalFormatting>
  <conditionalFormatting sqref="G844:G1544">
    <cfRule type="cellIs" dxfId="142" priority="6" operator="greaterThanOrEqual">
      <formula>0.03</formula>
    </cfRule>
  </conditionalFormatting>
  <conditionalFormatting sqref="G1600:G1604">
    <cfRule type="cellIs" dxfId="141" priority="5" operator="greaterThanOrEqual">
      <formula>0.03</formula>
    </cfRule>
  </conditionalFormatting>
  <conditionalFormatting sqref="G1616">
    <cfRule type="cellIs" dxfId="140" priority="4" operator="greaterThanOrEqual">
      <formula>0.03</formula>
    </cfRule>
  </conditionalFormatting>
  <conditionalFormatting sqref="G1618">
    <cfRule type="cellIs" dxfId="139" priority="3" operator="greaterThanOrEqual">
      <formula>0.03</formula>
    </cfRule>
  </conditionalFormatting>
  <conditionalFormatting sqref="G1619">
    <cfRule type="cellIs" dxfId="138" priority="2" operator="greaterThanOrEqual">
      <formula>0.03</formula>
    </cfRule>
  </conditionalFormatting>
  <conditionalFormatting sqref="G1620">
    <cfRule type="cellIs" dxfId="137" priority="1" operator="greaterThanOrEqual">
      <formula>0.03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theme="0" tint="-0.499984740745262"/>
  </sheetPr>
  <dimension ref="B2:W55"/>
  <sheetViews>
    <sheetView showGridLines="0" zoomScale="85" zoomScaleNormal="85" workbookViewId="0">
      <selection activeCell="G3" sqref="G3"/>
    </sheetView>
  </sheetViews>
  <sheetFormatPr baseColWidth="10" defaultRowHeight="14.25"/>
  <cols>
    <col min="1" max="1" width="4.625" style="377" customWidth="1"/>
    <col min="2" max="2" width="14" style="377" bestFit="1" customWidth="1"/>
    <col min="3" max="3" width="19.5" style="377" customWidth="1"/>
    <col min="4" max="4" width="17.5" style="377" bestFit="1" customWidth="1"/>
    <col min="5" max="5" width="18.25" style="377" customWidth="1"/>
    <col min="6" max="6" width="17.875" style="377" customWidth="1"/>
    <col min="7" max="7" width="20.25" style="377" customWidth="1"/>
    <col min="8" max="8" width="14.875" style="377" bestFit="1" customWidth="1"/>
    <col min="9" max="9" width="36.625" style="377" hidden="1" customWidth="1"/>
    <col min="10" max="10" width="7" style="377" hidden="1" customWidth="1"/>
    <col min="11" max="11" width="6.75" style="377" hidden="1" customWidth="1"/>
    <col min="12" max="12" width="9.375" style="377" hidden="1" customWidth="1"/>
    <col min="13" max="13" width="4.75" style="377" customWidth="1"/>
    <col min="14" max="14" width="15.25" style="377" bestFit="1" customWidth="1"/>
    <col min="15" max="15" width="8.75" style="377" customWidth="1"/>
    <col min="16" max="16" width="8.625" style="377" customWidth="1"/>
    <col min="17" max="17" width="9.875" style="377" customWidth="1"/>
    <col min="18" max="18" width="9.375" style="377" customWidth="1"/>
    <col min="19" max="19" width="10.25" style="377" bestFit="1" customWidth="1"/>
    <col min="20" max="21" width="9.375" style="377" customWidth="1"/>
    <col min="22" max="22" width="15.25" style="377" customWidth="1"/>
    <col min="23" max="23" width="9.75" style="377" customWidth="1"/>
    <col min="24" max="16384" width="11" style="377"/>
  </cols>
  <sheetData>
    <row r="2" spans="2:23" ht="15">
      <c r="B2" s="375" t="s">
        <v>0</v>
      </c>
      <c r="C2" s="376">
        <f ca="1">+TODAY()-1</f>
        <v>43058</v>
      </c>
    </row>
    <row r="4" spans="2:23">
      <c r="B4" s="378"/>
      <c r="C4" s="378"/>
      <c r="D4" s="378"/>
      <c r="E4" s="378"/>
      <c r="F4" s="378"/>
    </row>
    <row r="5" spans="2:23" ht="15.75" customHeight="1">
      <c r="B5" s="379" t="s">
        <v>232</v>
      </c>
      <c r="C5" s="379" t="s">
        <v>1087</v>
      </c>
      <c r="D5" s="379" t="s">
        <v>108</v>
      </c>
      <c r="E5" s="379" t="s">
        <v>52</v>
      </c>
      <c r="F5" s="379" t="s">
        <v>1089</v>
      </c>
      <c r="G5" s="379" t="s">
        <v>324</v>
      </c>
      <c r="N5" s="415" t="s">
        <v>1088</v>
      </c>
      <c r="O5" s="415"/>
      <c r="P5" s="415"/>
      <c r="Q5" s="415"/>
      <c r="R5" s="415"/>
      <c r="S5" s="415"/>
      <c r="T5" s="415"/>
      <c r="U5" s="415"/>
      <c r="V5" s="415"/>
      <c r="W5" s="415"/>
    </row>
    <row r="6" spans="2:23" ht="15.75" customHeight="1">
      <c r="B6" s="380" t="s">
        <v>4</v>
      </c>
      <c r="C6" s="381">
        <f>+SUMIFS(Caja!H:H,Caja!B:B,$B6,Caja!$I:$I,"1")-SUMIFS(Caja!H:H,Caja!B:B,$B6,Caja!$I:$I,"2")</f>
        <v>-6863441470</v>
      </c>
      <c r="D6" s="381" t="e">
        <f ca="1">+SUMIFS(BaseCompleta!$F:$F,BaseCompleta!$B:$B,$B6,BaseCompleta!$I:$I,TODAY(),BaseCompleta!$M:$M,"$")+SUMIFS(BaseCompleta!$F:$F,BaseCompleta!$B:$B,$B6,BaseCompleta!$I:$I,TODAY(),BaseCompleta!$M:$M,"UF")*VLOOKUP(TODAY(),UF!$A:$B,2,FALSE)</f>
        <v>#N/A</v>
      </c>
      <c r="E6" s="381" t="e">
        <f t="shared" ref="E6:E14" ca="1" si="0">+D6+C6</f>
        <v>#N/A</v>
      </c>
      <c r="F6" s="381">
        <f>+SUMIFS(Caja!H:H,Caja!B:B,$B6,Caja!$K:$K,"1")</f>
        <v>0</v>
      </c>
      <c r="G6" s="381" t="e">
        <f ca="1">+SUMIF(BaseCompleta!B:B,$B6,BaseCompleta!E:E)+E6-D6</f>
        <v>#N/A</v>
      </c>
      <c r="I6" s="377" t="s">
        <v>271</v>
      </c>
      <c r="J6" s="377" t="s">
        <v>2156</v>
      </c>
      <c r="K6" s="377" t="s">
        <v>272</v>
      </c>
      <c r="L6" s="377" t="s">
        <v>273</v>
      </c>
      <c r="N6" s="382" t="s">
        <v>232</v>
      </c>
      <c r="O6" s="382" t="s">
        <v>1049</v>
      </c>
      <c r="P6" s="382" t="s">
        <v>105</v>
      </c>
      <c r="Q6" s="382" t="s">
        <v>119</v>
      </c>
      <c r="R6" s="382" t="s">
        <v>1058</v>
      </c>
      <c r="S6" s="382" t="s">
        <v>1290</v>
      </c>
      <c r="T6" s="382" t="s">
        <v>1059</v>
      </c>
      <c r="U6" s="382" t="s">
        <v>1291</v>
      </c>
      <c r="V6" s="382" t="s">
        <v>1060</v>
      </c>
      <c r="W6" s="382" t="s">
        <v>103</v>
      </c>
    </row>
    <row r="7" spans="2:23" ht="15.75" customHeight="1">
      <c r="B7" s="383" t="s">
        <v>298</v>
      </c>
      <c r="C7" s="384">
        <f>+SUMIFS(Caja!H:H,Caja!B:B,$B7,Caja!$I:$I,"1")-SUMIFS(Caja!H:H,Caja!B:B,$B7,Caja!$I:$I,"2")</f>
        <v>50422054</v>
      </c>
      <c r="D7" s="384" t="e">
        <f ca="1">+SUMIFS(BaseCompleta!$F:$F,BaseCompleta!$B:$B,$B7,BaseCompleta!$I:$I,TODAY(),BaseCompleta!$M:$M,"$")+SUMIFS(BaseCompleta!$F:$F,BaseCompleta!$B:$B,$B7,BaseCompleta!$I:$I,TODAY(),BaseCompleta!$M:$M,"UF")*VLOOKUP(TODAY(),UF!$A:$B,2,FALSE)</f>
        <v>#N/A</v>
      </c>
      <c r="E7" s="384" t="e">
        <f t="shared" ca="1" si="0"/>
        <v>#N/A</v>
      </c>
      <c r="F7" s="384">
        <f>+SUMIFS(Caja!H:H,Caja!B:B,$B7,Caja!$K:$K,"1")</f>
        <v>0</v>
      </c>
      <c r="G7" s="384" t="e">
        <f ca="1">+SUMIF(BaseCompleta!B:B,$B7,BaseCompleta!E:E)+E7-D7</f>
        <v>#N/A</v>
      </c>
      <c r="I7" s="377" t="s">
        <v>274</v>
      </c>
      <c r="J7" s="377" t="s">
        <v>2157</v>
      </c>
      <c r="K7" s="377" t="s">
        <v>272</v>
      </c>
      <c r="L7" s="377" t="s">
        <v>273</v>
      </c>
      <c r="N7" s="381" t="s">
        <v>260</v>
      </c>
      <c r="O7" s="385" t="e">
        <f ca="1">+SUMIF(BaseCompleta!$B:$B,Inicio!$N7,BaseCompleta!$T:$T)*SUMIF(BaseCompleta!$B:$B,$N7,BaseCompleta!$E:$E)/VLOOKUP($N7,$B$6:$G$14,6,FALSE)*10000</f>
        <v>#N/A</v>
      </c>
      <c r="P7" s="385"/>
      <c r="Q7" s="385"/>
      <c r="R7" s="385"/>
      <c r="S7" s="385"/>
      <c r="T7" s="385"/>
      <c r="U7" s="385"/>
      <c r="V7" s="385"/>
      <c r="W7" s="385"/>
    </row>
    <row r="8" spans="2:23" ht="15.75" customHeight="1">
      <c r="B8" s="380" t="s">
        <v>353</v>
      </c>
      <c r="C8" s="381">
        <f>+SUMIFS(Caja!H:H,Caja!B:B,$B8,Caja!$I:$I,"1")-SUMIFS(Caja!H:H,Caja!B:B,$B8,Caja!$I:$I,"2")</f>
        <v>-6378143625</v>
      </c>
      <c r="D8" s="381" t="e">
        <f ca="1">+SUMIFS(BaseCompleta!$F:$F,BaseCompleta!$B:$B,$B8,BaseCompleta!$I:$I,TODAY(),BaseCompleta!$M:$M,"$")+SUMIFS(BaseCompleta!$F:$F,BaseCompleta!$B:$B,$B8,BaseCompleta!$I:$I,TODAY(),BaseCompleta!$M:$M,"UF")*VLOOKUP(TODAY(),UF!$A:$B,2,FALSE)</f>
        <v>#N/A</v>
      </c>
      <c r="E8" s="381" t="e">
        <f ca="1">+D8+C8</f>
        <v>#N/A</v>
      </c>
      <c r="F8" s="381">
        <f>+SUMIFS(Caja!H:H,Caja!B:B,$B8,Caja!$K:$K,"1")</f>
        <v>6417684115</v>
      </c>
      <c r="G8" s="381" t="e">
        <f ca="1">+SUMIF(BaseCompleta!B:B,$B8,BaseCompleta!E:E)+E8-D8</f>
        <v>#N/A</v>
      </c>
      <c r="I8" s="377" t="s">
        <v>275</v>
      </c>
      <c r="J8" s="377" t="s">
        <v>2158</v>
      </c>
      <c r="K8" s="377" t="s">
        <v>276</v>
      </c>
      <c r="L8" s="377" t="s">
        <v>273</v>
      </c>
      <c r="N8" s="384" t="s">
        <v>4</v>
      </c>
      <c r="O8" s="386" t="e">
        <f ca="1">+SUMIF(BaseCompleta!$B:$B,Inicio!$N8,BaseCompleta!$T:$T)*SUMIF(BaseCompleta!$B:$B,$N8,BaseCompleta!$E:$E)/VLOOKUP($N8,$B$6:$G$14,6,FALSE)*10000</f>
        <v>#N/A</v>
      </c>
      <c r="P8" s="386" t="e">
        <f ca="1">+(SUMIFS(BaseCompleta!$E:$E,BaseCompleta!B:B,$N8,BaseCompleta!$M:$M,"US$")+SUMIFS(Derivatives!$E:$E,Derivatives!$A:$A,$N8,Derivatives!$C:$C,P$6)*USDCLPobs-SUMIFS(Derivatives!$F:$F,Derivatives!$A:$A,$N8,Derivatives!$D:$D,P$6)*USDCLPobs+SUMIFS(Caja!$H:$H,Caja!$B:$B,Inicio!$N8,Caja!$J:$J,Inicio!P$6))/(+SUMIF(BaseCompleta!B:B,$N8,BaseCompleta!E:E)+VLOOKUP($N8,Inicio!$B$6:$E$13,4,FALSE))</f>
        <v>#VALUE!</v>
      </c>
      <c r="Q8" s="386" t="e">
        <f ca="1">+(SUMIFS(BaseCompleta!$E:$E,BaseCompleta!B:B,$N8,BaseCompleta!$M:$M,"MX")+SUMIFS(Derivatives!$E:$E,Derivatives!$A:$A,$N8,Derivatives!$C:$C,Q$6)*USDCLPobs-SUMIFS(Derivatives!$F:$F,Derivatives!$A:$A,$N8,Derivatives!$D:$D,Q$6)*USDCLPobs+SUMIFS(Caja!$H:$H,Caja!$B:$B,Inicio!$N8,Caja!$J:$J,Inicio!Q$6))/(+SUMIF(BaseCompleta!B:B,$N8,BaseCompleta!E:E)+VLOOKUP($N8,Inicio!$B$6:$E$13,4,FALSE))</f>
        <v>#VALUE!</v>
      </c>
      <c r="R8" s="386">
        <f ca="1">IFERROR((_xll.BDH("CLFXDOOB Index","PX_LAST",TODAY()+1)-_xll.BDH("CLFXDOOB Index","PX_LAST",TODAY()))/(_xll.BDH("CLFXDOOB Index","PX_LAST",TODAY())),0)</f>
        <v>0</v>
      </c>
      <c r="S8" s="387">
        <f ca="1">IFERROR((_xll.BDH("MXNCLP Curncy","PX_LAST",TODAY())-_xll.BDH("MXNCLP Curncy","PX_LAST",TODAY()-1))/(_xll.BDH("MXNCLP Curncy","PX_LAST",TODAY()-1)),0)</f>
        <v>0</v>
      </c>
      <c r="T8" s="386" t="e">
        <f ca="1">+R8*P8*10000</f>
        <v>#VALUE!</v>
      </c>
      <c r="U8" s="386" t="e">
        <f ca="1">+Q8*S8*10000</f>
        <v>#VALUE!</v>
      </c>
      <c r="V8" s="386" t="e">
        <f ca="1">+T8+O8+U8</f>
        <v>#VALUE!</v>
      </c>
      <c r="W8" s="386" t="e">
        <f ca="1">+V8+1</f>
        <v>#VALUE!</v>
      </c>
    </row>
    <row r="9" spans="2:23" ht="15.75" customHeight="1">
      <c r="B9" s="383" t="s">
        <v>297</v>
      </c>
      <c r="C9" s="384">
        <f>+SUMIFS(Caja!H:H,Caja!B:B,$B9,Caja!$I:$I,"1")-SUMIFS(Caja!H:H,Caja!B:B,$B9,Caja!$I:$I,"2")</f>
        <v>7240530</v>
      </c>
      <c r="D9" s="384" t="e">
        <f ca="1">+SUMIFS(BaseCompleta!$F:$F,BaseCompleta!$B:$B,$B9,BaseCompleta!$I:$I,TODAY(),BaseCompleta!$M:$M,"$")+SUMIFS(BaseCompleta!$F:$F,BaseCompleta!$B:$B,$B9,BaseCompleta!$I:$I,TODAY(),BaseCompleta!$M:$M,"UF")*VLOOKUP(TODAY(),UF!$A:$B,2,FALSE)</f>
        <v>#N/A</v>
      </c>
      <c r="E9" s="384" t="e">
        <f t="shared" ca="1" si="0"/>
        <v>#N/A</v>
      </c>
      <c r="F9" s="384">
        <f>+SUMIFS(Caja!H:H,Caja!B:B,$B9,Caja!$K:$K,"1")</f>
        <v>0</v>
      </c>
      <c r="G9" s="384" t="e">
        <f ca="1">+SUMIF(BaseCompleta!B:B,$B9,BaseCompleta!E:E)+E9-D9</f>
        <v>#N/A</v>
      </c>
      <c r="I9" s="377" t="s">
        <v>277</v>
      </c>
      <c r="K9" s="377" t="s">
        <v>272</v>
      </c>
      <c r="L9" s="377" t="s">
        <v>278</v>
      </c>
      <c r="N9" s="381" t="s">
        <v>298</v>
      </c>
      <c r="O9" s="385" t="e">
        <f ca="1">+SUMIF(BaseCompleta!$B:$B,Inicio!$N9,BaseCompleta!$T:$T)*SUMIF(BaseCompleta!$B:$B,$N9,BaseCompleta!$E:$E)/VLOOKUP($N9,$B$6:$G$14,6,FALSE)*10000</f>
        <v>#N/A</v>
      </c>
      <c r="P9" s="385"/>
      <c r="Q9" s="385"/>
      <c r="R9" s="385"/>
      <c r="S9" s="388">
        <f ca="1">IFERROR((_xll.BDH("MXNCLP Curncy","PX_LAST",TODAY())-_xll.BDH("MXNCLP Curncy","PX_LAST",TODAY()-1))/(_xll.BDH("MXNCLP Curncy","PX_LAST",TODAY()-1)),0)</f>
        <v>0</v>
      </c>
      <c r="T9" s="385"/>
      <c r="U9" s="385">
        <f ca="1">+Q9*S9*10000</f>
        <v>0</v>
      </c>
      <c r="V9" s="385" t="e">
        <f ca="1">+T9+O9+U9</f>
        <v>#N/A</v>
      </c>
      <c r="W9" s="385" t="e">
        <f ca="1">+V9+1</f>
        <v>#N/A</v>
      </c>
    </row>
    <row r="10" spans="2:23" ht="15.75" customHeight="1">
      <c r="B10" s="380" t="s">
        <v>299</v>
      </c>
      <c r="C10" s="381">
        <f>+SUMIFS(Caja!H:H,Caja!B:B,$B10,Caja!$I:$I,"1")-SUMIFS(Caja!H:H,Caja!B:B,$B10,Caja!$I:$I,"2")</f>
        <v>-3312697289</v>
      </c>
      <c r="D10" s="381" t="e">
        <f ca="1">+SUMIFS(BaseCompleta!$F:$F,BaseCompleta!$B:$B,$B10,BaseCompleta!$I:$I,TODAY(),BaseCompleta!$M:$M,"$")+SUMIFS(BaseCompleta!$F:$F,BaseCompleta!$B:$B,$B10,BaseCompleta!$I:$I,TODAY(),BaseCompleta!$M:$M,"UF")*VLOOKUP(TODAY(),UF!$A:$B,2,FALSE)</f>
        <v>#N/A</v>
      </c>
      <c r="E10" s="381" t="e">
        <f t="shared" ca="1" si="0"/>
        <v>#N/A</v>
      </c>
      <c r="F10" s="381">
        <f>+SUMIFS(Caja!H:H,Caja!B:B,$B10,Caja!$K:$K,"1")</f>
        <v>0</v>
      </c>
      <c r="G10" s="381" t="e">
        <f ca="1">+SUMIF(BaseCompleta!B:B,$B10,BaseCompleta!E:E)+E10-D10</f>
        <v>#N/A</v>
      </c>
      <c r="I10" s="377" t="s">
        <v>1334</v>
      </c>
      <c r="J10" s="377">
        <f>+_xll.BDP(I10&amp;" Curncy","PX_LAST")</f>
        <v>211.8612</v>
      </c>
      <c r="K10" s="377" t="s">
        <v>272</v>
      </c>
      <c r="N10" s="384" t="s">
        <v>353</v>
      </c>
      <c r="O10" s="386" t="e">
        <f ca="1">+SUMIF(BaseCompleta!$B:$B,Inicio!$N10,BaseCompleta!$T:$T)*SUMIF(BaseCompleta!$B:$B,$N10,BaseCompleta!$E:$E)/VLOOKUP($N10,$B$6:$G$14,6,FALSE)*10000</f>
        <v>#N/A</v>
      </c>
      <c r="P10" s="386" t="e">
        <f ca="1">+(SUMIFS(BaseCompleta!$E:$E,BaseCompleta!B:B,$N10,BaseCompleta!$M:$M,"US$")+SUMIFS(Derivatives!$E:$E,Derivatives!$A:$A,$N10,Derivatives!$C:$C,P$6)*USDCLPobs-SUMIFS(Derivatives!$F:$F,Derivatives!$A:$A,$N10,Derivatives!$D:$D,P$6)*USDCLPobs+SUMIFS(Caja!$H:$H,Caja!$B:$B,Inicio!$N10,Caja!$J:$J,Inicio!P$6))/(+SUMIF(BaseCompleta!B:B,$N10,BaseCompleta!E:E)+VLOOKUP($N10,Inicio!$B$6:$E$13,4,FALSE))</f>
        <v>#VALUE!</v>
      </c>
      <c r="Q10" s="386" t="e">
        <f ca="1">+(SUMIFS(BaseCompleta!$E:$E,BaseCompleta!B:B,$N10,BaseCompleta!$M:$M,"MX")+SUMIFS(Derivatives!$E:$E,Derivatives!$A:$A,$N10,Derivatives!$C:$C,Q$6)*USDCLPobs-SUMIFS(Derivatives!$F:$F,Derivatives!$A:$A,$N10,Derivatives!$D:$D,Q$6)*USDCLPobs+SUMIFS(Caja!$H:$H,Caja!$B:$B,Inicio!$N10,Caja!$J:$J,Inicio!Q$6))/(+SUMIF(BaseCompleta!B:B,$N10,BaseCompleta!E:E)+VLOOKUP($N10,Inicio!$B$6:$E$13,4,FALSE))</f>
        <v>#VALUE!</v>
      </c>
      <c r="R10" s="386">
        <f ca="1">IFERROR((_xll.BDH("CLFXDOOB Index","PX_LAST",TODAY()+1)-_xll.BDH("CLFXDOOB Index","PX_LAST",TODAY()))/(_xll.BDH("CLFXDOOB Index","PX_LAST",TODAY())),0)</f>
        <v>0</v>
      </c>
      <c r="S10" s="387">
        <f ca="1">IFERROR((_xll.BDH("MXNCLP Curncy","PX_LAST",TODAY())-_xll.BDH("MXNCLP Curncy","PX_LAST",TODAY()-1))/(_xll.BDH("MXNCLP Curncy","PX_LAST",TODAY()-1)),0)</f>
        <v>0</v>
      </c>
      <c r="T10" s="386" t="e">
        <f ca="1">+R10*P10*10000</f>
        <v>#VALUE!</v>
      </c>
      <c r="U10" s="386" t="e">
        <f ca="1">+Q10*S10*10000</f>
        <v>#VALUE!</v>
      </c>
      <c r="V10" s="386" t="e">
        <f ca="1">+T10+O10+U10</f>
        <v>#VALUE!</v>
      </c>
      <c r="W10" s="386" t="e">
        <f ca="1">+V10+1</f>
        <v>#VALUE!</v>
      </c>
    </row>
    <row r="11" spans="2:23" ht="15.75" customHeight="1">
      <c r="B11" s="383" t="s">
        <v>300</v>
      </c>
      <c r="C11" s="384">
        <f>+SUMIFS(Caja!H:H,Caja!B:B,$B11,Caja!$I:$I,"1")-SUMIFS(Caja!H:H,Caja!B:B,$B11,Caja!$I:$I,"2")</f>
        <v>200267.5203</v>
      </c>
      <c r="D11" s="384" t="e">
        <f ca="1">+SUMIFS(BaseCompleta!$F:$F,BaseCompleta!$B:$B,$B11,BaseCompleta!$I:$I,TODAY(),BaseCompleta!$M:$M,"USD")+SUMIFS(BaseCompleta!$F:$F,BaseCompleta!$B:$B,$B11,BaseCompleta!$I:$I,TODAY(),BaseCompleta!$M:$M,"UF")*VLOOKUP(TODAY(),UF!$A:$B,2,FALSE)</f>
        <v>#N/A</v>
      </c>
      <c r="E11" s="384" t="e">
        <f t="shared" ca="1" si="0"/>
        <v>#N/A</v>
      </c>
      <c r="F11" s="384">
        <f>+SUMIFS(Caja!H:H,Caja!B:B,$B11,Caja!$K:$K,"1")</f>
        <v>0</v>
      </c>
      <c r="G11" s="384" t="e">
        <f ca="1">+SUMIF(BaseCompleta!B:B,$B11,BaseCompleta!E:E)+E11-D11</f>
        <v>#N/A</v>
      </c>
      <c r="I11" s="377" t="s">
        <v>1335</v>
      </c>
      <c r="J11" s="377">
        <f>+_xll.BDP(I11&amp;" Curncy","PX_LAST")</f>
        <v>0.2271</v>
      </c>
      <c r="K11" s="377" t="s">
        <v>272</v>
      </c>
      <c r="N11" s="381" t="s">
        <v>297</v>
      </c>
      <c r="O11" s="385" t="e">
        <f ca="1">+SUMIF(BaseCompleta!$B:$B,Inicio!$N11,BaseCompleta!$T:$T)*SUMIF(BaseCompleta!$B:$B,$N11,BaseCompleta!$E:$E)/VLOOKUP($N11,$B$6:$G$14,6,FALSE)*10000</f>
        <v>#N/A</v>
      </c>
      <c r="P11" s="385" t="e">
        <f ca="1">+(SUMIFS(BaseCompleta!$E:$E,BaseCompleta!B:B,$N11,BaseCompleta!$M:$M,"US$")+SUMIFS(Derivatives!$E:$E,Derivatives!$A:$A,$N11,Derivatives!$C:$C,P$6)*USDCLPobs-SUMIFS(Derivatives!$F:$F,Derivatives!$A:$A,$N11,Derivatives!$D:$D,P$6)*USDCLPobs)/(+SUMIF(BaseCompleta!B:B,$N11,BaseCompleta!E:E)+VLOOKUP($N11,Inicio!$B$6:$E$13,4,FALSE))</f>
        <v>#VALUE!</v>
      </c>
      <c r="Q11" s="385" t="e">
        <f ca="1">+(SUMIFS(BaseCompleta!$E:$E,BaseCompleta!B:B,$N11,BaseCompleta!$M:$M,"MX")+SUMIFS(Derivatives!$E:$E,Derivatives!$A:$A,$N11,Derivatives!$C:$C,Q$6)*USDCLPobs-SUMIFS(Derivatives!$F:$F,Derivatives!$A:$A,$N11,Derivatives!$D:$D,Q$6)*USDCLPobs)/(+SUMIF(BaseCompleta!B:B,$N11,BaseCompleta!E:E)+VLOOKUP($N11,Inicio!$B$6:$E$13,4,FALSE))</f>
        <v>#VALUE!</v>
      </c>
      <c r="R11" s="385">
        <f ca="1">IFERROR((_xll.BDH("CLFXDOOB Index","PX_LAST",TODAY()+1)-_xll.BDH("CLFXDOOB Index","PX_LAST",TODAY()))/(_xll.BDH("CLFXDOOB Index","PX_LAST",TODAY())),0)</f>
        <v>0</v>
      </c>
      <c r="S11" s="388">
        <f ca="1">IFERROR((_xll.BDH("MXNCLP Curncy","PX_LAST",TODAY())-_xll.BDH("MXNCLP Curncy","PX_LAST",TODAY()-1))/(_xll.BDH("MXNCLP Curncy","PX_LAST",TODAY()-1)),0)</f>
        <v>0</v>
      </c>
      <c r="T11" s="385" t="e">
        <f ca="1">+R11*P11*10000</f>
        <v>#VALUE!</v>
      </c>
      <c r="U11" s="385" t="e">
        <f ca="1">+Q11*S11*10000</f>
        <v>#VALUE!</v>
      </c>
      <c r="V11" s="385" t="e">
        <f ca="1">+T11+O11+U11</f>
        <v>#VALUE!</v>
      </c>
      <c r="W11" s="385" t="e">
        <f ca="1">+V11+1</f>
        <v>#VALUE!</v>
      </c>
    </row>
    <row r="12" spans="2:23" ht="15.75" customHeight="1">
      <c r="B12" s="380" t="s">
        <v>161</v>
      </c>
      <c r="C12" s="381">
        <f>+SUMIFS(Caja!H:H,Caja!B:B,$B12,Caja!$I:$I,"1")-SUMIFS(Caja!H:H,Caja!B:B,$B12,Caja!$I:$I,"2")</f>
        <v>-19384107</v>
      </c>
      <c r="D12" s="381" t="e">
        <f ca="1">+SUMIFS(BaseCompleta!$F:$F,BaseCompleta!$B:$B,$B12,BaseCompleta!$I:$I,TODAY(),BaseCompleta!$M:$M,"$")+SUMIFS(BaseCompleta!$F:$F,BaseCompleta!$B:$B,$B12,BaseCompleta!$I:$I,TODAY(),BaseCompleta!$M:$M,"UF")*VLOOKUP(TODAY(),UF!$A:$B,2,FALSE)</f>
        <v>#N/A</v>
      </c>
      <c r="E12" s="381" t="e">
        <f t="shared" ca="1" si="0"/>
        <v>#N/A</v>
      </c>
      <c r="F12" s="381">
        <f>+SUMIFS(Caja!H:H,Caja!B:B,$B12,Caja!$K:$K,"1")</f>
        <v>0</v>
      </c>
      <c r="G12" s="381" t="e">
        <f ca="1">+SUMIF(BaseCompleta!B:B,$B12,BaseCompleta!E:E)+E12-D12</f>
        <v>#N/A</v>
      </c>
      <c r="I12" s="377" t="s">
        <v>1336</v>
      </c>
      <c r="J12" s="377">
        <f>+_xll.BDP(I12&amp;" Curncy","PX_LAST")</f>
        <v>206.06399999999999</v>
      </c>
      <c r="K12" s="377" t="s">
        <v>272</v>
      </c>
      <c r="N12" s="384" t="s">
        <v>299</v>
      </c>
      <c r="O12" s="386" t="e">
        <f ca="1">+SUMIF(BaseCompleta!$B:$B,Inicio!$N12,BaseCompleta!$T:$T)*SUMIF(BaseCompleta!$B:$B,$N12,BaseCompleta!$E:$E)/VLOOKUP($N12,$B$6:$G$14,6,FALSE)*10000</f>
        <v>#N/A</v>
      </c>
      <c r="P12" s="386"/>
      <c r="Q12" s="386"/>
      <c r="R12" s="386"/>
      <c r="S12" s="386"/>
      <c r="T12" s="386"/>
      <c r="U12" s="386">
        <f t="shared" ref="U12:U14" si="1">+Q12*S12*10000</f>
        <v>0</v>
      </c>
      <c r="V12" s="386"/>
      <c r="W12" s="386"/>
    </row>
    <row r="13" spans="2:23">
      <c r="B13" s="383" t="s">
        <v>234</v>
      </c>
      <c r="C13" s="384">
        <f>+SUMIFS(Caja!H:H,Caja!B:B,$B13,Caja!$I:$I,"1")-SUMIFS(Caja!H:H,Caja!B:B,$B13,Caja!$I:$I,"2")</f>
        <v>26383393</v>
      </c>
      <c r="D13" s="384" t="e">
        <f ca="1">+SUMIFS(BaseCompleta!$F:$F,BaseCompleta!$B:$B,$B13,BaseCompleta!$I:$I,TODAY(),BaseCompleta!$M:$M,"$")+SUMIFS(BaseCompleta!$F:$F,BaseCompleta!$B:$B,$B13,BaseCompleta!$I:$I,TODAY(),BaseCompleta!$M:$M,"UF")*VLOOKUP(TODAY(),UF!$A:$B,2,FALSE)</f>
        <v>#N/A</v>
      </c>
      <c r="E13" s="384" t="e">
        <f t="shared" ca="1" si="0"/>
        <v>#N/A</v>
      </c>
      <c r="F13" s="384">
        <f>+SUMIFS(Caja!H:H,Caja!B:B,$B13,Caja!$K:$K,"1")</f>
        <v>0</v>
      </c>
      <c r="G13" s="384" t="e">
        <f ca="1">+SUMIF(BaseCompleta!B:B,$B13,BaseCompleta!E:E)+E13-D13</f>
        <v>#N/A</v>
      </c>
      <c r="I13" s="377" t="s">
        <v>1337</v>
      </c>
      <c r="J13" s="377">
        <f>+_xll.BDP(I13&amp;" Curncy","PX_LAST")</f>
        <v>43.62</v>
      </c>
      <c r="K13" s="377" t="s">
        <v>272</v>
      </c>
      <c r="N13" s="381" t="s">
        <v>300</v>
      </c>
      <c r="O13" s="385" t="e">
        <f ca="1">+SUMIF(BaseCompleta!$B:$B,Inicio!$N13,BaseCompleta!$T:$T)*SUMIF(BaseCompleta!$B:$B,$N13,BaseCompleta!$E:$E)/VLOOKUP($N13,$B$6:$G$14,6,FALSE)*10000</f>
        <v>#N/A</v>
      </c>
      <c r="P13" s="385"/>
      <c r="Q13" s="385"/>
      <c r="R13" s="385"/>
      <c r="S13" s="385"/>
      <c r="T13" s="385"/>
      <c r="U13" s="385">
        <f t="shared" si="1"/>
        <v>0</v>
      </c>
      <c r="V13" s="385"/>
      <c r="W13" s="385"/>
    </row>
    <row r="14" spans="2:23" ht="15.75" customHeight="1">
      <c r="B14" s="380" t="s">
        <v>260</v>
      </c>
      <c r="C14" s="381">
        <f>+SUMIFS(Caja!H:H,Caja!B:B,$B14,Caja!$I:$I,"1")-SUMIFS(Caja!H:H,Caja!B:B,$B14,Caja!$I:$I,"2")</f>
        <v>49450740</v>
      </c>
      <c r="D14" s="381" t="e">
        <f ca="1">+SUMIFS(BaseCompleta!$F:$F,BaseCompleta!$B:$B,$B14,BaseCompleta!$I:$I,TODAY(),BaseCompleta!$M:$M,"$")+SUMIFS(BaseCompleta!$F:$F,BaseCompleta!$B:$B,$B14,BaseCompleta!$I:$I,TODAY(),BaseCompleta!$M:$M,"UF")*VLOOKUP(TODAY(),UF!$A:$B,2,FALSE)</f>
        <v>#N/A</v>
      </c>
      <c r="E14" s="381" t="e">
        <f t="shared" ca="1" si="0"/>
        <v>#N/A</v>
      </c>
      <c r="F14" s="381">
        <f>+SUMIFS(Caja!H:H,Caja!B:B,$B14,Caja!$K:$K,"1")</f>
        <v>0</v>
      </c>
      <c r="G14" s="381" t="e">
        <f ca="1">+SUMIF(BaseCompleta!B:B,$B14,BaseCompleta!E:E)+E14-D14</f>
        <v>#N/A</v>
      </c>
      <c r="M14" s="389"/>
      <c r="N14" s="384" t="s">
        <v>161</v>
      </c>
      <c r="O14" s="386" t="e">
        <f ca="1">+SUMIF(BaseCompleta!$B:$B,Inicio!$N14,BaseCompleta!$T:$T)*SUMIF(BaseCompleta!$B:$B,$N14,BaseCompleta!$E:$E)/VLOOKUP($N14,$B$6:$G$14,6,FALSE)*10000</f>
        <v>#N/A</v>
      </c>
      <c r="P14" s="386"/>
      <c r="Q14" s="386"/>
      <c r="R14" s="386"/>
      <c r="S14" s="386"/>
      <c r="T14" s="386"/>
      <c r="U14" s="386">
        <f t="shared" si="1"/>
        <v>0</v>
      </c>
      <c r="V14" s="386"/>
      <c r="W14" s="386"/>
    </row>
    <row r="15" spans="2:23" ht="15.75" thickBot="1">
      <c r="B15" s="390" t="s">
        <v>1091</v>
      </c>
      <c r="C15" s="391"/>
      <c r="D15" s="391"/>
      <c r="E15" s="391"/>
      <c r="F15" s="391"/>
      <c r="G15" s="392" t="e">
        <f ca="1">+SUM(G6:G10,G12:G13)+G11*USDCLPobs</f>
        <v>#N/A</v>
      </c>
      <c r="M15" s="393"/>
      <c r="N15" s="394" t="s">
        <v>234</v>
      </c>
      <c r="O15" s="395" t="e">
        <f ca="1">+SUMIF(BaseCompleta!$B:$B,Inicio!$N15,BaseCompleta!$T:$T)*SUMIF(BaseCompleta!$B:$B,$N15,BaseCompleta!$E:$E)/VLOOKUP($N15,$B$6:$G$14,6,FALSE)*10000</f>
        <v>#N/A</v>
      </c>
      <c r="P15" s="395"/>
      <c r="Q15" s="395"/>
      <c r="R15" s="395"/>
      <c r="S15" s="395"/>
      <c r="T15" s="395"/>
      <c r="U15" s="395"/>
      <c r="V15" s="395"/>
      <c r="W15" s="395"/>
    </row>
    <row r="16" spans="2:23" ht="15">
      <c r="B16" s="396" t="s">
        <v>1177</v>
      </c>
      <c r="C16" s="397"/>
      <c r="D16" s="397"/>
      <c r="E16" s="397"/>
      <c r="F16" s="397"/>
      <c r="G16" s="398" t="e">
        <f ca="1">+G15/_xll.BDP("CLP Curncy","PX_LAST")</f>
        <v>#N/A</v>
      </c>
      <c r="M16" s="399"/>
    </row>
    <row r="17" spans="2:21">
      <c r="B17" s="378"/>
      <c r="C17" s="378"/>
      <c r="D17" s="378"/>
      <c r="E17" s="400"/>
      <c r="F17" s="378"/>
      <c r="G17" s="401"/>
    </row>
    <row r="18" spans="2:21">
      <c r="C18" s="402"/>
      <c r="D18" s="403"/>
      <c r="E18" s="399"/>
      <c r="T18" s="404"/>
    </row>
    <row r="19" spans="2:21" ht="15">
      <c r="B19" s="375"/>
      <c r="D19" s="403"/>
      <c r="E19" s="399"/>
      <c r="T19" s="405"/>
    </row>
    <row r="20" spans="2:21" ht="15">
      <c r="B20" s="375" t="s">
        <v>0</v>
      </c>
      <c r="C20" s="406">
        <f ca="1">+TODAY()</f>
        <v>43059</v>
      </c>
      <c r="D20" s="406">
        <f ca="1">+TODAY()+1</f>
        <v>43060</v>
      </c>
    </row>
    <row r="21" spans="2:21" ht="15">
      <c r="B21" s="379" t="s">
        <v>232</v>
      </c>
      <c r="C21" s="379" t="s">
        <v>1092</v>
      </c>
      <c r="D21" s="379" t="s">
        <v>1093</v>
      </c>
    </row>
    <row r="22" spans="2:21">
      <c r="B22" s="380" t="s">
        <v>4</v>
      </c>
      <c r="C22" s="381">
        <f>+IF(ISERROR(VLOOKUP(B22,AportesRescates!$B$8:$D$16,3,0)),0,VLOOKUP(B22,AportesRescates!$B$8:$D$16,3,0))</f>
        <v>0</v>
      </c>
      <c r="D22" s="381">
        <f>+IF(ISERROR(VLOOKUP(B22,AportesRescates!$B$8:$C$16,2,0)),0,VLOOKUP(B22,AportesRescates!$B$8:$C$16,2,0))</f>
        <v>0</v>
      </c>
    </row>
    <row r="23" spans="2:21">
      <c r="B23" s="383" t="s">
        <v>1174</v>
      </c>
      <c r="C23" s="384">
        <f>+IF(ISERROR(VLOOKUP(B23,AportesRescates!$B$8:$D$16,3,0)),0,VLOOKUP(B23,AportesRescates!$B$8:$D$16,3,0))</f>
        <v>935674492</v>
      </c>
      <c r="D23" s="384">
        <f>+IF(ISERROR(VLOOKUP(B23,AportesRescates!$B$8:$C$16,2,0)),0,VLOOKUP(B23,AportesRescates!$B$8:$C$16,2,0))</f>
        <v>71566152</v>
      </c>
    </row>
    <row r="24" spans="2:21">
      <c r="B24" s="380" t="s">
        <v>353</v>
      </c>
      <c r="C24" s="381">
        <f>+IF(ISERROR(VLOOKUP(B24,AportesRescates!$B$8:$D$16,3,0)),0,VLOOKUP(B24,AportesRescates!$B$8:$D$16,3,0))</f>
        <v>0</v>
      </c>
      <c r="D24" s="381">
        <f>+IF(ISERROR(VLOOKUP(B24,AportesRescates!$B$8:$C$16,2,0)),0,VLOOKUP(B24,AportesRescates!$B$8:$C$16,2,0))</f>
        <v>0</v>
      </c>
    </row>
    <row r="25" spans="2:21">
      <c r="B25" s="383" t="s">
        <v>1175</v>
      </c>
      <c r="C25" s="384">
        <f>+IF(ISERROR(VLOOKUP(B25,AportesRescates!$B$8:$D$16,3,0)),0,VLOOKUP(B25,AportesRescates!$B$8:$D$16,3,0))</f>
        <v>500000000</v>
      </c>
      <c r="D25" s="384">
        <f>+IF(ISERROR(VLOOKUP(B25,AportesRescates!$B$8:$C$16,2,0)),0,VLOOKUP(B25,AportesRescates!$B$8:$C$16,2,0))</f>
        <v>0</v>
      </c>
    </row>
    <row r="26" spans="2:21">
      <c r="B26" s="380" t="s">
        <v>1172</v>
      </c>
      <c r="C26" s="381">
        <f>+IF(ISERROR(VLOOKUP(B26,AportesRescates!$B$8:$D$16,3,0)),0,VLOOKUP(B26,AportesRescates!$B$8:$D$16,3,0))</f>
        <v>9317333813</v>
      </c>
      <c r="D26" s="381">
        <f>+IF(ISERROR(VLOOKUP(B26,AportesRescates!$B$8:$C$16,2,0)),0,VLOOKUP(B26,AportesRescates!$B$8:$C$16,2,0))</f>
        <v>4587272914</v>
      </c>
      <c r="F26" s="404"/>
      <c r="G26" s="401"/>
    </row>
    <row r="27" spans="2:21">
      <c r="B27" s="383" t="s">
        <v>1173</v>
      </c>
      <c r="C27" s="384">
        <f>+IF(ISERROR(VLOOKUP(B27,AportesRescates!$B$8:$D$16,3,0)),0,VLOOKUP(B27,AportesRescates!$B$8:$D$16,3,0))</f>
        <v>9765.33</v>
      </c>
      <c r="D27" s="384">
        <f>+IF(ISERROR(VLOOKUP(B27,AportesRescates!$B$8:$C$16,2,0)),0,VLOOKUP(B27,AportesRescates!$B$8:$C$16,2,0))</f>
        <v>115227.7</v>
      </c>
      <c r="F27" s="401"/>
      <c r="G27" s="407"/>
    </row>
    <row r="28" spans="2:21">
      <c r="B28" s="380" t="s">
        <v>161</v>
      </c>
      <c r="C28" s="381">
        <f>+IF(ISERROR(VLOOKUP(B28,AportesRescates!$B$8:$D$16,3,0)),0,VLOOKUP(B28,AportesRescates!$B$8:$D$16,3,0))</f>
        <v>0</v>
      </c>
      <c r="D28" s="381">
        <f>+IF(ISERROR(VLOOKUP(B28,AportesRescates!$B$8:$C$16,2,0)),0,VLOOKUP(B28,AportesRescates!$B$8:$C$16,2,0))</f>
        <v>0</v>
      </c>
      <c r="F28" s="401"/>
      <c r="G28" s="407"/>
    </row>
    <row r="29" spans="2:21">
      <c r="B29" s="383" t="s">
        <v>234</v>
      </c>
      <c r="C29" s="384">
        <f>+IF(ISERROR(VLOOKUP(B29,AportesRescates!$B$8:$D$16,3,0)),0,VLOOKUP(B29,AportesRescates!$B$8:$D$16,3,0))</f>
        <v>0</v>
      </c>
      <c r="D29" s="384">
        <f>+IF(ISERROR(VLOOKUP(B29,AportesRescates!$B$8:$C$16,2,0)),0,VLOOKUP(B29,AportesRescates!$B$8:$C$16,2,0))</f>
        <v>0</v>
      </c>
      <c r="F29" s="401"/>
      <c r="G29" s="407"/>
    </row>
    <row r="30" spans="2:21" ht="15">
      <c r="B30" s="396" t="s">
        <v>1091</v>
      </c>
      <c r="C30" s="397"/>
      <c r="D30" s="397"/>
      <c r="F30" s="401"/>
      <c r="G30" s="407"/>
    </row>
    <row r="31" spans="2:21">
      <c r="F31" s="401"/>
      <c r="G31" s="407"/>
    </row>
    <row r="32" spans="2:21">
      <c r="T32" s="408"/>
      <c r="U32" s="408"/>
    </row>
    <row r="38" spans="4:11">
      <c r="E38" s="393"/>
    </row>
    <row r="39" spans="4:11">
      <c r="E39" s="393"/>
      <c r="F39" s="393"/>
    </row>
    <row r="40" spans="4:11">
      <c r="F40" s="409"/>
    </row>
    <row r="41" spans="4:11">
      <c r="J41" s="404"/>
      <c r="K41" s="405"/>
    </row>
    <row r="42" spans="4:11">
      <c r="G42" s="404"/>
    </row>
    <row r="43" spans="4:11">
      <c r="D43" s="410"/>
      <c r="E43" s="410"/>
      <c r="F43" s="410"/>
      <c r="G43" s="410"/>
      <c r="H43" s="410"/>
      <c r="I43" s="410"/>
    </row>
    <row r="44" spans="4:11">
      <c r="D44" s="410"/>
      <c r="E44" s="411"/>
      <c r="F44" s="411"/>
      <c r="G44" s="411"/>
      <c r="H44" s="411"/>
      <c r="I44" s="410"/>
      <c r="J44" s="412"/>
    </row>
    <row r="45" spans="4:11">
      <c r="D45" s="413"/>
      <c r="E45" s="410"/>
      <c r="F45" s="410"/>
      <c r="G45" s="410"/>
      <c r="H45" s="410"/>
      <c r="I45" s="410"/>
      <c r="J45" s="412"/>
    </row>
    <row r="53" spans="6:6">
      <c r="F53" s="389"/>
    </row>
    <row r="54" spans="6:6">
      <c r="F54" s="389"/>
    </row>
    <row r="55" spans="6:6">
      <c r="F55" s="389"/>
    </row>
  </sheetData>
  <mergeCells count="1">
    <mergeCell ref="N5:W5"/>
  </mergeCells>
  <conditionalFormatting sqref="C6:G7">
    <cfRule type="cellIs" dxfId="136" priority="102" operator="lessThan">
      <formula>0</formula>
    </cfRule>
  </conditionalFormatting>
  <conditionalFormatting sqref="C8:G8">
    <cfRule type="cellIs" dxfId="135" priority="101" operator="lessThan">
      <formula>0</formula>
    </cfRule>
  </conditionalFormatting>
  <conditionalFormatting sqref="C10:G10">
    <cfRule type="cellIs" dxfId="134" priority="100" operator="lessThan">
      <formula>0</formula>
    </cfRule>
  </conditionalFormatting>
  <conditionalFormatting sqref="C12:G12">
    <cfRule type="cellIs" dxfId="133" priority="99" operator="lessThan">
      <formula>0</formula>
    </cfRule>
  </conditionalFormatting>
  <conditionalFormatting sqref="C9:G9">
    <cfRule type="cellIs" dxfId="132" priority="98" operator="lessThan">
      <formula>0</formula>
    </cfRule>
  </conditionalFormatting>
  <conditionalFormatting sqref="C11:G11">
    <cfRule type="cellIs" dxfId="131" priority="97" operator="lessThan">
      <formula>0</formula>
    </cfRule>
  </conditionalFormatting>
  <conditionalFormatting sqref="C13:G13">
    <cfRule type="cellIs" dxfId="130" priority="96" operator="lessThan">
      <formula>0</formula>
    </cfRule>
  </conditionalFormatting>
  <conditionalFormatting sqref="N7:N8">
    <cfRule type="cellIs" dxfId="129" priority="95" operator="lessThan">
      <formula>0</formula>
    </cfRule>
  </conditionalFormatting>
  <conditionalFormatting sqref="N9">
    <cfRule type="cellIs" dxfId="128" priority="94" operator="lessThan">
      <formula>0</formula>
    </cfRule>
  </conditionalFormatting>
  <conditionalFormatting sqref="N11">
    <cfRule type="cellIs" dxfId="127" priority="93" operator="lessThan">
      <formula>0</formula>
    </cfRule>
  </conditionalFormatting>
  <conditionalFormatting sqref="N13">
    <cfRule type="cellIs" dxfId="126" priority="92" operator="lessThan">
      <formula>0</formula>
    </cfRule>
  </conditionalFormatting>
  <conditionalFormatting sqref="N10">
    <cfRule type="cellIs" dxfId="125" priority="91" operator="lessThan">
      <formula>0</formula>
    </cfRule>
  </conditionalFormatting>
  <conditionalFormatting sqref="N12">
    <cfRule type="cellIs" dxfId="124" priority="90" operator="lessThan">
      <formula>0</formula>
    </cfRule>
  </conditionalFormatting>
  <conditionalFormatting sqref="N14">
    <cfRule type="cellIs" dxfId="123" priority="89" operator="lessThan">
      <formula>0</formula>
    </cfRule>
  </conditionalFormatting>
  <conditionalFormatting sqref="N15">
    <cfRule type="cellIs" dxfId="122" priority="88" operator="lessThan">
      <formula>0</formula>
    </cfRule>
  </conditionalFormatting>
  <conditionalFormatting sqref="O9">
    <cfRule type="cellIs" dxfId="121" priority="86" operator="lessThan">
      <formula>0</formula>
    </cfRule>
  </conditionalFormatting>
  <conditionalFormatting sqref="O13">
    <cfRule type="cellIs" dxfId="120" priority="84" operator="lessThan">
      <formula>0</formula>
    </cfRule>
  </conditionalFormatting>
  <conditionalFormatting sqref="O10">
    <cfRule type="cellIs" dxfId="119" priority="83" operator="lessThan">
      <formula>0</formula>
    </cfRule>
  </conditionalFormatting>
  <conditionalFormatting sqref="O12">
    <cfRule type="cellIs" dxfId="118" priority="82" operator="lessThan">
      <formula>0</formula>
    </cfRule>
  </conditionalFormatting>
  <conditionalFormatting sqref="O14">
    <cfRule type="cellIs" dxfId="117" priority="81" operator="lessThan">
      <formula>0</formula>
    </cfRule>
  </conditionalFormatting>
  <conditionalFormatting sqref="O15">
    <cfRule type="cellIs" dxfId="116" priority="80" operator="lessThan">
      <formula>0</formula>
    </cfRule>
  </conditionalFormatting>
  <conditionalFormatting sqref="P7:Q7">
    <cfRule type="cellIs" dxfId="115" priority="79" operator="lessThan">
      <formula>0</formula>
    </cfRule>
  </conditionalFormatting>
  <conditionalFormatting sqref="P9:Q9">
    <cfRule type="cellIs" dxfId="114" priority="78" operator="lessThan">
      <formula>0</formula>
    </cfRule>
  </conditionalFormatting>
  <conditionalFormatting sqref="P11:Q11">
    <cfRule type="cellIs" dxfId="113" priority="77" operator="lessThan">
      <formula>0</formula>
    </cfRule>
  </conditionalFormatting>
  <conditionalFormatting sqref="P13:Q13">
    <cfRule type="cellIs" dxfId="112" priority="76" operator="lessThan">
      <formula>0</formula>
    </cfRule>
  </conditionalFormatting>
  <conditionalFormatting sqref="P10:Q10">
    <cfRule type="cellIs" dxfId="111" priority="75" operator="lessThan">
      <formula>0</formula>
    </cfRule>
  </conditionalFormatting>
  <conditionalFormatting sqref="P12:Q12">
    <cfRule type="cellIs" dxfId="110" priority="74" operator="lessThan">
      <formula>0</formula>
    </cfRule>
  </conditionalFormatting>
  <conditionalFormatting sqref="P14:Q14">
    <cfRule type="cellIs" dxfId="109" priority="73" operator="lessThan">
      <formula>0</formula>
    </cfRule>
  </conditionalFormatting>
  <conditionalFormatting sqref="P15:Q15">
    <cfRule type="cellIs" dxfId="108" priority="72" operator="lessThan">
      <formula>0</formula>
    </cfRule>
  </conditionalFormatting>
  <conditionalFormatting sqref="R7:S7">
    <cfRule type="cellIs" dxfId="107" priority="71" operator="lessThan">
      <formula>0</formula>
    </cfRule>
  </conditionalFormatting>
  <conditionalFormatting sqref="R9:S9">
    <cfRule type="cellIs" dxfId="106" priority="70" operator="lessThan">
      <formula>0</formula>
    </cfRule>
  </conditionalFormatting>
  <conditionalFormatting sqref="R13:S13">
    <cfRule type="cellIs" dxfId="105" priority="68" operator="lessThan">
      <formula>0</formula>
    </cfRule>
  </conditionalFormatting>
  <conditionalFormatting sqref="R10:S10">
    <cfRule type="cellIs" dxfId="104" priority="67" operator="lessThan">
      <formula>0</formula>
    </cfRule>
  </conditionalFormatting>
  <conditionalFormatting sqref="R12:S12">
    <cfRule type="cellIs" dxfId="103" priority="66" operator="lessThan">
      <formula>0</formula>
    </cfRule>
  </conditionalFormatting>
  <conditionalFormatting sqref="R14:S14">
    <cfRule type="cellIs" dxfId="102" priority="65" operator="lessThan">
      <formula>0</formula>
    </cfRule>
  </conditionalFormatting>
  <conditionalFormatting sqref="R15:S15">
    <cfRule type="cellIs" dxfId="101" priority="64" operator="lessThan">
      <formula>0</formula>
    </cfRule>
  </conditionalFormatting>
  <conditionalFormatting sqref="T7:U8">
    <cfRule type="cellIs" dxfId="100" priority="63" operator="lessThan">
      <formula>0</formula>
    </cfRule>
  </conditionalFormatting>
  <conditionalFormatting sqref="T9:U9">
    <cfRule type="cellIs" dxfId="99" priority="62" operator="lessThan">
      <formula>0</formula>
    </cfRule>
  </conditionalFormatting>
  <conditionalFormatting sqref="T11:U11">
    <cfRule type="cellIs" dxfId="98" priority="61" operator="lessThan">
      <formula>0</formula>
    </cfRule>
  </conditionalFormatting>
  <conditionalFormatting sqref="T13:U13">
    <cfRule type="cellIs" dxfId="97" priority="60" operator="lessThan">
      <formula>0</formula>
    </cfRule>
  </conditionalFormatting>
  <conditionalFormatting sqref="T10:U10">
    <cfRule type="cellIs" dxfId="96" priority="59" operator="lessThan">
      <formula>0</formula>
    </cfRule>
  </conditionalFormatting>
  <conditionalFormatting sqref="T12:U12">
    <cfRule type="cellIs" dxfId="95" priority="58" operator="lessThan">
      <formula>0</formula>
    </cfRule>
  </conditionalFormatting>
  <conditionalFormatting sqref="T14:U14">
    <cfRule type="cellIs" dxfId="94" priority="57" operator="lessThan">
      <formula>0</formula>
    </cfRule>
  </conditionalFormatting>
  <conditionalFormatting sqref="T15:U15">
    <cfRule type="cellIs" dxfId="93" priority="56" operator="lessThan">
      <formula>0</formula>
    </cfRule>
  </conditionalFormatting>
  <conditionalFormatting sqref="V7:V8">
    <cfRule type="cellIs" dxfId="92" priority="55" operator="lessThan">
      <formula>0</formula>
    </cfRule>
  </conditionalFormatting>
  <conditionalFormatting sqref="V11">
    <cfRule type="cellIs" dxfId="91" priority="53" operator="lessThan">
      <formula>0</formula>
    </cfRule>
  </conditionalFormatting>
  <conditionalFormatting sqref="V13">
    <cfRule type="cellIs" dxfId="90" priority="52" operator="lessThan">
      <formula>0</formula>
    </cfRule>
  </conditionalFormatting>
  <conditionalFormatting sqref="V10">
    <cfRule type="cellIs" dxfId="89" priority="51" operator="lessThan">
      <formula>0</formula>
    </cfRule>
  </conditionalFormatting>
  <conditionalFormatting sqref="V12">
    <cfRule type="cellIs" dxfId="88" priority="50" operator="lessThan">
      <formula>0</formula>
    </cfRule>
  </conditionalFormatting>
  <conditionalFormatting sqref="V14">
    <cfRule type="cellIs" dxfId="87" priority="49" operator="lessThan">
      <formula>0</formula>
    </cfRule>
  </conditionalFormatting>
  <conditionalFormatting sqref="V15">
    <cfRule type="cellIs" dxfId="86" priority="48" operator="lessThan">
      <formula>0</formula>
    </cfRule>
  </conditionalFormatting>
  <conditionalFormatting sqref="W7:W8">
    <cfRule type="cellIs" dxfId="85" priority="47" operator="lessThan">
      <formula>0</formula>
    </cfRule>
  </conditionalFormatting>
  <conditionalFormatting sqref="W13">
    <cfRule type="cellIs" dxfId="84" priority="44" operator="lessThan">
      <formula>0</formula>
    </cfRule>
  </conditionalFormatting>
  <conditionalFormatting sqref="W11">
    <cfRule type="cellIs" dxfId="83" priority="45" operator="lessThan">
      <formula>0</formula>
    </cfRule>
  </conditionalFormatting>
  <conditionalFormatting sqref="W10">
    <cfRule type="cellIs" dxfId="82" priority="43" operator="lessThan">
      <formula>0</formula>
    </cfRule>
  </conditionalFormatting>
  <conditionalFormatting sqref="W12">
    <cfRule type="cellIs" dxfId="81" priority="42" operator="lessThan">
      <formula>0</formula>
    </cfRule>
  </conditionalFormatting>
  <conditionalFormatting sqref="W14">
    <cfRule type="cellIs" dxfId="80" priority="41" operator="lessThan">
      <formula>0</formula>
    </cfRule>
  </conditionalFormatting>
  <conditionalFormatting sqref="W15">
    <cfRule type="cellIs" dxfId="79" priority="40" operator="lessThan">
      <formula>0</formula>
    </cfRule>
  </conditionalFormatting>
  <conditionalFormatting sqref="R8:S8">
    <cfRule type="cellIs" dxfId="78" priority="31" operator="lessThan">
      <formula>0</formula>
    </cfRule>
  </conditionalFormatting>
  <conditionalFormatting sqref="R11:S11">
    <cfRule type="cellIs" dxfId="77" priority="30" operator="lessThan">
      <formula>0</formula>
    </cfRule>
  </conditionalFormatting>
  <conditionalFormatting sqref="W9">
    <cfRule type="cellIs" dxfId="76" priority="29" operator="lessThan">
      <formula>0</formula>
    </cfRule>
  </conditionalFormatting>
  <conditionalFormatting sqref="V9">
    <cfRule type="cellIs" dxfId="75" priority="28" operator="lessThan">
      <formula>0</formula>
    </cfRule>
  </conditionalFormatting>
  <conditionalFormatting sqref="D22:D23">
    <cfRule type="cellIs" dxfId="74" priority="20" operator="lessThan">
      <formula>0</formula>
    </cfRule>
  </conditionalFormatting>
  <conditionalFormatting sqref="D24">
    <cfRule type="cellIs" dxfId="73" priority="19" operator="lessThan">
      <formula>0</formula>
    </cfRule>
  </conditionalFormatting>
  <conditionalFormatting sqref="D26">
    <cfRule type="cellIs" dxfId="72" priority="18" operator="lessThan">
      <formula>0</formula>
    </cfRule>
  </conditionalFormatting>
  <conditionalFormatting sqref="D28">
    <cfRule type="cellIs" dxfId="71" priority="17" operator="lessThan">
      <formula>0</formula>
    </cfRule>
  </conditionalFormatting>
  <conditionalFormatting sqref="D25">
    <cfRule type="cellIs" dxfId="70" priority="16" operator="lessThan">
      <formula>0</formula>
    </cfRule>
  </conditionalFormatting>
  <conditionalFormatting sqref="D27">
    <cfRule type="cellIs" dxfId="69" priority="15" operator="lessThan">
      <formula>0</formula>
    </cfRule>
  </conditionalFormatting>
  <conditionalFormatting sqref="D29">
    <cfRule type="cellIs" dxfId="68" priority="14" operator="lessThan">
      <formula>0</formula>
    </cfRule>
  </conditionalFormatting>
  <conditionalFormatting sqref="C22:C23">
    <cfRule type="cellIs" dxfId="67" priority="13" operator="lessThan">
      <formula>0</formula>
    </cfRule>
  </conditionalFormatting>
  <conditionalFormatting sqref="C24">
    <cfRule type="cellIs" dxfId="66" priority="12" operator="lessThan">
      <formula>0</formula>
    </cfRule>
  </conditionalFormatting>
  <conditionalFormatting sqref="C26">
    <cfRule type="cellIs" dxfId="65" priority="11" operator="lessThan">
      <formula>0</formula>
    </cfRule>
  </conditionalFormatting>
  <conditionalFormatting sqref="C28">
    <cfRule type="cellIs" dxfId="64" priority="10" operator="lessThan">
      <formula>0</formula>
    </cfRule>
  </conditionalFormatting>
  <conditionalFormatting sqref="C25">
    <cfRule type="cellIs" dxfId="63" priority="9" operator="lessThan">
      <formula>0</formula>
    </cfRule>
  </conditionalFormatting>
  <conditionalFormatting sqref="C27">
    <cfRule type="cellIs" dxfId="62" priority="8" operator="lessThan">
      <formula>0</formula>
    </cfRule>
  </conditionalFormatting>
  <conditionalFormatting sqref="C29">
    <cfRule type="cellIs" dxfId="61" priority="7" operator="lessThan">
      <formula>0</formula>
    </cfRule>
  </conditionalFormatting>
  <conditionalFormatting sqref="P8:Q8">
    <cfRule type="cellIs" dxfId="60" priority="6" operator="lessThan">
      <formula>0</formula>
    </cfRule>
  </conditionalFormatting>
  <conditionalFormatting sqref="C14:G14">
    <cfRule type="cellIs" dxfId="59" priority="4" operator="lessThan">
      <formula>0</formula>
    </cfRule>
  </conditionalFormatting>
  <conditionalFormatting sqref="O8">
    <cfRule type="cellIs" dxfId="58" priority="3" operator="lessThan">
      <formula>0</formula>
    </cfRule>
  </conditionalFormatting>
  <conditionalFormatting sqref="O7">
    <cfRule type="cellIs" dxfId="57" priority="2" operator="lessThan">
      <formula>0</formula>
    </cfRule>
  </conditionalFormatting>
  <conditionalFormatting sqref="O11">
    <cfRule type="cellIs" dxfId="56" priority="1" operator="lessThan">
      <formula>0</formula>
    </cfRule>
  </conditionalFormatting>
  <pageMargins left="0.7" right="0.7" top="0.75" bottom="0.75" header="0.3" footer="0.3"/>
  <pageSetup orientation="portrait" r:id="rId1"/>
  <ignoredErrors>
    <ignoredError sqref="D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2" r:id="rId4" name="Button 14">
              <controlPr defaultSize="0" print="0" autoFill="0" autoPict="0" macro="[0]!ThisWorkbook.ActualizarRecursive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1524000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5" name="Button 15">
              <controlPr defaultSize="0" print="0" autoFill="0" autoPict="0" macro="[0]!ThisWorkbook.Actualizar">
                <anchor moveWithCells="1">
                  <from>
                    <xdr:col>4</xdr:col>
                    <xdr:colOff>1143000</xdr:colOff>
                    <xdr:row>1</xdr:row>
                    <xdr:rowOff>9525</xdr:rowOff>
                  </from>
                  <to>
                    <xdr:col>5</xdr:col>
                    <xdr:colOff>1257300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6" name="Button 16">
              <controlPr defaultSize="0" print="0" autoFill="0" autoPict="0" macro="[0]!ThisWorkbook.TraeAportesRescates">
                <anchor moveWithCells="1">
                  <from>
                    <xdr:col>3</xdr:col>
                    <xdr:colOff>57150</xdr:colOff>
                    <xdr:row>17</xdr:row>
                    <xdr:rowOff>66675</xdr:rowOff>
                  </from>
                  <to>
                    <xdr:col>3</xdr:col>
                    <xdr:colOff>1209675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4">
    <tabColor theme="3"/>
    <pageSetUpPr fitToPage="1"/>
  </sheetPr>
  <dimension ref="A1:BC83"/>
  <sheetViews>
    <sheetView showGridLines="0" topLeftCell="E38" zoomScale="85" zoomScaleNormal="85" workbookViewId="0">
      <selection activeCell="M75" sqref="M75"/>
    </sheetView>
  </sheetViews>
  <sheetFormatPr baseColWidth="10" defaultColWidth="11.375" defaultRowHeight="11.25"/>
  <cols>
    <col min="1" max="1" width="1.875" style="5" customWidth="1"/>
    <col min="2" max="2" width="22.25" style="5" bestFit="1" customWidth="1"/>
    <col min="3" max="3" width="21.625" style="5" customWidth="1"/>
    <col min="4" max="4" width="20.5" style="5" bestFit="1" customWidth="1"/>
    <col min="5" max="5" width="12.25" style="5" customWidth="1"/>
    <col min="6" max="6" width="13.5" style="5" hidden="1" customWidth="1"/>
    <col min="7" max="7" width="13.625" style="5" customWidth="1"/>
    <col min="8" max="8" width="4" style="5" customWidth="1"/>
    <col min="9" max="9" width="5.875" style="5" customWidth="1"/>
    <col min="10" max="10" width="6.25" style="5" customWidth="1"/>
    <col min="11" max="11" width="7" style="5" customWidth="1"/>
    <col min="12" max="16" width="7.875" style="5" customWidth="1"/>
    <col min="17" max="17" width="9" style="5" customWidth="1"/>
    <col min="18" max="18" width="9.625" style="5" customWidth="1"/>
    <col min="19" max="20" width="7.875" style="5" customWidth="1"/>
    <col min="21" max="22" width="7.875" style="5" hidden="1" customWidth="1"/>
    <col min="23" max="23" width="13.625" style="5" customWidth="1"/>
    <col min="24" max="24" width="1.875" style="5" customWidth="1"/>
    <col min="25" max="25" width="3.125" style="5" customWidth="1"/>
    <col min="26" max="26" width="9.375" style="5" customWidth="1"/>
    <col min="27" max="36" width="17.125" style="5" customWidth="1"/>
    <col min="37" max="37" width="8.375" style="5" customWidth="1"/>
    <col min="38" max="38" width="11.375" style="5"/>
    <col min="39" max="39" width="11" style="5" customWidth="1"/>
    <col min="40" max="40" width="10.625" style="5" customWidth="1"/>
    <col min="41" max="41" width="20.25" style="5" customWidth="1"/>
    <col min="42" max="43" width="24.5" style="5" customWidth="1"/>
    <col min="44" max="44" width="11.5" style="5" customWidth="1"/>
    <col min="45" max="45" width="21" style="5" customWidth="1"/>
    <col min="46" max="46" width="11.625" style="5" customWidth="1"/>
    <col min="47" max="47" width="21.875" style="5" customWidth="1"/>
    <col min="48" max="48" width="28.5" style="5" customWidth="1"/>
    <col min="49" max="52" width="11.375" style="5"/>
    <col min="53" max="53" width="19.5" style="5" customWidth="1"/>
    <col min="54" max="54" width="16.5" style="5" customWidth="1"/>
    <col min="55" max="55" width="31.625" style="5" customWidth="1"/>
    <col min="56" max="16384" width="11.375" style="5"/>
  </cols>
  <sheetData>
    <row r="1" spans="2:55">
      <c r="S1" s="6"/>
    </row>
    <row r="2" spans="2:55" ht="35.25">
      <c r="B2" s="418" t="s">
        <v>4</v>
      </c>
      <c r="C2" s="418"/>
      <c r="D2" s="141"/>
      <c r="F2" s="141"/>
      <c r="G2" s="141"/>
      <c r="R2" s="230"/>
      <c r="S2" s="7"/>
      <c r="T2" s="7"/>
      <c r="AA2" s="8"/>
      <c r="AB2" s="8"/>
      <c r="AC2" s="8"/>
    </row>
    <row r="3" spans="2:55" ht="15">
      <c r="B3" s="233" t="s">
        <v>89</v>
      </c>
      <c r="C3" s="229">
        <f>+SUMIF(BaseCompleta!B:B,$B$2,BaseCompleta!E:E)</f>
        <v>43877104005.219513</v>
      </c>
      <c r="D3" s="229"/>
      <c r="E3" s="229"/>
      <c r="F3" s="141"/>
      <c r="G3" s="141"/>
      <c r="O3" s="106"/>
      <c r="P3" s="106"/>
      <c r="Q3" s="142"/>
      <c r="S3" s="7"/>
      <c r="T3" s="7"/>
      <c r="V3" s="8"/>
      <c r="AA3" s="173"/>
    </row>
    <row r="4" spans="2:55" ht="15">
      <c r="B4" s="233" t="s">
        <v>160</v>
      </c>
      <c r="C4" s="229" t="e">
        <f ca="1">+VLOOKUP($B$2,Inicio!$B$6:$E$25,4,FALSE)</f>
        <v>#N/A</v>
      </c>
      <c r="D4" s="229"/>
      <c r="E4" s="229"/>
      <c r="F4" s="141"/>
      <c r="G4" s="141"/>
      <c r="Q4" s="42"/>
      <c r="S4" s="7"/>
      <c r="T4" s="7"/>
      <c r="V4" s="10"/>
    </row>
    <row r="5" spans="2:55" ht="15">
      <c r="B5" s="233" t="s">
        <v>26</v>
      </c>
      <c r="C5" s="228">
        <v>0</v>
      </c>
      <c r="D5" s="229"/>
      <c r="E5" s="51"/>
      <c r="F5" s="141"/>
      <c r="G5" s="141"/>
      <c r="L5" s="417"/>
      <c r="M5" s="417"/>
      <c r="N5" s="417"/>
      <c r="P5" s="106"/>
      <c r="Q5" s="42"/>
      <c r="S5" s="7"/>
      <c r="T5" s="7"/>
      <c r="V5" s="10"/>
    </row>
    <row r="6" spans="2:55" ht="15">
      <c r="B6" s="233" t="s">
        <v>91</v>
      </c>
      <c r="C6" s="231" t="e">
        <f ca="1">+SUMIF(BaseCompleta!B:B,$B$2,BaseCompleta!S:S)/(C3+C4)</f>
        <v>#N/A</v>
      </c>
      <c r="D6" s="231"/>
      <c r="E6" s="231"/>
      <c r="F6" s="141"/>
      <c r="G6" s="141"/>
      <c r="P6" s="106"/>
      <c r="S6" s="11"/>
      <c r="T6" s="11"/>
      <c r="U6" s="12"/>
    </row>
    <row r="7" spans="2:55" ht="15">
      <c r="B7" s="233" t="s">
        <v>1333</v>
      </c>
      <c r="C7" s="231" t="e">
        <f ca="1">+C6*(1+C5/(C4+C3-C5))</f>
        <v>#N/A</v>
      </c>
      <c r="D7" s="231"/>
      <c r="E7" s="231"/>
      <c r="F7" s="141"/>
      <c r="G7" s="141"/>
      <c r="P7" s="106"/>
      <c r="S7" s="11"/>
      <c r="T7" s="11"/>
      <c r="U7" s="12"/>
    </row>
    <row r="8" spans="2:55" ht="15">
      <c r="B8" s="233" t="s">
        <v>1442</v>
      </c>
      <c r="C8" s="258">
        <f>+SUM('Datos Riesgo'!$E$10)</f>
        <v>0</v>
      </c>
      <c r="D8" s="231"/>
      <c r="E8" s="231"/>
      <c r="F8" s="141"/>
      <c r="G8" s="141"/>
      <c r="P8" s="106"/>
      <c r="S8" s="11"/>
      <c r="T8" s="11"/>
      <c r="U8" s="12"/>
    </row>
    <row r="9" spans="2:55" ht="15">
      <c r="I9" s="419"/>
      <c r="J9" s="419"/>
      <c r="K9" s="419"/>
      <c r="L9" s="13"/>
      <c r="M9" s="13"/>
      <c r="N9" s="116"/>
      <c r="O9" s="116"/>
      <c r="P9" s="121"/>
      <c r="Q9" s="126"/>
      <c r="S9" s="42"/>
      <c r="T9" s="5" t="s">
        <v>293</v>
      </c>
    </row>
    <row r="10" spans="2:55" ht="15.75">
      <c r="I10" s="257"/>
      <c r="J10" s="257"/>
      <c r="K10" s="257"/>
      <c r="L10" s="13"/>
      <c r="M10" s="13"/>
      <c r="N10" s="116"/>
      <c r="O10" s="116"/>
      <c r="P10" s="121"/>
      <c r="Q10" s="126"/>
      <c r="S10" s="42"/>
      <c r="Z10" s="14"/>
    </row>
    <row r="11" spans="2:55" ht="15.75">
      <c r="I11" s="259"/>
      <c r="J11" s="259"/>
      <c r="K11" s="259"/>
      <c r="L11" s="13"/>
      <c r="M11" s="13"/>
      <c r="N11" s="116"/>
      <c r="O11" s="116"/>
      <c r="P11" s="121"/>
      <c r="Q11" s="126"/>
      <c r="S11" s="42"/>
      <c r="Z11" s="14"/>
    </row>
    <row r="12" spans="2:55" ht="15.75">
      <c r="I12" s="257"/>
      <c r="J12" s="257"/>
      <c r="K12" s="257"/>
      <c r="L12" s="13"/>
      <c r="M12" s="13"/>
      <c r="N12" s="116"/>
      <c r="O12" s="116"/>
      <c r="P12" s="121"/>
      <c r="Q12" s="126"/>
      <c r="S12" s="42"/>
      <c r="Z12" s="14"/>
    </row>
    <row r="13" spans="2:55" ht="15.75">
      <c r="B13" s="261"/>
      <c r="C13" s="261"/>
      <c r="I13" s="257"/>
      <c r="J13" s="257"/>
      <c r="K13" s="257"/>
      <c r="L13" s="13"/>
      <c r="M13" s="13"/>
      <c r="N13" s="116"/>
      <c r="O13" s="116"/>
      <c r="P13" s="121"/>
      <c r="Q13" s="126"/>
      <c r="S13" s="42"/>
      <c r="Z13" s="14"/>
    </row>
    <row r="14" spans="2:55" ht="15.75">
      <c r="I14" s="257"/>
      <c r="J14" s="257"/>
      <c r="K14" s="257"/>
      <c r="L14" s="13"/>
      <c r="M14" s="13"/>
      <c r="N14" s="116"/>
      <c r="O14" s="116"/>
      <c r="P14" s="121"/>
      <c r="Q14" s="126"/>
      <c r="S14" s="42"/>
      <c r="Z14" s="14"/>
    </row>
    <row r="15" spans="2:55" ht="15.75" thickBot="1">
      <c r="B15" s="264" t="s">
        <v>281</v>
      </c>
      <c r="C15" s="265" t="s">
        <v>1183</v>
      </c>
      <c r="D15" s="265" t="s">
        <v>1322</v>
      </c>
      <c r="E15" s="265" t="s">
        <v>1323</v>
      </c>
      <c r="F15" s="265" t="s">
        <v>93</v>
      </c>
      <c r="G15" s="265" t="s">
        <v>91</v>
      </c>
      <c r="I15" s="263" t="s">
        <v>94</v>
      </c>
      <c r="J15" s="266"/>
      <c r="K15" s="267"/>
      <c r="L15" s="267"/>
      <c r="M15" s="267"/>
      <c r="N15" s="267"/>
      <c r="O15" s="267"/>
      <c r="P15" s="267"/>
      <c r="Q15" s="267"/>
      <c r="R15" s="267"/>
      <c r="S15" s="267"/>
      <c r="T15" s="267"/>
      <c r="U15" s="267"/>
      <c r="V15" s="267"/>
      <c r="W15" s="267"/>
      <c r="Z15" s="262" t="s">
        <v>1444</v>
      </c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</row>
    <row r="16" spans="2:55" s="17" customFormat="1" ht="15">
      <c r="B16" s="18" t="s">
        <v>1325</v>
      </c>
      <c r="C16" s="19" t="e">
        <f ca="1">+S41*(C3+C4)</f>
        <v>#N/A</v>
      </c>
      <c r="D16" s="19" t="e">
        <f ca="1">C16/USDCLPobs</f>
        <v>#N/A</v>
      </c>
      <c r="E16" s="20" t="e">
        <f ca="1">+S41</f>
        <v>#N/A</v>
      </c>
      <c r="F16" s="21" t="e">
        <f t="shared" ref="F16:F21" ca="1" si="0">IF(C16&gt;0,SUMIFS($AU$19:$AU$49,$AO$19:$AO$49,B16)/C16,0)</f>
        <v>#N/A</v>
      </c>
      <c r="G16" s="60" t="e">
        <f ca="1">IF(C16&gt;0,SUMIFS(BaseCompleta!$S:$S,BaseCompleta!$B:$B,Posicionamiento!$B$2,BaseCompleta!$N:$N,"Bono de Gobierno",BaseCompleta!$M:$M,"$")/C16,0)</f>
        <v>#N/A</v>
      </c>
      <c r="H16" s="5"/>
      <c r="I16" s="246" t="s">
        <v>95</v>
      </c>
      <c r="J16" s="246" t="s">
        <v>96</v>
      </c>
      <c r="K16" s="246" t="s">
        <v>97</v>
      </c>
      <c r="L16" s="247" t="s">
        <v>1344</v>
      </c>
      <c r="M16" s="247" t="s">
        <v>1343</v>
      </c>
      <c r="N16" s="247" t="s">
        <v>1345</v>
      </c>
      <c r="O16" s="247" t="s">
        <v>1338</v>
      </c>
      <c r="P16" s="247" t="s">
        <v>1189</v>
      </c>
      <c r="Q16" s="247" t="s">
        <v>370</v>
      </c>
      <c r="R16" s="247" t="s">
        <v>371</v>
      </c>
      <c r="S16" s="247" t="s">
        <v>1339</v>
      </c>
      <c r="T16" s="247" t="s">
        <v>1340</v>
      </c>
      <c r="U16" s="247" t="s">
        <v>1341</v>
      </c>
      <c r="V16" s="247" t="s">
        <v>1342</v>
      </c>
      <c r="W16" s="247" t="s">
        <v>103</v>
      </c>
      <c r="X16" s="23"/>
      <c r="Z16" s="247" t="s">
        <v>102</v>
      </c>
      <c r="AA16" s="247" t="s">
        <v>98</v>
      </c>
      <c r="AB16" s="247" t="s">
        <v>99</v>
      </c>
      <c r="AC16" s="247" t="s">
        <v>100</v>
      </c>
      <c r="AD16" s="247" t="s">
        <v>1338</v>
      </c>
      <c r="AE16" s="247" t="s">
        <v>101</v>
      </c>
      <c r="AF16" s="247" t="s">
        <v>370</v>
      </c>
      <c r="AG16" s="247" t="s">
        <v>371</v>
      </c>
      <c r="AH16" s="247" t="s">
        <v>1339</v>
      </c>
      <c r="AI16" s="247" t="s">
        <v>1340</v>
      </c>
      <c r="AJ16" s="247" t="s">
        <v>103</v>
      </c>
      <c r="AK16" s="16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X16" s="5"/>
      <c r="AY16" s="5"/>
      <c r="AZ16" s="5"/>
      <c r="BA16" s="5"/>
      <c r="BB16" s="5"/>
      <c r="BC16" s="5"/>
    </row>
    <row r="17" spans="1:55" s="17" customFormat="1" ht="14.25">
      <c r="A17" s="25"/>
      <c r="B17" s="18" t="s">
        <v>1326</v>
      </c>
      <c r="C17" s="19" t="e">
        <f ca="1">+T41*(C3+C4)</f>
        <v>#N/A</v>
      </c>
      <c r="D17" s="19" t="e">
        <f ca="1">C17/USDCLPobs</f>
        <v>#N/A</v>
      </c>
      <c r="E17" s="20" t="e">
        <f ca="1">+T41</f>
        <v>#N/A</v>
      </c>
      <c r="F17" s="21" t="e">
        <f t="shared" ca="1" si="0"/>
        <v>#N/A</v>
      </c>
      <c r="G17" s="60" t="e">
        <f ca="1">IF(C17&gt;0,SUMIFS(BaseCompleta!$S:$S,BaseCompleta!$B:$B,Posicionamiento!$B$2,BaseCompleta!$N:$N,"Bono de Gobierno",BaseCompleta!$M:$M,"UF")/C17,0)</f>
        <v>#N/A</v>
      </c>
      <c r="I17" s="234">
        <f t="shared" ref="I17:I19" si="1">(J17+K17)/2</f>
        <v>9.5000000000000001E-2</v>
      </c>
      <c r="J17" s="235">
        <v>0</v>
      </c>
      <c r="K17" s="236">
        <v>0.19</v>
      </c>
      <c r="L17" s="26" t="e">
        <f ca="1">+(SUMIFS(BaseCompleta!$E:$E,BaseCompleta!$B:$B,Posicionamiento!$B$2,BaseCompleta!$N:$N,"Deposito",BaseCompleta!$M:$M,"UF",BaseCompleta!$K:$K,"&gt;="&amp;$J17,BaseCompleta!$K:$K,"&lt;"&amp;$K17)+$AA17*1000000)/($C$3+$C$4)</f>
        <v>#N/A</v>
      </c>
      <c r="M17" s="26" t="e">
        <f ca="1">+(SUMIFS(BaseCompleta!$E:$E,BaseCompleta!$B:$B,Posicionamiento!$B$2,BaseCompleta!$N:$N,"Deposito",BaseCompleta!$M:$M,"$",BaseCompleta!$K:$K,"&gt;="&amp;$J17,BaseCompleta!$K:$K,"&lt;"&amp;$K17)+SUMIFS(BaseCompleta!$E:$E,BaseCompleta!$B:$B,Posicionamiento!$B$2,BaseCompleta!$N:$N,"Factura",BaseCompleta!$M:$M,"$",BaseCompleta!$K:$K,"&gt;="&amp;$J17,BaseCompleta!$K:$K,"&lt;"&amp;$K17)+$AB17*1000000)/($C$3+$C$4)-(SUM($AC$17:$AI$40)+SUM($AA$18:$AB$40))*1000000/($C$3+$C$4)</f>
        <v>#N/A</v>
      </c>
      <c r="N17" s="26" t="e">
        <f ca="1">+(SUMIFS(BaseCompleta!$E:$E,BaseCompleta!$B:$B,Posicionamiento!$B$2,BaseCompleta!$N:$N,"Deposito",BaseCompleta!$M:$M,"US$",BaseCompleta!$K:$K,"&gt;="&amp;$J17,BaseCompleta!$K:$K,"&lt;"&amp;$K17)+$AC17*1000000)/($C$3+$C$4)</f>
        <v>#N/A</v>
      </c>
      <c r="O17" s="26" t="e">
        <f ca="1">+(SUMIFS(BaseCompleta!$E:$E,BaseCompleta!$B:$B,Posicionamiento!$B$2,BaseCompleta!$N:$N,"Bono de Gobierno",BaseCompleta!$M:$M,"US$",BaseCompleta!$K:$K,"&gt;="&amp;$J17,BaseCompleta!$K:$K,"&lt;"&amp;$K17)+$AD17*1000000)/($C$3+$C$4)+(SUMIFS(BaseCompleta!$E:$E,BaseCompleta!$B:$B,Posicionamiento!$B$2,BaseCompleta!$N:$N,"Bono Corporativo",BaseCompleta!$M:$M,"US$",BaseCompleta!$K:$K,"&gt;="&amp;$J17,BaseCompleta!$K:$K,"&lt;"&amp;$K17)+$AD17*1000000)/($C$3+$C$4)+(SUMIFS(BaseCompleta!$E:$E,BaseCompleta!$B:$B,Posicionamiento!$B$2,BaseCompleta!$N:$N,"Bono Corporativo",BaseCompleta!$M:$M,"EU",BaseCompleta!$K:$K,"&gt;="&amp;$J17,BaseCompleta!$K:$K,"&lt;"&amp;$K17)+$AD17*1000000)/($C$3+$C$4)+(SUMIFS(BaseCompleta!$E:$E,BaseCompleta!$B:$B,Posicionamiento!$B$2,BaseCompleta!$N:$N,"Bono de Gobierno",BaseCompleta!$M:$M,"EU",BaseCompleta!$K:$K,"&gt;="&amp;$J17,BaseCompleta!$K:$K,"&lt;"&amp;$K17)+$AD17*1000000)/($C$3+$C$4)+(SUMIFS(BaseCompleta!$E:$E,BaseCompleta!$B:$B,Posicionamiento!$B$2,BaseCompleta!$N:$N,"Bono de Gobierno",BaseCompleta!$M:$M,"MX",BaseCompleta!$K:$K,"&gt;="&amp;$J17,BaseCompleta!$K:$K,"&lt;"&amp;$K17)+$AD17*1000000)/($C$3+$C$4)+(SUMIFS(BaseCompleta!$E:$E,BaseCompleta!$B:$B,Posicionamiento!$B$2,BaseCompleta!$N:$N,"Bono de Gobierno",BaseCompleta!$M:$M,"SOL",BaseCompleta!$K:$K,"&gt;="&amp;$J17,BaseCompleta!$K:$K,"&lt;"&amp;$K17)+$AD17*1000000)/($C$3+$C$4)</f>
        <v>#N/A</v>
      </c>
      <c r="P17" s="26" t="e">
        <f ca="1">+(SUMIFS(BaseCompleta!$E:$E,BaseCompleta!$B:$B,$B$2,BaseCompleta!$N:$N,"Cuota de Fondo",BaseCompleta!$K:$K,"&gt;="&amp;$J17,BaseCompleta!$K:$K,"&lt;"&amp;$K17)+$AE17*1000000)/($C$3+$C$4)</f>
        <v>#N/A</v>
      </c>
      <c r="Q17" s="26" t="e">
        <f ca="1">+(SUMIFS(BaseCompleta!$E:$E,BaseCompleta!$B:$B,Posicionamiento!$B$2,BaseCompleta!$N:$N,"Bono Corporativo",BaseCompleta!$M:$M,"$",BaseCompleta!$K:$K,"&gt;="&amp;$J17,BaseCompleta!$K:$K,"&lt;"&amp;$K17)+$AF17*1000000)/($C$3+$C$4)</f>
        <v>#N/A</v>
      </c>
      <c r="R17" s="26" t="e">
        <f ca="1">+(SUMIFS(BaseCompleta!$E:$E,BaseCompleta!$B:$B,Posicionamiento!$B$2,BaseCompleta!$N:$N,"Bono Corporativo",BaseCompleta!$M:$M,"UF",BaseCompleta!$K:$K,"&gt;="&amp;$J17,BaseCompleta!$K:$K,"&lt;"&amp;$K17)+$AG17*1000000)/($C$3+$C$4)+(SUMIFS(BaseCompleta!$E:$E,BaseCompleta!$B:$B,Posicionamiento!$B$2,BaseCompleta!$N:$N,"Letra Hipotecaria",BaseCompleta!$M:$M,"UF",BaseCompleta!$K:$K,"&gt;="&amp;$J17,BaseCompleta!$K:$K,"&lt;"&amp;$K17)+$AG17*1000000)/($C$3+$C$4)</f>
        <v>#N/A</v>
      </c>
      <c r="S17" s="26" t="e">
        <f ca="1">+(SUMIFS(BaseCompleta!$E:$E,BaseCompleta!$B:$B,Posicionamiento!$B$2,BaseCompleta!$N:$N,"Bono de Gobierno",BaseCompleta!$M:$M,"$",BaseCompleta!$K:$K,"&gt;="&amp;$J17,BaseCompleta!$K:$K,"&lt;"&amp;$K17)+$AH17*1000000)/($C$3+$C$4)</f>
        <v>#N/A</v>
      </c>
      <c r="T17" s="26" t="e">
        <f ca="1">+(SUMIFS(BaseCompleta!$E:$E,BaseCompleta!$B:$B,Posicionamiento!$B$2,BaseCompleta!$N:$N,"Bono de Gobierno",BaseCompleta!$M:$M,"UF",BaseCompleta!$K:$K,"&gt;="&amp;$J17,BaseCompleta!$K:$K,"&lt;"&amp;$K17)+$AI17*1000000)/($C$3+$C$4)</f>
        <v>#N/A</v>
      </c>
      <c r="U17" s="26"/>
      <c r="V17" s="26"/>
      <c r="W17" s="120" t="e">
        <f t="shared" ref="W17:W40" ca="1" si="2">+SUM(L17:T17)</f>
        <v>#N/A</v>
      </c>
      <c r="X17" s="27"/>
      <c r="Z17" s="270">
        <f t="shared" ref="Z17:Z40" si="3">I17</f>
        <v>9.5000000000000001E-2</v>
      </c>
      <c r="AA17" s="271">
        <v>0</v>
      </c>
      <c r="AB17" s="271">
        <v>0</v>
      </c>
      <c r="AC17" s="271">
        <v>0</v>
      </c>
      <c r="AD17" s="271">
        <v>0</v>
      </c>
      <c r="AE17" s="271">
        <v>0</v>
      </c>
      <c r="AF17" s="271">
        <v>0</v>
      </c>
      <c r="AG17" s="271">
        <v>0</v>
      </c>
      <c r="AH17" s="271">
        <v>0</v>
      </c>
      <c r="AI17" s="271">
        <v>0</v>
      </c>
      <c r="AJ17" s="271">
        <f t="shared" ref="AJ17:AJ40" si="4">+SUM(AA17:AI17)</f>
        <v>0</v>
      </c>
      <c r="AK17" s="28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X17" s="5"/>
      <c r="AY17" s="5"/>
      <c r="AZ17" s="5"/>
      <c r="BA17" s="5"/>
      <c r="BB17" s="5"/>
      <c r="BC17" s="5"/>
    </row>
    <row r="18" spans="1:55" s="17" customFormat="1" ht="14.25">
      <c r="B18" s="18" t="s">
        <v>1327</v>
      </c>
      <c r="C18" s="19" t="e">
        <f ca="1">+M41*(C3+C4)</f>
        <v>#N/A</v>
      </c>
      <c r="D18" s="19" t="e">
        <f t="shared" ref="D18:D26" ca="1" si="5">C18/USDCLPobs</f>
        <v>#N/A</v>
      </c>
      <c r="E18" s="20" t="e">
        <f ca="1">+M41</f>
        <v>#N/A</v>
      </c>
      <c r="F18" s="21" t="e">
        <f t="shared" ca="1" si="0"/>
        <v>#N/A</v>
      </c>
      <c r="G18" s="145" t="e">
        <f ca="1">IF(C18&gt;0,SUMIFS(BaseCompleta!$S:$S,BaseCompleta!$B:$B,Posicionamiento!$B$2,BaseCompleta!$N:$N,"Deposito",BaseCompleta!$M:$M,"$")/C18,0)</f>
        <v>#N/A</v>
      </c>
      <c r="I18" s="234">
        <f t="shared" si="1"/>
        <v>0.28000000000000003</v>
      </c>
      <c r="J18" s="236">
        <v>0.19</v>
      </c>
      <c r="K18" s="236">
        <v>0.37</v>
      </c>
      <c r="L18" s="26" t="e">
        <f ca="1">+(SUMIFS(BaseCompleta!$E:$E,BaseCompleta!$B:$B,Posicionamiento!$B$2,BaseCompleta!$N:$N,"Deposito",BaseCompleta!$M:$M,"UF",BaseCompleta!$K:$K,"&gt;="&amp;$J18,BaseCompleta!$K:$K,"&lt;"&amp;$K18)+$AA18*1000000)/($C$3+$C$4)</f>
        <v>#N/A</v>
      </c>
      <c r="M18" s="26" t="e">
        <f ca="1">+(SUMIFS(BaseCompleta!$E:$E,BaseCompleta!$B:$B,Posicionamiento!$B$2,BaseCompleta!$N:$N,"Deposito",BaseCompleta!$M:$M,"$",BaseCompleta!$K:$K,"&gt;="&amp;$J18,BaseCompleta!$K:$K,"&lt;"&amp;$K18)+SUMIFS(BaseCompleta!$E:$E,BaseCompleta!$B:$B,Posicionamiento!$B$2,BaseCompleta!$N:$N,"Factura",BaseCompleta!$M:$M,"$",BaseCompleta!$K:$K,"&gt;="&amp;$J18,BaseCompleta!$K:$K,"&lt;"&amp;$K18)+$AB18*1000000)/($C$3+$C$4)</f>
        <v>#N/A</v>
      </c>
      <c r="N18" s="26" t="e">
        <f ca="1">+(SUMIFS(BaseCompleta!$E:$E,BaseCompleta!$B:$B,Posicionamiento!$B$2,BaseCompleta!$N:$N,"Deposito",BaseCompleta!$M:$M,"US$",BaseCompleta!$K:$K,"&gt;="&amp;$J18,BaseCompleta!$K:$K,"&lt;"&amp;$K18)+$AC18*1000000)/($C$3+$C$4)</f>
        <v>#N/A</v>
      </c>
      <c r="O18" s="26" t="e">
        <f ca="1">+(SUMIFS(BaseCompleta!$E:$E,BaseCompleta!$B:$B,Posicionamiento!$B$2,BaseCompleta!$N:$N,"Bono de Gobierno",BaseCompleta!$M:$M,"US$",BaseCompleta!$K:$K,"&gt;="&amp;$J18,BaseCompleta!$K:$K,"&lt;"&amp;$K18)+$AD18*1000000)/($C$3+$C$4)+(SUMIFS(BaseCompleta!$E:$E,BaseCompleta!$B:$B,Posicionamiento!$B$2,BaseCompleta!$N:$N,"Bono Corporativo",BaseCompleta!$M:$M,"US$",BaseCompleta!$K:$K,"&gt;="&amp;$J18,BaseCompleta!$K:$K,"&lt;"&amp;$K18)+$AD18*1000000)/($C$3+$C$4)+(SUMIFS(BaseCompleta!$E:$E,BaseCompleta!$B:$B,Posicionamiento!$B$2,BaseCompleta!$N:$N,"Bono Corporativo",BaseCompleta!$M:$M,"EU",BaseCompleta!$K:$K,"&gt;="&amp;$J18,BaseCompleta!$K:$K,"&lt;"&amp;$K18)+$AD18*1000000)/($C$3+$C$4)+(SUMIFS(BaseCompleta!$E:$E,BaseCompleta!$B:$B,Posicionamiento!$B$2,BaseCompleta!$N:$N,"Bono de Gobierno",BaseCompleta!$M:$M,"EU",BaseCompleta!$K:$K,"&gt;="&amp;$J18,BaseCompleta!$K:$K,"&lt;"&amp;$K18)+$AD18*1000000)/($C$3+$C$4)+(SUMIFS(BaseCompleta!$E:$E,BaseCompleta!$B:$B,Posicionamiento!$B$2,BaseCompleta!$N:$N,"Bono de Gobierno",BaseCompleta!$M:$M,"MX",BaseCompleta!$K:$K,"&gt;="&amp;$J18,BaseCompleta!$K:$K,"&lt;"&amp;$K18)+$AD18*1000000)/($C$3+$C$4)+(SUMIFS(BaseCompleta!$E:$E,BaseCompleta!$B:$B,Posicionamiento!$B$2,BaseCompleta!$N:$N,"Bono de Gobierno",BaseCompleta!$M:$M,"SOL",BaseCompleta!$K:$K,"&gt;="&amp;$J18,BaseCompleta!$K:$K,"&lt;"&amp;$K18)+$AD18*1000000)/($C$3+$C$4)</f>
        <v>#N/A</v>
      </c>
      <c r="P18" s="26" t="e">
        <f ca="1">+(SUMIFS(BaseCompleta!$E:$E,BaseCompleta!$B:$B,$B$2,BaseCompleta!$N:$N,"Cuota de Fondo",BaseCompleta!$K:$K,"&gt;="&amp;$J18,BaseCompleta!$K:$K,"&lt;"&amp;$K18)+$AE18*1000000)/($C$3+$C$4)</f>
        <v>#N/A</v>
      </c>
      <c r="Q18" s="26" t="e">
        <f ca="1">+(SUMIFS(BaseCompleta!$E:$E,BaseCompleta!$B:$B,Posicionamiento!$B$2,BaseCompleta!$N:$N,"Bono Corporativo",BaseCompleta!$M:$M,"$",BaseCompleta!$K:$K,"&gt;="&amp;$J18,BaseCompleta!$K:$K,"&lt;"&amp;$K18)+$AF18*1000000)/($C$3+$C$4)</f>
        <v>#N/A</v>
      </c>
      <c r="R18" s="26" t="e">
        <f ca="1">+(SUMIFS(BaseCompleta!$E:$E,BaseCompleta!$B:$B,Posicionamiento!$B$2,BaseCompleta!$N:$N,"Bono Corporativo",BaseCompleta!$M:$M,"UF",BaseCompleta!$K:$K,"&gt;="&amp;$J18,BaseCompleta!$K:$K,"&lt;"&amp;$K18)+$AG18*1000000)/($C$3+$C$4)+(SUMIFS(BaseCompleta!$E:$E,BaseCompleta!$B:$B,Posicionamiento!$B$2,BaseCompleta!$N:$N,"Letra Hipotecaria",BaseCompleta!$M:$M,"UF",BaseCompleta!$K:$K,"&gt;="&amp;$J18,BaseCompleta!$K:$K,"&lt;"&amp;$K18)+$AG18*1000000)/($C$3+$C$4)</f>
        <v>#N/A</v>
      </c>
      <c r="S18" s="26" t="e">
        <f ca="1">+(SUMIFS(BaseCompleta!$E:$E,BaseCompleta!$B:$B,Posicionamiento!$B$2,BaseCompleta!$N:$N,"Bono de Gobierno",BaseCompleta!$M:$M,"$",BaseCompleta!$K:$K,"&gt;="&amp;$J18,BaseCompleta!$K:$K,"&lt;"&amp;$K18)+$AH18*1000000)/($C$3+$C$4)</f>
        <v>#N/A</v>
      </c>
      <c r="T18" s="26" t="e">
        <f ca="1">+(SUMIFS(BaseCompleta!$E:$E,BaseCompleta!$B:$B,Posicionamiento!$B$2,BaseCompleta!$N:$N,"Bono de Gobierno",BaseCompleta!$M:$M,"UF",BaseCompleta!$K:$K,"&gt;="&amp;$J18,BaseCompleta!$K:$K,"&lt;"&amp;$K18)+$AI18*1000000)/($C$3+$C$4)</f>
        <v>#N/A</v>
      </c>
      <c r="U18" s="26"/>
      <c r="V18" s="26"/>
      <c r="W18" s="120" t="e">
        <f t="shared" ca="1" si="2"/>
        <v>#N/A</v>
      </c>
      <c r="X18" s="27"/>
      <c r="Z18" s="270">
        <f t="shared" si="3"/>
        <v>0.28000000000000003</v>
      </c>
      <c r="AA18" s="271">
        <v>0</v>
      </c>
      <c r="AB18" s="271">
        <v>0</v>
      </c>
      <c r="AC18" s="271">
        <v>0</v>
      </c>
      <c r="AD18" s="271">
        <v>0</v>
      </c>
      <c r="AE18" s="271">
        <v>0</v>
      </c>
      <c r="AF18" s="271">
        <v>0</v>
      </c>
      <c r="AG18" s="271">
        <v>0</v>
      </c>
      <c r="AH18" s="271">
        <v>0</v>
      </c>
      <c r="AI18" s="271">
        <v>0</v>
      </c>
      <c r="AJ18" s="271">
        <f t="shared" si="4"/>
        <v>0</v>
      </c>
      <c r="AK18" s="28"/>
      <c r="AL18" s="24"/>
      <c r="AM18" s="5"/>
      <c r="AN18" s="5"/>
      <c r="AO18" s="5"/>
      <c r="AP18" s="5"/>
      <c r="AQ18" s="5"/>
      <c r="AR18" s="5"/>
      <c r="AS18" s="5"/>
      <c r="AT18" s="5"/>
      <c r="AU18" s="5"/>
      <c r="AV18" s="5"/>
      <c r="AX18" s="5"/>
      <c r="AY18" s="5"/>
      <c r="AZ18" s="5"/>
      <c r="BA18" s="5"/>
      <c r="BB18" s="5"/>
      <c r="BC18" s="5"/>
    </row>
    <row r="19" spans="1:55" s="17" customFormat="1" ht="14.25">
      <c r="B19" s="18" t="s">
        <v>1328</v>
      </c>
      <c r="C19" s="19" t="e">
        <f ca="1">+L41*(C3+C4)</f>
        <v>#N/A</v>
      </c>
      <c r="D19" s="19" t="e">
        <f t="shared" ca="1" si="5"/>
        <v>#N/A</v>
      </c>
      <c r="E19" s="20" t="e">
        <f ca="1">+L41</f>
        <v>#N/A</v>
      </c>
      <c r="F19" s="21" t="e">
        <f t="shared" ca="1" si="0"/>
        <v>#N/A</v>
      </c>
      <c r="G19" s="145" t="e">
        <f ca="1">IF(C19&gt;0,SUMIFS(BaseCompleta!$S:$S,BaseCompleta!$B:$B,Posicionamiento!$B$2,BaseCompleta!$N:$N,"Deposito",BaseCompleta!$M:$M,"UF")/C19,0)</f>
        <v>#N/A</v>
      </c>
      <c r="I19" s="234">
        <f t="shared" si="1"/>
        <v>0.495</v>
      </c>
      <c r="J19" s="236">
        <v>0.37</v>
      </c>
      <c r="K19" s="236">
        <v>0.62</v>
      </c>
      <c r="L19" s="26" t="e">
        <f ca="1">+(SUMIFS(BaseCompleta!$E:$E,BaseCompleta!$B:$B,Posicionamiento!$B$2,BaseCompleta!$N:$N,"Deposito",BaseCompleta!$M:$M,"UF",BaseCompleta!$K:$K,"&gt;="&amp;$J19,BaseCompleta!$K:$K,"&lt;"&amp;$K19)+$AA19*1000000)/($C$3+$C$4)</f>
        <v>#N/A</v>
      </c>
      <c r="M19" s="26" t="e">
        <f ca="1">+(SUMIFS(BaseCompleta!$E:$E,BaseCompleta!$B:$B,Posicionamiento!$B$2,BaseCompleta!$N:$N,"Deposito",BaseCompleta!$M:$M,"$",BaseCompleta!$K:$K,"&gt;="&amp;$J19,BaseCompleta!$K:$K,"&lt;"&amp;$K19)+SUMIFS(BaseCompleta!$E:$E,BaseCompleta!$B:$B,Posicionamiento!$B$2,BaseCompleta!$N:$N,"Factura",BaseCompleta!$M:$M,"$",BaseCompleta!$K:$K,"&gt;="&amp;$J19,BaseCompleta!$K:$K,"&lt;"&amp;$K19)+$AB19*1000000)/($C$3+$C$4)</f>
        <v>#N/A</v>
      </c>
      <c r="N19" s="26" t="e">
        <f ca="1">+(SUMIFS(BaseCompleta!$E:$E,BaseCompleta!$B:$B,Posicionamiento!$B$2,BaseCompleta!$N:$N,"Deposito",BaseCompleta!$M:$M,"US$",BaseCompleta!$K:$K,"&gt;="&amp;$J19,BaseCompleta!$K:$K,"&lt;"&amp;$K19)+$AC19*1000000)/($C$3+$C$4)</f>
        <v>#N/A</v>
      </c>
      <c r="O19" s="26" t="e">
        <f ca="1">+(SUMIFS(BaseCompleta!$E:$E,BaseCompleta!$B:$B,Posicionamiento!$B$2,BaseCompleta!$N:$N,"Bono de Gobierno",BaseCompleta!$M:$M,"US$",BaseCompleta!$K:$K,"&gt;="&amp;$J19,BaseCompleta!$K:$K,"&lt;"&amp;$K19)+$AD19*1000000)/($C$3+$C$4)+(SUMIFS(BaseCompleta!$E:$E,BaseCompleta!$B:$B,Posicionamiento!$B$2,BaseCompleta!$N:$N,"Bono Corporativo",BaseCompleta!$M:$M,"US$",BaseCompleta!$K:$K,"&gt;="&amp;$J19,BaseCompleta!$K:$K,"&lt;"&amp;$K19)+$AD19*1000000)/($C$3+$C$4)+(SUMIFS(BaseCompleta!$E:$E,BaseCompleta!$B:$B,Posicionamiento!$B$2,BaseCompleta!$N:$N,"Bono Corporativo",BaseCompleta!$M:$M,"EU",BaseCompleta!$K:$K,"&gt;="&amp;$J19,BaseCompleta!$K:$K,"&lt;"&amp;$K19)+$AD19*1000000)/($C$3+$C$4)+(SUMIFS(BaseCompleta!$E:$E,BaseCompleta!$B:$B,Posicionamiento!$B$2,BaseCompleta!$N:$N,"Bono de Gobierno",BaseCompleta!$M:$M,"EU",BaseCompleta!$K:$K,"&gt;="&amp;$J19,BaseCompleta!$K:$K,"&lt;"&amp;$K19)+$AD19*1000000)/($C$3+$C$4)+(SUMIFS(BaseCompleta!$E:$E,BaseCompleta!$B:$B,Posicionamiento!$B$2,BaseCompleta!$N:$N,"Bono de Gobierno",BaseCompleta!$M:$M,"MX",BaseCompleta!$K:$K,"&gt;="&amp;$J19,BaseCompleta!$K:$K,"&lt;"&amp;$K19)+$AD19*1000000)/($C$3+$C$4)+(SUMIFS(BaseCompleta!$E:$E,BaseCompleta!$B:$B,Posicionamiento!$B$2,BaseCompleta!$N:$N,"Bono de Gobierno",BaseCompleta!$M:$M,"SOL",BaseCompleta!$K:$K,"&gt;="&amp;$J19,BaseCompleta!$K:$K,"&lt;"&amp;$K19)+$AD19*1000000)/($C$3+$C$4)</f>
        <v>#N/A</v>
      </c>
      <c r="P19" s="26" t="e">
        <f ca="1">+(SUMIFS(BaseCompleta!$E:$E,BaseCompleta!$B:$B,$B$2,BaseCompleta!$N:$N,"Cuota de Fondo",BaseCompleta!$K:$K,"&gt;="&amp;$J19,BaseCompleta!$K:$K,"&lt;"&amp;$K19)+$AE19*1000000)/($C$3+$C$4)</f>
        <v>#N/A</v>
      </c>
      <c r="Q19" s="26" t="e">
        <f ca="1">+(SUMIFS(BaseCompleta!$E:$E,BaseCompleta!$B:$B,Posicionamiento!$B$2,BaseCompleta!$N:$N,"Bono Corporativo",BaseCompleta!$M:$M,"$",BaseCompleta!$K:$K,"&gt;="&amp;$J19,BaseCompleta!$K:$K,"&lt;"&amp;$K19)+$AF19*1000000)/($C$3+$C$4)</f>
        <v>#N/A</v>
      </c>
      <c r="R19" s="26" t="e">
        <f ca="1">+(SUMIFS(BaseCompleta!$E:$E,BaseCompleta!$B:$B,Posicionamiento!$B$2,BaseCompleta!$N:$N,"Bono Corporativo",BaseCompleta!$M:$M,"UF",BaseCompleta!$K:$K,"&gt;="&amp;$J19,BaseCompleta!$K:$K,"&lt;"&amp;$K19)+$AG19*1000000)/($C$3+$C$4)+(SUMIFS(BaseCompleta!$E:$E,BaseCompleta!$B:$B,Posicionamiento!$B$2,BaseCompleta!$N:$N,"Letra Hipotecaria",BaseCompleta!$M:$M,"UF",BaseCompleta!$K:$K,"&gt;="&amp;$J19,BaseCompleta!$K:$K,"&lt;"&amp;$K19)+$AG19*1000000)/($C$3+$C$4)</f>
        <v>#N/A</v>
      </c>
      <c r="S19" s="26" t="e">
        <f ca="1">+(SUMIFS(BaseCompleta!$E:$E,BaseCompleta!$B:$B,Posicionamiento!$B$2,BaseCompleta!$N:$N,"Bono de Gobierno",BaseCompleta!$M:$M,"$",BaseCompleta!$K:$K,"&gt;="&amp;$J19,BaseCompleta!$K:$K,"&lt;"&amp;$K19)+$AH19*1000000)/($C$3+$C$4)</f>
        <v>#N/A</v>
      </c>
      <c r="T19" s="26" t="e">
        <f ca="1">+(SUMIFS(BaseCompleta!$E:$E,BaseCompleta!$B:$B,Posicionamiento!$B$2,BaseCompleta!$N:$N,"Bono de Gobierno",BaseCompleta!$M:$M,"UF",BaseCompleta!$K:$K,"&gt;="&amp;$J19,BaseCompleta!$K:$K,"&lt;"&amp;$K19)+$AI19*1000000)/($C$3+$C$4)</f>
        <v>#N/A</v>
      </c>
      <c r="U19" s="26"/>
      <c r="V19" s="26"/>
      <c r="W19" s="120" t="e">
        <f t="shared" ca="1" si="2"/>
        <v>#N/A</v>
      </c>
      <c r="X19" s="27"/>
      <c r="Z19" s="270">
        <f t="shared" si="3"/>
        <v>0.495</v>
      </c>
      <c r="AA19" s="271">
        <v>0</v>
      </c>
      <c r="AB19" s="271">
        <v>0</v>
      </c>
      <c r="AC19" s="271">
        <v>0</v>
      </c>
      <c r="AD19" s="271">
        <v>0</v>
      </c>
      <c r="AE19" s="271">
        <v>0</v>
      </c>
      <c r="AF19" s="271">
        <v>0</v>
      </c>
      <c r="AG19" s="271">
        <v>0</v>
      </c>
      <c r="AH19" s="271">
        <v>0</v>
      </c>
      <c r="AI19" s="271">
        <v>0</v>
      </c>
      <c r="AJ19" s="271">
        <f t="shared" si="4"/>
        <v>0</v>
      </c>
      <c r="AK19" s="28"/>
      <c r="AL19" s="24"/>
      <c r="AM19" s="5"/>
      <c r="AN19" s="5"/>
      <c r="AO19" s="5"/>
      <c r="AP19" s="5"/>
      <c r="AQ19" s="5"/>
      <c r="AR19" s="5"/>
      <c r="AS19" s="5"/>
      <c r="AT19" s="5"/>
      <c r="AU19" s="5"/>
      <c r="AV19" s="5"/>
      <c r="AX19" s="5"/>
      <c r="AY19" s="5"/>
      <c r="AZ19" s="5"/>
      <c r="BA19" s="5"/>
      <c r="BB19" s="5"/>
      <c r="BC19" s="5"/>
    </row>
    <row r="20" spans="1:55" s="17" customFormat="1" ht="14.25">
      <c r="B20" s="18" t="s">
        <v>1329</v>
      </c>
      <c r="C20" s="19" t="e">
        <f ca="1">+(O41+N41)*(C3+C4)</f>
        <v>#N/A</v>
      </c>
      <c r="D20" s="19" t="e">
        <f t="shared" ca="1" si="5"/>
        <v>#N/A</v>
      </c>
      <c r="E20" s="20" t="e">
        <f ca="1">+SUM(N41:O41)</f>
        <v>#N/A</v>
      </c>
      <c r="F20" s="21" t="e">
        <f t="shared" ca="1" si="0"/>
        <v>#N/A</v>
      </c>
      <c r="G20" s="145" t="e">
        <f ca="1">IF(C20&gt;0,SUMIFS(BaseCompleta!$S:$S,BaseCompleta!$B:$B,Posicionamiento!$B$2,BaseCompleta!$N:$N,"Bono Corporativo",BaseCompleta!$M:$M,"US$")/C20,0)</f>
        <v>#N/A</v>
      </c>
      <c r="I20" s="234">
        <f>(J20+K20)/2</f>
        <v>0.745</v>
      </c>
      <c r="J20" s="236">
        <v>0.62</v>
      </c>
      <c r="K20" s="236">
        <v>0.87</v>
      </c>
      <c r="L20" s="26" t="e">
        <f ca="1">+(SUMIFS(BaseCompleta!$E:$E,BaseCompleta!$B:$B,Posicionamiento!$B$2,BaseCompleta!$N:$N,"Deposito",BaseCompleta!$M:$M,"UF",BaseCompleta!$K:$K,"&gt;="&amp;$J20,BaseCompleta!$K:$K,"&lt;"&amp;$K20)+$AA20*1000000)/($C$3+$C$4)</f>
        <v>#N/A</v>
      </c>
      <c r="M20" s="26" t="e">
        <f ca="1">+(SUMIFS(BaseCompleta!$E:$E,BaseCompleta!$B:$B,Posicionamiento!$B$2,BaseCompleta!$N:$N,"Deposito",BaseCompleta!$M:$M,"$",BaseCompleta!$K:$K,"&gt;="&amp;$J20,BaseCompleta!$K:$K,"&lt;"&amp;$K20)+SUMIFS(BaseCompleta!$E:$E,BaseCompleta!$B:$B,Posicionamiento!$B$2,BaseCompleta!$N:$N,"Factura",BaseCompleta!$M:$M,"$",BaseCompleta!$K:$K,"&gt;="&amp;$J20,BaseCompleta!$K:$K,"&lt;"&amp;$K20)+$AB20*1000000)/($C$3+$C$4)</f>
        <v>#N/A</v>
      </c>
      <c r="N20" s="26" t="e">
        <f ca="1">+(SUMIFS(BaseCompleta!$E:$E,BaseCompleta!$B:$B,Posicionamiento!$B$2,BaseCompleta!$N:$N,"Deposito",BaseCompleta!$M:$M,"US$",BaseCompleta!$K:$K,"&gt;="&amp;$J20,BaseCompleta!$K:$K,"&lt;"&amp;$K20)+$AC20*1000000)/($C$3+$C$4)</f>
        <v>#N/A</v>
      </c>
      <c r="O20" s="26" t="e">
        <f ca="1">+(SUMIFS(BaseCompleta!$E:$E,BaseCompleta!$B:$B,Posicionamiento!$B$2,BaseCompleta!$N:$N,"Bono de Gobierno",BaseCompleta!$M:$M,"US$",BaseCompleta!$K:$K,"&gt;="&amp;$J20,BaseCompleta!$K:$K,"&lt;"&amp;$K20)+$AD20*1000000)/($C$3+$C$4)+(SUMIFS(BaseCompleta!$E:$E,BaseCompleta!$B:$B,Posicionamiento!$B$2,BaseCompleta!$N:$N,"Bono Corporativo",BaseCompleta!$M:$M,"US$",BaseCompleta!$K:$K,"&gt;="&amp;$J20,BaseCompleta!$K:$K,"&lt;"&amp;$K20)+$AD20*1000000)/($C$3+$C$4)+(SUMIFS(BaseCompleta!$E:$E,BaseCompleta!$B:$B,Posicionamiento!$B$2,BaseCompleta!$N:$N,"Bono Corporativo",BaseCompleta!$M:$M,"EU",BaseCompleta!$K:$K,"&gt;="&amp;$J20,BaseCompleta!$K:$K,"&lt;"&amp;$K20)+$AD20*1000000)/($C$3+$C$4)+(SUMIFS(BaseCompleta!$E:$E,BaseCompleta!$B:$B,Posicionamiento!$B$2,BaseCompleta!$N:$N,"Bono de Gobierno",BaseCompleta!$M:$M,"EU",BaseCompleta!$K:$K,"&gt;="&amp;$J20,BaseCompleta!$K:$K,"&lt;"&amp;$K20)+$AD20*1000000)/($C$3+$C$4)+(SUMIFS(BaseCompleta!$E:$E,BaseCompleta!$B:$B,Posicionamiento!$B$2,BaseCompleta!$N:$N,"Bono de Gobierno",BaseCompleta!$M:$M,"MX",BaseCompleta!$K:$K,"&gt;="&amp;$J20,BaseCompleta!$K:$K,"&lt;"&amp;$K20)+$AD20*1000000)/($C$3+$C$4)+(SUMIFS(BaseCompleta!$E:$E,BaseCompleta!$B:$B,Posicionamiento!$B$2,BaseCompleta!$N:$N,"Bono de Gobierno",BaseCompleta!$M:$M,"SOL",BaseCompleta!$K:$K,"&gt;="&amp;$J20,BaseCompleta!$K:$K,"&lt;"&amp;$K20)+$AD20*1000000)/($C$3+$C$4)</f>
        <v>#N/A</v>
      </c>
      <c r="P20" s="26" t="e">
        <f ca="1">+(SUMIFS(BaseCompleta!$E:$E,BaseCompleta!$B:$B,$B$2,BaseCompleta!$N:$N,"Cuota de Fondo",BaseCompleta!$K:$K,"&gt;="&amp;$J20,BaseCompleta!$K:$K,"&lt;"&amp;$K20)+$AE20*1000000)/($C$3+$C$4)</f>
        <v>#N/A</v>
      </c>
      <c r="Q20" s="26" t="e">
        <f ca="1">+(SUMIFS(BaseCompleta!$E:$E,BaseCompleta!$B:$B,Posicionamiento!$B$2,BaseCompleta!$N:$N,"Bono Corporativo",BaseCompleta!$M:$M,"$",BaseCompleta!$K:$K,"&gt;="&amp;$J20,BaseCompleta!$K:$K,"&lt;"&amp;$K20)+$AF20*1000000)/($C$3+$C$4)</f>
        <v>#N/A</v>
      </c>
      <c r="R20" s="26" t="e">
        <f ca="1">+(SUMIFS(BaseCompleta!$E:$E,BaseCompleta!$B:$B,Posicionamiento!$B$2,BaseCompleta!$N:$N,"Bono Corporativo",BaseCompleta!$M:$M,"UF",BaseCompleta!$K:$K,"&gt;="&amp;$J20,BaseCompleta!$K:$K,"&lt;"&amp;$K20)+$AG20*1000000)/($C$3+$C$4)+(SUMIFS(BaseCompleta!$E:$E,BaseCompleta!$B:$B,Posicionamiento!$B$2,BaseCompleta!$N:$N,"Letra Hipotecaria",BaseCompleta!$M:$M,"UF",BaseCompleta!$K:$K,"&gt;="&amp;$J20,BaseCompleta!$K:$K,"&lt;"&amp;$K20)+$AG20*1000000)/($C$3+$C$4)</f>
        <v>#N/A</v>
      </c>
      <c r="S20" s="26" t="e">
        <f ca="1">+(SUMIFS(BaseCompleta!$E:$E,BaseCompleta!$B:$B,Posicionamiento!$B$2,BaseCompleta!$N:$N,"Bono de Gobierno",BaseCompleta!$M:$M,"$",BaseCompleta!$K:$K,"&gt;="&amp;$J20,BaseCompleta!$K:$K,"&lt;"&amp;$K20)+$AH20*1000000)/($C$3+$C$4)</f>
        <v>#N/A</v>
      </c>
      <c r="T20" s="26" t="e">
        <f ca="1">+(SUMIFS(BaseCompleta!$E:$E,BaseCompleta!$B:$B,Posicionamiento!$B$2,BaseCompleta!$N:$N,"Bono de Gobierno",BaseCompleta!$M:$M,"UF",BaseCompleta!$K:$K,"&gt;="&amp;$J20,BaseCompleta!$K:$K,"&lt;"&amp;$K20)+$AI20*1000000)/($C$3+$C$4)</f>
        <v>#N/A</v>
      </c>
      <c r="U20" s="26"/>
      <c r="V20" s="26"/>
      <c r="W20" s="120" t="e">
        <f t="shared" ca="1" si="2"/>
        <v>#N/A</v>
      </c>
      <c r="X20" s="27"/>
      <c r="Z20" s="270">
        <f t="shared" si="3"/>
        <v>0.745</v>
      </c>
      <c r="AA20" s="271">
        <v>0</v>
      </c>
      <c r="AB20" s="271">
        <v>0</v>
      </c>
      <c r="AC20" s="271">
        <v>0</v>
      </c>
      <c r="AD20" s="271">
        <v>0</v>
      </c>
      <c r="AE20" s="271">
        <v>0</v>
      </c>
      <c r="AF20" s="271">
        <v>0</v>
      </c>
      <c r="AG20" s="271">
        <v>0</v>
      </c>
      <c r="AH20" s="271">
        <v>0</v>
      </c>
      <c r="AI20" s="271">
        <v>0</v>
      </c>
      <c r="AJ20" s="271">
        <f t="shared" si="4"/>
        <v>0</v>
      </c>
      <c r="AK20" s="28"/>
      <c r="AL20" s="24"/>
      <c r="AM20" s="5"/>
      <c r="AN20" s="5"/>
      <c r="AO20" s="5"/>
      <c r="AP20" s="5"/>
      <c r="AQ20" s="5"/>
      <c r="AR20" s="5"/>
      <c r="AS20" s="5"/>
      <c r="AT20" s="5"/>
      <c r="AU20" s="5"/>
      <c r="AV20" s="5"/>
      <c r="AX20" s="5"/>
      <c r="AY20" s="5"/>
      <c r="AZ20" s="5"/>
      <c r="BA20" s="5"/>
      <c r="BB20" s="5"/>
      <c r="BC20" s="5"/>
    </row>
    <row r="21" spans="1:55" s="17" customFormat="1" ht="14.25">
      <c r="B21" s="18" t="s">
        <v>1324</v>
      </c>
      <c r="C21" s="19" t="e">
        <f ca="1">(SUM(Q41:R41))*(C3+C4)</f>
        <v>#N/A</v>
      </c>
      <c r="D21" s="19" t="e">
        <f t="shared" ca="1" si="5"/>
        <v>#N/A</v>
      </c>
      <c r="E21" s="20" t="e">
        <f ca="1">SUM(Q41:R41)</f>
        <v>#N/A</v>
      </c>
      <c r="F21" s="21" t="e">
        <f t="shared" ca="1" si="0"/>
        <v>#N/A</v>
      </c>
      <c r="G21" s="145" t="e">
        <f ca="1">IF(C21&gt;0,SUMIFS(BaseCompleta!$S:$S,BaseCompleta!$B:$B,Posicionamiento!$B$2,BaseCompleta!$N:$N,"Bono Corporativo",BaseCompleta!$M:$M,"$")/C21+SUMIFS(BaseCompleta!$S:$S,BaseCompleta!$B:$B,Posicionamiento!$B$2,BaseCompleta!$N:$N,"Bono Corporativo",BaseCompleta!$M:$M,"UF")/C21,0)</f>
        <v>#N/A</v>
      </c>
      <c r="I21" s="235">
        <v>1</v>
      </c>
      <c r="J21" s="236">
        <v>0.87</v>
      </c>
      <c r="K21" s="236">
        <v>1.5</v>
      </c>
      <c r="L21" s="26" t="e">
        <f ca="1">+(SUMIFS(BaseCompleta!$E:$E,BaseCompleta!$B:$B,Posicionamiento!$B$2,BaseCompleta!$N:$N,"Deposito",BaseCompleta!$M:$M,"UF",BaseCompleta!$K:$K,"&gt;="&amp;$J21,BaseCompleta!$K:$K,"&lt;"&amp;$K21)+$AA21*1000000)/($C$3+$C$4)</f>
        <v>#N/A</v>
      </c>
      <c r="M21" s="26" t="e">
        <f ca="1">+(SUMIFS(BaseCompleta!$E:$E,BaseCompleta!$B:$B,Posicionamiento!$B$2,BaseCompleta!$N:$N,"Deposito",BaseCompleta!$M:$M,"$",BaseCompleta!$K:$K,"&gt;="&amp;$J21,BaseCompleta!$K:$K,"&lt;"&amp;$K21)+SUMIFS(BaseCompleta!$E:$E,BaseCompleta!$B:$B,Posicionamiento!$B$2,BaseCompleta!$N:$N,"Factura",BaseCompleta!$M:$M,"$",BaseCompleta!$K:$K,"&gt;="&amp;$J21,BaseCompleta!$K:$K,"&lt;"&amp;$K21)+$AB21*1000000)/($C$3+$C$4)</f>
        <v>#N/A</v>
      </c>
      <c r="N21" s="26" t="e">
        <f ca="1">+(SUMIFS(BaseCompleta!$E:$E,BaseCompleta!$B:$B,Posicionamiento!$B$2,BaseCompleta!$N:$N,"Deposito",BaseCompleta!$M:$M,"US$",BaseCompleta!$K:$K,"&gt;="&amp;$J21,BaseCompleta!$K:$K,"&lt;"&amp;$K21)+$AC21*1000000)/($C$3+$C$4)</f>
        <v>#N/A</v>
      </c>
      <c r="O21" s="26" t="e">
        <f ca="1">+(SUMIFS(BaseCompleta!$E:$E,BaseCompleta!$B:$B,Posicionamiento!$B$2,BaseCompleta!$N:$N,"Bono de Gobierno",BaseCompleta!$M:$M,"US$",BaseCompleta!$K:$K,"&gt;="&amp;$J21,BaseCompleta!$K:$K,"&lt;"&amp;$K21)+$AD21*1000000)/($C$3+$C$4)+(SUMIFS(BaseCompleta!$E:$E,BaseCompleta!$B:$B,Posicionamiento!$B$2,BaseCompleta!$N:$N,"Bono Corporativo",BaseCompleta!$M:$M,"US$",BaseCompleta!$K:$K,"&gt;="&amp;$J21,BaseCompleta!$K:$K,"&lt;"&amp;$K21)+$AD21*1000000)/($C$3+$C$4)+(SUMIFS(BaseCompleta!$E:$E,BaseCompleta!$B:$B,Posicionamiento!$B$2,BaseCompleta!$N:$N,"Bono Corporativo",BaseCompleta!$M:$M,"EU",BaseCompleta!$K:$K,"&gt;="&amp;$J21,BaseCompleta!$K:$K,"&lt;"&amp;$K21)+$AD21*1000000)/($C$3+$C$4)+(SUMIFS(BaseCompleta!$E:$E,BaseCompleta!$B:$B,Posicionamiento!$B$2,BaseCompleta!$N:$N,"Bono de Gobierno",BaseCompleta!$M:$M,"EU",BaseCompleta!$K:$K,"&gt;="&amp;$J21,BaseCompleta!$K:$K,"&lt;"&amp;$K21)+$AD21*1000000)/($C$3+$C$4)+(SUMIFS(BaseCompleta!$E:$E,BaseCompleta!$B:$B,Posicionamiento!$B$2,BaseCompleta!$N:$N,"Bono de Gobierno",BaseCompleta!$M:$M,"MX",BaseCompleta!$K:$K,"&gt;="&amp;$J21,BaseCompleta!$K:$K,"&lt;"&amp;$K21)+$AD21*1000000)/($C$3+$C$4)+(SUMIFS(BaseCompleta!$E:$E,BaseCompleta!$B:$B,Posicionamiento!$B$2,BaseCompleta!$N:$N,"Bono de Gobierno",BaseCompleta!$M:$M,"SOL",BaseCompleta!$K:$K,"&gt;="&amp;$J21,BaseCompleta!$K:$K,"&lt;"&amp;$K21)+$AD21*1000000)/($C$3+$C$4)</f>
        <v>#N/A</v>
      </c>
      <c r="P21" s="26" t="e">
        <f ca="1">+(SUMIFS(BaseCompleta!$E:$E,BaseCompleta!$B:$B,$B$2,BaseCompleta!$N:$N,"Cuota de Fondo",BaseCompleta!$K:$K,"&gt;="&amp;$J21,BaseCompleta!$K:$K,"&lt;"&amp;$K21)+$AE21*1000000)/($C$3+$C$4)</f>
        <v>#N/A</v>
      </c>
      <c r="Q21" s="26" t="e">
        <f ca="1">+(SUMIFS(BaseCompleta!$E:$E,BaseCompleta!$B:$B,Posicionamiento!$B$2,BaseCompleta!$N:$N,"Bono Corporativo",BaseCompleta!$M:$M,"$",BaseCompleta!$K:$K,"&gt;="&amp;$J21,BaseCompleta!$K:$K,"&lt;"&amp;$K21)+$AF21*1000000)/($C$3+$C$4)</f>
        <v>#N/A</v>
      </c>
      <c r="R21" s="26" t="e">
        <f ca="1">+(SUMIFS(BaseCompleta!$E:$E,BaseCompleta!$B:$B,Posicionamiento!$B$2,BaseCompleta!$N:$N,"Bono Corporativo",BaseCompleta!$M:$M,"UF",BaseCompleta!$K:$K,"&gt;="&amp;$J21,BaseCompleta!$K:$K,"&lt;"&amp;$K21)+$AG21*1000000)/($C$3+$C$4)+(SUMIFS(BaseCompleta!$E:$E,BaseCompleta!$B:$B,Posicionamiento!$B$2,BaseCompleta!$N:$N,"Letra Hipotecaria",BaseCompleta!$M:$M,"UF",BaseCompleta!$K:$K,"&gt;="&amp;$J21,BaseCompleta!$K:$K,"&lt;"&amp;$K21)+$AG21*1000000)/($C$3+$C$4)</f>
        <v>#N/A</v>
      </c>
      <c r="S21" s="26" t="e">
        <f ca="1">+(SUMIFS(BaseCompleta!$E:$E,BaseCompleta!$B:$B,Posicionamiento!$B$2,BaseCompleta!$N:$N,"Bono de Gobierno",BaseCompleta!$M:$M,"$",BaseCompleta!$K:$K,"&gt;="&amp;$J21,BaseCompleta!$K:$K,"&lt;"&amp;$K21)+$AH21*1000000)/($C$3+$C$4)</f>
        <v>#N/A</v>
      </c>
      <c r="T21" s="26" t="e">
        <f ca="1">+(SUMIFS(BaseCompleta!$E:$E,BaseCompleta!$B:$B,Posicionamiento!$B$2,BaseCompleta!$N:$N,"Bono de Gobierno",BaseCompleta!$M:$M,"UF",BaseCompleta!$K:$K,"&gt;="&amp;$J21,BaseCompleta!$K:$K,"&lt;"&amp;$K21)+$AI21*1000000)/($C$3+$C$4)</f>
        <v>#N/A</v>
      </c>
      <c r="U21" s="26"/>
      <c r="V21" s="26"/>
      <c r="W21" s="120" t="e">
        <f t="shared" ca="1" si="2"/>
        <v>#N/A</v>
      </c>
      <c r="X21" s="27"/>
      <c r="Z21" s="272">
        <f t="shared" si="3"/>
        <v>1</v>
      </c>
      <c r="AA21" s="271">
        <v>0</v>
      </c>
      <c r="AB21" s="271">
        <v>0</v>
      </c>
      <c r="AC21" s="271">
        <v>0</v>
      </c>
      <c r="AD21" s="271">
        <v>0</v>
      </c>
      <c r="AE21" s="271">
        <v>0</v>
      </c>
      <c r="AF21" s="271">
        <v>0</v>
      </c>
      <c r="AG21" s="271">
        <v>0</v>
      </c>
      <c r="AH21" s="271">
        <v>0</v>
      </c>
      <c r="AI21" s="271">
        <v>0</v>
      </c>
      <c r="AJ21" s="271">
        <f t="shared" si="4"/>
        <v>0</v>
      </c>
      <c r="AK21" s="28"/>
      <c r="AL21" s="24"/>
      <c r="AM21" s="5"/>
      <c r="AN21" s="5"/>
      <c r="AO21" s="5"/>
      <c r="AP21" s="5"/>
      <c r="AQ21" s="5"/>
      <c r="AR21" s="5"/>
      <c r="AS21" s="5"/>
      <c r="AT21" s="5"/>
      <c r="AU21" s="5"/>
      <c r="AV21" s="5"/>
      <c r="AX21" s="5"/>
      <c r="AY21" s="5"/>
      <c r="AZ21" s="5"/>
      <c r="BA21" s="5"/>
      <c r="BB21" s="5"/>
      <c r="BC21" s="5"/>
    </row>
    <row r="22" spans="1:55" s="17" customFormat="1" ht="14.25">
      <c r="B22" s="18" t="s">
        <v>1189</v>
      </c>
      <c r="C22" s="19" t="e">
        <f ca="1">+P41*(C3+C4)</f>
        <v>#N/A</v>
      </c>
      <c r="D22" s="19" t="e">
        <f t="shared" ca="1" si="5"/>
        <v>#N/A</v>
      </c>
      <c r="E22" s="20" t="e">
        <f ca="1">+P41</f>
        <v>#N/A</v>
      </c>
      <c r="F22" s="21"/>
      <c r="G22" s="60"/>
      <c r="I22" s="235">
        <v>2</v>
      </c>
      <c r="J22" s="236">
        <v>1.5</v>
      </c>
      <c r="K22" s="236">
        <v>2.5</v>
      </c>
      <c r="L22" s="26" t="e">
        <f ca="1">+(SUMIFS(BaseCompleta!$E:$E,BaseCompleta!$B:$B,Posicionamiento!$B$2,BaseCompleta!$N:$N,"Deposito",BaseCompleta!$M:$M,"UF",BaseCompleta!$K:$K,"&gt;="&amp;$J22,BaseCompleta!$K:$K,"&lt;"&amp;$K22)+$AA22*1000000)/($C$3+$C$4)</f>
        <v>#N/A</v>
      </c>
      <c r="M22" s="26" t="e">
        <f ca="1">+(SUMIFS(BaseCompleta!$E:$E,BaseCompleta!$B:$B,Posicionamiento!$B$2,BaseCompleta!$N:$N,"Deposito",BaseCompleta!$M:$M,"$",BaseCompleta!$K:$K,"&gt;="&amp;$J22,BaseCompleta!$K:$K,"&lt;"&amp;$K22)+SUMIFS(BaseCompleta!$E:$E,BaseCompleta!$B:$B,Posicionamiento!$B$2,BaseCompleta!$N:$N,"Factura",BaseCompleta!$M:$M,"$",BaseCompleta!$K:$K,"&gt;="&amp;$J22,BaseCompleta!$K:$K,"&lt;"&amp;$K22)+$AB22*1000000)/($C$3+$C$4)</f>
        <v>#N/A</v>
      </c>
      <c r="N22" s="26" t="e">
        <f ca="1">+(SUMIFS(BaseCompleta!$E:$E,BaseCompleta!$B:$B,Posicionamiento!$B$2,BaseCompleta!$N:$N,"Deposito",BaseCompleta!$M:$M,"US$",BaseCompleta!$K:$K,"&gt;="&amp;$J22,BaseCompleta!$K:$K,"&lt;"&amp;$K22)+$AC22*1000000)/($C$3+$C$4)</f>
        <v>#N/A</v>
      </c>
      <c r="O22" s="26" t="e">
        <f ca="1">+(SUMIFS(BaseCompleta!$E:$E,BaseCompleta!$B:$B,Posicionamiento!$B$2,BaseCompleta!$N:$N,"Bono de Gobierno",BaseCompleta!$M:$M,"US$",BaseCompleta!$K:$K,"&gt;="&amp;$J22,BaseCompleta!$K:$K,"&lt;"&amp;$K22)+$AD22*1000000)/($C$3+$C$4)+(SUMIFS(BaseCompleta!$E:$E,BaseCompleta!$B:$B,Posicionamiento!$B$2,BaseCompleta!$N:$N,"Bono Corporativo",BaseCompleta!$M:$M,"US$",BaseCompleta!$K:$K,"&gt;="&amp;$J22,BaseCompleta!$K:$K,"&lt;"&amp;$K22)+$AD22*1000000)/($C$3+$C$4)+(SUMIFS(BaseCompleta!$E:$E,BaseCompleta!$B:$B,Posicionamiento!$B$2,BaseCompleta!$N:$N,"Bono Corporativo",BaseCompleta!$M:$M,"EU",BaseCompleta!$K:$K,"&gt;="&amp;$J22,BaseCompleta!$K:$K,"&lt;"&amp;$K22)+$AD22*1000000)/($C$3+$C$4)+(SUMIFS(BaseCompleta!$E:$E,BaseCompleta!$B:$B,Posicionamiento!$B$2,BaseCompleta!$N:$N,"Bono de Gobierno",BaseCompleta!$M:$M,"EU",BaseCompleta!$K:$K,"&gt;="&amp;$J22,BaseCompleta!$K:$K,"&lt;"&amp;$K22)+$AD22*1000000)/($C$3+$C$4)+(SUMIFS(BaseCompleta!$E:$E,BaseCompleta!$B:$B,Posicionamiento!$B$2,BaseCompleta!$N:$N,"Bono de Gobierno",BaseCompleta!$M:$M,"MX",BaseCompleta!$K:$K,"&gt;="&amp;$J22,BaseCompleta!$K:$K,"&lt;"&amp;$K22)+$AD22*1000000)/($C$3+$C$4)+(SUMIFS(BaseCompleta!$E:$E,BaseCompleta!$B:$B,Posicionamiento!$B$2,BaseCompleta!$N:$N,"Bono de Gobierno",BaseCompleta!$M:$M,"SOL",BaseCompleta!$K:$K,"&gt;="&amp;$J22,BaseCompleta!$K:$K,"&lt;"&amp;$K22)+$AD22*1000000)/($C$3+$C$4)</f>
        <v>#N/A</v>
      </c>
      <c r="P22" s="26" t="e">
        <f ca="1">+(SUMIFS(BaseCompleta!$E:$E,BaseCompleta!$B:$B,$B$2,BaseCompleta!$N:$N,"Cuota de Fondo",BaseCompleta!$K:$K,"&gt;="&amp;$J22,BaseCompleta!$K:$K,"&lt;"&amp;$K22)+$AE22*1000000)/($C$3+$C$4)</f>
        <v>#N/A</v>
      </c>
      <c r="Q22" s="26" t="e">
        <f ca="1">+(SUMIFS(BaseCompleta!$E:$E,BaseCompleta!$B:$B,Posicionamiento!$B$2,BaseCompleta!$N:$N,"Bono Corporativo",BaseCompleta!$M:$M,"$",BaseCompleta!$K:$K,"&gt;="&amp;$J22,BaseCompleta!$K:$K,"&lt;"&amp;$K22)+$AF22*1000000)/($C$3+$C$4)</f>
        <v>#N/A</v>
      </c>
      <c r="R22" s="26" t="e">
        <f ca="1">+(SUMIFS(BaseCompleta!$E:$E,BaseCompleta!$B:$B,Posicionamiento!$B$2,BaseCompleta!$N:$N,"Bono Corporativo",BaseCompleta!$M:$M,"UF",BaseCompleta!$K:$K,"&gt;="&amp;$J22,BaseCompleta!$K:$K,"&lt;"&amp;$K22)+$AG22*1000000)/($C$3+$C$4)+(SUMIFS(BaseCompleta!$E:$E,BaseCompleta!$B:$B,Posicionamiento!$B$2,BaseCompleta!$N:$N,"Letra Hipotecaria",BaseCompleta!$M:$M,"UF",BaseCompleta!$K:$K,"&gt;="&amp;$J22,BaseCompleta!$K:$K,"&lt;"&amp;$K22)+$AG22*1000000)/($C$3+$C$4)</f>
        <v>#N/A</v>
      </c>
      <c r="S22" s="26" t="e">
        <f ca="1">+(SUMIFS(BaseCompleta!$E:$E,BaseCompleta!$B:$B,Posicionamiento!$B$2,BaseCompleta!$N:$N,"Bono de Gobierno",BaseCompleta!$M:$M,"$",BaseCompleta!$K:$K,"&gt;="&amp;$J22,BaseCompleta!$K:$K,"&lt;"&amp;$K22)+$AH22*1000000)/($C$3+$C$4)</f>
        <v>#N/A</v>
      </c>
      <c r="T22" s="26" t="e">
        <f ca="1">+(SUMIFS(BaseCompleta!$E:$E,BaseCompleta!$B:$B,Posicionamiento!$B$2,BaseCompleta!$N:$N,"Bono de Gobierno",BaseCompleta!$M:$M,"UF",BaseCompleta!$K:$K,"&gt;="&amp;$J22,BaseCompleta!$K:$K,"&lt;"&amp;$K22)+$AI22*1000000)/($C$3+$C$4)</f>
        <v>#N/A</v>
      </c>
      <c r="U22" s="26"/>
      <c r="V22" s="26"/>
      <c r="W22" s="120" t="e">
        <f t="shared" ca="1" si="2"/>
        <v>#N/A</v>
      </c>
      <c r="X22" s="27"/>
      <c r="Z22" s="272">
        <f t="shared" si="3"/>
        <v>2</v>
      </c>
      <c r="AA22" s="271">
        <v>0</v>
      </c>
      <c r="AB22" s="271">
        <v>0</v>
      </c>
      <c r="AC22" s="271">
        <v>0</v>
      </c>
      <c r="AD22" s="271">
        <v>0</v>
      </c>
      <c r="AE22" s="271">
        <v>0</v>
      </c>
      <c r="AF22" s="271">
        <v>0</v>
      </c>
      <c r="AG22" s="271">
        <v>0</v>
      </c>
      <c r="AH22" s="271">
        <v>0</v>
      </c>
      <c r="AI22" s="271">
        <v>0</v>
      </c>
      <c r="AJ22" s="271">
        <f t="shared" si="4"/>
        <v>0</v>
      </c>
      <c r="AK22" s="28"/>
      <c r="AL22" s="24"/>
      <c r="AM22" s="5"/>
      <c r="AN22" s="5"/>
      <c r="AO22" s="5"/>
      <c r="AP22" s="5"/>
      <c r="AQ22" s="5"/>
      <c r="AR22" s="5"/>
      <c r="AS22" s="5"/>
      <c r="AT22" s="5"/>
      <c r="AU22" s="5"/>
      <c r="AV22" s="5"/>
      <c r="AX22" s="5"/>
      <c r="AY22" s="5"/>
      <c r="AZ22" s="5"/>
      <c r="BA22" s="5"/>
      <c r="BB22" s="5"/>
      <c r="BC22" s="5"/>
    </row>
    <row r="23" spans="1:55" s="17" customFormat="1" ht="14.25">
      <c r="B23" s="18" t="s">
        <v>1191</v>
      </c>
      <c r="C23" s="19" t="e">
        <f ca="1">+SUM(C16:C22)+C24-(C4+C3)</f>
        <v>#N/A</v>
      </c>
      <c r="D23" s="19" t="e">
        <f t="shared" ca="1" si="5"/>
        <v>#N/A</v>
      </c>
      <c r="E23" s="20" t="e">
        <f ca="1">+C23/SUM($C$3:$C$4)</f>
        <v>#N/A</v>
      </c>
      <c r="F23" s="21"/>
      <c r="G23" s="22"/>
      <c r="I23" s="235">
        <v>3</v>
      </c>
      <c r="J23" s="236">
        <v>2.5</v>
      </c>
      <c r="K23" s="236">
        <v>3.5</v>
      </c>
      <c r="L23" s="26" t="e">
        <f ca="1">+(SUMIFS(BaseCompleta!$E:$E,BaseCompleta!$B:$B,Posicionamiento!$B$2,BaseCompleta!$N:$N,"Deposito",BaseCompleta!$M:$M,"UF",BaseCompleta!$K:$K,"&gt;="&amp;$J23,BaseCompleta!$K:$K,"&lt;"&amp;$K23)+$AA23*1000000)/($C$3+$C$4)</f>
        <v>#N/A</v>
      </c>
      <c r="M23" s="26" t="e">
        <f ca="1">+(SUMIFS(BaseCompleta!$E:$E,BaseCompleta!$B:$B,Posicionamiento!$B$2,BaseCompleta!$N:$N,"Deposito",BaseCompleta!$M:$M,"$",BaseCompleta!$K:$K,"&gt;="&amp;$J23,BaseCompleta!$K:$K,"&lt;"&amp;$K23)+SUMIFS(BaseCompleta!$E:$E,BaseCompleta!$B:$B,Posicionamiento!$B$2,BaseCompleta!$N:$N,"Factura",BaseCompleta!$M:$M,"$",BaseCompleta!$K:$K,"&gt;="&amp;$J23,BaseCompleta!$K:$K,"&lt;"&amp;$K23)+$AB23*1000000)/($C$3+$C$4)</f>
        <v>#N/A</v>
      </c>
      <c r="N23" s="26" t="e">
        <f ca="1">+(SUMIFS(BaseCompleta!$E:$E,BaseCompleta!$B:$B,Posicionamiento!$B$2,BaseCompleta!$N:$N,"Deposito",BaseCompleta!$M:$M,"US$",BaseCompleta!$K:$K,"&gt;="&amp;$J23,BaseCompleta!$K:$K,"&lt;"&amp;$K23)+$AC23*1000000)/($C$3+$C$4)</f>
        <v>#N/A</v>
      </c>
      <c r="O23" s="26" t="e">
        <f ca="1">+(SUMIFS(BaseCompleta!$E:$E,BaseCompleta!$B:$B,Posicionamiento!$B$2,BaseCompleta!$N:$N,"Bono de Gobierno",BaseCompleta!$M:$M,"US$",BaseCompleta!$K:$K,"&gt;="&amp;$J23,BaseCompleta!$K:$K,"&lt;"&amp;$K23)+$AD23*1000000)/($C$3+$C$4)+(SUMIFS(BaseCompleta!$E:$E,BaseCompleta!$B:$B,Posicionamiento!$B$2,BaseCompleta!$N:$N,"Bono Corporativo",BaseCompleta!$M:$M,"US$",BaseCompleta!$K:$K,"&gt;="&amp;$J23,BaseCompleta!$K:$K,"&lt;"&amp;$K23)+$AD23*1000000)/($C$3+$C$4)+(SUMIFS(BaseCompleta!$E:$E,BaseCompleta!$B:$B,Posicionamiento!$B$2,BaseCompleta!$N:$N,"Bono Corporativo",BaseCompleta!$M:$M,"EU",BaseCompleta!$K:$K,"&gt;="&amp;$J23,BaseCompleta!$K:$K,"&lt;"&amp;$K23)+$AD23*1000000)/($C$3+$C$4)+(SUMIFS(BaseCompleta!$E:$E,BaseCompleta!$B:$B,Posicionamiento!$B$2,BaseCompleta!$N:$N,"Bono de Gobierno",BaseCompleta!$M:$M,"EU",BaseCompleta!$K:$K,"&gt;="&amp;$J23,BaseCompleta!$K:$K,"&lt;"&amp;$K23)+$AD23*1000000)/($C$3+$C$4)+(SUMIFS(BaseCompleta!$E:$E,BaseCompleta!$B:$B,Posicionamiento!$B$2,BaseCompleta!$N:$N,"Bono de Gobierno",BaseCompleta!$M:$M,"MX",BaseCompleta!$K:$K,"&gt;="&amp;$J23,BaseCompleta!$K:$K,"&lt;"&amp;$K23)+$AD23*1000000)/($C$3+$C$4)+(SUMIFS(BaseCompleta!$E:$E,BaseCompleta!$B:$B,Posicionamiento!$B$2,BaseCompleta!$N:$N,"Bono de Gobierno",BaseCompleta!$M:$M,"SOL",BaseCompleta!$K:$K,"&gt;="&amp;$J23,BaseCompleta!$K:$K,"&lt;"&amp;$K23)+$AD23*1000000)/($C$3+$C$4)</f>
        <v>#N/A</v>
      </c>
      <c r="P23" s="26" t="e">
        <f ca="1">+(SUMIFS(BaseCompleta!$E:$E,BaseCompleta!$B:$B,$B$2,BaseCompleta!$N:$N,"Cuota de Fondo",BaseCompleta!$K:$K,"&gt;="&amp;$J23,BaseCompleta!$K:$K,"&lt;"&amp;$K23)+$AE23*1000000)/($C$3+$C$4)</f>
        <v>#N/A</v>
      </c>
      <c r="Q23" s="26" t="e">
        <f ca="1">+(SUMIFS(BaseCompleta!$E:$E,BaseCompleta!$B:$B,Posicionamiento!$B$2,BaseCompleta!$N:$N,"Bono Corporativo",BaseCompleta!$M:$M,"$",BaseCompleta!$K:$K,"&gt;="&amp;$J23,BaseCompleta!$K:$K,"&lt;"&amp;$K23)+$AF23*1000000)/($C$3+$C$4)</f>
        <v>#N/A</v>
      </c>
      <c r="R23" s="26" t="e">
        <f ca="1">+(SUMIFS(BaseCompleta!$E:$E,BaseCompleta!$B:$B,Posicionamiento!$B$2,BaseCompleta!$N:$N,"Bono Corporativo",BaseCompleta!$M:$M,"UF",BaseCompleta!$K:$K,"&gt;="&amp;$J23,BaseCompleta!$K:$K,"&lt;"&amp;$K23)+$AG23*1000000)/($C$3+$C$4)+(SUMIFS(BaseCompleta!$E:$E,BaseCompleta!$B:$B,Posicionamiento!$B$2,BaseCompleta!$N:$N,"Letra Hipotecaria",BaseCompleta!$M:$M,"UF",BaseCompleta!$K:$K,"&gt;="&amp;$J23,BaseCompleta!$K:$K,"&lt;"&amp;$K23)+$AG23*1000000)/($C$3+$C$4)</f>
        <v>#N/A</v>
      </c>
      <c r="S23" s="26" t="e">
        <f ca="1">+(SUMIFS(BaseCompleta!$E:$E,BaseCompleta!$B:$B,Posicionamiento!$B$2,BaseCompleta!$N:$N,"Bono de Gobierno",BaseCompleta!$M:$M,"$",BaseCompleta!$K:$K,"&gt;="&amp;$J23,BaseCompleta!$K:$K,"&lt;"&amp;$K23)+$AH23*1000000)/($C$3+$C$4)</f>
        <v>#N/A</v>
      </c>
      <c r="T23" s="26" t="e">
        <f ca="1">+(SUMIFS(BaseCompleta!$E:$E,BaseCompleta!$B:$B,Posicionamiento!$B$2,BaseCompleta!$N:$N,"Bono de Gobierno",BaseCompleta!$M:$M,"UF",BaseCompleta!$K:$K,"&gt;="&amp;$J23,BaseCompleta!$K:$K,"&lt;"&amp;$K23)+$AI23*1000000)/($C$3+$C$4)</f>
        <v>#N/A</v>
      </c>
      <c r="U23" s="26"/>
      <c r="V23" s="26"/>
      <c r="W23" s="120" t="e">
        <f t="shared" ca="1" si="2"/>
        <v>#N/A</v>
      </c>
      <c r="X23" s="27"/>
      <c r="Z23" s="272">
        <f t="shared" si="3"/>
        <v>3</v>
      </c>
      <c r="AA23" s="271">
        <v>0</v>
      </c>
      <c r="AB23" s="271">
        <v>0</v>
      </c>
      <c r="AC23" s="271">
        <v>0</v>
      </c>
      <c r="AD23" s="271">
        <v>0</v>
      </c>
      <c r="AE23" s="271">
        <v>0</v>
      </c>
      <c r="AF23" s="271">
        <v>0</v>
      </c>
      <c r="AG23" s="271">
        <v>0</v>
      </c>
      <c r="AH23" s="271">
        <v>0</v>
      </c>
      <c r="AI23" s="271">
        <v>0</v>
      </c>
      <c r="AJ23" s="271">
        <f t="shared" si="4"/>
        <v>0</v>
      </c>
      <c r="AK23" s="28"/>
      <c r="AL23" s="24"/>
      <c r="AM23" s="5"/>
      <c r="AN23" s="5"/>
      <c r="AO23" s="5"/>
      <c r="AP23" s="5"/>
      <c r="AQ23" s="5"/>
      <c r="AR23" s="5"/>
      <c r="AS23" s="5"/>
      <c r="AT23" s="5"/>
      <c r="AU23" s="5"/>
      <c r="AV23" s="5"/>
      <c r="AX23" s="5"/>
      <c r="AY23" s="5"/>
      <c r="AZ23" s="5"/>
      <c r="BA23" s="5"/>
      <c r="BB23" s="5"/>
      <c r="BC23" s="5"/>
    </row>
    <row r="24" spans="1:55" s="17" customFormat="1" ht="15" thickBot="1">
      <c r="B24" s="237" t="s">
        <v>1330</v>
      </c>
      <c r="C24" s="238" t="e">
        <f ca="1">+C4</f>
        <v>#N/A</v>
      </c>
      <c r="D24" s="238" t="e">
        <f t="shared" ca="1" si="5"/>
        <v>#N/A</v>
      </c>
      <c r="E24" s="239" t="e">
        <f ca="1">+C4/(C3+C4)</f>
        <v>#N/A</v>
      </c>
      <c r="F24" s="240"/>
      <c r="G24" s="241"/>
      <c r="I24" s="235">
        <v>4</v>
      </c>
      <c r="J24" s="236">
        <v>3.5</v>
      </c>
      <c r="K24" s="236">
        <v>4.5</v>
      </c>
      <c r="L24" s="26" t="e">
        <f ca="1">+(SUMIFS(BaseCompleta!$E:$E,BaseCompleta!$B:$B,Posicionamiento!$B$2,BaseCompleta!$N:$N,"Deposito",BaseCompleta!$M:$M,"UF",BaseCompleta!$K:$K,"&gt;="&amp;$J24,BaseCompleta!$K:$K,"&lt;"&amp;$K24)+$AA24*1000000)/($C$3+$C$4)</f>
        <v>#N/A</v>
      </c>
      <c r="M24" s="26" t="e">
        <f ca="1">+(SUMIFS(BaseCompleta!$E:$E,BaseCompleta!$B:$B,Posicionamiento!$B$2,BaseCompleta!$N:$N,"Deposito",BaseCompleta!$M:$M,"$",BaseCompleta!$K:$K,"&gt;="&amp;$J24,BaseCompleta!$K:$K,"&lt;"&amp;$K24)+SUMIFS(BaseCompleta!$E:$E,BaseCompleta!$B:$B,Posicionamiento!$B$2,BaseCompleta!$N:$N,"Factura",BaseCompleta!$M:$M,"$",BaseCompleta!$K:$K,"&gt;="&amp;$J24,BaseCompleta!$K:$K,"&lt;"&amp;$K24)+$AB24*1000000)/($C$3+$C$4)</f>
        <v>#N/A</v>
      </c>
      <c r="N24" s="26" t="e">
        <f ca="1">+(SUMIFS(BaseCompleta!$E:$E,BaseCompleta!$B:$B,Posicionamiento!$B$2,BaseCompleta!$N:$N,"Deposito",BaseCompleta!$M:$M,"US$",BaseCompleta!$K:$K,"&gt;="&amp;$J24,BaseCompleta!$K:$K,"&lt;"&amp;$K24)+$AC24*1000000)/($C$3+$C$4)</f>
        <v>#N/A</v>
      </c>
      <c r="O24" s="26" t="e">
        <f ca="1">+(SUMIFS(BaseCompleta!$E:$E,BaseCompleta!$B:$B,Posicionamiento!$B$2,BaseCompleta!$N:$N,"Bono de Gobierno",BaseCompleta!$M:$M,"US$",BaseCompleta!$K:$K,"&gt;="&amp;$J24,BaseCompleta!$K:$K,"&lt;"&amp;$K24)+$AD24*1000000)/($C$3+$C$4)+(SUMIFS(BaseCompleta!$E:$E,BaseCompleta!$B:$B,Posicionamiento!$B$2,BaseCompleta!$N:$N,"Bono Corporativo",BaseCompleta!$M:$M,"US$",BaseCompleta!$K:$K,"&gt;="&amp;$J24,BaseCompleta!$K:$K,"&lt;"&amp;$K24)+$AD24*1000000)/($C$3+$C$4)+(SUMIFS(BaseCompleta!$E:$E,BaseCompleta!$B:$B,Posicionamiento!$B$2,BaseCompleta!$N:$N,"Bono Corporativo",BaseCompleta!$M:$M,"EU",BaseCompleta!$K:$K,"&gt;="&amp;$J24,BaseCompleta!$K:$K,"&lt;"&amp;$K24)+$AD24*1000000)/($C$3+$C$4)+(SUMIFS(BaseCompleta!$E:$E,BaseCompleta!$B:$B,Posicionamiento!$B$2,BaseCompleta!$N:$N,"Bono de Gobierno",BaseCompleta!$M:$M,"EU",BaseCompleta!$K:$K,"&gt;="&amp;$J24,BaseCompleta!$K:$K,"&lt;"&amp;$K24)+$AD24*1000000)/($C$3+$C$4)+(SUMIFS(BaseCompleta!$E:$E,BaseCompleta!$B:$B,Posicionamiento!$B$2,BaseCompleta!$N:$N,"Bono de Gobierno",BaseCompleta!$M:$M,"MX",BaseCompleta!$K:$K,"&gt;="&amp;$J24,BaseCompleta!$K:$K,"&lt;"&amp;$K24)+$AD24*1000000)/($C$3+$C$4)+(SUMIFS(BaseCompleta!$E:$E,BaseCompleta!$B:$B,Posicionamiento!$B$2,BaseCompleta!$N:$N,"Bono de Gobierno",BaseCompleta!$M:$M,"SOL",BaseCompleta!$K:$K,"&gt;="&amp;$J24,BaseCompleta!$K:$K,"&lt;"&amp;$K24)+$AD24*1000000)/($C$3+$C$4)</f>
        <v>#N/A</v>
      </c>
      <c r="P24" s="26" t="e">
        <f ca="1">+(SUMIFS(BaseCompleta!$E:$E,BaseCompleta!$B:$B,$B$2,BaseCompleta!$N:$N,"Cuota de Fondo",BaseCompleta!$K:$K,"&gt;="&amp;$J24,BaseCompleta!$K:$K,"&lt;"&amp;$K24)+$AE24*1000000)/($C$3+$C$4)</f>
        <v>#N/A</v>
      </c>
      <c r="Q24" s="26" t="e">
        <f ca="1">+(SUMIFS(BaseCompleta!$E:$E,BaseCompleta!$B:$B,Posicionamiento!$B$2,BaseCompleta!$N:$N,"Bono Corporativo",BaseCompleta!$M:$M,"$",BaseCompleta!$K:$K,"&gt;="&amp;$J24,BaseCompleta!$K:$K,"&lt;"&amp;$K24)+$AF24*1000000)/($C$3+$C$4)</f>
        <v>#N/A</v>
      </c>
      <c r="R24" s="26" t="e">
        <f ca="1">+(SUMIFS(BaseCompleta!$E:$E,BaseCompleta!$B:$B,Posicionamiento!$B$2,BaseCompleta!$N:$N,"Bono Corporativo",BaseCompleta!$M:$M,"UF",BaseCompleta!$K:$K,"&gt;="&amp;$J24,BaseCompleta!$K:$K,"&lt;"&amp;$K24)+$AG24*1000000)/($C$3+$C$4)+(SUMIFS(BaseCompleta!$E:$E,BaseCompleta!$B:$B,Posicionamiento!$B$2,BaseCompleta!$N:$N,"Letra Hipotecaria",BaseCompleta!$M:$M,"UF",BaseCompleta!$K:$K,"&gt;="&amp;$J24,BaseCompleta!$K:$K,"&lt;"&amp;$K24)+$AG24*1000000)/($C$3+$C$4)</f>
        <v>#N/A</v>
      </c>
      <c r="S24" s="26" t="e">
        <f ca="1">+(SUMIFS(BaseCompleta!$E:$E,BaseCompleta!$B:$B,Posicionamiento!$B$2,BaseCompleta!$N:$N,"Bono de Gobierno",BaseCompleta!$M:$M,"$",BaseCompleta!$K:$K,"&gt;="&amp;$J24,BaseCompleta!$K:$K,"&lt;"&amp;$K24)+$AH24*1000000)/($C$3+$C$4)</f>
        <v>#N/A</v>
      </c>
      <c r="T24" s="26" t="e">
        <f ca="1">+(SUMIFS(BaseCompleta!$E:$E,BaseCompleta!$B:$B,Posicionamiento!$B$2,BaseCompleta!$N:$N,"Bono de Gobierno",BaseCompleta!$M:$M,"UF",BaseCompleta!$K:$K,"&gt;="&amp;$J24,BaseCompleta!$K:$K,"&lt;"&amp;$K24)+$AI24*1000000)/($C$3+$C$4)</f>
        <v>#N/A</v>
      </c>
      <c r="U24" s="26"/>
      <c r="V24" s="26"/>
      <c r="W24" s="120" t="e">
        <f t="shared" ca="1" si="2"/>
        <v>#N/A</v>
      </c>
      <c r="X24" s="27"/>
      <c r="Z24" s="272">
        <f t="shared" si="3"/>
        <v>4</v>
      </c>
      <c r="AA24" s="271">
        <v>0</v>
      </c>
      <c r="AB24" s="271">
        <v>0</v>
      </c>
      <c r="AC24" s="271">
        <v>0</v>
      </c>
      <c r="AD24" s="271">
        <v>0</v>
      </c>
      <c r="AE24" s="271">
        <v>0</v>
      </c>
      <c r="AF24" s="271">
        <v>0</v>
      </c>
      <c r="AG24" s="271">
        <v>0</v>
      </c>
      <c r="AH24" s="271">
        <v>0</v>
      </c>
      <c r="AI24" s="271">
        <v>0</v>
      </c>
      <c r="AJ24" s="271">
        <f t="shared" si="4"/>
        <v>0</v>
      </c>
      <c r="AK24" s="28"/>
      <c r="AL24" s="24"/>
      <c r="AM24" s="5"/>
      <c r="AN24" s="5"/>
      <c r="AO24" s="5"/>
      <c r="AP24" s="5"/>
      <c r="AQ24" s="5"/>
      <c r="AR24" s="5"/>
      <c r="AS24" s="5"/>
      <c r="AT24" s="5"/>
      <c r="AU24" s="5"/>
      <c r="AV24" s="5"/>
      <c r="AX24" s="5"/>
      <c r="AY24" s="5"/>
      <c r="AZ24" s="5"/>
      <c r="BA24" s="5"/>
      <c r="BB24" s="5"/>
      <c r="BC24" s="5"/>
    </row>
    <row r="25" spans="1:55" s="17" customFormat="1" ht="14.25">
      <c r="B25" s="29" t="s">
        <v>1331</v>
      </c>
      <c r="C25" s="30" t="e">
        <f ca="1">SUM(C16:C24)</f>
        <v>#N/A</v>
      </c>
      <c r="D25" s="30" t="e">
        <f t="shared" ca="1" si="5"/>
        <v>#N/A</v>
      </c>
      <c r="E25" s="105" t="e">
        <f ca="1">SUM(E16:E24)</f>
        <v>#N/A</v>
      </c>
      <c r="F25" s="59" t="e">
        <f ca="1">SUMPRODUCT($E$16:$E$22,$F$16:$F$22)/SUM($E$16:$E$22)</f>
        <v>#N/A</v>
      </c>
      <c r="G25" s="32" t="e">
        <f ca="1">+SUMPRODUCT(E16:E21,G16:G21)</f>
        <v>#N/A</v>
      </c>
      <c r="I25" s="235">
        <v>5</v>
      </c>
      <c r="J25" s="236">
        <v>4.5</v>
      </c>
      <c r="K25" s="236">
        <v>5.5</v>
      </c>
      <c r="L25" s="26" t="e">
        <f ca="1">+(SUMIFS(BaseCompleta!$E:$E,BaseCompleta!$B:$B,Posicionamiento!$B$2,BaseCompleta!$N:$N,"Deposito",BaseCompleta!$M:$M,"UF",BaseCompleta!$K:$K,"&gt;="&amp;$J25,BaseCompleta!$K:$K,"&lt;"&amp;$K25)+$AA25*1000000)/($C$3+$C$4)</f>
        <v>#N/A</v>
      </c>
      <c r="M25" s="26" t="e">
        <f ca="1">+(SUMIFS(BaseCompleta!$E:$E,BaseCompleta!$B:$B,Posicionamiento!$B$2,BaseCompleta!$N:$N,"Deposito",BaseCompleta!$M:$M,"$",BaseCompleta!$K:$K,"&gt;="&amp;$J25,BaseCompleta!$K:$K,"&lt;"&amp;$K25)+SUMIFS(BaseCompleta!$E:$E,BaseCompleta!$B:$B,Posicionamiento!$B$2,BaseCompleta!$N:$N,"Factura",BaseCompleta!$M:$M,"$",BaseCompleta!$K:$K,"&gt;="&amp;$J25,BaseCompleta!$K:$K,"&lt;"&amp;$K25)+$AB25*1000000)/($C$3+$C$4)</f>
        <v>#N/A</v>
      </c>
      <c r="N25" s="26" t="e">
        <f ca="1">+(SUMIFS(BaseCompleta!$E:$E,BaseCompleta!$B:$B,Posicionamiento!$B$2,BaseCompleta!$N:$N,"Deposito",BaseCompleta!$M:$M,"US$",BaseCompleta!$K:$K,"&gt;="&amp;$J25,BaseCompleta!$K:$K,"&lt;"&amp;$K25)+$AC25*1000000)/($C$3+$C$4)</f>
        <v>#N/A</v>
      </c>
      <c r="O25" s="26" t="e">
        <f ca="1">+(SUMIFS(BaseCompleta!$E:$E,BaseCompleta!$B:$B,Posicionamiento!$B$2,BaseCompleta!$N:$N,"Bono de Gobierno",BaseCompleta!$M:$M,"US$",BaseCompleta!$K:$K,"&gt;="&amp;$J25,BaseCompleta!$K:$K,"&lt;"&amp;$K25)+$AD25*1000000)/($C$3+$C$4)+(SUMIFS(BaseCompleta!$E:$E,BaseCompleta!$B:$B,Posicionamiento!$B$2,BaseCompleta!$N:$N,"Bono Corporativo",BaseCompleta!$M:$M,"US$",BaseCompleta!$K:$K,"&gt;="&amp;$J25,BaseCompleta!$K:$K,"&lt;"&amp;$K25)+$AD25*1000000)/($C$3+$C$4)+(SUMIFS(BaseCompleta!$E:$E,BaseCompleta!$B:$B,Posicionamiento!$B$2,BaseCompleta!$N:$N,"Bono Corporativo",BaseCompleta!$M:$M,"EU",BaseCompleta!$K:$K,"&gt;="&amp;$J25,BaseCompleta!$K:$K,"&lt;"&amp;$K25)+$AD25*1000000)/($C$3+$C$4)+(SUMIFS(BaseCompleta!$E:$E,BaseCompleta!$B:$B,Posicionamiento!$B$2,BaseCompleta!$N:$N,"Bono de Gobierno",BaseCompleta!$M:$M,"EU",BaseCompleta!$K:$K,"&gt;="&amp;$J25,BaseCompleta!$K:$K,"&lt;"&amp;$K25)+$AD25*1000000)/($C$3+$C$4)+(SUMIFS(BaseCompleta!$E:$E,BaseCompleta!$B:$B,Posicionamiento!$B$2,BaseCompleta!$N:$N,"Bono de Gobierno",BaseCompleta!$M:$M,"MX",BaseCompleta!$K:$K,"&gt;="&amp;$J25,BaseCompleta!$K:$K,"&lt;"&amp;$K25)+$AD25*1000000)/($C$3+$C$4)+(SUMIFS(BaseCompleta!$E:$E,BaseCompleta!$B:$B,Posicionamiento!$B$2,BaseCompleta!$N:$N,"Bono de Gobierno",BaseCompleta!$M:$M,"SOL",BaseCompleta!$K:$K,"&gt;="&amp;$J25,BaseCompleta!$K:$K,"&lt;"&amp;$K25)+$AD25*1000000)/($C$3+$C$4)</f>
        <v>#N/A</v>
      </c>
      <c r="P25" s="26" t="e">
        <f ca="1">+(SUMIFS(BaseCompleta!$E:$E,BaseCompleta!$B:$B,$B$2,BaseCompleta!$N:$N,"Cuota de Fondo",BaseCompleta!$K:$K,"&gt;="&amp;$J25,BaseCompleta!$K:$K,"&lt;"&amp;$K25)+$AE25*1000000)/($C$3+$C$4)</f>
        <v>#N/A</v>
      </c>
      <c r="Q25" s="26" t="e">
        <f ca="1">+(SUMIFS(BaseCompleta!$E:$E,BaseCompleta!$B:$B,Posicionamiento!$B$2,BaseCompleta!$N:$N,"Bono Corporativo",BaseCompleta!$M:$M,"$",BaseCompleta!$K:$K,"&gt;="&amp;$J25,BaseCompleta!$K:$K,"&lt;"&amp;$K25)+$AF25*1000000)/($C$3+$C$4)</f>
        <v>#N/A</v>
      </c>
      <c r="R25" s="26" t="e">
        <f ca="1">+(SUMIFS(BaseCompleta!$E:$E,BaseCompleta!$B:$B,Posicionamiento!$B$2,BaseCompleta!$N:$N,"Bono Corporativo",BaseCompleta!$M:$M,"UF",BaseCompleta!$K:$K,"&gt;="&amp;$J25,BaseCompleta!$K:$K,"&lt;"&amp;$K25)+$AG25*1000000)/($C$3+$C$4)+(SUMIFS(BaseCompleta!$E:$E,BaseCompleta!$B:$B,Posicionamiento!$B$2,BaseCompleta!$N:$N,"Letra Hipotecaria",BaseCompleta!$M:$M,"UF",BaseCompleta!$K:$K,"&gt;="&amp;$J25,BaseCompleta!$K:$K,"&lt;"&amp;$K25)+$AG25*1000000)/($C$3+$C$4)</f>
        <v>#N/A</v>
      </c>
      <c r="S25" s="26" t="e">
        <f ca="1">+(SUMIFS(BaseCompleta!$E:$E,BaseCompleta!$B:$B,Posicionamiento!$B$2,BaseCompleta!$N:$N,"Bono de Gobierno",BaseCompleta!$M:$M,"$",BaseCompleta!$K:$K,"&gt;="&amp;$J25,BaseCompleta!$K:$K,"&lt;"&amp;$K25)+$AH25*1000000)/($C$3+$C$4)</f>
        <v>#N/A</v>
      </c>
      <c r="T25" s="26" t="e">
        <f ca="1">+(SUMIFS(BaseCompleta!$E:$E,BaseCompleta!$B:$B,Posicionamiento!$B$2,BaseCompleta!$N:$N,"Bono de Gobierno",BaseCompleta!$M:$M,"UF",BaseCompleta!$K:$K,"&gt;="&amp;$J25,BaseCompleta!$K:$K,"&lt;"&amp;$K25)+$AI25*1000000)/($C$3+$C$4)</f>
        <v>#N/A</v>
      </c>
      <c r="U25" s="26"/>
      <c r="V25" s="26"/>
      <c r="W25" s="120" t="e">
        <f t="shared" ca="1" si="2"/>
        <v>#N/A</v>
      </c>
      <c r="X25" s="27"/>
      <c r="Z25" s="272">
        <f t="shared" si="3"/>
        <v>5</v>
      </c>
      <c r="AA25" s="271">
        <v>0</v>
      </c>
      <c r="AB25" s="271">
        <v>0</v>
      </c>
      <c r="AC25" s="271">
        <v>0</v>
      </c>
      <c r="AD25" s="271">
        <v>0</v>
      </c>
      <c r="AE25" s="271">
        <v>0</v>
      </c>
      <c r="AF25" s="271">
        <v>0</v>
      </c>
      <c r="AG25" s="271">
        <v>0</v>
      </c>
      <c r="AH25" s="271">
        <v>0</v>
      </c>
      <c r="AI25" s="271">
        <v>0</v>
      </c>
      <c r="AJ25" s="271">
        <f t="shared" si="4"/>
        <v>0</v>
      </c>
      <c r="AK25" s="28"/>
      <c r="AL25" s="24"/>
      <c r="AM25" s="5"/>
      <c r="AN25" s="5"/>
      <c r="AO25" s="5"/>
      <c r="AP25" s="5"/>
      <c r="AQ25" s="5"/>
      <c r="AR25" s="5"/>
      <c r="AS25" s="5"/>
      <c r="AT25" s="5"/>
      <c r="AU25" s="5"/>
      <c r="AV25" s="5"/>
      <c r="AX25" s="5"/>
      <c r="AY25" s="5"/>
      <c r="AZ25" s="5"/>
      <c r="BA25" s="5"/>
      <c r="BB25" s="5"/>
      <c r="BC25" s="5"/>
    </row>
    <row r="26" spans="1:55" s="17" customFormat="1" ht="14.25">
      <c r="B26" s="18" t="s">
        <v>1332</v>
      </c>
      <c r="C26" s="19" t="e">
        <f ca="1">+SUMIFS(BaseCompleta!$F:$F,BaseCompleta!$B:$B,$B2,BaseCompleta!$I:$I,TODAY(),BaseCompleta!$M:$M,"$")+SUMIFS(BaseCompleta!$F:$F,BaseCompleta!$B:$B,$B2,BaseCompleta!$I:$I,TODAY(),BaseCompleta!$M:$M,"UF")*VLOOKUP(TODAY(),UF!$A:$B,2,FALSE)</f>
        <v>#N/A</v>
      </c>
      <c r="D26" s="179" t="e">
        <f t="shared" ca="1" si="5"/>
        <v>#N/A</v>
      </c>
      <c r="E26" s="20"/>
      <c r="F26" s="21"/>
      <c r="G26" s="22"/>
      <c r="I26" s="235">
        <v>6</v>
      </c>
      <c r="J26" s="236">
        <v>5.5</v>
      </c>
      <c r="K26" s="236">
        <v>6.5</v>
      </c>
      <c r="L26" s="26" t="e">
        <f ca="1">+(SUMIFS(BaseCompleta!$E:$E,BaseCompleta!$B:$B,Posicionamiento!$B$2,BaseCompleta!$N:$N,"Deposito",BaseCompleta!$M:$M,"UF",BaseCompleta!$K:$K,"&gt;="&amp;$J26,BaseCompleta!$K:$K,"&lt;"&amp;$K26)+$AA26*1000000)/($C$3+$C$4)</f>
        <v>#N/A</v>
      </c>
      <c r="M26" s="26" t="e">
        <f ca="1">+(SUMIFS(BaseCompleta!$E:$E,BaseCompleta!$B:$B,Posicionamiento!$B$2,BaseCompleta!$N:$N,"Deposito",BaseCompleta!$M:$M,"$",BaseCompleta!$K:$K,"&gt;="&amp;$J26,BaseCompleta!$K:$K,"&lt;"&amp;$K26)+SUMIFS(BaseCompleta!$E:$E,BaseCompleta!$B:$B,Posicionamiento!$B$2,BaseCompleta!$N:$N,"Factura",BaseCompleta!$M:$M,"$",BaseCompleta!$K:$K,"&gt;="&amp;$J26,BaseCompleta!$K:$K,"&lt;"&amp;$K26)+$AB26*1000000)/($C$3+$C$4)</f>
        <v>#N/A</v>
      </c>
      <c r="N26" s="26" t="e">
        <f ca="1">+(SUMIFS(BaseCompleta!$E:$E,BaseCompleta!$B:$B,Posicionamiento!$B$2,BaseCompleta!$N:$N,"Deposito",BaseCompleta!$M:$M,"US$",BaseCompleta!$K:$K,"&gt;="&amp;$J26,BaseCompleta!$K:$K,"&lt;"&amp;$K26)+$AC26*1000000)/($C$3+$C$4)</f>
        <v>#N/A</v>
      </c>
      <c r="O26" s="26" t="e">
        <f ca="1">+(SUMIFS(BaseCompleta!$E:$E,BaseCompleta!$B:$B,Posicionamiento!$B$2,BaseCompleta!$N:$N,"Bono de Gobierno",BaseCompleta!$M:$M,"US$",BaseCompleta!$K:$K,"&gt;="&amp;$J26,BaseCompleta!$K:$K,"&lt;"&amp;$K26)+$AD26*1000000)/($C$3+$C$4)+(SUMIFS(BaseCompleta!$E:$E,BaseCompleta!$B:$B,Posicionamiento!$B$2,BaseCompleta!$N:$N,"Bono Corporativo",BaseCompleta!$M:$M,"US$",BaseCompleta!$K:$K,"&gt;="&amp;$J26,BaseCompleta!$K:$K,"&lt;"&amp;$K26)+$AD26*1000000)/($C$3+$C$4)+(SUMIFS(BaseCompleta!$E:$E,BaseCompleta!$B:$B,Posicionamiento!$B$2,BaseCompleta!$N:$N,"Bono Corporativo",BaseCompleta!$M:$M,"EU",BaseCompleta!$K:$K,"&gt;="&amp;$J26,BaseCompleta!$K:$K,"&lt;"&amp;$K26)+$AD26*1000000)/($C$3+$C$4)+(SUMIFS(BaseCompleta!$E:$E,BaseCompleta!$B:$B,Posicionamiento!$B$2,BaseCompleta!$N:$N,"Bono de Gobierno",BaseCompleta!$M:$M,"EU",BaseCompleta!$K:$K,"&gt;="&amp;$J26,BaseCompleta!$K:$K,"&lt;"&amp;$K26)+$AD26*1000000)/($C$3+$C$4)+(SUMIFS(BaseCompleta!$E:$E,BaseCompleta!$B:$B,Posicionamiento!$B$2,BaseCompleta!$N:$N,"Bono de Gobierno",BaseCompleta!$M:$M,"MX",BaseCompleta!$K:$K,"&gt;="&amp;$J26,BaseCompleta!$K:$K,"&lt;"&amp;$K26)+$AD26*1000000)/($C$3+$C$4)+(SUMIFS(BaseCompleta!$E:$E,BaseCompleta!$B:$B,Posicionamiento!$B$2,BaseCompleta!$N:$N,"Bono de Gobierno",BaseCompleta!$M:$M,"SOL",BaseCompleta!$K:$K,"&gt;="&amp;$J26,BaseCompleta!$K:$K,"&lt;"&amp;$K26)+$AD26*1000000)/($C$3+$C$4)</f>
        <v>#N/A</v>
      </c>
      <c r="P26" s="26" t="e">
        <f ca="1">+(SUMIFS(BaseCompleta!$E:$E,BaseCompleta!$B:$B,$B$2,BaseCompleta!$N:$N,"Cuota de Fondo",BaseCompleta!$K:$K,"&gt;="&amp;$J26,BaseCompleta!$K:$K,"&lt;"&amp;$K26)+$AE26*1000000)/($C$3+$C$4)</f>
        <v>#N/A</v>
      </c>
      <c r="Q26" s="26" t="e">
        <f ca="1">+(SUMIFS(BaseCompleta!$E:$E,BaseCompleta!$B:$B,Posicionamiento!$B$2,BaseCompleta!$N:$N,"Bono Corporativo",BaseCompleta!$M:$M,"$",BaseCompleta!$K:$K,"&gt;="&amp;$J26,BaseCompleta!$K:$K,"&lt;"&amp;$K26)+$AF26*1000000)/($C$3+$C$4)</f>
        <v>#N/A</v>
      </c>
      <c r="R26" s="26" t="e">
        <f ca="1">+(SUMIFS(BaseCompleta!$E:$E,BaseCompleta!$B:$B,Posicionamiento!$B$2,BaseCompleta!$N:$N,"Bono Corporativo",BaseCompleta!$M:$M,"UF",BaseCompleta!$K:$K,"&gt;="&amp;$J26,BaseCompleta!$K:$K,"&lt;"&amp;$K26)+$AG26*1000000)/($C$3+$C$4)+(SUMIFS(BaseCompleta!$E:$E,BaseCompleta!$B:$B,Posicionamiento!$B$2,BaseCompleta!$N:$N,"Letra Hipotecaria",BaseCompleta!$M:$M,"UF",BaseCompleta!$K:$K,"&gt;="&amp;$J26,BaseCompleta!$K:$K,"&lt;"&amp;$K26)+$AG26*1000000)/($C$3+$C$4)</f>
        <v>#N/A</v>
      </c>
      <c r="S26" s="26" t="e">
        <f ca="1">+(SUMIFS(BaseCompleta!$E:$E,BaseCompleta!$B:$B,Posicionamiento!$B$2,BaseCompleta!$N:$N,"Bono de Gobierno",BaseCompleta!$M:$M,"$",BaseCompleta!$K:$K,"&gt;="&amp;$J26,BaseCompleta!$K:$K,"&lt;"&amp;$K26)+$AH26*1000000)/($C$3+$C$4)</f>
        <v>#N/A</v>
      </c>
      <c r="T26" s="26" t="e">
        <f ca="1">+(SUMIFS(BaseCompleta!$E:$E,BaseCompleta!$B:$B,Posicionamiento!$B$2,BaseCompleta!$N:$N,"Bono de Gobierno",BaseCompleta!$M:$M,"UF",BaseCompleta!$K:$K,"&gt;="&amp;$J26,BaseCompleta!$K:$K,"&lt;"&amp;$K26)+$AI26*1000000)/($C$3+$C$4)</f>
        <v>#N/A</v>
      </c>
      <c r="U26" s="26"/>
      <c r="V26" s="26"/>
      <c r="W26" s="120" t="e">
        <f t="shared" ca="1" si="2"/>
        <v>#N/A</v>
      </c>
      <c r="X26" s="27"/>
      <c r="Z26" s="272">
        <f t="shared" si="3"/>
        <v>6</v>
      </c>
      <c r="AA26" s="271">
        <v>0</v>
      </c>
      <c r="AB26" s="271">
        <v>0</v>
      </c>
      <c r="AC26" s="271">
        <v>0</v>
      </c>
      <c r="AD26" s="271">
        <v>0</v>
      </c>
      <c r="AE26" s="271">
        <v>0</v>
      </c>
      <c r="AF26" s="271">
        <v>0</v>
      </c>
      <c r="AG26" s="271">
        <v>0</v>
      </c>
      <c r="AH26" s="271">
        <v>0</v>
      </c>
      <c r="AI26" s="271">
        <v>0</v>
      </c>
      <c r="AJ26" s="271">
        <f t="shared" si="4"/>
        <v>0</v>
      </c>
      <c r="AK26" s="28"/>
      <c r="AL26" s="24"/>
      <c r="AM26" s="5"/>
      <c r="AN26" s="5"/>
      <c r="AO26" s="5"/>
      <c r="AP26" s="5"/>
      <c r="AQ26" s="5"/>
      <c r="AR26" s="5"/>
      <c r="AS26" s="5"/>
      <c r="AT26" s="5"/>
      <c r="AU26" s="5"/>
      <c r="AV26" s="5"/>
      <c r="AX26" s="5"/>
      <c r="AY26" s="5"/>
      <c r="AZ26" s="5"/>
      <c r="BA26" s="5"/>
      <c r="BB26" s="5"/>
      <c r="BC26" s="5"/>
    </row>
    <row r="27" spans="1:55" s="17" customFormat="1" ht="14.25">
      <c r="G27" s="142"/>
      <c r="I27" s="235">
        <v>7</v>
      </c>
      <c r="J27" s="236">
        <v>6.5</v>
      </c>
      <c r="K27" s="236">
        <v>7.5</v>
      </c>
      <c r="L27" s="26" t="e">
        <f ca="1">+(SUMIFS(BaseCompleta!$E:$E,BaseCompleta!$B:$B,Posicionamiento!$B$2,BaseCompleta!$N:$N,"Deposito",BaseCompleta!$M:$M,"UF",BaseCompleta!$K:$K,"&gt;="&amp;$J27,BaseCompleta!$K:$K,"&lt;"&amp;$K27)+$AA27*1000000)/($C$3+$C$4)</f>
        <v>#N/A</v>
      </c>
      <c r="M27" s="26" t="e">
        <f ca="1">+(SUMIFS(BaseCompleta!$E:$E,BaseCompleta!$B:$B,Posicionamiento!$B$2,BaseCompleta!$N:$N,"Deposito",BaseCompleta!$M:$M,"$",BaseCompleta!$K:$K,"&gt;="&amp;$J27,BaseCompleta!$K:$K,"&lt;"&amp;$K27)+SUMIFS(BaseCompleta!$E:$E,BaseCompleta!$B:$B,Posicionamiento!$B$2,BaseCompleta!$N:$N,"Factura",BaseCompleta!$M:$M,"$",BaseCompleta!$K:$K,"&gt;="&amp;$J27,BaseCompleta!$K:$K,"&lt;"&amp;$K27)+$AB27*1000000)/($C$3+$C$4)</f>
        <v>#N/A</v>
      </c>
      <c r="N27" s="26" t="e">
        <f ca="1">+(SUMIFS(BaseCompleta!$E:$E,BaseCompleta!$B:$B,Posicionamiento!$B$2,BaseCompleta!$N:$N,"Deposito",BaseCompleta!$M:$M,"US$",BaseCompleta!$K:$K,"&gt;="&amp;$J27,BaseCompleta!$K:$K,"&lt;"&amp;$K27)+$AC27*1000000)/($C$3+$C$4)</f>
        <v>#N/A</v>
      </c>
      <c r="O27" s="26" t="e">
        <f ca="1">+(SUMIFS(BaseCompleta!$E:$E,BaseCompleta!$B:$B,Posicionamiento!$B$2,BaseCompleta!$N:$N,"Bono de Gobierno",BaseCompleta!$M:$M,"US$",BaseCompleta!$K:$K,"&gt;="&amp;$J27,BaseCompleta!$K:$K,"&lt;"&amp;$K27)+$AD27*1000000)/($C$3+$C$4)+(SUMIFS(BaseCompleta!$E:$E,BaseCompleta!$B:$B,Posicionamiento!$B$2,BaseCompleta!$N:$N,"Bono Corporativo",BaseCompleta!$M:$M,"US$",BaseCompleta!$K:$K,"&gt;="&amp;$J27,BaseCompleta!$K:$K,"&lt;"&amp;$K27)+$AD27*1000000)/($C$3+$C$4)+(SUMIFS(BaseCompleta!$E:$E,BaseCompleta!$B:$B,Posicionamiento!$B$2,BaseCompleta!$N:$N,"Bono Corporativo",BaseCompleta!$M:$M,"EU",BaseCompleta!$K:$K,"&gt;="&amp;$J27,BaseCompleta!$K:$K,"&lt;"&amp;$K27)+$AD27*1000000)/($C$3+$C$4)+(SUMIFS(BaseCompleta!$E:$E,BaseCompleta!$B:$B,Posicionamiento!$B$2,BaseCompleta!$N:$N,"Bono de Gobierno",BaseCompleta!$M:$M,"EU",BaseCompleta!$K:$K,"&gt;="&amp;$J27,BaseCompleta!$K:$K,"&lt;"&amp;$K27)+$AD27*1000000)/($C$3+$C$4)+(SUMIFS(BaseCompleta!$E:$E,BaseCompleta!$B:$B,Posicionamiento!$B$2,BaseCompleta!$N:$N,"Bono de Gobierno",BaseCompleta!$M:$M,"MX",BaseCompleta!$K:$K,"&gt;="&amp;$J27,BaseCompleta!$K:$K,"&lt;"&amp;$K27)+$AD27*1000000)/($C$3+$C$4)+(SUMIFS(BaseCompleta!$E:$E,BaseCompleta!$B:$B,Posicionamiento!$B$2,BaseCompleta!$N:$N,"Bono de Gobierno",BaseCompleta!$M:$M,"SOL",BaseCompleta!$K:$K,"&gt;="&amp;$J27,BaseCompleta!$K:$K,"&lt;"&amp;$K27)+$AD27*1000000)/($C$3+$C$4)</f>
        <v>#N/A</v>
      </c>
      <c r="P27" s="26" t="e">
        <f ca="1">+(SUMIFS(BaseCompleta!$E:$E,BaseCompleta!$B:$B,$B$2,BaseCompleta!$N:$N,"Cuota de Fondo",BaseCompleta!$K:$K,"&gt;="&amp;$J27,BaseCompleta!$K:$K,"&lt;"&amp;$K27)+$AE27*1000000)/($C$3+$C$4)</f>
        <v>#N/A</v>
      </c>
      <c r="Q27" s="26" t="e">
        <f ca="1">+(SUMIFS(BaseCompleta!$E:$E,BaseCompleta!$B:$B,Posicionamiento!$B$2,BaseCompleta!$N:$N,"Bono Corporativo",BaseCompleta!$M:$M,"$",BaseCompleta!$K:$K,"&gt;="&amp;$J27,BaseCompleta!$K:$K,"&lt;"&amp;$K27)+$AF27*1000000)/($C$3+$C$4)</f>
        <v>#N/A</v>
      </c>
      <c r="R27" s="26" t="e">
        <f ca="1">+(SUMIFS(BaseCompleta!$E:$E,BaseCompleta!$B:$B,Posicionamiento!$B$2,BaseCompleta!$N:$N,"Bono Corporativo",BaseCompleta!$M:$M,"UF",BaseCompleta!$K:$K,"&gt;="&amp;$J27,BaseCompleta!$K:$K,"&lt;"&amp;$K27)+$AG27*1000000)/($C$3+$C$4)+(SUMIFS(BaseCompleta!$E:$E,BaseCompleta!$B:$B,Posicionamiento!$B$2,BaseCompleta!$N:$N,"Letra Hipotecaria",BaseCompleta!$M:$M,"UF",BaseCompleta!$K:$K,"&gt;="&amp;$J27,BaseCompleta!$K:$K,"&lt;"&amp;$K27)+$AG27*1000000)/($C$3+$C$4)</f>
        <v>#N/A</v>
      </c>
      <c r="S27" s="26" t="e">
        <f ca="1">+(SUMIFS(BaseCompleta!$E:$E,BaseCompleta!$B:$B,Posicionamiento!$B$2,BaseCompleta!$N:$N,"Bono de Gobierno",BaseCompleta!$M:$M,"$",BaseCompleta!$K:$K,"&gt;="&amp;$J27,BaseCompleta!$K:$K,"&lt;"&amp;$K27)+$AH27*1000000)/($C$3+$C$4)</f>
        <v>#N/A</v>
      </c>
      <c r="T27" s="26" t="e">
        <f ca="1">+(SUMIFS(BaseCompleta!$E:$E,BaseCompleta!$B:$B,Posicionamiento!$B$2,BaseCompleta!$N:$N,"Bono de Gobierno",BaseCompleta!$M:$M,"UF",BaseCompleta!$K:$K,"&gt;="&amp;$J27,BaseCompleta!$K:$K,"&lt;"&amp;$K27)+$AI27*1000000)/($C$3+$C$4)</f>
        <v>#N/A</v>
      </c>
      <c r="U27" s="26"/>
      <c r="V27" s="26"/>
      <c r="W27" s="120" t="e">
        <f t="shared" ca="1" si="2"/>
        <v>#N/A</v>
      </c>
      <c r="X27" s="27"/>
      <c r="Z27" s="272">
        <f t="shared" si="3"/>
        <v>7</v>
      </c>
      <c r="AA27" s="271">
        <v>0</v>
      </c>
      <c r="AB27" s="271">
        <v>0</v>
      </c>
      <c r="AC27" s="271">
        <v>0</v>
      </c>
      <c r="AD27" s="271">
        <v>0</v>
      </c>
      <c r="AE27" s="271">
        <v>0</v>
      </c>
      <c r="AF27" s="271">
        <v>0</v>
      </c>
      <c r="AG27" s="271">
        <v>0</v>
      </c>
      <c r="AH27" s="271">
        <v>0</v>
      </c>
      <c r="AI27" s="271">
        <v>0</v>
      </c>
      <c r="AJ27" s="271">
        <f t="shared" si="4"/>
        <v>0</v>
      </c>
      <c r="AK27" s="28"/>
      <c r="AL27" s="24"/>
      <c r="AM27" s="5"/>
      <c r="AN27" s="5"/>
      <c r="AO27" s="5"/>
      <c r="AP27" s="5"/>
      <c r="AQ27" s="5"/>
      <c r="AR27" s="5"/>
      <c r="AS27" s="5"/>
      <c r="AT27" s="5"/>
      <c r="AU27" s="5"/>
      <c r="AV27" s="5"/>
      <c r="AX27" s="5"/>
      <c r="AY27" s="5"/>
      <c r="AZ27" s="5"/>
      <c r="BA27" s="5"/>
      <c r="BB27" s="5"/>
      <c r="BC27" s="5"/>
    </row>
    <row r="28" spans="1:55" s="17" customFormat="1" ht="16.5" thickBot="1">
      <c r="B28" s="265" t="s">
        <v>112</v>
      </c>
      <c r="C28" s="265" t="s">
        <v>113</v>
      </c>
      <c r="D28" s="265" t="s">
        <v>114</v>
      </c>
      <c r="E28" s="265" t="s">
        <v>92</v>
      </c>
      <c r="F28" s="33" t="s">
        <v>110</v>
      </c>
      <c r="I28" s="235">
        <v>8</v>
      </c>
      <c r="J28" s="236">
        <v>7.5</v>
      </c>
      <c r="K28" s="236">
        <v>8.5</v>
      </c>
      <c r="L28" s="26" t="e">
        <f ca="1">+(SUMIFS(BaseCompleta!$E:$E,BaseCompleta!$B:$B,Posicionamiento!$B$2,BaseCompleta!$N:$N,"Deposito",BaseCompleta!$M:$M,"UF",BaseCompleta!$K:$K,"&gt;="&amp;$J28,BaseCompleta!$K:$K,"&lt;"&amp;$K28)+$AA28*1000000)/($C$3+$C$4)</f>
        <v>#N/A</v>
      </c>
      <c r="M28" s="26" t="e">
        <f ca="1">+(SUMIFS(BaseCompleta!$E:$E,BaseCompleta!$B:$B,Posicionamiento!$B$2,BaseCompleta!$N:$N,"Deposito",BaseCompleta!$M:$M,"$",BaseCompleta!$K:$K,"&gt;="&amp;$J28,BaseCompleta!$K:$K,"&lt;"&amp;$K28)+SUMIFS(BaseCompleta!$E:$E,BaseCompleta!$B:$B,Posicionamiento!$B$2,BaseCompleta!$N:$N,"Factura",BaseCompleta!$M:$M,"$",BaseCompleta!$K:$K,"&gt;="&amp;$J28,BaseCompleta!$K:$K,"&lt;"&amp;$K28)+$AB28*1000000)/($C$3+$C$4)</f>
        <v>#N/A</v>
      </c>
      <c r="N28" s="26" t="e">
        <f ca="1">+(SUMIFS(BaseCompleta!$E:$E,BaseCompleta!$B:$B,Posicionamiento!$B$2,BaseCompleta!$N:$N,"Deposito",BaseCompleta!$M:$M,"US$",BaseCompleta!$K:$K,"&gt;="&amp;$J28,BaseCompleta!$K:$K,"&lt;"&amp;$K28)+$AC28*1000000)/($C$3+$C$4)</f>
        <v>#N/A</v>
      </c>
      <c r="O28" s="26" t="e">
        <f ca="1">+(SUMIFS(BaseCompleta!$E:$E,BaseCompleta!$B:$B,Posicionamiento!$B$2,BaseCompleta!$N:$N,"Bono de Gobierno",BaseCompleta!$M:$M,"US$",BaseCompleta!$K:$K,"&gt;="&amp;$J28,BaseCompleta!$K:$K,"&lt;"&amp;$K28)+$AD28*1000000)/($C$3+$C$4)+(SUMIFS(BaseCompleta!$E:$E,BaseCompleta!$B:$B,Posicionamiento!$B$2,BaseCompleta!$N:$N,"Bono Corporativo",BaseCompleta!$M:$M,"US$",BaseCompleta!$K:$K,"&gt;="&amp;$J28,BaseCompleta!$K:$K,"&lt;"&amp;$K28)+$AD28*1000000)/($C$3+$C$4)+(SUMIFS(BaseCompleta!$E:$E,BaseCompleta!$B:$B,Posicionamiento!$B$2,BaseCompleta!$N:$N,"Bono Corporativo",BaseCompleta!$M:$M,"EU",BaseCompleta!$K:$K,"&gt;="&amp;$J28,BaseCompleta!$K:$K,"&lt;"&amp;$K28)+$AD28*1000000)/($C$3+$C$4)+(SUMIFS(BaseCompleta!$E:$E,BaseCompleta!$B:$B,Posicionamiento!$B$2,BaseCompleta!$N:$N,"Bono de Gobierno",BaseCompleta!$M:$M,"EU",BaseCompleta!$K:$K,"&gt;="&amp;$J28,BaseCompleta!$K:$K,"&lt;"&amp;$K28)+$AD28*1000000)/($C$3+$C$4)+(SUMIFS(BaseCompleta!$E:$E,BaseCompleta!$B:$B,Posicionamiento!$B$2,BaseCompleta!$N:$N,"Bono de Gobierno",BaseCompleta!$M:$M,"MX",BaseCompleta!$K:$K,"&gt;="&amp;$J28,BaseCompleta!$K:$K,"&lt;"&amp;$K28)+$AD28*1000000)/($C$3+$C$4)+(SUMIFS(BaseCompleta!$E:$E,BaseCompleta!$B:$B,Posicionamiento!$B$2,BaseCompleta!$N:$N,"Bono de Gobierno",BaseCompleta!$M:$M,"SOL",BaseCompleta!$K:$K,"&gt;="&amp;$J28,BaseCompleta!$K:$K,"&lt;"&amp;$K28)+$AD28*1000000)/($C$3+$C$4)</f>
        <v>#N/A</v>
      </c>
      <c r="P28" s="26" t="e">
        <f ca="1">+(SUMIFS(BaseCompleta!$E:$E,BaseCompleta!$B:$B,$B$2,BaseCompleta!$N:$N,"Cuota de Fondo",BaseCompleta!$K:$K,"&gt;="&amp;$J28,BaseCompleta!$K:$K,"&lt;"&amp;$K28)+$AE28*1000000)/($C$3+$C$4)</f>
        <v>#N/A</v>
      </c>
      <c r="Q28" s="26" t="e">
        <f ca="1">+(SUMIFS(BaseCompleta!$E:$E,BaseCompleta!$B:$B,Posicionamiento!$B$2,BaseCompleta!$N:$N,"Bono Corporativo",BaseCompleta!$M:$M,"$",BaseCompleta!$K:$K,"&gt;="&amp;$J28,BaseCompleta!$K:$K,"&lt;"&amp;$K28)+$AF28*1000000)/($C$3+$C$4)</f>
        <v>#N/A</v>
      </c>
      <c r="R28" s="26" t="e">
        <f ca="1">+(SUMIFS(BaseCompleta!$E:$E,BaseCompleta!$B:$B,Posicionamiento!$B$2,BaseCompleta!$N:$N,"Bono Corporativo",BaseCompleta!$M:$M,"UF",BaseCompleta!$K:$K,"&gt;="&amp;$J28,BaseCompleta!$K:$K,"&lt;"&amp;$K28)+$AG28*1000000)/($C$3+$C$4)+(SUMIFS(BaseCompleta!$E:$E,BaseCompleta!$B:$B,Posicionamiento!$B$2,BaseCompleta!$N:$N,"Letra Hipotecaria",BaseCompleta!$M:$M,"UF",BaseCompleta!$K:$K,"&gt;="&amp;$J28,BaseCompleta!$K:$K,"&lt;"&amp;$K28)+$AG28*1000000)/($C$3+$C$4)</f>
        <v>#N/A</v>
      </c>
      <c r="S28" s="26" t="e">
        <f ca="1">+(SUMIFS(BaseCompleta!$E:$E,BaseCompleta!$B:$B,Posicionamiento!$B$2,BaseCompleta!$N:$N,"Bono de Gobierno",BaseCompleta!$M:$M,"$",BaseCompleta!$K:$K,"&gt;="&amp;$J28,BaseCompleta!$K:$K,"&lt;"&amp;$K28)+$AH28*1000000)/($C$3+$C$4)</f>
        <v>#N/A</v>
      </c>
      <c r="T28" s="26" t="e">
        <f ca="1">+(SUMIFS(BaseCompleta!$E:$E,BaseCompleta!$B:$B,Posicionamiento!$B$2,BaseCompleta!$N:$N,"Bono de Gobierno",BaseCompleta!$M:$M,"UF",BaseCompleta!$K:$K,"&gt;="&amp;$J28,BaseCompleta!$K:$K,"&lt;"&amp;$K28)+$AI28*1000000)/($C$3+$C$4)</f>
        <v>#N/A</v>
      </c>
      <c r="U28" s="26"/>
      <c r="V28" s="26"/>
      <c r="W28" s="120" t="e">
        <f t="shared" ca="1" si="2"/>
        <v>#N/A</v>
      </c>
      <c r="X28" s="27"/>
      <c r="Z28" s="272">
        <f t="shared" si="3"/>
        <v>8</v>
      </c>
      <c r="AA28" s="271">
        <v>0</v>
      </c>
      <c r="AB28" s="271">
        <v>0</v>
      </c>
      <c r="AC28" s="271">
        <v>0</v>
      </c>
      <c r="AD28" s="271">
        <v>0</v>
      </c>
      <c r="AE28" s="271">
        <v>0</v>
      </c>
      <c r="AF28" s="271">
        <v>0</v>
      </c>
      <c r="AG28" s="271">
        <v>0</v>
      </c>
      <c r="AH28" s="271">
        <v>0</v>
      </c>
      <c r="AI28" s="271">
        <v>0</v>
      </c>
      <c r="AJ28" s="271">
        <f t="shared" si="4"/>
        <v>0</v>
      </c>
      <c r="AK28" s="28"/>
      <c r="AL28" s="24"/>
      <c r="AM28" s="5"/>
      <c r="AN28" s="5"/>
      <c r="AO28" s="5"/>
      <c r="AP28" s="5"/>
      <c r="AQ28" s="5"/>
      <c r="AR28" s="5"/>
      <c r="AS28" s="5"/>
      <c r="AT28" s="5"/>
      <c r="AU28" s="5"/>
      <c r="AV28" s="5"/>
      <c r="AX28" s="5"/>
      <c r="AY28" s="5"/>
      <c r="AZ28" s="5"/>
      <c r="BA28" s="5"/>
      <c r="BB28" s="5"/>
      <c r="BC28" s="5"/>
    </row>
    <row r="29" spans="1:55" s="17" customFormat="1" ht="15.75">
      <c r="B29" s="18" t="s">
        <v>104</v>
      </c>
      <c r="C29" s="19">
        <f>+SUMIFS(BaseCompleta!$E:$E,BaseCompleta!B:B,$B$2,BaseCompleta!$M:$M,"$")+SUMIFS(Derivatives!$E:$E,Derivatives!$A:$A,Posicionamiento!$B$2,Derivatives!$C:$C,$B29)-SUMIFS(Derivatives!$F:$F,Derivatives!$A:$A,Posicionamiento!$B$2,Derivatives!$D:$D,$B29)</f>
        <v>11567272554.119499</v>
      </c>
      <c r="D29" s="19" t="e">
        <f t="shared" ref="D29:D37" si="6">C29/USDCLPobs</f>
        <v>#VALUE!</v>
      </c>
      <c r="E29" s="20" t="e">
        <f ca="1">(C29+$C$4)/($C$3+$C$4)</f>
        <v>#N/A</v>
      </c>
      <c r="F29" s="33" t="s">
        <v>111</v>
      </c>
      <c r="I29" s="235">
        <v>9</v>
      </c>
      <c r="J29" s="236">
        <v>8.5</v>
      </c>
      <c r="K29" s="236">
        <v>9.5</v>
      </c>
      <c r="L29" s="26" t="e">
        <f ca="1">+(SUMIFS(BaseCompleta!$E:$E,BaseCompleta!$B:$B,Posicionamiento!$B$2,BaseCompleta!$N:$N,"Deposito",BaseCompleta!$M:$M,"UF",BaseCompleta!$K:$K,"&gt;="&amp;$J29,BaseCompleta!$K:$K,"&lt;"&amp;$K29)+$AA29*1000000)/($C$3+$C$4)</f>
        <v>#N/A</v>
      </c>
      <c r="M29" s="26" t="e">
        <f ca="1">+(SUMIFS(BaseCompleta!$E:$E,BaseCompleta!$B:$B,Posicionamiento!$B$2,BaseCompleta!$N:$N,"Deposito",BaseCompleta!$M:$M,"$",BaseCompleta!$K:$K,"&gt;="&amp;$J29,BaseCompleta!$K:$K,"&lt;"&amp;$K29)+SUMIFS(BaseCompleta!$E:$E,BaseCompleta!$B:$B,Posicionamiento!$B$2,BaseCompleta!$N:$N,"Factura",BaseCompleta!$M:$M,"$",BaseCompleta!$K:$K,"&gt;="&amp;$J29,BaseCompleta!$K:$K,"&lt;"&amp;$K29)+$AB29*1000000)/($C$3+$C$4)</f>
        <v>#N/A</v>
      </c>
      <c r="N29" s="26" t="e">
        <f ca="1">+(SUMIFS(BaseCompleta!$E:$E,BaseCompleta!$B:$B,Posicionamiento!$B$2,BaseCompleta!$N:$N,"Deposito",BaseCompleta!$M:$M,"US$",BaseCompleta!$K:$K,"&gt;="&amp;$J29,BaseCompleta!$K:$K,"&lt;"&amp;$K29)+$AC29*1000000)/($C$3+$C$4)</f>
        <v>#N/A</v>
      </c>
      <c r="O29" s="26" t="e">
        <f ca="1">+(SUMIFS(BaseCompleta!$E:$E,BaseCompleta!$B:$B,Posicionamiento!$B$2,BaseCompleta!$N:$N,"Bono de Gobierno",BaseCompleta!$M:$M,"US$",BaseCompleta!$K:$K,"&gt;="&amp;$J29,BaseCompleta!$K:$K,"&lt;"&amp;$K29)+$AD29*1000000)/($C$3+$C$4)+(SUMIFS(BaseCompleta!$E:$E,BaseCompleta!$B:$B,Posicionamiento!$B$2,BaseCompleta!$N:$N,"Bono Corporativo",BaseCompleta!$M:$M,"US$",BaseCompleta!$K:$K,"&gt;="&amp;$J29,BaseCompleta!$K:$K,"&lt;"&amp;$K29)+$AD29*1000000)/($C$3+$C$4)+(SUMIFS(BaseCompleta!$E:$E,BaseCompleta!$B:$B,Posicionamiento!$B$2,BaseCompleta!$N:$N,"Bono Corporativo",BaseCompleta!$M:$M,"EU",BaseCompleta!$K:$K,"&gt;="&amp;$J29,BaseCompleta!$K:$K,"&lt;"&amp;$K29)+$AD29*1000000)/($C$3+$C$4)+(SUMIFS(BaseCompleta!$E:$E,BaseCompleta!$B:$B,Posicionamiento!$B$2,BaseCompleta!$N:$N,"Bono de Gobierno",BaseCompleta!$M:$M,"EU",BaseCompleta!$K:$K,"&gt;="&amp;$J29,BaseCompleta!$K:$K,"&lt;"&amp;$K29)+$AD29*1000000)/($C$3+$C$4)+(SUMIFS(BaseCompleta!$E:$E,BaseCompleta!$B:$B,Posicionamiento!$B$2,BaseCompleta!$N:$N,"Bono de Gobierno",BaseCompleta!$M:$M,"MX",BaseCompleta!$K:$K,"&gt;="&amp;$J29,BaseCompleta!$K:$K,"&lt;"&amp;$K29)+$AD29*1000000)/($C$3+$C$4)+(SUMIFS(BaseCompleta!$E:$E,BaseCompleta!$B:$B,Posicionamiento!$B$2,BaseCompleta!$N:$N,"Bono de Gobierno",BaseCompleta!$M:$M,"SOL",BaseCompleta!$K:$K,"&gt;="&amp;$J29,BaseCompleta!$K:$K,"&lt;"&amp;$K29)+$AD29*1000000)/($C$3+$C$4)</f>
        <v>#N/A</v>
      </c>
      <c r="P29" s="26" t="e">
        <f ca="1">+(SUMIFS(BaseCompleta!$E:$E,BaseCompleta!$B:$B,$B$2,BaseCompleta!$N:$N,"Cuota de Fondo",BaseCompleta!$K:$K,"&gt;="&amp;$J29,BaseCompleta!$K:$K,"&lt;"&amp;$K29)+$AE29*1000000)/($C$3+$C$4)</f>
        <v>#N/A</v>
      </c>
      <c r="Q29" s="26" t="e">
        <f ca="1">+(SUMIFS(BaseCompleta!$E:$E,BaseCompleta!$B:$B,Posicionamiento!$B$2,BaseCompleta!$N:$N,"Bono Corporativo",BaseCompleta!$M:$M,"$",BaseCompleta!$K:$K,"&gt;="&amp;$J29,BaseCompleta!$K:$K,"&lt;"&amp;$K29)+$AF29*1000000)/($C$3+$C$4)</f>
        <v>#N/A</v>
      </c>
      <c r="R29" s="26" t="e">
        <f ca="1">+(SUMIFS(BaseCompleta!$E:$E,BaseCompleta!$B:$B,Posicionamiento!$B$2,BaseCompleta!$N:$N,"Bono Corporativo",BaseCompleta!$M:$M,"UF",BaseCompleta!$K:$K,"&gt;="&amp;$J29,BaseCompleta!$K:$K,"&lt;"&amp;$K29)+$AG29*1000000)/($C$3+$C$4)+(SUMIFS(BaseCompleta!$E:$E,BaseCompleta!$B:$B,Posicionamiento!$B$2,BaseCompleta!$N:$N,"Letra Hipotecaria",BaseCompleta!$M:$M,"UF",BaseCompleta!$K:$K,"&gt;="&amp;$J29,BaseCompleta!$K:$K,"&lt;"&amp;$K29)+$AG29*1000000)/($C$3+$C$4)</f>
        <v>#N/A</v>
      </c>
      <c r="S29" s="26" t="e">
        <f ca="1">+(SUMIFS(BaseCompleta!$E:$E,BaseCompleta!$B:$B,Posicionamiento!$B$2,BaseCompleta!$N:$N,"Bono de Gobierno",BaseCompleta!$M:$M,"$",BaseCompleta!$K:$K,"&gt;="&amp;$J29,BaseCompleta!$K:$K,"&lt;"&amp;$K29)+$AH29*1000000)/($C$3+$C$4)</f>
        <v>#N/A</v>
      </c>
      <c r="T29" s="26" t="e">
        <f ca="1">+(SUMIFS(BaseCompleta!$E:$E,BaseCompleta!$B:$B,Posicionamiento!$B$2,BaseCompleta!$N:$N,"Bono de Gobierno",BaseCompleta!$M:$M,"UF",BaseCompleta!$K:$K,"&gt;="&amp;$J29,BaseCompleta!$K:$K,"&lt;"&amp;$K29)+$AI29*1000000)/($C$3+$C$4)</f>
        <v>#N/A</v>
      </c>
      <c r="U29" s="26"/>
      <c r="V29" s="26"/>
      <c r="W29" s="120" t="e">
        <f t="shared" ca="1" si="2"/>
        <v>#N/A</v>
      </c>
      <c r="X29" s="27"/>
      <c r="Z29" s="272">
        <f t="shared" si="3"/>
        <v>9</v>
      </c>
      <c r="AA29" s="271">
        <v>0</v>
      </c>
      <c r="AB29" s="271">
        <v>0</v>
      </c>
      <c r="AC29" s="271">
        <v>0</v>
      </c>
      <c r="AD29" s="271">
        <v>0</v>
      </c>
      <c r="AE29" s="271">
        <v>0</v>
      </c>
      <c r="AF29" s="271">
        <v>0</v>
      </c>
      <c r="AG29" s="271">
        <v>0</v>
      </c>
      <c r="AH29" s="271">
        <v>0</v>
      </c>
      <c r="AI29" s="271">
        <v>0</v>
      </c>
      <c r="AJ29" s="271">
        <f t="shared" si="4"/>
        <v>0</v>
      </c>
      <c r="AK29" s="28"/>
      <c r="AL29" s="24"/>
      <c r="AM29" s="5"/>
      <c r="AN29" s="5"/>
      <c r="AO29" s="5"/>
      <c r="AP29" s="5"/>
      <c r="AQ29" s="5"/>
      <c r="AR29" s="5"/>
      <c r="AS29" s="5"/>
      <c r="AT29" s="5"/>
      <c r="AU29" s="5"/>
      <c r="AV29" s="5"/>
      <c r="AX29" s="5"/>
      <c r="AY29" s="5"/>
      <c r="AZ29" s="5"/>
      <c r="BA29" s="5"/>
      <c r="BB29" s="5"/>
      <c r="BC29" s="5"/>
    </row>
    <row r="30" spans="1:55" s="17" customFormat="1" ht="14.25">
      <c r="B30" s="18" t="s">
        <v>6</v>
      </c>
      <c r="C30" s="19" t="e">
        <f ca="1">+SUMIFS(BaseCompleta!$E:$E,BaseCompleta!B:B,$B$2,BaseCompleta!$M:$M,$B30)+SUMIFS(Derivatives!$E:$E,Derivatives!$A:$A,Posicionamiento!$B$2,Derivatives!$C:$C,$B30)*VLOOKUP(TODAY(),UF!$A:$B,2,FALSE)-SUMIFS(Derivatives!$F:$F,Derivatives!$A:$A,Posicionamiento!$B$2,Derivatives!$D:$D,$B30)*VLOOKUP(TODAY(),UF!$A:$B,2,FALSE)</f>
        <v>#N/A</v>
      </c>
      <c r="D30" s="19" t="e">
        <f t="shared" ca="1" si="6"/>
        <v>#N/A</v>
      </c>
      <c r="E30" s="20" t="e">
        <f ca="1">C30/($C$3+$C$4)</f>
        <v>#N/A</v>
      </c>
      <c r="F30" s="16"/>
      <c r="H30" s="16"/>
      <c r="I30" s="235">
        <v>10</v>
      </c>
      <c r="J30" s="236">
        <v>9.5</v>
      </c>
      <c r="K30" s="236">
        <v>10.5</v>
      </c>
      <c r="L30" s="26" t="e">
        <f ca="1">+(SUMIFS(BaseCompleta!$E:$E,BaseCompleta!$B:$B,Posicionamiento!$B$2,BaseCompleta!$N:$N,"Deposito",BaseCompleta!$M:$M,"UF",BaseCompleta!$K:$K,"&gt;="&amp;$J30,BaseCompleta!$K:$K,"&lt;"&amp;$K30)+$AA30*1000000)/($C$3+$C$4)</f>
        <v>#N/A</v>
      </c>
      <c r="M30" s="26" t="e">
        <f ca="1">+(SUMIFS(BaseCompleta!$E:$E,BaseCompleta!$B:$B,Posicionamiento!$B$2,BaseCompleta!$N:$N,"Deposito",BaseCompleta!$M:$M,"$",BaseCompleta!$K:$K,"&gt;="&amp;$J30,BaseCompleta!$K:$K,"&lt;"&amp;$K30)+SUMIFS(BaseCompleta!$E:$E,BaseCompleta!$B:$B,Posicionamiento!$B$2,BaseCompleta!$N:$N,"Factura",BaseCompleta!$M:$M,"$",BaseCompleta!$K:$K,"&gt;="&amp;$J30,BaseCompleta!$K:$K,"&lt;"&amp;$K30)+$AB30*1000000)/($C$3+$C$4)</f>
        <v>#N/A</v>
      </c>
      <c r="N30" s="26" t="e">
        <f ca="1">+(SUMIFS(BaseCompleta!$E:$E,BaseCompleta!$B:$B,Posicionamiento!$B$2,BaseCompleta!$N:$N,"Deposito",BaseCompleta!$M:$M,"US$",BaseCompleta!$K:$K,"&gt;="&amp;$J30,BaseCompleta!$K:$K,"&lt;"&amp;$K30)+$AC30*1000000)/($C$3+$C$4)</f>
        <v>#N/A</v>
      </c>
      <c r="O30" s="26" t="e">
        <f ca="1">+(SUMIFS(BaseCompleta!$E:$E,BaseCompleta!$B:$B,Posicionamiento!$B$2,BaseCompleta!$N:$N,"Bono de Gobierno",BaseCompleta!$M:$M,"US$",BaseCompleta!$K:$K,"&gt;="&amp;$J30,BaseCompleta!$K:$K,"&lt;"&amp;$K30)+$AD30*1000000)/($C$3+$C$4)+(SUMIFS(BaseCompleta!$E:$E,BaseCompleta!$B:$B,Posicionamiento!$B$2,BaseCompleta!$N:$N,"Bono Corporativo",BaseCompleta!$M:$M,"US$",BaseCompleta!$K:$K,"&gt;="&amp;$J30,BaseCompleta!$K:$K,"&lt;"&amp;$K30)+$AD30*1000000)/($C$3+$C$4)+(SUMIFS(BaseCompleta!$E:$E,BaseCompleta!$B:$B,Posicionamiento!$B$2,BaseCompleta!$N:$N,"Bono Corporativo",BaseCompleta!$M:$M,"EU",BaseCompleta!$K:$K,"&gt;="&amp;$J30,BaseCompleta!$K:$K,"&lt;"&amp;$K30)+$AD30*1000000)/($C$3+$C$4)+(SUMIFS(BaseCompleta!$E:$E,BaseCompleta!$B:$B,Posicionamiento!$B$2,BaseCompleta!$N:$N,"Bono de Gobierno",BaseCompleta!$M:$M,"EU",BaseCompleta!$K:$K,"&gt;="&amp;$J30,BaseCompleta!$K:$K,"&lt;"&amp;$K30)+$AD30*1000000)/($C$3+$C$4)+(SUMIFS(BaseCompleta!$E:$E,BaseCompleta!$B:$B,Posicionamiento!$B$2,BaseCompleta!$N:$N,"Bono de Gobierno",BaseCompleta!$M:$M,"MX",BaseCompleta!$K:$K,"&gt;="&amp;$J30,BaseCompleta!$K:$K,"&lt;"&amp;$K30)+$AD30*1000000)/($C$3+$C$4)+(SUMIFS(BaseCompleta!$E:$E,BaseCompleta!$B:$B,Posicionamiento!$B$2,BaseCompleta!$N:$N,"Bono de Gobierno",BaseCompleta!$M:$M,"SOL",BaseCompleta!$K:$K,"&gt;="&amp;$J30,BaseCompleta!$K:$K,"&lt;"&amp;$K30)+$AD30*1000000)/($C$3+$C$4)</f>
        <v>#N/A</v>
      </c>
      <c r="P30" s="26" t="e">
        <f ca="1">+(SUMIFS(BaseCompleta!$E:$E,BaseCompleta!$B:$B,$B$2,BaseCompleta!$N:$N,"Cuota de Fondo",BaseCompleta!$K:$K,"&gt;="&amp;$J30,BaseCompleta!$K:$K,"&lt;"&amp;$K30)+$AE30*1000000)/($C$3+$C$4)</f>
        <v>#N/A</v>
      </c>
      <c r="Q30" s="26" t="e">
        <f ca="1">+(SUMIFS(BaseCompleta!$E:$E,BaseCompleta!$B:$B,Posicionamiento!$B$2,BaseCompleta!$N:$N,"Bono Corporativo",BaseCompleta!$M:$M,"$",BaseCompleta!$K:$K,"&gt;="&amp;$J30,BaseCompleta!$K:$K,"&lt;"&amp;$K30)+$AF30*1000000)/($C$3+$C$4)</f>
        <v>#N/A</v>
      </c>
      <c r="R30" s="26" t="e">
        <f ca="1">+(SUMIFS(BaseCompleta!$E:$E,BaseCompleta!$B:$B,Posicionamiento!$B$2,BaseCompleta!$N:$N,"Bono Corporativo",BaseCompleta!$M:$M,"UF",BaseCompleta!$K:$K,"&gt;="&amp;$J30,BaseCompleta!$K:$K,"&lt;"&amp;$K30)+$AG30*1000000)/($C$3+$C$4)+(SUMIFS(BaseCompleta!$E:$E,BaseCompleta!$B:$B,Posicionamiento!$B$2,BaseCompleta!$N:$N,"Letra Hipotecaria",BaseCompleta!$M:$M,"UF",BaseCompleta!$K:$K,"&gt;="&amp;$J30,BaseCompleta!$K:$K,"&lt;"&amp;$K30)+$AG30*1000000)/($C$3+$C$4)</f>
        <v>#N/A</v>
      </c>
      <c r="S30" s="26" t="e">
        <f ca="1">+(SUMIFS(BaseCompleta!$E:$E,BaseCompleta!$B:$B,Posicionamiento!$B$2,BaseCompleta!$N:$N,"Bono de Gobierno",BaseCompleta!$M:$M,"$",BaseCompleta!$K:$K,"&gt;="&amp;$J30,BaseCompleta!$K:$K,"&lt;"&amp;$K30)+$AH30*1000000)/($C$3+$C$4)</f>
        <v>#N/A</v>
      </c>
      <c r="T30" s="26" t="e">
        <f ca="1">+(SUMIFS(BaseCompleta!$E:$E,BaseCompleta!$B:$B,Posicionamiento!$B$2,BaseCompleta!$N:$N,"Bono de Gobierno",BaseCompleta!$M:$M,"UF",BaseCompleta!$K:$K,"&gt;="&amp;$J30,BaseCompleta!$K:$K,"&lt;"&amp;$K30)+$AI30*1000000)/($C$3+$C$4)</f>
        <v>#N/A</v>
      </c>
      <c r="U30" s="26"/>
      <c r="V30" s="26"/>
      <c r="W30" s="120" t="e">
        <f t="shared" ca="1" si="2"/>
        <v>#N/A</v>
      </c>
      <c r="X30" s="27"/>
      <c r="Z30" s="272">
        <f t="shared" si="3"/>
        <v>10</v>
      </c>
      <c r="AA30" s="271">
        <v>0</v>
      </c>
      <c r="AB30" s="271">
        <v>0</v>
      </c>
      <c r="AC30" s="271">
        <v>0</v>
      </c>
      <c r="AD30" s="271">
        <v>0</v>
      </c>
      <c r="AE30" s="271">
        <v>0</v>
      </c>
      <c r="AF30" s="271">
        <v>0</v>
      </c>
      <c r="AG30" s="271">
        <v>0</v>
      </c>
      <c r="AH30" s="271">
        <v>0</v>
      </c>
      <c r="AI30" s="271">
        <v>0</v>
      </c>
      <c r="AJ30" s="271">
        <f t="shared" si="4"/>
        <v>0</v>
      </c>
      <c r="AK30" s="28"/>
      <c r="AL30" s="24"/>
      <c r="AM30" s="5"/>
      <c r="AN30" s="5"/>
      <c r="AO30" s="5"/>
      <c r="AP30" s="5"/>
      <c r="AQ30" s="5"/>
      <c r="AR30" s="5"/>
      <c r="AS30" s="5"/>
      <c r="AT30" s="5"/>
      <c r="AU30" s="5"/>
      <c r="AV30" s="5"/>
      <c r="AX30" s="5"/>
      <c r="AY30" s="5"/>
      <c r="AZ30" s="5"/>
      <c r="BA30" s="5"/>
      <c r="BB30" s="5"/>
      <c r="BC30" s="5"/>
    </row>
    <row r="31" spans="1:55" s="17" customFormat="1" ht="14.25">
      <c r="B31" s="18" t="s">
        <v>105</v>
      </c>
      <c r="C31" s="19" t="e">
        <f>+SUMIFS(BaseCompleta!$E:$E,BaseCompleta!B:B,$B$2,BaseCompleta!$M:$M,"US$")+SUMIFS(Derivatives!$E:$E,Derivatives!$A:$A,Posicionamiento!$B$2,Derivatives!$C:$C,$B31)*USDCLPobs-SUMIFS(Derivatives!$F:$F,Derivatives!$A:$A,Posicionamiento!$B$2,Derivatives!$D:$D,$B31)*USDCLPobs</f>
        <v>#VALUE!</v>
      </c>
      <c r="D31" s="19" t="e">
        <f>C31/USDCLPobs</f>
        <v>#VALUE!</v>
      </c>
      <c r="E31" s="20" t="e">
        <f ca="1">C31/($C$3+$C$4)</f>
        <v>#VALUE!</v>
      </c>
      <c r="F31" s="35"/>
      <c r="H31" s="16"/>
      <c r="I31" s="235">
        <v>11</v>
      </c>
      <c r="J31" s="236">
        <v>10.5</v>
      </c>
      <c r="K31" s="236">
        <v>11.5</v>
      </c>
      <c r="L31" s="26" t="e">
        <f ca="1">+(SUMIFS(BaseCompleta!$E:$E,BaseCompleta!$B:$B,Posicionamiento!$B$2,BaseCompleta!$N:$N,"Deposito",BaseCompleta!$M:$M,"UF",BaseCompleta!$K:$K,"&gt;="&amp;$J31,BaseCompleta!$K:$K,"&lt;"&amp;$K31)+$AA31*1000000)/($C$3+$C$4)</f>
        <v>#N/A</v>
      </c>
      <c r="M31" s="26" t="e">
        <f ca="1">+(SUMIFS(BaseCompleta!$E:$E,BaseCompleta!$B:$B,Posicionamiento!$B$2,BaseCompleta!$N:$N,"Deposito",BaseCompleta!$M:$M,"$",BaseCompleta!$K:$K,"&gt;="&amp;$J31,BaseCompleta!$K:$K,"&lt;"&amp;$K31)+SUMIFS(BaseCompleta!$E:$E,BaseCompleta!$B:$B,Posicionamiento!$B$2,BaseCompleta!$N:$N,"Factura",BaseCompleta!$M:$M,"$",BaseCompleta!$K:$K,"&gt;="&amp;$J31,BaseCompleta!$K:$K,"&lt;"&amp;$K31)+$AB31*1000000)/($C$3+$C$4)</f>
        <v>#N/A</v>
      </c>
      <c r="N31" s="26" t="e">
        <f ca="1">+(SUMIFS(BaseCompleta!$E:$E,BaseCompleta!$B:$B,Posicionamiento!$B$2,BaseCompleta!$N:$N,"Deposito",BaseCompleta!$M:$M,"US$",BaseCompleta!$K:$K,"&gt;="&amp;$J31,BaseCompleta!$K:$K,"&lt;"&amp;$K31)+$AC31*1000000)/($C$3+$C$4)</f>
        <v>#N/A</v>
      </c>
      <c r="O31" s="26" t="e">
        <f ca="1">+(SUMIFS(BaseCompleta!$E:$E,BaseCompleta!$B:$B,Posicionamiento!$B$2,BaseCompleta!$N:$N,"Bono de Gobierno",BaseCompleta!$M:$M,"US$",BaseCompleta!$K:$K,"&gt;="&amp;$J31,BaseCompleta!$K:$K,"&lt;"&amp;$K31)+$AD31*1000000)/($C$3+$C$4)+(SUMIFS(BaseCompleta!$E:$E,BaseCompleta!$B:$B,Posicionamiento!$B$2,BaseCompleta!$N:$N,"Bono Corporativo",BaseCompleta!$M:$M,"US$",BaseCompleta!$K:$K,"&gt;="&amp;$J31,BaseCompleta!$K:$K,"&lt;"&amp;$K31)+$AD31*1000000)/($C$3+$C$4)+(SUMIFS(BaseCompleta!$E:$E,BaseCompleta!$B:$B,Posicionamiento!$B$2,BaseCompleta!$N:$N,"Bono Corporativo",BaseCompleta!$M:$M,"EU",BaseCompleta!$K:$K,"&gt;="&amp;$J31,BaseCompleta!$K:$K,"&lt;"&amp;$K31)+$AD31*1000000)/($C$3+$C$4)+(SUMIFS(BaseCompleta!$E:$E,BaseCompleta!$B:$B,Posicionamiento!$B$2,BaseCompleta!$N:$N,"Bono de Gobierno",BaseCompleta!$M:$M,"EU",BaseCompleta!$K:$K,"&gt;="&amp;$J31,BaseCompleta!$K:$K,"&lt;"&amp;$K31)+$AD31*1000000)/($C$3+$C$4)+(SUMIFS(BaseCompleta!$E:$E,BaseCompleta!$B:$B,Posicionamiento!$B$2,BaseCompleta!$N:$N,"Bono de Gobierno",BaseCompleta!$M:$M,"MX",BaseCompleta!$K:$K,"&gt;="&amp;$J31,BaseCompleta!$K:$K,"&lt;"&amp;$K31)+$AD31*1000000)/($C$3+$C$4)+(SUMIFS(BaseCompleta!$E:$E,BaseCompleta!$B:$B,Posicionamiento!$B$2,BaseCompleta!$N:$N,"Bono de Gobierno",BaseCompleta!$M:$M,"SOL",BaseCompleta!$K:$K,"&gt;="&amp;$J31,BaseCompleta!$K:$K,"&lt;"&amp;$K31)+$AD31*1000000)/($C$3+$C$4)</f>
        <v>#N/A</v>
      </c>
      <c r="P31" s="26" t="e">
        <f ca="1">+(SUMIFS(BaseCompleta!$E:$E,BaseCompleta!$B:$B,$B$2,BaseCompleta!$N:$N,"Cuota de Fondo",BaseCompleta!$K:$K,"&gt;="&amp;$J31,BaseCompleta!$K:$K,"&lt;"&amp;$K31)+$AE31*1000000)/($C$3+$C$4)</f>
        <v>#N/A</v>
      </c>
      <c r="Q31" s="26" t="e">
        <f ca="1">+(SUMIFS(BaseCompleta!$E:$E,BaseCompleta!$B:$B,Posicionamiento!$B$2,BaseCompleta!$N:$N,"Bono Corporativo",BaseCompleta!$M:$M,"$",BaseCompleta!$K:$K,"&gt;="&amp;$J31,BaseCompleta!$K:$K,"&lt;"&amp;$K31)+$AF31*1000000)/($C$3+$C$4)</f>
        <v>#N/A</v>
      </c>
      <c r="R31" s="26" t="e">
        <f ca="1">+(SUMIFS(BaseCompleta!$E:$E,BaseCompleta!$B:$B,Posicionamiento!$B$2,BaseCompleta!$N:$N,"Bono Corporativo",BaseCompleta!$M:$M,"UF",BaseCompleta!$K:$K,"&gt;="&amp;$J31,BaseCompleta!$K:$K,"&lt;"&amp;$K31)+$AG31*1000000)/($C$3+$C$4)+(SUMIFS(BaseCompleta!$E:$E,BaseCompleta!$B:$B,Posicionamiento!$B$2,BaseCompleta!$N:$N,"Letra Hipotecaria",BaseCompleta!$M:$M,"UF",BaseCompleta!$K:$K,"&gt;="&amp;$J31,BaseCompleta!$K:$K,"&lt;"&amp;$K31)+$AG31*1000000)/($C$3+$C$4)</f>
        <v>#N/A</v>
      </c>
      <c r="S31" s="26" t="e">
        <f ca="1">+(SUMIFS(BaseCompleta!$E:$E,BaseCompleta!$B:$B,Posicionamiento!$B$2,BaseCompleta!$N:$N,"Bono de Gobierno",BaseCompleta!$M:$M,"$",BaseCompleta!$K:$K,"&gt;="&amp;$J31,BaseCompleta!$K:$K,"&lt;"&amp;$K31)+$AH31*1000000)/($C$3+$C$4)</f>
        <v>#N/A</v>
      </c>
      <c r="T31" s="26" t="e">
        <f ca="1">+(SUMIFS(BaseCompleta!$E:$E,BaseCompleta!$B:$B,Posicionamiento!$B$2,BaseCompleta!$N:$N,"Bono de Gobierno",BaseCompleta!$M:$M,"UF",BaseCompleta!$K:$K,"&gt;="&amp;$J31,BaseCompleta!$K:$K,"&lt;"&amp;$K31)+$AI31*1000000)/($C$3+$C$4)</f>
        <v>#N/A</v>
      </c>
      <c r="U31" s="26"/>
      <c r="V31" s="26"/>
      <c r="W31" s="120" t="e">
        <f t="shared" ca="1" si="2"/>
        <v>#N/A</v>
      </c>
      <c r="X31" s="27"/>
      <c r="Z31" s="272">
        <f t="shared" si="3"/>
        <v>11</v>
      </c>
      <c r="AA31" s="271">
        <v>0</v>
      </c>
      <c r="AB31" s="271">
        <v>0</v>
      </c>
      <c r="AC31" s="271">
        <v>0</v>
      </c>
      <c r="AD31" s="271">
        <v>0</v>
      </c>
      <c r="AE31" s="271">
        <v>0</v>
      </c>
      <c r="AF31" s="271">
        <v>0</v>
      </c>
      <c r="AG31" s="271">
        <v>0</v>
      </c>
      <c r="AH31" s="271">
        <v>0</v>
      </c>
      <c r="AI31" s="271">
        <v>0</v>
      </c>
      <c r="AJ31" s="271">
        <f t="shared" si="4"/>
        <v>0</v>
      </c>
      <c r="AK31" s="28"/>
      <c r="AL31" s="24"/>
      <c r="AM31" s="5"/>
      <c r="AN31" s="5"/>
      <c r="AO31" s="5"/>
      <c r="AP31" s="5"/>
      <c r="AQ31" s="5"/>
      <c r="AR31" s="5"/>
      <c r="AS31" s="5"/>
      <c r="AT31" s="5"/>
      <c r="AU31" s="5"/>
      <c r="AV31" s="5"/>
      <c r="AX31" s="5"/>
      <c r="AY31" s="5"/>
      <c r="AZ31" s="5"/>
      <c r="BA31" s="5"/>
      <c r="BB31" s="5"/>
      <c r="BC31" s="5"/>
    </row>
    <row r="32" spans="1:55" s="17" customFormat="1" ht="14.25">
      <c r="B32" s="18" t="s">
        <v>117</v>
      </c>
      <c r="C32" s="19">
        <f>+SUMIFS(BaseCompleta!$E:$E,BaseCompleta!B:B,$B$2,BaseCompleta!$M:$M,"REA")+SUMIFS(Derivatives!$E:$E,Derivatives!$A:$A,Posicionamiento!$B$2,Derivatives!$C:$C,$B32)*BRLCLP-SUMIFS(Derivatives!$F:$F,Derivatives!$A:$A,Posicionamiento!$B$2,Derivatives!$D:$D,$B32)*BRLCLP</f>
        <v>0</v>
      </c>
      <c r="D32" s="19" t="e">
        <f t="shared" si="6"/>
        <v>#VALUE!</v>
      </c>
      <c r="E32" s="20" t="e">
        <f t="shared" ref="E32:E36" ca="1" si="7">C32/($C$3+$C$4)</f>
        <v>#N/A</v>
      </c>
      <c r="F32" s="58" t="e">
        <f ca="1">+E30+E29</f>
        <v>#N/A</v>
      </c>
      <c r="G32" s="34"/>
      <c r="H32" s="36"/>
      <c r="I32" s="235">
        <v>12</v>
      </c>
      <c r="J32" s="236">
        <v>11.5</v>
      </c>
      <c r="K32" s="236">
        <v>12.5</v>
      </c>
      <c r="L32" s="26" t="e">
        <f ca="1">+(SUMIFS(BaseCompleta!$E:$E,BaseCompleta!$B:$B,Posicionamiento!$B$2,BaseCompleta!$N:$N,"Deposito",BaseCompleta!$M:$M,"UF",BaseCompleta!$K:$K,"&gt;="&amp;$J32,BaseCompleta!$K:$K,"&lt;"&amp;$K32)+$AA32*1000000)/($C$3+$C$4)</f>
        <v>#N/A</v>
      </c>
      <c r="M32" s="26" t="e">
        <f ca="1">+(SUMIFS(BaseCompleta!$E:$E,BaseCompleta!$B:$B,Posicionamiento!$B$2,BaseCompleta!$N:$N,"Deposito",BaseCompleta!$M:$M,"$",BaseCompleta!$K:$K,"&gt;="&amp;$J32,BaseCompleta!$K:$K,"&lt;"&amp;$K32)+SUMIFS(BaseCompleta!$E:$E,BaseCompleta!$B:$B,Posicionamiento!$B$2,BaseCompleta!$N:$N,"Factura",BaseCompleta!$M:$M,"$",BaseCompleta!$K:$K,"&gt;="&amp;$J32,BaseCompleta!$K:$K,"&lt;"&amp;$K32)+$AB32*1000000)/($C$3+$C$4)</f>
        <v>#N/A</v>
      </c>
      <c r="N32" s="26" t="e">
        <f ca="1">+(SUMIFS(BaseCompleta!$E:$E,BaseCompleta!$B:$B,Posicionamiento!$B$2,BaseCompleta!$N:$N,"Deposito",BaseCompleta!$M:$M,"US$",BaseCompleta!$K:$K,"&gt;="&amp;$J32,BaseCompleta!$K:$K,"&lt;"&amp;$K32)+$AC32*1000000)/($C$3+$C$4)</f>
        <v>#N/A</v>
      </c>
      <c r="O32" s="26" t="e">
        <f ca="1">+(SUMIFS(BaseCompleta!$E:$E,BaseCompleta!$B:$B,Posicionamiento!$B$2,BaseCompleta!$N:$N,"Bono de Gobierno",BaseCompleta!$M:$M,"US$",BaseCompleta!$K:$K,"&gt;="&amp;$J32,BaseCompleta!$K:$K,"&lt;"&amp;$K32)+$AD32*1000000)/($C$3+$C$4)+(SUMIFS(BaseCompleta!$E:$E,BaseCompleta!$B:$B,Posicionamiento!$B$2,BaseCompleta!$N:$N,"Bono Corporativo",BaseCompleta!$M:$M,"US$",BaseCompleta!$K:$K,"&gt;="&amp;$J32,BaseCompleta!$K:$K,"&lt;"&amp;$K32)+$AD32*1000000)/($C$3+$C$4)+(SUMIFS(BaseCompleta!$E:$E,BaseCompleta!$B:$B,Posicionamiento!$B$2,BaseCompleta!$N:$N,"Bono Corporativo",BaseCompleta!$M:$M,"EU",BaseCompleta!$K:$K,"&gt;="&amp;$J32,BaseCompleta!$K:$K,"&lt;"&amp;$K32)+$AD32*1000000)/($C$3+$C$4)+(SUMIFS(BaseCompleta!$E:$E,BaseCompleta!$B:$B,Posicionamiento!$B$2,BaseCompleta!$N:$N,"Bono de Gobierno",BaseCompleta!$M:$M,"EU",BaseCompleta!$K:$K,"&gt;="&amp;$J32,BaseCompleta!$K:$K,"&lt;"&amp;$K32)+$AD32*1000000)/($C$3+$C$4)+(SUMIFS(BaseCompleta!$E:$E,BaseCompleta!$B:$B,Posicionamiento!$B$2,BaseCompleta!$N:$N,"Bono de Gobierno",BaseCompleta!$M:$M,"MX",BaseCompleta!$K:$K,"&gt;="&amp;$J32,BaseCompleta!$K:$K,"&lt;"&amp;$K32)+$AD32*1000000)/($C$3+$C$4)+(SUMIFS(BaseCompleta!$E:$E,BaseCompleta!$B:$B,Posicionamiento!$B$2,BaseCompleta!$N:$N,"Bono de Gobierno",BaseCompleta!$M:$M,"SOL",BaseCompleta!$K:$K,"&gt;="&amp;$J32,BaseCompleta!$K:$K,"&lt;"&amp;$K32)+$AD32*1000000)/($C$3+$C$4)</f>
        <v>#N/A</v>
      </c>
      <c r="P32" s="26" t="e">
        <f ca="1">+(SUMIFS(BaseCompleta!$E:$E,BaseCompleta!$B:$B,$B$2,BaseCompleta!$N:$N,"Cuota de Fondo",BaseCompleta!$K:$K,"&gt;="&amp;$J32,BaseCompleta!$K:$K,"&lt;"&amp;$K32)+$AE32*1000000)/($C$3+$C$4)</f>
        <v>#N/A</v>
      </c>
      <c r="Q32" s="26" t="e">
        <f ca="1">+(SUMIFS(BaseCompleta!$E:$E,BaseCompleta!$B:$B,Posicionamiento!$B$2,BaseCompleta!$N:$N,"Bono Corporativo",BaseCompleta!$M:$M,"$",BaseCompleta!$K:$K,"&gt;="&amp;$J32,BaseCompleta!$K:$K,"&lt;"&amp;$K32)+$AF32*1000000)/($C$3+$C$4)</f>
        <v>#N/A</v>
      </c>
      <c r="R32" s="26" t="e">
        <f ca="1">+(SUMIFS(BaseCompleta!$E:$E,BaseCompleta!$B:$B,Posicionamiento!$B$2,BaseCompleta!$N:$N,"Bono Corporativo",BaseCompleta!$M:$M,"UF",BaseCompleta!$K:$K,"&gt;="&amp;$J32,BaseCompleta!$K:$K,"&lt;"&amp;$K32)+$AG32*1000000)/($C$3+$C$4)+(SUMIFS(BaseCompleta!$E:$E,BaseCompleta!$B:$B,Posicionamiento!$B$2,BaseCompleta!$N:$N,"Letra Hipotecaria",BaseCompleta!$M:$M,"UF",BaseCompleta!$K:$K,"&gt;="&amp;$J32,BaseCompleta!$K:$K,"&lt;"&amp;$K32)+$AG32*1000000)/($C$3+$C$4)</f>
        <v>#N/A</v>
      </c>
      <c r="S32" s="26" t="e">
        <f ca="1">+(SUMIFS(BaseCompleta!$E:$E,BaseCompleta!$B:$B,Posicionamiento!$B$2,BaseCompleta!$N:$N,"Bono de Gobierno",BaseCompleta!$M:$M,"$",BaseCompleta!$K:$K,"&gt;="&amp;$J32,BaseCompleta!$K:$K,"&lt;"&amp;$K32)+$AH32*1000000)/($C$3+$C$4)</f>
        <v>#N/A</v>
      </c>
      <c r="T32" s="26" t="e">
        <f ca="1">+(SUMIFS(BaseCompleta!$E:$E,BaseCompleta!$B:$B,Posicionamiento!$B$2,BaseCompleta!$N:$N,"Bono de Gobierno",BaseCompleta!$M:$M,"UF",BaseCompleta!$K:$K,"&gt;="&amp;$J32,BaseCompleta!$K:$K,"&lt;"&amp;$K32)+$AI32*1000000)/($C$3+$C$4)</f>
        <v>#N/A</v>
      </c>
      <c r="U32" s="26"/>
      <c r="V32" s="26"/>
      <c r="W32" s="120" t="e">
        <f t="shared" ca="1" si="2"/>
        <v>#N/A</v>
      </c>
      <c r="X32" s="27"/>
      <c r="Z32" s="272">
        <f t="shared" si="3"/>
        <v>12</v>
      </c>
      <c r="AA32" s="271">
        <v>0</v>
      </c>
      <c r="AB32" s="271">
        <v>0</v>
      </c>
      <c r="AC32" s="271">
        <v>0</v>
      </c>
      <c r="AD32" s="271">
        <v>0</v>
      </c>
      <c r="AE32" s="271">
        <v>0</v>
      </c>
      <c r="AF32" s="271">
        <v>0</v>
      </c>
      <c r="AG32" s="271">
        <v>0</v>
      </c>
      <c r="AH32" s="271">
        <v>0</v>
      </c>
      <c r="AI32" s="271">
        <v>0</v>
      </c>
      <c r="AJ32" s="271">
        <f t="shared" si="4"/>
        <v>0</v>
      </c>
      <c r="AK32" s="28"/>
      <c r="AL32" s="24"/>
      <c r="AM32" s="5"/>
      <c r="AN32" s="5"/>
      <c r="AO32" s="5"/>
      <c r="AP32" s="5"/>
      <c r="AQ32" s="5"/>
      <c r="AR32" s="5"/>
      <c r="AS32" s="5"/>
      <c r="AT32" s="5"/>
      <c r="AU32" s="5"/>
      <c r="AV32" s="5"/>
      <c r="AX32" s="5"/>
      <c r="AY32" s="5"/>
      <c r="AZ32" s="5"/>
      <c r="BA32" s="5"/>
      <c r="BB32" s="5"/>
      <c r="BC32" s="5"/>
    </row>
    <row r="33" spans="2:55" s="17" customFormat="1" ht="14.25">
      <c r="B33" s="18" t="s">
        <v>118</v>
      </c>
      <c r="C33" s="19">
        <f>+SUMIFS(BaseCompleta!$E:$E,BaseCompleta!B:B,$B$2,BaseCompleta!$M:$M,"CO")+SUMIFS(Derivatives!$E:$E,Derivatives!$A:$A,Posicionamiento!$B$2,Derivatives!$C:$C,$B33)*COPCLP-SUMIFS(Derivatives!$F:$F,Derivatives!$A:$A,Posicionamiento!$B$2,Derivatives!$D:$D,$B33)*COPCLP</f>
        <v>0</v>
      </c>
      <c r="D33" s="19" t="e">
        <f t="shared" si="6"/>
        <v>#VALUE!</v>
      </c>
      <c r="E33" s="20" t="e">
        <f t="shared" ca="1" si="7"/>
        <v>#N/A</v>
      </c>
      <c r="F33" s="35"/>
      <c r="G33" s="34"/>
      <c r="H33" s="36"/>
      <c r="I33" s="235">
        <v>13</v>
      </c>
      <c r="J33" s="236">
        <v>12.5</v>
      </c>
      <c r="K33" s="236">
        <v>13.5</v>
      </c>
      <c r="L33" s="26" t="e">
        <f ca="1">+(SUMIFS(BaseCompleta!$E:$E,BaseCompleta!$B:$B,Posicionamiento!$B$2,BaseCompleta!$N:$N,"Deposito",BaseCompleta!$M:$M,"UF",BaseCompleta!$K:$K,"&gt;="&amp;$J33,BaseCompleta!$K:$K,"&lt;"&amp;$K33)+$AA33*1000000)/($C$3+$C$4)</f>
        <v>#N/A</v>
      </c>
      <c r="M33" s="26" t="e">
        <f ca="1">+(SUMIFS(BaseCompleta!$E:$E,BaseCompleta!$B:$B,Posicionamiento!$B$2,BaseCompleta!$N:$N,"Deposito",BaseCompleta!$M:$M,"$",BaseCompleta!$K:$K,"&gt;="&amp;$J33,BaseCompleta!$K:$K,"&lt;"&amp;$K33)+SUMIFS(BaseCompleta!$E:$E,BaseCompleta!$B:$B,Posicionamiento!$B$2,BaseCompleta!$N:$N,"Factura",BaseCompleta!$M:$M,"$",BaseCompleta!$K:$K,"&gt;="&amp;$J33,BaseCompleta!$K:$K,"&lt;"&amp;$K33)+$AB33*1000000)/($C$3+$C$4)</f>
        <v>#N/A</v>
      </c>
      <c r="N33" s="26" t="e">
        <f ca="1">+(SUMIFS(BaseCompleta!$E:$E,BaseCompleta!$B:$B,Posicionamiento!$B$2,BaseCompleta!$N:$N,"Deposito",BaseCompleta!$M:$M,"US$",BaseCompleta!$K:$K,"&gt;="&amp;$J33,BaseCompleta!$K:$K,"&lt;"&amp;$K33)+$AC33*1000000)/($C$3+$C$4)</f>
        <v>#N/A</v>
      </c>
      <c r="O33" s="26" t="e">
        <f ca="1">+(SUMIFS(BaseCompleta!$E:$E,BaseCompleta!$B:$B,Posicionamiento!$B$2,BaseCompleta!$N:$N,"Bono de Gobierno",BaseCompleta!$M:$M,"US$",BaseCompleta!$K:$K,"&gt;="&amp;$J33,BaseCompleta!$K:$K,"&lt;"&amp;$K33)+$AD33*1000000)/($C$3+$C$4)+(SUMIFS(BaseCompleta!$E:$E,BaseCompleta!$B:$B,Posicionamiento!$B$2,BaseCompleta!$N:$N,"Bono Corporativo",BaseCompleta!$M:$M,"US$",BaseCompleta!$K:$K,"&gt;="&amp;$J33,BaseCompleta!$K:$K,"&lt;"&amp;$K33)+$AD33*1000000)/($C$3+$C$4)+(SUMIFS(BaseCompleta!$E:$E,BaseCompleta!$B:$B,Posicionamiento!$B$2,BaseCompleta!$N:$N,"Bono Corporativo",BaseCompleta!$M:$M,"EU",BaseCompleta!$K:$K,"&gt;="&amp;$J33,BaseCompleta!$K:$K,"&lt;"&amp;$K33)+$AD33*1000000)/($C$3+$C$4)+(SUMIFS(BaseCompleta!$E:$E,BaseCompleta!$B:$B,Posicionamiento!$B$2,BaseCompleta!$N:$N,"Bono de Gobierno",BaseCompleta!$M:$M,"EU",BaseCompleta!$K:$K,"&gt;="&amp;$J33,BaseCompleta!$K:$K,"&lt;"&amp;$K33)+$AD33*1000000)/($C$3+$C$4)+(SUMIFS(BaseCompleta!$E:$E,BaseCompleta!$B:$B,Posicionamiento!$B$2,BaseCompleta!$N:$N,"Bono de Gobierno",BaseCompleta!$M:$M,"MX",BaseCompleta!$K:$K,"&gt;="&amp;$J33,BaseCompleta!$K:$K,"&lt;"&amp;$K33)+$AD33*1000000)/($C$3+$C$4)+(SUMIFS(BaseCompleta!$E:$E,BaseCompleta!$B:$B,Posicionamiento!$B$2,BaseCompleta!$N:$N,"Bono de Gobierno",BaseCompleta!$M:$M,"SOL",BaseCompleta!$K:$K,"&gt;="&amp;$J33,BaseCompleta!$K:$K,"&lt;"&amp;$K33)+$AD33*1000000)/($C$3+$C$4)</f>
        <v>#N/A</v>
      </c>
      <c r="P33" s="26" t="e">
        <f ca="1">+(SUMIFS(BaseCompleta!$E:$E,BaseCompleta!$B:$B,$B$2,BaseCompleta!$N:$N,"Cuota de Fondo",BaseCompleta!$K:$K,"&gt;="&amp;$J33,BaseCompleta!$K:$K,"&lt;"&amp;$K33)+$AE33*1000000)/($C$3+$C$4)</f>
        <v>#N/A</v>
      </c>
      <c r="Q33" s="26" t="e">
        <f ca="1">+(SUMIFS(BaseCompleta!$E:$E,BaseCompleta!$B:$B,Posicionamiento!$B$2,BaseCompleta!$N:$N,"Bono Corporativo",BaseCompleta!$M:$M,"$",BaseCompleta!$K:$K,"&gt;="&amp;$J33,BaseCompleta!$K:$K,"&lt;"&amp;$K33)+$AF33*1000000)/($C$3+$C$4)</f>
        <v>#N/A</v>
      </c>
      <c r="R33" s="26" t="e">
        <f ca="1">+(SUMIFS(BaseCompleta!$E:$E,BaseCompleta!$B:$B,Posicionamiento!$B$2,BaseCompleta!$N:$N,"Bono Corporativo",BaseCompleta!$M:$M,"UF",BaseCompleta!$K:$K,"&gt;="&amp;$J33,BaseCompleta!$K:$K,"&lt;"&amp;$K33)+$AG33*1000000)/($C$3+$C$4)+(SUMIFS(BaseCompleta!$E:$E,BaseCompleta!$B:$B,Posicionamiento!$B$2,BaseCompleta!$N:$N,"Letra Hipotecaria",BaseCompleta!$M:$M,"UF",BaseCompleta!$K:$K,"&gt;="&amp;$J33,BaseCompleta!$K:$K,"&lt;"&amp;$K33)+$AG33*1000000)/($C$3+$C$4)</f>
        <v>#N/A</v>
      </c>
      <c r="S33" s="26" t="e">
        <f ca="1">+(SUMIFS(BaseCompleta!$E:$E,BaseCompleta!$B:$B,Posicionamiento!$B$2,BaseCompleta!$N:$N,"Bono de Gobierno",BaseCompleta!$M:$M,"$",BaseCompleta!$K:$K,"&gt;="&amp;$J33,BaseCompleta!$K:$K,"&lt;"&amp;$K33)+$AH33*1000000)/($C$3+$C$4)</f>
        <v>#N/A</v>
      </c>
      <c r="T33" s="26" t="e">
        <f ca="1">+(SUMIFS(BaseCompleta!$E:$E,BaseCompleta!$B:$B,Posicionamiento!$B$2,BaseCompleta!$N:$N,"Bono de Gobierno",BaseCompleta!$M:$M,"UF",BaseCompleta!$K:$K,"&gt;="&amp;$J33,BaseCompleta!$K:$K,"&lt;"&amp;$K33)+$AI33*1000000)/($C$3+$C$4)</f>
        <v>#N/A</v>
      </c>
      <c r="U33" s="26"/>
      <c r="V33" s="26"/>
      <c r="W33" s="120" t="e">
        <f t="shared" ca="1" si="2"/>
        <v>#N/A</v>
      </c>
      <c r="X33" s="27"/>
      <c r="Z33" s="272">
        <f t="shared" si="3"/>
        <v>13</v>
      </c>
      <c r="AA33" s="271">
        <v>0</v>
      </c>
      <c r="AB33" s="271">
        <v>0</v>
      </c>
      <c r="AC33" s="271">
        <v>0</v>
      </c>
      <c r="AD33" s="271">
        <v>0</v>
      </c>
      <c r="AE33" s="271">
        <v>0</v>
      </c>
      <c r="AF33" s="271">
        <v>0</v>
      </c>
      <c r="AG33" s="271">
        <v>0</v>
      </c>
      <c r="AH33" s="271">
        <v>0</v>
      </c>
      <c r="AI33" s="271">
        <v>0</v>
      </c>
      <c r="AJ33" s="271">
        <f t="shared" si="4"/>
        <v>0</v>
      </c>
      <c r="AK33" s="28"/>
      <c r="AL33" s="24"/>
      <c r="AM33" s="5"/>
      <c r="AN33" s="5"/>
      <c r="AO33" s="5"/>
      <c r="AP33" s="5"/>
      <c r="AQ33" s="5"/>
      <c r="AR33" s="5"/>
      <c r="AS33" s="5"/>
      <c r="AT33" s="5"/>
      <c r="AU33" s="5"/>
      <c r="AV33" s="5"/>
      <c r="AX33" s="5"/>
      <c r="AY33" s="5"/>
      <c r="AZ33" s="5"/>
      <c r="BA33" s="5"/>
      <c r="BB33" s="5"/>
      <c r="BC33" s="5"/>
    </row>
    <row r="34" spans="2:55" s="17" customFormat="1" ht="14.25">
      <c r="B34" s="18" t="s">
        <v>119</v>
      </c>
      <c r="C34" s="19">
        <f>+SUMIFS(BaseCompleta!$E:$E,BaseCompleta!B:B,$B$2,BaseCompleta!$M:$M,"MX")+SUMIFS(Derivatives!$E:$E,Derivatives!$A:$A,Posicionamiento!$B$2,Derivatives!$C:$C,$B34)*MXNCLP-SUMIFS(Derivatives!$F:$F,Derivatives!$A:$A,Posicionamiento!$B$2,Derivatives!$D:$D,$B34)*MXNCLP</f>
        <v>614069121</v>
      </c>
      <c r="D34" s="19" t="e">
        <f t="shared" si="6"/>
        <v>#VALUE!</v>
      </c>
      <c r="E34" s="20" t="e">
        <f t="shared" ca="1" si="7"/>
        <v>#N/A</v>
      </c>
      <c r="F34" s="35"/>
      <c r="G34" s="278"/>
      <c r="H34" s="16"/>
      <c r="I34" s="235">
        <v>14</v>
      </c>
      <c r="J34" s="236">
        <v>13.5</v>
      </c>
      <c r="K34" s="236">
        <v>14.5</v>
      </c>
      <c r="L34" s="26" t="e">
        <f ca="1">+(SUMIFS(BaseCompleta!$E:$E,BaseCompleta!$B:$B,Posicionamiento!$B$2,BaseCompleta!$N:$N,"Deposito",BaseCompleta!$M:$M,"UF",BaseCompleta!$K:$K,"&gt;="&amp;$J34,BaseCompleta!$K:$K,"&lt;"&amp;$K34)+$AA34*1000000)/($C$3+$C$4)</f>
        <v>#N/A</v>
      </c>
      <c r="M34" s="26" t="e">
        <f ca="1">+(SUMIFS(BaseCompleta!$E:$E,BaseCompleta!$B:$B,Posicionamiento!$B$2,BaseCompleta!$N:$N,"Deposito",BaseCompleta!$M:$M,"$",BaseCompleta!$K:$K,"&gt;="&amp;$J34,BaseCompleta!$K:$K,"&lt;"&amp;$K34)+SUMIFS(BaseCompleta!$E:$E,BaseCompleta!$B:$B,Posicionamiento!$B$2,BaseCompleta!$N:$N,"Factura",BaseCompleta!$M:$M,"$",BaseCompleta!$K:$K,"&gt;="&amp;$J34,BaseCompleta!$K:$K,"&lt;"&amp;$K34)+$AB34*1000000)/($C$3+$C$4)</f>
        <v>#N/A</v>
      </c>
      <c r="N34" s="26" t="e">
        <f ca="1">+(SUMIFS(BaseCompleta!$E:$E,BaseCompleta!$B:$B,Posicionamiento!$B$2,BaseCompleta!$N:$N,"Deposito",BaseCompleta!$M:$M,"US$",BaseCompleta!$K:$K,"&gt;="&amp;$J34,BaseCompleta!$K:$K,"&lt;"&amp;$K34)+$AC34*1000000)/($C$3+$C$4)</f>
        <v>#N/A</v>
      </c>
      <c r="O34" s="26" t="e">
        <f ca="1">+(SUMIFS(BaseCompleta!$E:$E,BaseCompleta!$B:$B,Posicionamiento!$B$2,BaseCompleta!$N:$N,"Bono de Gobierno",BaseCompleta!$M:$M,"US$",BaseCompleta!$K:$K,"&gt;="&amp;$J34,BaseCompleta!$K:$K,"&lt;"&amp;$K34)+$AD34*1000000)/($C$3+$C$4)+(SUMIFS(BaseCompleta!$E:$E,BaseCompleta!$B:$B,Posicionamiento!$B$2,BaseCompleta!$N:$N,"Bono Corporativo",BaseCompleta!$M:$M,"US$",BaseCompleta!$K:$K,"&gt;="&amp;$J34,BaseCompleta!$K:$K,"&lt;"&amp;$K34)+$AD34*1000000)/($C$3+$C$4)+(SUMIFS(BaseCompleta!$E:$E,BaseCompleta!$B:$B,Posicionamiento!$B$2,BaseCompleta!$N:$N,"Bono Corporativo",BaseCompleta!$M:$M,"EU",BaseCompleta!$K:$K,"&gt;="&amp;$J34,BaseCompleta!$K:$K,"&lt;"&amp;$K34)+$AD34*1000000)/($C$3+$C$4)+(SUMIFS(BaseCompleta!$E:$E,BaseCompleta!$B:$B,Posicionamiento!$B$2,BaseCompleta!$N:$N,"Bono de Gobierno",BaseCompleta!$M:$M,"EU",BaseCompleta!$K:$K,"&gt;="&amp;$J34,BaseCompleta!$K:$K,"&lt;"&amp;$K34)+$AD34*1000000)/($C$3+$C$4)+(SUMIFS(BaseCompleta!$E:$E,BaseCompleta!$B:$B,Posicionamiento!$B$2,BaseCompleta!$N:$N,"Bono de Gobierno",BaseCompleta!$M:$M,"MX",BaseCompleta!$K:$K,"&gt;="&amp;$J34,BaseCompleta!$K:$K,"&lt;"&amp;$K34)+$AD34*1000000)/($C$3+$C$4)+(SUMIFS(BaseCompleta!$E:$E,BaseCompleta!$B:$B,Posicionamiento!$B$2,BaseCompleta!$N:$N,"Bono de Gobierno",BaseCompleta!$M:$M,"SOL",BaseCompleta!$K:$K,"&gt;="&amp;$J34,BaseCompleta!$K:$K,"&lt;"&amp;$K34)+$AD34*1000000)/($C$3+$C$4)</f>
        <v>#N/A</v>
      </c>
      <c r="P34" s="26" t="e">
        <f ca="1">+(SUMIFS(BaseCompleta!$E:$E,BaseCompleta!$B:$B,$B$2,BaseCompleta!$N:$N,"Cuota de Fondo",BaseCompleta!$K:$K,"&gt;="&amp;$J34,BaseCompleta!$K:$K,"&lt;"&amp;$K34)+$AE34*1000000)/($C$3+$C$4)</f>
        <v>#N/A</v>
      </c>
      <c r="Q34" s="26" t="e">
        <f ca="1">+(SUMIFS(BaseCompleta!$E:$E,BaseCompleta!$B:$B,Posicionamiento!$B$2,BaseCompleta!$N:$N,"Bono Corporativo",BaseCompleta!$M:$M,"$",BaseCompleta!$K:$K,"&gt;="&amp;$J34,BaseCompleta!$K:$K,"&lt;"&amp;$K34)+$AF34*1000000)/($C$3+$C$4)</f>
        <v>#N/A</v>
      </c>
      <c r="R34" s="26" t="e">
        <f ca="1">+(SUMIFS(BaseCompleta!$E:$E,BaseCompleta!$B:$B,Posicionamiento!$B$2,BaseCompleta!$N:$N,"Bono Corporativo",BaseCompleta!$M:$M,"UF",BaseCompleta!$K:$K,"&gt;="&amp;$J34,BaseCompleta!$K:$K,"&lt;"&amp;$K34)+$AG34*1000000)/($C$3+$C$4)+(SUMIFS(BaseCompleta!$E:$E,BaseCompleta!$B:$B,Posicionamiento!$B$2,BaseCompleta!$N:$N,"Letra Hipotecaria",BaseCompleta!$M:$M,"UF",BaseCompleta!$K:$K,"&gt;="&amp;$J34,BaseCompleta!$K:$K,"&lt;"&amp;$K34)+$AG34*1000000)/($C$3+$C$4)</f>
        <v>#N/A</v>
      </c>
      <c r="S34" s="26" t="e">
        <f ca="1">+(SUMIFS(BaseCompleta!$E:$E,BaseCompleta!$B:$B,Posicionamiento!$B$2,BaseCompleta!$N:$N,"Bono de Gobierno",BaseCompleta!$M:$M,"$",BaseCompleta!$K:$K,"&gt;="&amp;$J34,BaseCompleta!$K:$K,"&lt;"&amp;$K34)+$AH34*1000000)/($C$3+$C$4)</f>
        <v>#N/A</v>
      </c>
      <c r="T34" s="26" t="e">
        <f ca="1">+(SUMIFS(BaseCompleta!$E:$E,BaseCompleta!$B:$B,Posicionamiento!$B$2,BaseCompleta!$N:$N,"Bono de Gobierno",BaseCompleta!$M:$M,"UF",BaseCompleta!$K:$K,"&gt;="&amp;$J34,BaseCompleta!$K:$K,"&lt;"&amp;$K34)+$AI34*1000000)/($C$3+$C$4)</f>
        <v>#N/A</v>
      </c>
      <c r="U34" s="26"/>
      <c r="V34" s="26"/>
      <c r="W34" s="120" t="e">
        <f t="shared" ca="1" si="2"/>
        <v>#N/A</v>
      </c>
      <c r="X34" s="27"/>
      <c r="Z34" s="272">
        <f t="shared" si="3"/>
        <v>14</v>
      </c>
      <c r="AA34" s="271">
        <v>0</v>
      </c>
      <c r="AB34" s="271">
        <v>0</v>
      </c>
      <c r="AC34" s="271">
        <v>0</v>
      </c>
      <c r="AD34" s="271">
        <v>0</v>
      </c>
      <c r="AE34" s="271">
        <v>0</v>
      </c>
      <c r="AF34" s="271">
        <v>0</v>
      </c>
      <c r="AG34" s="271">
        <v>0</v>
      </c>
      <c r="AH34" s="271">
        <v>0</v>
      </c>
      <c r="AI34" s="271">
        <v>0</v>
      </c>
      <c r="AJ34" s="271">
        <f t="shared" si="4"/>
        <v>0</v>
      </c>
      <c r="AK34" s="28"/>
      <c r="AL34" s="24"/>
      <c r="AM34" s="5"/>
      <c r="AN34" s="5"/>
      <c r="AO34" s="5"/>
      <c r="AP34" s="5"/>
      <c r="AQ34" s="5"/>
      <c r="AR34" s="5"/>
      <c r="AS34" s="5"/>
      <c r="AT34" s="5"/>
      <c r="AU34" s="5"/>
      <c r="AV34" s="5"/>
      <c r="AX34" s="5"/>
      <c r="AY34" s="5"/>
      <c r="AZ34" s="5"/>
      <c r="BA34" s="5"/>
      <c r="BB34" s="5"/>
      <c r="BC34" s="5"/>
    </row>
    <row r="35" spans="2:55" s="17" customFormat="1" ht="16.5" customHeight="1">
      <c r="B35" s="18" t="s">
        <v>120</v>
      </c>
      <c r="C35" s="19">
        <f>+SUMIFS(BaseCompleta!$E:$E,BaseCompleta!B:B,$B$2,BaseCompleta!$M:$M,"SOL")+SUMIFS(Derivatives!$E:$E,Derivatives!$A:$A,Posicionamiento!$B$2,Derivatives!$C:$C,$B35)*PENCLP-SUMIFS(Derivatives!$F:$F,Derivatives!$A:$A,Posicionamiento!$B$2,Derivatives!$D:$D,$B35)*PENCLP</f>
        <v>0</v>
      </c>
      <c r="D35" s="19" t="e">
        <f t="shared" si="6"/>
        <v>#VALUE!</v>
      </c>
      <c r="E35" s="20" t="e">
        <f t="shared" ca="1" si="7"/>
        <v>#N/A</v>
      </c>
      <c r="F35" s="35"/>
      <c r="G35" s="34"/>
      <c r="H35" s="16"/>
      <c r="I35" s="235">
        <v>15</v>
      </c>
      <c r="J35" s="236">
        <v>14.5</v>
      </c>
      <c r="K35" s="236">
        <v>15.5</v>
      </c>
      <c r="L35" s="26" t="e">
        <f ca="1">+(SUMIFS(BaseCompleta!$E:$E,BaseCompleta!$B:$B,Posicionamiento!$B$2,BaseCompleta!$N:$N,"Deposito",BaseCompleta!$M:$M,"UF",BaseCompleta!$K:$K,"&gt;="&amp;$J35,BaseCompleta!$K:$K,"&lt;"&amp;$K35)+$AA35*1000000)/($C$3+$C$4)</f>
        <v>#N/A</v>
      </c>
      <c r="M35" s="26" t="e">
        <f ca="1">+(SUMIFS(BaseCompleta!$E:$E,BaseCompleta!$B:$B,Posicionamiento!$B$2,BaseCompleta!$N:$N,"Deposito",BaseCompleta!$M:$M,"$",BaseCompleta!$K:$K,"&gt;="&amp;$J35,BaseCompleta!$K:$K,"&lt;"&amp;$K35)+SUMIFS(BaseCompleta!$E:$E,BaseCompleta!$B:$B,Posicionamiento!$B$2,BaseCompleta!$N:$N,"Factura",BaseCompleta!$M:$M,"$",BaseCompleta!$K:$K,"&gt;="&amp;$J35,BaseCompleta!$K:$K,"&lt;"&amp;$K35)+$AB35*1000000)/($C$3+$C$4)</f>
        <v>#N/A</v>
      </c>
      <c r="N35" s="26" t="e">
        <f ca="1">+(SUMIFS(BaseCompleta!$E:$E,BaseCompleta!$B:$B,Posicionamiento!$B$2,BaseCompleta!$N:$N,"Deposito",BaseCompleta!$M:$M,"US$",BaseCompleta!$K:$K,"&gt;="&amp;$J35,BaseCompleta!$K:$K,"&lt;"&amp;$K35)+$AC35*1000000)/($C$3+$C$4)</f>
        <v>#N/A</v>
      </c>
      <c r="O35" s="26" t="e">
        <f ca="1">+(SUMIFS(BaseCompleta!$E:$E,BaseCompleta!$B:$B,Posicionamiento!$B$2,BaseCompleta!$N:$N,"Bono de Gobierno",BaseCompleta!$M:$M,"US$",BaseCompleta!$K:$K,"&gt;="&amp;$J35,BaseCompleta!$K:$K,"&lt;"&amp;$K35)+$AD35*1000000)/($C$3+$C$4)+(SUMIFS(BaseCompleta!$E:$E,BaseCompleta!$B:$B,Posicionamiento!$B$2,BaseCompleta!$N:$N,"Bono Corporativo",BaseCompleta!$M:$M,"US$",BaseCompleta!$K:$K,"&gt;="&amp;$J35,BaseCompleta!$K:$K,"&lt;"&amp;$K35)+$AD35*1000000)/($C$3+$C$4)+(SUMIFS(BaseCompleta!$E:$E,BaseCompleta!$B:$B,Posicionamiento!$B$2,BaseCompleta!$N:$N,"Bono Corporativo",BaseCompleta!$M:$M,"EU",BaseCompleta!$K:$K,"&gt;="&amp;$J35,BaseCompleta!$K:$K,"&lt;"&amp;$K35)+$AD35*1000000)/($C$3+$C$4)+(SUMIFS(BaseCompleta!$E:$E,BaseCompleta!$B:$B,Posicionamiento!$B$2,BaseCompleta!$N:$N,"Bono de Gobierno",BaseCompleta!$M:$M,"EU",BaseCompleta!$K:$K,"&gt;="&amp;$J35,BaseCompleta!$K:$K,"&lt;"&amp;$K35)+$AD35*1000000)/($C$3+$C$4)+(SUMIFS(BaseCompleta!$E:$E,BaseCompleta!$B:$B,Posicionamiento!$B$2,BaseCompleta!$N:$N,"Bono de Gobierno",BaseCompleta!$M:$M,"MX",BaseCompleta!$K:$K,"&gt;="&amp;$J35,BaseCompleta!$K:$K,"&lt;"&amp;$K35)+$AD35*1000000)/($C$3+$C$4)+(SUMIFS(BaseCompleta!$E:$E,BaseCompleta!$B:$B,Posicionamiento!$B$2,BaseCompleta!$N:$N,"Bono de Gobierno",BaseCompleta!$M:$M,"SOL",BaseCompleta!$K:$K,"&gt;="&amp;$J35,BaseCompleta!$K:$K,"&lt;"&amp;$K35)+$AD35*1000000)/($C$3+$C$4)</f>
        <v>#N/A</v>
      </c>
      <c r="P35" s="26" t="e">
        <f ca="1">+(SUMIFS(BaseCompleta!$E:$E,BaseCompleta!$B:$B,$B$2,BaseCompleta!$N:$N,"Cuota de Fondo",BaseCompleta!$K:$K,"&gt;="&amp;$J35,BaseCompleta!$K:$K,"&lt;"&amp;$K35)+$AE35*1000000)/($C$3+$C$4)</f>
        <v>#N/A</v>
      </c>
      <c r="Q35" s="26" t="e">
        <f ca="1">+(SUMIFS(BaseCompleta!$E:$E,BaseCompleta!$B:$B,Posicionamiento!$B$2,BaseCompleta!$N:$N,"Bono Corporativo",BaseCompleta!$M:$M,"$",BaseCompleta!$K:$K,"&gt;="&amp;$J35,BaseCompleta!$K:$K,"&lt;"&amp;$K35)+$AF35*1000000)/($C$3+$C$4)</f>
        <v>#N/A</v>
      </c>
      <c r="R35" s="26" t="e">
        <f ca="1">+(SUMIFS(BaseCompleta!$E:$E,BaseCompleta!$B:$B,Posicionamiento!$B$2,BaseCompleta!$N:$N,"Bono Corporativo",BaseCompleta!$M:$M,"UF",BaseCompleta!$K:$K,"&gt;="&amp;$J35,BaseCompleta!$K:$K,"&lt;"&amp;$K35)+$AG35*1000000)/($C$3+$C$4)+(SUMIFS(BaseCompleta!$E:$E,BaseCompleta!$B:$B,Posicionamiento!$B$2,BaseCompleta!$N:$N,"Letra Hipotecaria",BaseCompleta!$M:$M,"UF",BaseCompleta!$K:$K,"&gt;="&amp;$J35,BaseCompleta!$K:$K,"&lt;"&amp;$K35)+$AG35*1000000)/($C$3+$C$4)</f>
        <v>#N/A</v>
      </c>
      <c r="S35" s="26" t="e">
        <f ca="1">+(SUMIFS(BaseCompleta!$E:$E,BaseCompleta!$B:$B,Posicionamiento!$B$2,BaseCompleta!$N:$N,"Bono de Gobierno",BaseCompleta!$M:$M,"$",BaseCompleta!$K:$K,"&gt;="&amp;$J35,BaseCompleta!$K:$K,"&lt;"&amp;$K35)+$AH35*1000000)/($C$3+$C$4)</f>
        <v>#N/A</v>
      </c>
      <c r="T35" s="26" t="e">
        <f ca="1">+(SUMIFS(BaseCompleta!$E:$E,BaseCompleta!$B:$B,Posicionamiento!$B$2,BaseCompleta!$N:$N,"Bono de Gobierno",BaseCompleta!$M:$M,"UF",BaseCompleta!$K:$K,"&gt;="&amp;$J35,BaseCompleta!$K:$K,"&lt;"&amp;$K35)+$AI35*1000000)/($C$3+$C$4)</f>
        <v>#N/A</v>
      </c>
      <c r="U35" s="26"/>
      <c r="V35" s="26"/>
      <c r="W35" s="120" t="e">
        <f t="shared" ca="1" si="2"/>
        <v>#N/A</v>
      </c>
      <c r="X35" s="27"/>
      <c r="Z35" s="272">
        <f t="shared" si="3"/>
        <v>15</v>
      </c>
      <c r="AA35" s="271">
        <v>0</v>
      </c>
      <c r="AB35" s="271">
        <v>0</v>
      </c>
      <c r="AC35" s="271">
        <v>0</v>
      </c>
      <c r="AD35" s="271">
        <v>0</v>
      </c>
      <c r="AE35" s="271">
        <v>0</v>
      </c>
      <c r="AF35" s="271">
        <v>0</v>
      </c>
      <c r="AG35" s="271">
        <v>0</v>
      </c>
      <c r="AH35" s="271">
        <v>0</v>
      </c>
      <c r="AI35" s="271">
        <v>0</v>
      </c>
      <c r="AJ35" s="271">
        <f t="shared" si="4"/>
        <v>0</v>
      </c>
      <c r="AK35" s="28"/>
      <c r="AL35" s="24"/>
      <c r="AM35" s="5"/>
      <c r="AN35" s="5"/>
      <c r="AO35" s="5"/>
      <c r="AP35" s="5"/>
      <c r="AQ35" s="5"/>
      <c r="AR35" s="5"/>
      <c r="AS35" s="5"/>
      <c r="AT35" s="5"/>
      <c r="AU35" s="5"/>
      <c r="AV35" s="5"/>
      <c r="AX35" s="5"/>
      <c r="AY35" s="5"/>
      <c r="AZ35" s="5"/>
      <c r="BA35" s="5"/>
      <c r="BB35" s="5"/>
      <c r="BC35" s="5"/>
    </row>
    <row r="36" spans="2:55" s="17" customFormat="1" ht="14.25">
      <c r="B36" s="18" t="s">
        <v>121</v>
      </c>
      <c r="C36" s="19" t="e">
        <f>+SUMIFS(BaseCompleta!$E:$E,BaseCompleta!B:B,$B$2,BaseCompleta!$M:$M,"EU")+SUMIFS(Derivatives!$E:$E,Derivatives!$A:$A,Posicionamiento!$B$2,Derivatives!$C:$C,$B36)*EURCLPobs-SUMIFS(Derivatives!$F:$F,Derivatives!$A:$A,Posicionamiento!$B$2,Derivatives!$D:$D,$B36)*EURCLPobs</f>
        <v>#VALUE!</v>
      </c>
      <c r="D36" s="19" t="e">
        <f t="shared" si="6"/>
        <v>#VALUE!</v>
      </c>
      <c r="E36" s="20" t="e">
        <f t="shared" ca="1" si="7"/>
        <v>#VALUE!</v>
      </c>
      <c r="F36" s="37"/>
      <c r="G36" s="38"/>
      <c r="H36" s="16"/>
      <c r="I36" s="235">
        <v>16</v>
      </c>
      <c r="J36" s="236">
        <v>15.5</v>
      </c>
      <c r="K36" s="236">
        <v>16.5</v>
      </c>
      <c r="L36" s="26" t="e">
        <f ca="1">+(SUMIFS(BaseCompleta!$E:$E,BaseCompleta!$B:$B,Posicionamiento!$B$2,BaseCompleta!$N:$N,"Deposito",BaseCompleta!$M:$M,"UF",BaseCompleta!$K:$K,"&gt;="&amp;$J36,BaseCompleta!$K:$K,"&lt;"&amp;$K36)+$AA36*1000000)/($C$3+$C$4)</f>
        <v>#N/A</v>
      </c>
      <c r="M36" s="26" t="e">
        <f ca="1">+(SUMIFS(BaseCompleta!$E:$E,BaseCompleta!$B:$B,Posicionamiento!$B$2,BaseCompleta!$N:$N,"Deposito",BaseCompleta!$M:$M,"$",BaseCompleta!$K:$K,"&gt;="&amp;$J36,BaseCompleta!$K:$K,"&lt;"&amp;$K36)+SUMIFS(BaseCompleta!$E:$E,BaseCompleta!$B:$B,Posicionamiento!$B$2,BaseCompleta!$N:$N,"Factura",BaseCompleta!$M:$M,"$",BaseCompleta!$K:$K,"&gt;="&amp;$J36,BaseCompleta!$K:$K,"&lt;"&amp;$K36)+$AB36*1000000)/($C$3+$C$4)</f>
        <v>#N/A</v>
      </c>
      <c r="N36" s="26" t="e">
        <f ca="1">+(SUMIFS(BaseCompleta!$E:$E,BaseCompleta!$B:$B,Posicionamiento!$B$2,BaseCompleta!$N:$N,"Deposito",BaseCompleta!$M:$M,"US$",BaseCompleta!$K:$K,"&gt;="&amp;$J36,BaseCompleta!$K:$K,"&lt;"&amp;$K36)+$AC36*1000000)/($C$3+$C$4)</f>
        <v>#N/A</v>
      </c>
      <c r="O36" s="26" t="e">
        <f ca="1">+(SUMIFS(BaseCompleta!$E:$E,BaseCompleta!$B:$B,Posicionamiento!$B$2,BaseCompleta!$N:$N,"Bono de Gobierno",BaseCompleta!$M:$M,"US$",BaseCompleta!$K:$K,"&gt;="&amp;$J36,BaseCompleta!$K:$K,"&lt;"&amp;$K36)+$AD36*1000000)/($C$3+$C$4)+(SUMIFS(BaseCompleta!$E:$E,BaseCompleta!$B:$B,Posicionamiento!$B$2,BaseCompleta!$N:$N,"Bono Corporativo",BaseCompleta!$M:$M,"US$",BaseCompleta!$K:$K,"&gt;="&amp;$J36,BaseCompleta!$K:$K,"&lt;"&amp;$K36)+$AD36*1000000)/($C$3+$C$4)+(SUMIFS(BaseCompleta!$E:$E,BaseCompleta!$B:$B,Posicionamiento!$B$2,BaseCompleta!$N:$N,"Bono Corporativo",BaseCompleta!$M:$M,"EU",BaseCompleta!$K:$K,"&gt;="&amp;$J36,BaseCompleta!$K:$K,"&lt;"&amp;$K36)+$AD36*1000000)/($C$3+$C$4)+(SUMIFS(BaseCompleta!$E:$E,BaseCompleta!$B:$B,Posicionamiento!$B$2,BaseCompleta!$N:$N,"Bono de Gobierno",BaseCompleta!$M:$M,"EU",BaseCompleta!$K:$K,"&gt;="&amp;$J36,BaseCompleta!$K:$K,"&lt;"&amp;$K36)+$AD36*1000000)/($C$3+$C$4)+(SUMIFS(BaseCompleta!$E:$E,BaseCompleta!$B:$B,Posicionamiento!$B$2,BaseCompleta!$N:$N,"Bono de Gobierno",BaseCompleta!$M:$M,"MX",BaseCompleta!$K:$K,"&gt;="&amp;$J36,BaseCompleta!$K:$K,"&lt;"&amp;$K36)+$AD36*1000000)/($C$3+$C$4)+(SUMIFS(BaseCompleta!$E:$E,BaseCompleta!$B:$B,Posicionamiento!$B$2,BaseCompleta!$N:$N,"Bono de Gobierno",BaseCompleta!$M:$M,"SOL",BaseCompleta!$K:$K,"&gt;="&amp;$J36,BaseCompleta!$K:$K,"&lt;"&amp;$K36)+$AD36*1000000)/($C$3+$C$4)</f>
        <v>#N/A</v>
      </c>
      <c r="P36" s="26" t="e">
        <f ca="1">+(SUMIFS(BaseCompleta!$E:$E,BaseCompleta!$B:$B,$B$2,BaseCompleta!$N:$N,"Cuota de Fondo",BaseCompleta!$K:$K,"&gt;="&amp;$J36,BaseCompleta!$K:$K,"&lt;"&amp;$K36)+$AE36*1000000)/($C$3+$C$4)</f>
        <v>#N/A</v>
      </c>
      <c r="Q36" s="26" t="e">
        <f ca="1">+(SUMIFS(BaseCompleta!$E:$E,BaseCompleta!$B:$B,Posicionamiento!$B$2,BaseCompleta!$N:$N,"Bono Corporativo",BaseCompleta!$M:$M,"$",BaseCompleta!$K:$K,"&gt;="&amp;$J36,BaseCompleta!$K:$K,"&lt;"&amp;$K36)+$AF36*1000000)/($C$3+$C$4)</f>
        <v>#N/A</v>
      </c>
      <c r="R36" s="26" t="e">
        <f ca="1">+(SUMIFS(BaseCompleta!$E:$E,BaseCompleta!$B:$B,Posicionamiento!$B$2,BaseCompleta!$N:$N,"Bono Corporativo",BaseCompleta!$M:$M,"UF",BaseCompleta!$K:$K,"&gt;="&amp;$J36,BaseCompleta!$K:$K,"&lt;"&amp;$K36)+$AG36*1000000)/($C$3+$C$4)+(SUMIFS(BaseCompleta!$E:$E,BaseCompleta!$B:$B,Posicionamiento!$B$2,BaseCompleta!$N:$N,"Letra Hipotecaria",BaseCompleta!$M:$M,"UF",BaseCompleta!$K:$K,"&gt;="&amp;$J36,BaseCompleta!$K:$K,"&lt;"&amp;$K36)+$AG36*1000000)/($C$3+$C$4)</f>
        <v>#N/A</v>
      </c>
      <c r="S36" s="26" t="e">
        <f ca="1">+(SUMIFS(BaseCompleta!$E:$E,BaseCompleta!$B:$B,Posicionamiento!$B$2,BaseCompleta!$N:$N,"Bono de Gobierno",BaseCompleta!$M:$M,"$",BaseCompleta!$K:$K,"&gt;="&amp;$J36,BaseCompleta!$K:$K,"&lt;"&amp;$K36)+$AH36*1000000)/($C$3+$C$4)</f>
        <v>#N/A</v>
      </c>
      <c r="T36" s="26" t="e">
        <f ca="1">+(SUMIFS(BaseCompleta!$E:$E,BaseCompleta!$B:$B,Posicionamiento!$B$2,BaseCompleta!$N:$N,"Bono de Gobierno",BaseCompleta!$M:$M,"UF",BaseCompleta!$K:$K,"&gt;="&amp;$J36,BaseCompleta!$K:$K,"&lt;"&amp;$K36)+$AI36*1000000)/($C$3+$C$4)</f>
        <v>#N/A</v>
      </c>
      <c r="U36" s="26"/>
      <c r="V36" s="26"/>
      <c r="W36" s="120" t="e">
        <f t="shared" ca="1" si="2"/>
        <v>#N/A</v>
      </c>
      <c r="X36" s="27"/>
      <c r="Z36" s="272">
        <f t="shared" si="3"/>
        <v>16</v>
      </c>
      <c r="AA36" s="271">
        <v>0</v>
      </c>
      <c r="AB36" s="271">
        <v>0</v>
      </c>
      <c r="AC36" s="271">
        <v>0</v>
      </c>
      <c r="AD36" s="271">
        <v>0</v>
      </c>
      <c r="AE36" s="271">
        <v>0</v>
      </c>
      <c r="AF36" s="271">
        <v>0</v>
      </c>
      <c r="AG36" s="271">
        <v>0</v>
      </c>
      <c r="AH36" s="271">
        <v>0</v>
      </c>
      <c r="AI36" s="271">
        <v>0</v>
      </c>
      <c r="AJ36" s="271">
        <f t="shared" si="4"/>
        <v>0</v>
      </c>
      <c r="AK36" s="28"/>
      <c r="AL36" s="24"/>
      <c r="AM36" s="5"/>
      <c r="AN36" s="5"/>
      <c r="AO36" s="5"/>
      <c r="AP36" s="5"/>
      <c r="AQ36" s="5"/>
      <c r="AR36" s="5"/>
      <c r="AS36" s="5"/>
      <c r="AT36" s="5"/>
      <c r="AU36" s="5"/>
      <c r="AV36" s="5"/>
      <c r="AX36" s="5"/>
      <c r="AY36" s="5"/>
      <c r="AZ36" s="5"/>
      <c r="BA36" s="5"/>
      <c r="BB36" s="5"/>
      <c r="BC36" s="5"/>
    </row>
    <row r="37" spans="2:55" ht="14.25">
      <c r="B37" s="18" t="s">
        <v>122</v>
      </c>
      <c r="C37" s="19">
        <v>0</v>
      </c>
      <c r="D37" s="19" t="e">
        <f t="shared" si="6"/>
        <v>#VALUE!</v>
      </c>
      <c r="E37" s="20">
        <f t="shared" ref="E37" si="8">C37/$C$3</f>
        <v>0</v>
      </c>
      <c r="F37" s="16"/>
      <c r="G37" s="38"/>
      <c r="H37" s="16"/>
      <c r="I37" s="235">
        <v>17</v>
      </c>
      <c r="J37" s="236">
        <v>16.5</v>
      </c>
      <c r="K37" s="236">
        <v>17.5</v>
      </c>
      <c r="L37" s="26" t="e">
        <f ca="1">+(SUMIFS(BaseCompleta!$E:$E,BaseCompleta!$B:$B,Posicionamiento!$B$2,BaseCompleta!$N:$N,"Deposito",BaseCompleta!$M:$M,"UF",BaseCompleta!$K:$K,"&gt;="&amp;$J37,BaseCompleta!$K:$K,"&lt;"&amp;$K37)+$AA37*1000000)/($C$3+$C$4)</f>
        <v>#N/A</v>
      </c>
      <c r="M37" s="26" t="e">
        <f ca="1">+(SUMIFS(BaseCompleta!$E:$E,BaseCompleta!$B:$B,Posicionamiento!$B$2,BaseCompleta!$N:$N,"Deposito",BaseCompleta!$M:$M,"$",BaseCompleta!$K:$K,"&gt;="&amp;$J37,BaseCompleta!$K:$K,"&lt;"&amp;$K37)+SUMIFS(BaseCompleta!$E:$E,BaseCompleta!$B:$B,Posicionamiento!$B$2,BaseCompleta!$N:$N,"Factura",BaseCompleta!$M:$M,"$",BaseCompleta!$K:$K,"&gt;="&amp;$J37,BaseCompleta!$K:$K,"&lt;"&amp;$K37)+$AB37*1000000)/($C$3+$C$4)</f>
        <v>#N/A</v>
      </c>
      <c r="N37" s="26" t="e">
        <f ca="1">+(SUMIFS(BaseCompleta!$E:$E,BaseCompleta!$B:$B,Posicionamiento!$B$2,BaseCompleta!$N:$N,"Deposito",BaseCompleta!$M:$M,"US$",BaseCompleta!$K:$K,"&gt;="&amp;$J37,BaseCompleta!$K:$K,"&lt;"&amp;$K37)+$AC37*1000000)/($C$3+$C$4)</f>
        <v>#N/A</v>
      </c>
      <c r="O37" s="26" t="e">
        <f ca="1">+(SUMIFS(BaseCompleta!$E:$E,BaseCompleta!$B:$B,Posicionamiento!$B$2,BaseCompleta!$N:$N,"Bono de Gobierno",BaseCompleta!$M:$M,"US$",BaseCompleta!$K:$K,"&gt;="&amp;$J37,BaseCompleta!$K:$K,"&lt;"&amp;$K37)+$AD37*1000000)/($C$3+$C$4)+(SUMIFS(BaseCompleta!$E:$E,BaseCompleta!$B:$B,Posicionamiento!$B$2,BaseCompleta!$N:$N,"Bono Corporativo",BaseCompleta!$M:$M,"US$",BaseCompleta!$K:$K,"&gt;="&amp;$J37,BaseCompleta!$K:$K,"&lt;"&amp;$K37)+$AD37*1000000)/($C$3+$C$4)+(SUMIFS(BaseCompleta!$E:$E,BaseCompleta!$B:$B,Posicionamiento!$B$2,BaseCompleta!$N:$N,"Bono Corporativo",BaseCompleta!$M:$M,"EU",BaseCompleta!$K:$K,"&gt;="&amp;$J37,BaseCompleta!$K:$K,"&lt;"&amp;$K37)+$AD37*1000000)/($C$3+$C$4)+(SUMIFS(BaseCompleta!$E:$E,BaseCompleta!$B:$B,Posicionamiento!$B$2,BaseCompleta!$N:$N,"Bono de Gobierno",BaseCompleta!$M:$M,"EU",BaseCompleta!$K:$K,"&gt;="&amp;$J37,BaseCompleta!$K:$K,"&lt;"&amp;$K37)+$AD37*1000000)/($C$3+$C$4)+(SUMIFS(BaseCompleta!$E:$E,BaseCompleta!$B:$B,Posicionamiento!$B$2,BaseCompleta!$N:$N,"Bono de Gobierno",BaseCompleta!$M:$M,"MX",BaseCompleta!$K:$K,"&gt;="&amp;$J37,BaseCompleta!$K:$K,"&lt;"&amp;$K37)+$AD37*1000000)/($C$3+$C$4)+(SUMIFS(BaseCompleta!$E:$E,BaseCompleta!$B:$B,Posicionamiento!$B$2,BaseCompleta!$N:$N,"Bono de Gobierno",BaseCompleta!$M:$M,"SOL",BaseCompleta!$K:$K,"&gt;="&amp;$J37,BaseCompleta!$K:$K,"&lt;"&amp;$K37)+$AD37*1000000)/($C$3+$C$4)</f>
        <v>#N/A</v>
      </c>
      <c r="P37" s="26" t="e">
        <f ca="1">+(SUMIFS(BaseCompleta!$E:$E,BaseCompleta!$B:$B,$B$2,BaseCompleta!$N:$N,"Cuota de Fondo",BaseCompleta!$K:$K,"&gt;="&amp;$J37,BaseCompleta!$K:$K,"&lt;"&amp;$K37)+$AE37*1000000)/($C$3+$C$4)</f>
        <v>#N/A</v>
      </c>
      <c r="Q37" s="26" t="e">
        <f ca="1">+(SUMIFS(BaseCompleta!$E:$E,BaseCompleta!$B:$B,Posicionamiento!$B$2,BaseCompleta!$N:$N,"Bono Corporativo",BaseCompleta!$M:$M,"$",BaseCompleta!$K:$K,"&gt;="&amp;$J37,BaseCompleta!$K:$K,"&lt;"&amp;$K37)+$AF37*1000000)/($C$3+$C$4)</f>
        <v>#N/A</v>
      </c>
      <c r="R37" s="26" t="e">
        <f ca="1">+(SUMIFS(BaseCompleta!$E:$E,BaseCompleta!$B:$B,Posicionamiento!$B$2,BaseCompleta!$N:$N,"Bono Corporativo",BaseCompleta!$M:$M,"UF",BaseCompleta!$K:$K,"&gt;="&amp;$J37,BaseCompleta!$K:$K,"&lt;"&amp;$K37)+$AG37*1000000)/($C$3+$C$4)+(SUMIFS(BaseCompleta!$E:$E,BaseCompleta!$B:$B,Posicionamiento!$B$2,BaseCompleta!$N:$N,"Letra Hipotecaria",BaseCompleta!$M:$M,"UF",BaseCompleta!$K:$K,"&gt;="&amp;$J37,BaseCompleta!$K:$K,"&lt;"&amp;$K37)+$AG37*1000000)/($C$3+$C$4)</f>
        <v>#N/A</v>
      </c>
      <c r="S37" s="26" t="e">
        <f ca="1">+(SUMIFS(BaseCompleta!$E:$E,BaseCompleta!$B:$B,Posicionamiento!$B$2,BaseCompleta!$N:$N,"Bono de Gobierno",BaseCompleta!$M:$M,"$",BaseCompleta!$K:$K,"&gt;="&amp;$J37,BaseCompleta!$K:$K,"&lt;"&amp;$K37)+$AH37*1000000)/($C$3+$C$4)</f>
        <v>#N/A</v>
      </c>
      <c r="T37" s="26" t="e">
        <f ca="1">+(SUMIFS(BaseCompleta!$E:$E,BaseCompleta!$B:$B,Posicionamiento!$B$2,BaseCompleta!$N:$N,"Bono de Gobierno",BaseCompleta!$M:$M,"UF",BaseCompleta!$K:$K,"&gt;="&amp;$J37,BaseCompleta!$K:$K,"&lt;"&amp;$K37)+$AI37*1000000)/($C$3+$C$4)</f>
        <v>#N/A</v>
      </c>
      <c r="U37" s="26"/>
      <c r="V37" s="26"/>
      <c r="W37" s="120" t="e">
        <f t="shared" ca="1" si="2"/>
        <v>#N/A</v>
      </c>
      <c r="X37" s="27"/>
      <c r="Y37" s="17"/>
      <c r="Z37" s="272">
        <f t="shared" si="3"/>
        <v>17</v>
      </c>
      <c r="AA37" s="271">
        <v>0</v>
      </c>
      <c r="AB37" s="271">
        <v>0</v>
      </c>
      <c r="AC37" s="271">
        <v>0</v>
      </c>
      <c r="AD37" s="271">
        <v>0</v>
      </c>
      <c r="AE37" s="271">
        <v>0</v>
      </c>
      <c r="AF37" s="271">
        <v>0</v>
      </c>
      <c r="AG37" s="271">
        <v>0</v>
      </c>
      <c r="AH37" s="271">
        <v>0</v>
      </c>
      <c r="AI37" s="271">
        <v>0</v>
      </c>
      <c r="AJ37" s="271">
        <f t="shared" si="4"/>
        <v>0</v>
      </c>
      <c r="AK37" s="28"/>
      <c r="AL37" s="24"/>
    </row>
    <row r="38" spans="2:55" ht="14.25">
      <c r="E38" s="39"/>
      <c r="F38" s="39"/>
      <c r="G38" s="38"/>
      <c r="I38" s="235">
        <v>18</v>
      </c>
      <c r="J38" s="236">
        <v>17.5</v>
      </c>
      <c r="K38" s="236">
        <v>18.5</v>
      </c>
      <c r="L38" s="26" t="e">
        <f ca="1">+(SUMIFS(BaseCompleta!$E:$E,BaseCompleta!$B:$B,Posicionamiento!$B$2,BaseCompleta!$N:$N,"Deposito",BaseCompleta!$M:$M,"UF",BaseCompleta!$K:$K,"&gt;="&amp;$J38,BaseCompleta!$K:$K,"&lt;"&amp;$K38)+$AA38*1000000)/($C$3+$C$4)</f>
        <v>#N/A</v>
      </c>
      <c r="M38" s="26" t="e">
        <f ca="1">+(SUMIFS(BaseCompleta!$E:$E,BaseCompleta!$B:$B,Posicionamiento!$B$2,BaseCompleta!$N:$N,"Deposito",BaseCompleta!$M:$M,"$",BaseCompleta!$K:$K,"&gt;="&amp;$J38,BaseCompleta!$K:$K,"&lt;"&amp;$K38)+SUMIFS(BaseCompleta!$E:$E,BaseCompleta!$B:$B,Posicionamiento!$B$2,BaseCompleta!$N:$N,"Factura",BaseCompleta!$M:$M,"$",BaseCompleta!$K:$K,"&gt;="&amp;$J38,BaseCompleta!$K:$K,"&lt;"&amp;$K38)+$AB38*1000000)/($C$3+$C$4)</f>
        <v>#N/A</v>
      </c>
      <c r="N38" s="26" t="e">
        <f ca="1">+(SUMIFS(BaseCompleta!$E:$E,BaseCompleta!$B:$B,Posicionamiento!$B$2,BaseCompleta!$N:$N,"Deposito",BaseCompleta!$M:$M,"US$",BaseCompleta!$K:$K,"&gt;="&amp;$J38,BaseCompleta!$K:$K,"&lt;"&amp;$K38)+$AC38*1000000)/($C$3+$C$4)</f>
        <v>#N/A</v>
      </c>
      <c r="O38" s="26" t="e">
        <f ca="1">+(SUMIFS(BaseCompleta!$E:$E,BaseCompleta!$B:$B,Posicionamiento!$B$2,BaseCompleta!$N:$N,"Bono de Gobierno",BaseCompleta!$M:$M,"US$",BaseCompleta!$K:$K,"&gt;="&amp;$J38,BaseCompleta!$K:$K,"&lt;"&amp;$K38)+$AD38*1000000)/($C$3+$C$4)+(SUMIFS(BaseCompleta!$E:$E,BaseCompleta!$B:$B,Posicionamiento!$B$2,BaseCompleta!$N:$N,"Bono Corporativo",BaseCompleta!$M:$M,"US$",BaseCompleta!$K:$K,"&gt;="&amp;$J38,BaseCompleta!$K:$K,"&lt;"&amp;$K38)+$AD38*1000000)/($C$3+$C$4)+(SUMIFS(BaseCompleta!$E:$E,BaseCompleta!$B:$B,Posicionamiento!$B$2,BaseCompleta!$N:$N,"Bono Corporativo",BaseCompleta!$M:$M,"EU",BaseCompleta!$K:$K,"&gt;="&amp;$J38,BaseCompleta!$K:$K,"&lt;"&amp;$K38)+$AD38*1000000)/($C$3+$C$4)+(SUMIFS(BaseCompleta!$E:$E,BaseCompleta!$B:$B,Posicionamiento!$B$2,BaseCompleta!$N:$N,"Bono de Gobierno",BaseCompleta!$M:$M,"EU",BaseCompleta!$K:$K,"&gt;="&amp;$J38,BaseCompleta!$K:$K,"&lt;"&amp;$K38)+$AD38*1000000)/($C$3+$C$4)+(SUMIFS(BaseCompleta!$E:$E,BaseCompleta!$B:$B,Posicionamiento!$B$2,BaseCompleta!$N:$N,"Bono de Gobierno",BaseCompleta!$M:$M,"MX",BaseCompleta!$K:$K,"&gt;="&amp;$J38,BaseCompleta!$K:$K,"&lt;"&amp;$K38)+$AD38*1000000)/($C$3+$C$4)+(SUMIFS(BaseCompleta!$E:$E,BaseCompleta!$B:$B,Posicionamiento!$B$2,BaseCompleta!$N:$N,"Bono de Gobierno",BaseCompleta!$M:$M,"SOL",BaseCompleta!$K:$K,"&gt;="&amp;$J38,BaseCompleta!$K:$K,"&lt;"&amp;$K38)+$AD38*1000000)/($C$3+$C$4)</f>
        <v>#N/A</v>
      </c>
      <c r="P38" s="26" t="e">
        <f ca="1">+(SUMIFS(BaseCompleta!$E:$E,BaseCompleta!$B:$B,$B$2,BaseCompleta!$N:$N,"Cuota de Fondo",BaseCompleta!$K:$K,"&gt;="&amp;$J38,BaseCompleta!$K:$K,"&lt;"&amp;$K38)+$AE38*1000000)/($C$3+$C$4)</f>
        <v>#N/A</v>
      </c>
      <c r="Q38" s="26" t="e">
        <f ca="1">+(SUMIFS(BaseCompleta!$E:$E,BaseCompleta!$B:$B,Posicionamiento!$B$2,BaseCompleta!$N:$N,"Bono Corporativo",BaseCompleta!$M:$M,"$",BaseCompleta!$K:$K,"&gt;="&amp;$J38,BaseCompleta!$K:$K,"&lt;"&amp;$K38)+$AF38*1000000)/($C$3+$C$4)</f>
        <v>#N/A</v>
      </c>
      <c r="R38" s="26" t="e">
        <f ca="1">+(SUMIFS(BaseCompleta!$E:$E,BaseCompleta!$B:$B,Posicionamiento!$B$2,BaseCompleta!$N:$N,"Bono Corporativo",BaseCompleta!$M:$M,"UF",BaseCompleta!$K:$K,"&gt;="&amp;$J38,BaseCompleta!$K:$K,"&lt;"&amp;$K38)+$AG38*1000000)/($C$3+$C$4)+(SUMIFS(BaseCompleta!$E:$E,BaseCompleta!$B:$B,Posicionamiento!$B$2,BaseCompleta!$N:$N,"Letra Hipotecaria",BaseCompleta!$M:$M,"UF",BaseCompleta!$K:$K,"&gt;="&amp;$J38,BaseCompleta!$K:$K,"&lt;"&amp;$K38)+$AG38*1000000)/($C$3+$C$4)</f>
        <v>#N/A</v>
      </c>
      <c r="S38" s="26" t="e">
        <f ca="1">+(SUMIFS(BaseCompleta!$E:$E,BaseCompleta!$B:$B,Posicionamiento!$B$2,BaseCompleta!$N:$N,"Bono de Gobierno",BaseCompleta!$M:$M,"$",BaseCompleta!$K:$K,"&gt;="&amp;$J38,BaseCompleta!$K:$K,"&lt;"&amp;$K38)+$AH38*1000000)/($C$3+$C$4)</f>
        <v>#N/A</v>
      </c>
      <c r="T38" s="26" t="e">
        <f ca="1">+(SUMIFS(BaseCompleta!$E:$E,BaseCompleta!$B:$B,Posicionamiento!$B$2,BaseCompleta!$N:$N,"Bono de Gobierno",BaseCompleta!$M:$M,"UF",BaseCompleta!$K:$K,"&gt;="&amp;$J38,BaseCompleta!$K:$K,"&lt;"&amp;$K38)+$AI38*1000000)/($C$3+$C$4)</f>
        <v>#N/A</v>
      </c>
      <c r="U38" s="26"/>
      <c r="V38" s="26"/>
      <c r="W38" s="120" t="e">
        <f t="shared" ca="1" si="2"/>
        <v>#N/A</v>
      </c>
      <c r="X38" s="27"/>
      <c r="Y38" s="17"/>
      <c r="Z38" s="272">
        <f t="shared" si="3"/>
        <v>18</v>
      </c>
      <c r="AA38" s="271">
        <v>0</v>
      </c>
      <c r="AB38" s="271">
        <v>0</v>
      </c>
      <c r="AC38" s="271">
        <v>0</v>
      </c>
      <c r="AD38" s="271">
        <v>0</v>
      </c>
      <c r="AE38" s="271">
        <v>0</v>
      </c>
      <c r="AF38" s="271">
        <v>0</v>
      </c>
      <c r="AG38" s="271">
        <v>0</v>
      </c>
      <c r="AH38" s="271">
        <v>0</v>
      </c>
      <c r="AI38" s="271">
        <v>0</v>
      </c>
      <c r="AJ38" s="271">
        <f t="shared" si="4"/>
        <v>0</v>
      </c>
      <c r="AK38" s="28"/>
      <c r="AL38" s="24"/>
    </row>
    <row r="39" spans="2:55" ht="14.25">
      <c r="G39" s="38"/>
      <c r="I39" s="235">
        <v>19</v>
      </c>
      <c r="J39" s="236">
        <v>18.5</v>
      </c>
      <c r="K39" s="236">
        <v>19.5</v>
      </c>
      <c r="L39" s="26" t="e">
        <f ca="1">+(SUMIFS(BaseCompleta!$E:$E,BaseCompleta!$B:$B,Posicionamiento!$B$2,BaseCompleta!$N:$N,"Deposito",BaseCompleta!$M:$M,"UF",BaseCompleta!$K:$K,"&gt;="&amp;$J39,BaseCompleta!$K:$K,"&lt;"&amp;$K39)+$AA39*1000000)/($C$3+$C$4)</f>
        <v>#N/A</v>
      </c>
      <c r="M39" s="26" t="e">
        <f ca="1">+(SUMIFS(BaseCompleta!$E:$E,BaseCompleta!$B:$B,Posicionamiento!$B$2,BaseCompleta!$N:$N,"Deposito",BaseCompleta!$M:$M,"$",BaseCompleta!$K:$K,"&gt;="&amp;$J39,BaseCompleta!$K:$K,"&lt;"&amp;$K39)+SUMIFS(BaseCompleta!$E:$E,BaseCompleta!$B:$B,Posicionamiento!$B$2,BaseCompleta!$N:$N,"Factura",BaseCompleta!$M:$M,"$",BaseCompleta!$K:$K,"&gt;="&amp;$J39,BaseCompleta!$K:$K,"&lt;"&amp;$K39)+$AB39*1000000)/($C$3+$C$4)</f>
        <v>#N/A</v>
      </c>
      <c r="N39" s="26" t="e">
        <f ca="1">+(SUMIFS(BaseCompleta!$E:$E,BaseCompleta!$B:$B,Posicionamiento!$B$2,BaseCompleta!$N:$N,"Deposito",BaseCompleta!$M:$M,"US$",BaseCompleta!$K:$K,"&gt;="&amp;$J39,BaseCompleta!$K:$K,"&lt;"&amp;$K39)+$AC39*1000000)/($C$3+$C$4)</f>
        <v>#N/A</v>
      </c>
      <c r="O39" s="26" t="e">
        <f ca="1">+(SUMIFS(BaseCompleta!$E:$E,BaseCompleta!$B:$B,Posicionamiento!$B$2,BaseCompleta!$N:$N,"Bono de Gobierno",BaseCompleta!$M:$M,"US$",BaseCompleta!$K:$K,"&gt;="&amp;$J39,BaseCompleta!$K:$K,"&lt;"&amp;$K39)+$AD39*1000000)/($C$3+$C$4)+(SUMIFS(BaseCompleta!$E:$E,BaseCompleta!$B:$B,Posicionamiento!$B$2,BaseCompleta!$N:$N,"Bono Corporativo",BaseCompleta!$M:$M,"US$",BaseCompleta!$K:$K,"&gt;="&amp;$J39,BaseCompleta!$K:$K,"&lt;"&amp;$K39)+$AD39*1000000)/($C$3+$C$4)+(SUMIFS(BaseCompleta!$E:$E,BaseCompleta!$B:$B,Posicionamiento!$B$2,BaseCompleta!$N:$N,"Bono Corporativo",BaseCompleta!$M:$M,"EU",BaseCompleta!$K:$K,"&gt;="&amp;$J39,BaseCompleta!$K:$K,"&lt;"&amp;$K39)+$AD39*1000000)/($C$3+$C$4)+(SUMIFS(BaseCompleta!$E:$E,BaseCompleta!$B:$B,Posicionamiento!$B$2,BaseCompleta!$N:$N,"Bono de Gobierno",BaseCompleta!$M:$M,"EU",BaseCompleta!$K:$K,"&gt;="&amp;$J39,BaseCompleta!$K:$K,"&lt;"&amp;$K39)+$AD39*1000000)/($C$3+$C$4)+(SUMIFS(BaseCompleta!$E:$E,BaseCompleta!$B:$B,Posicionamiento!$B$2,BaseCompleta!$N:$N,"Bono de Gobierno",BaseCompleta!$M:$M,"MX",BaseCompleta!$K:$K,"&gt;="&amp;$J39,BaseCompleta!$K:$K,"&lt;"&amp;$K39)+$AD39*1000000)/($C$3+$C$4)+(SUMIFS(BaseCompleta!$E:$E,BaseCompleta!$B:$B,Posicionamiento!$B$2,BaseCompleta!$N:$N,"Bono de Gobierno",BaseCompleta!$M:$M,"SOL",BaseCompleta!$K:$K,"&gt;="&amp;$J39,BaseCompleta!$K:$K,"&lt;"&amp;$K39)+$AD39*1000000)/($C$3+$C$4)</f>
        <v>#N/A</v>
      </c>
      <c r="P39" s="26" t="e">
        <f ca="1">+(SUMIFS(BaseCompleta!$E:$E,BaseCompleta!$B:$B,$B$2,BaseCompleta!$N:$N,"Cuota de Fondo",BaseCompleta!$K:$K,"&gt;="&amp;$J39,BaseCompleta!$K:$K,"&lt;"&amp;$K39)+$AE39*1000000)/($C$3+$C$4)</f>
        <v>#N/A</v>
      </c>
      <c r="Q39" s="26" t="e">
        <f ca="1">+(SUMIFS(BaseCompleta!$E:$E,BaseCompleta!$B:$B,Posicionamiento!$B$2,BaseCompleta!$N:$N,"Bono Corporativo",BaseCompleta!$M:$M,"$",BaseCompleta!$K:$K,"&gt;="&amp;$J39,BaseCompleta!$K:$K,"&lt;"&amp;$K39)+$AF39*1000000)/($C$3+$C$4)</f>
        <v>#N/A</v>
      </c>
      <c r="R39" s="26" t="e">
        <f ca="1">+(SUMIFS(BaseCompleta!$E:$E,BaseCompleta!$B:$B,Posicionamiento!$B$2,BaseCompleta!$N:$N,"Bono Corporativo",BaseCompleta!$M:$M,"UF",BaseCompleta!$K:$K,"&gt;="&amp;$J39,BaseCompleta!$K:$K,"&lt;"&amp;$K39)+$AG39*1000000)/($C$3+$C$4)+(SUMIFS(BaseCompleta!$E:$E,BaseCompleta!$B:$B,Posicionamiento!$B$2,BaseCompleta!$N:$N,"Letra Hipotecaria",BaseCompleta!$M:$M,"UF",BaseCompleta!$K:$K,"&gt;="&amp;$J39,BaseCompleta!$K:$K,"&lt;"&amp;$K39)+$AG39*1000000)/($C$3+$C$4)</f>
        <v>#N/A</v>
      </c>
      <c r="S39" s="26" t="e">
        <f ca="1">+(SUMIFS(BaseCompleta!$E:$E,BaseCompleta!$B:$B,Posicionamiento!$B$2,BaseCompleta!$N:$N,"Bono de Gobierno",BaseCompleta!$M:$M,"$",BaseCompleta!$K:$K,"&gt;="&amp;$J39,BaseCompleta!$K:$K,"&lt;"&amp;$K39)+$AH39*1000000)/($C$3+$C$4)</f>
        <v>#N/A</v>
      </c>
      <c r="T39" s="26" t="e">
        <f ca="1">+(SUMIFS(BaseCompleta!$E:$E,BaseCompleta!$B:$B,Posicionamiento!$B$2,BaseCompleta!$N:$N,"Bono de Gobierno",BaseCompleta!$M:$M,"UF",BaseCompleta!$K:$K,"&gt;="&amp;$J39,BaseCompleta!$K:$K,"&lt;"&amp;$K39)+$AI39*1000000)/($C$3+$C$4)</f>
        <v>#N/A</v>
      </c>
      <c r="U39" s="26"/>
      <c r="V39" s="26"/>
      <c r="W39" s="120" t="e">
        <f t="shared" ca="1" si="2"/>
        <v>#N/A</v>
      </c>
      <c r="X39" s="27"/>
      <c r="Y39" s="17"/>
      <c r="Z39" s="272">
        <f t="shared" si="3"/>
        <v>19</v>
      </c>
      <c r="AA39" s="271">
        <v>0</v>
      </c>
      <c r="AB39" s="271">
        <v>0</v>
      </c>
      <c r="AC39" s="271">
        <v>0</v>
      </c>
      <c r="AD39" s="271">
        <v>0</v>
      </c>
      <c r="AE39" s="271">
        <v>0</v>
      </c>
      <c r="AF39" s="271">
        <v>0</v>
      </c>
      <c r="AG39" s="271">
        <v>0</v>
      </c>
      <c r="AH39" s="271">
        <v>0</v>
      </c>
      <c r="AI39" s="271">
        <v>0</v>
      </c>
      <c r="AJ39" s="271">
        <f t="shared" si="4"/>
        <v>0</v>
      </c>
      <c r="AK39" s="28"/>
      <c r="AL39" s="24"/>
    </row>
    <row r="40" spans="2:55" ht="17.25" customHeight="1" thickBot="1">
      <c r="B40" s="265" t="s">
        <v>123</v>
      </c>
      <c r="C40" s="265" t="s">
        <v>113</v>
      </c>
      <c r="D40" s="265" t="s">
        <v>114</v>
      </c>
      <c r="E40" s="265" t="s">
        <v>92</v>
      </c>
      <c r="G40" s="40"/>
      <c r="I40" s="242">
        <v>20</v>
      </c>
      <c r="J40" s="243">
        <v>19.5</v>
      </c>
      <c r="K40" s="243">
        <v>273.97000000000003</v>
      </c>
      <c r="L40" s="244" t="e">
        <f ca="1">+(SUMIFS(BaseCompleta!$E:$E,BaseCompleta!$B:$B,Posicionamiento!$B$2,BaseCompleta!$N:$N,"Deposito",BaseCompleta!$M:$M,"UF",BaseCompleta!$K:$K,"&gt;="&amp;$J40,BaseCompleta!$K:$K,"&lt;"&amp;$K40)+$AA40*1000000)/($C$3+$C$4)</f>
        <v>#N/A</v>
      </c>
      <c r="M40" s="244" t="e">
        <f ca="1">+(SUMIFS(BaseCompleta!$E:$E,BaseCompleta!$B:$B,Posicionamiento!$B$2,BaseCompleta!$N:$N,"Deposito",BaseCompleta!$M:$M,"$",BaseCompleta!$K:$K,"&gt;="&amp;$J40,BaseCompleta!$K:$K,"&lt;"&amp;$K40)+SUMIFS(BaseCompleta!$E:$E,BaseCompleta!$B:$B,Posicionamiento!$B$2,BaseCompleta!$N:$N,"Factura",BaseCompleta!$M:$M,"$",BaseCompleta!$K:$K,"&gt;="&amp;$J40,BaseCompleta!$K:$K,"&lt;"&amp;$K40)+$AB40*1000000)/($C$3+$C$4)</f>
        <v>#N/A</v>
      </c>
      <c r="N40" s="244" t="e">
        <f ca="1">+(SUMIFS(BaseCompleta!$E:$E,BaseCompleta!$B:$B,Posicionamiento!$B$2,BaseCompleta!$N:$N,"Deposito",BaseCompleta!$M:$M,"US$",BaseCompleta!$K:$K,"&gt;="&amp;$J40,BaseCompleta!$K:$K,"&lt;"&amp;$K40)+$AC40*1000000)/($C$3+$C$4)</f>
        <v>#N/A</v>
      </c>
      <c r="O40" s="26" t="e">
        <f ca="1">+(SUMIFS(BaseCompleta!$E:$E,BaseCompleta!$B:$B,Posicionamiento!$B$2,BaseCompleta!$N:$N,"Bono de Gobierno",BaseCompleta!$M:$M,"US$",BaseCompleta!$K:$K,"&gt;="&amp;$J40,BaseCompleta!$K:$K,"&lt;"&amp;$K40)+$AD40*1000000)/($C$3+$C$4)+(SUMIFS(BaseCompleta!$E:$E,BaseCompleta!$B:$B,Posicionamiento!$B$2,BaseCompleta!$N:$N,"Bono Corporativo",BaseCompleta!$M:$M,"US$",BaseCompleta!$K:$K,"&gt;="&amp;$J40,BaseCompleta!$K:$K,"&lt;"&amp;$K40)+$AD40*1000000)/($C$3+$C$4)+(SUMIFS(BaseCompleta!$E:$E,BaseCompleta!$B:$B,Posicionamiento!$B$2,BaseCompleta!$N:$N,"Bono Corporativo",BaseCompleta!$M:$M,"EU",BaseCompleta!$K:$K,"&gt;="&amp;$J40,BaseCompleta!$K:$K,"&lt;"&amp;$K40)+$AD40*1000000)/($C$3+$C$4)+(SUMIFS(BaseCompleta!$E:$E,BaseCompleta!$B:$B,Posicionamiento!$B$2,BaseCompleta!$N:$N,"Bono de Gobierno",BaseCompleta!$M:$M,"EU",BaseCompleta!$K:$K,"&gt;="&amp;$J40,BaseCompleta!$K:$K,"&lt;"&amp;$K40)+$AD40*1000000)/($C$3+$C$4)+(SUMIFS(BaseCompleta!$E:$E,BaseCompleta!$B:$B,Posicionamiento!$B$2,BaseCompleta!$N:$N,"Bono de Gobierno",BaseCompleta!$M:$M,"MX",BaseCompleta!$K:$K,"&gt;="&amp;$J40,BaseCompleta!$K:$K,"&lt;"&amp;$K40)+$AD40*1000000)/($C$3+$C$4)+(SUMIFS(BaseCompleta!$E:$E,BaseCompleta!$B:$B,Posicionamiento!$B$2,BaseCompleta!$N:$N,"Bono de Gobierno",BaseCompleta!$M:$M,"SOL",BaseCompleta!$K:$K,"&gt;="&amp;$J40,BaseCompleta!$K:$K,"&lt;"&amp;$K40)+$AD40*1000000)/($C$3+$C$4)</f>
        <v>#N/A</v>
      </c>
      <c r="P40" s="244" t="e">
        <f ca="1">+(SUMIFS(BaseCompleta!$E:$E,BaseCompleta!$B:$B,$B$2,BaseCompleta!$N:$N,"Cuota de Fondo",BaseCompleta!$K:$K,"&gt;="&amp;$J40,BaseCompleta!$K:$K,"&lt;"&amp;$K40)+$AE40*1000000)/($C$3+$C$4)</f>
        <v>#N/A</v>
      </c>
      <c r="Q40" s="244" t="e">
        <f ca="1">+(SUMIFS(BaseCompleta!$E:$E,BaseCompleta!$B:$B,Posicionamiento!$B$2,BaseCompleta!$N:$N,"Bono Corporativo",BaseCompleta!$M:$M,"$",BaseCompleta!$K:$K,"&gt;="&amp;$J40,BaseCompleta!$K:$K,"&lt;"&amp;$K40)+$AF40*1000000)/($C$3+$C$4)</f>
        <v>#N/A</v>
      </c>
      <c r="R40" s="244" t="e">
        <f ca="1">+(SUMIFS(BaseCompleta!$E:$E,BaseCompleta!$B:$B,Posicionamiento!$B$2,BaseCompleta!$N:$N,"Bono Corporativo",BaseCompleta!$M:$M,"UF",BaseCompleta!$K:$K,"&gt;="&amp;$J40,BaseCompleta!$K:$K,"&lt;"&amp;$K40)+$AG40*1000000)/($C$3+$C$4)+(SUMIFS(BaseCompleta!$E:$E,BaseCompleta!$B:$B,Posicionamiento!$B$2,BaseCompleta!$N:$N,"Letra Hipotecaria",BaseCompleta!$M:$M,"UF",BaseCompleta!$K:$K,"&gt;="&amp;$J40,BaseCompleta!$K:$K,"&lt;"&amp;$K40)+$AG40*1000000)/($C$3+$C$4)</f>
        <v>#N/A</v>
      </c>
      <c r="S40" s="244" t="e">
        <f ca="1">+(SUMIFS(BaseCompleta!$E:$E,BaseCompleta!$B:$B,Posicionamiento!$B$2,BaseCompleta!$N:$N,"Bono de Gobierno",BaseCompleta!$M:$M,"$",BaseCompleta!$K:$K,"&gt;="&amp;$J40,BaseCompleta!$K:$K,"&lt;"&amp;$K40)+$AH40*1000000)/($C$3+$C$4)</f>
        <v>#N/A</v>
      </c>
      <c r="T40" s="244" t="e">
        <f ca="1">+(SUMIFS(BaseCompleta!$E:$E,BaseCompleta!$B:$B,Posicionamiento!$B$2,BaseCompleta!$N:$N,"Bono de Gobierno",BaseCompleta!$M:$M,"UF",BaseCompleta!$K:$K,"&gt;="&amp;$J40,BaseCompleta!$K:$K,"&lt;"&amp;$K40)+$AI40*1000000)/($C$3+$C$4)</f>
        <v>#N/A</v>
      </c>
      <c r="U40" s="244"/>
      <c r="V40" s="244"/>
      <c r="W40" s="245" t="e">
        <f t="shared" ca="1" si="2"/>
        <v>#N/A</v>
      </c>
      <c r="X40" s="17"/>
      <c r="Y40" s="17"/>
      <c r="Z40" s="272">
        <f t="shared" si="3"/>
        <v>20</v>
      </c>
      <c r="AA40" s="271">
        <v>0</v>
      </c>
      <c r="AB40" s="271">
        <v>0</v>
      </c>
      <c r="AC40" s="271">
        <v>0</v>
      </c>
      <c r="AD40" s="271">
        <v>0</v>
      </c>
      <c r="AE40" s="271">
        <v>0</v>
      </c>
      <c r="AF40" s="271">
        <v>0</v>
      </c>
      <c r="AG40" s="271">
        <v>0</v>
      </c>
      <c r="AH40" s="271">
        <v>0</v>
      </c>
      <c r="AI40" s="271">
        <v>0</v>
      </c>
      <c r="AJ40" s="271">
        <f t="shared" si="4"/>
        <v>0</v>
      </c>
      <c r="AK40" s="28"/>
      <c r="AL40" s="24"/>
    </row>
    <row r="41" spans="2:55" ht="15" thickBot="1">
      <c r="B41" s="29" t="s">
        <v>124</v>
      </c>
      <c r="C41" s="30">
        <v>0</v>
      </c>
      <c r="D41" s="30" t="e">
        <f>C41/USDCLPobs</f>
        <v>#VALUE!</v>
      </c>
      <c r="E41" s="31">
        <v>0</v>
      </c>
      <c r="F41" s="9"/>
      <c r="G41" s="41"/>
      <c r="I41" s="248"/>
      <c r="J41" s="248"/>
      <c r="K41" s="248"/>
      <c r="L41" s="249" t="e">
        <f t="shared" ref="L41:V41" ca="1" si="9">+SUM(L17:L40)</f>
        <v>#N/A</v>
      </c>
      <c r="M41" s="249" t="e">
        <f t="shared" ca="1" si="9"/>
        <v>#N/A</v>
      </c>
      <c r="N41" s="249" t="e">
        <f t="shared" ca="1" si="9"/>
        <v>#N/A</v>
      </c>
      <c r="O41" s="249" t="e">
        <f ca="1">+SUM(O17:O40)</f>
        <v>#N/A</v>
      </c>
      <c r="P41" s="249" t="e">
        <f t="shared" ca="1" si="9"/>
        <v>#N/A</v>
      </c>
      <c r="Q41" s="249" t="e">
        <f t="shared" ca="1" si="9"/>
        <v>#N/A</v>
      </c>
      <c r="R41" s="249" t="e">
        <f t="shared" ca="1" si="9"/>
        <v>#N/A</v>
      </c>
      <c r="S41" s="249" t="e">
        <f t="shared" ca="1" si="9"/>
        <v>#N/A</v>
      </c>
      <c r="T41" s="249" t="e">
        <f t="shared" ca="1" si="9"/>
        <v>#N/A</v>
      </c>
      <c r="U41" s="249">
        <f t="shared" si="9"/>
        <v>0</v>
      </c>
      <c r="V41" s="249">
        <f t="shared" si="9"/>
        <v>0</v>
      </c>
      <c r="W41" s="250" t="e">
        <f ca="1">+SUM(W17:W40)</f>
        <v>#N/A</v>
      </c>
      <c r="X41" s="23"/>
      <c r="Y41" s="17"/>
      <c r="Z41" s="273"/>
      <c r="AA41" s="274">
        <f t="shared" ref="AA41:AI41" si="10">+SUM(AA17:AA40)</f>
        <v>0</v>
      </c>
      <c r="AB41" s="274">
        <f t="shared" si="10"/>
        <v>0</v>
      </c>
      <c r="AC41" s="274">
        <f t="shared" si="10"/>
        <v>0</v>
      </c>
      <c r="AD41" s="274">
        <f t="shared" si="10"/>
        <v>0</v>
      </c>
      <c r="AE41" s="274">
        <f t="shared" si="10"/>
        <v>0</v>
      </c>
      <c r="AF41" s="274">
        <f t="shared" si="10"/>
        <v>0</v>
      </c>
      <c r="AG41" s="274">
        <f t="shared" si="10"/>
        <v>0</v>
      </c>
      <c r="AH41" s="274">
        <f t="shared" si="10"/>
        <v>0</v>
      </c>
      <c r="AI41" s="274">
        <f t="shared" si="10"/>
        <v>0</v>
      </c>
      <c r="AJ41" s="275">
        <f>+SUM(AA17:AI40)</f>
        <v>0</v>
      </c>
      <c r="AK41" s="28"/>
      <c r="AL41" s="24"/>
    </row>
    <row r="42" spans="2:55" ht="14.25">
      <c r="B42" s="18" t="s">
        <v>125</v>
      </c>
      <c r="C42" s="19">
        <v>0</v>
      </c>
      <c r="D42" s="19" t="e">
        <f>C42/USDCLPobs</f>
        <v>#VALUE!</v>
      </c>
      <c r="E42" s="31">
        <v>0</v>
      </c>
      <c r="G42" s="43"/>
      <c r="J42" s="17"/>
      <c r="K42" s="17"/>
      <c r="L42" s="24"/>
      <c r="M42" s="24"/>
      <c r="N42" s="24"/>
      <c r="O42" s="44"/>
      <c r="P42" s="2"/>
      <c r="Q42" s="117"/>
      <c r="R42" s="44"/>
      <c r="S42" s="44"/>
      <c r="T42" s="24"/>
      <c r="U42" s="17"/>
      <c r="V42" s="17"/>
      <c r="W42" s="17"/>
      <c r="X42" s="17"/>
      <c r="Y42" s="17"/>
      <c r="Z42" s="260"/>
      <c r="AA42" s="260"/>
      <c r="AB42" s="260"/>
      <c r="AC42" s="260"/>
      <c r="AD42" s="260"/>
      <c r="AE42" s="260"/>
      <c r="AF42" s="260"/>
      <c r="AG42" s="260"/>
      <c r="AH42" s="260"/>
      <c r="AI42" s="268" t="s">
        <v>1443</v>
      </c>
      <c r="AJ42" s="269" t="e">
        <f ca="1">+SUMPRODUCT(I17:I40,W17:W40)/SUM(W17:W40)</f>
        <v>#N/A</v>
      </c>
      <c r="AK42" s="28"/>
      <c r="AL42" s="24"/>
    </row>
    <row r="43" spans="2:55" ht="14.25">
      <c r="B43" s="18" t="s">
        <v>126</v>
      </c>
      <c r="C43" s="19">
        <v>0</v>
      </c>
      <c r="D43" s="19" t="e">
        <f>C43/USDCLPobs</f>
        <v>#VALUE!</v>
      </c>
      <c r="E43" s="31">
        <v>0</v>
      </c>
      <c r="T43" s="133"/>
      <c r="X43" s="17"/>
      <c r="Y43" s="17"/>
      <c r="AL43" s="24"/>
    </row>
    <row r="44" spans="2:55" ht="15.75" thickBot="1">
      <c r="B44" s="18" t="s">
        <v>127</v>
      </c>
      <c r="C44" s="19">
        <v>0</v>
      </c>
      <c r="D44" s="19" t="e">
        <f>C44/USDCLPobs</f>
        <v>#VALUE!</v>
      </c>
      <c r="E44" s="31">
        <v>0</v>
      </c>
      <c r="G44" s="45"/>
      <c r="K44" s="416">
        <v>10</v>
      </c>
      <c r="L44" s="416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24"/>
      <c r="Y44" s="17"/>
      <c r="AL44" s="24"/>
    </row>
    <row r="45" spans="2:55" ht="15">
      <c r="B45" s="18" t="s">
        <v>128</v>
      </c>
      <c r="C45" s="19">
        <v>0</v>
      </c>
      <c r="D45" s="19" t="e">
        <f>C45/USDCLPobs</f>
        <v>#VALUE!</v>
      </c>
      <c r="E45" s="31">
        <v>0</v>
      </c>
      <c r="K45" s="246" t="s">
        <v>95</v>
      </c>
      <c r="L45" s="246" t="s">
        <v>98</v>
      </c>
      <c r="M45" s="246" t="s">
        <v>99</v>
      </c>
      <c r="N45" s="247" t="s">
        <v>100</v>
      </c>
      <c r="O45" s="247" t="s">
        <v>373</v>
      </c>
      <c r="P45" s="247" t="s">
        <v>101</v>
      </c>
      <c r="Q45" s="247" t="s">
        <v>370</v>
      </c>
      <c r="R45" s="247" t="s">
        <v>371</v>
      </c>
      <c r="S45" s="247" t="s">
        <v>279</v>
      </c>
      <c r="T45" s="247" t="s">
        <v>280</v>
      </c>
      <c r="U45" s="247"/>
      <c r="V45" s="247"/>
      <c r="W45" s="247"/>
      <c r="X45" s="24"/>
      <c r="Y45" s="8"/>
      <c r="AB45" s="8"/>
      <c r="AH45" s="41"/>
      <c r="AI45" s="42"/>
      <c r="AJ45" s="41"/>
      <c r="AK45" s="41"/>
      <c r="AL45" s="24"/>
    </row>
    <row r="46" spans="2:55" ht="14.25">
      <c r="K46" s="251">
        <f>I17</f>
        <v>9.5000000000000001E-2</v>
      </c>
      <c r="L46" s="251" t="e">
        <f t="shared" ref="L46:T46" ca="1" si="11">+($K46*(L17))*$K$44*(1+$C$5/($C$4+$C$3-$C$5))</f>
        <v>#N/A</v>
      </c>
      <c r="M46" s="251" t="e">
        <f t="shared" ca="1" si="11"/>
        <v>#N/A</v>
      </c>
      <c r="N46" s="251" t="e">
        <f t="shared" ca="1" si="11"/>
        <v>#N/A</v>
      </c>
      <c r="O46" s="251" t="e">
        <f t="shared" ca="1" si="11"/>
        <v>#N/A</v>
      </c>
      <c r="P46" s="251" t="e">
        <f t="shared" ca="1" si="11"/>
        <v>#N/A</v>
      </c>
      <c r="Q46" s="251" t="e">
        <f t="shared" ca="1" si="11"/>
        <v>#N/A</v>
      </c>
      <c r="R46" s="251" t="e">
        <f t="shared" ca="1" si="11"/>
        <v>#N/A</v>
      </c>
      <c r="S46" s="251" t="e">
        <f ca="1">+($K46*(S17))*$K$44*(1+$C$5/($C$4+$C$3-$C$5))</f>
        <v>#N/A</v>
      </c>
      <c r="T46" s="251" t="e">
        <f t="shared" ca="1" si="11"/>
        <v>#N/A</v>
      </c>
      <c r="U46" s="251"/>
      <c r="V46" s="251"/>
      <c r="W46" s="251" t="e">
        <f t="shared" ref="W46:W69" ca="1" si="12">+SUM(L46:V46)</f>
        <v>#N/A</v>
      </c>
      <c r="X46" s="24"/>
      <c r="AL46" s="24"/>
    </row>
    <row r="47" spans="2:55" ht="14.25">
      <c r="K47" s="234">
        <f t="shared" ref="K47:K69" si="13">I18</f>
        <v>0.28000000000000003</v>
      </c>
      <c r="L47" s="46" t="e">
        <f t="shared" ref="L47:T47" ca="1" si="14">+($K47*(L18))*$K$44*(1+$C$5/($C$4+$C$3-$C$5))</f>
        <v>#N/A</v>
      </c>
      <c r="M47" s="46" t="e">
        <f t="shared" ca="1" si="14"/>
        <v>#N/A</v>
      </c>
      <c r="N47" s="46" t="e">
        <f t="shared" ca="1" si="14"/>
        <v>#N/A</v>
      </c>
      <c r="O47" s="46" t="e">
        <f t="shared" ca="1" si="14"/>
        <v>#N/A</v>
      </c>
      <c r="P47" s="46" t="e">
        <f t="shared" ca="1" si="14"/>
        <v>#N/A</v>
      </c>
      <c r="Q47" s="46" t="e">
        <f t="shared" ca="1" si="14"/>
        <v>#N/A</v>
      </c>
      <c r="R47" s="46" t="e">
        <f t="shared" ca="1" si="14"/>
        <v>#N/A</v>
      </c>
      <c r="S47" s="46" t="e">
        <f t="shared" ca="1" si="14"/>
        <v>#N/A</v>
      </c>
      <c r="T47" s="46" t="e">
        <f t="shared" ca="1" si="14"/>
        <v>#N/A</v>
      </c>
      <c r="U47" s="46"/>
      <c r="V47" s="46"/>
      <c r="W47" s="46" t="e">
        <f t="shared" ca="1" si="12"/>
        <v>#N/A</v>
      </c>
      <c r="X47" s="24"/>
      <c r="AG47" s="41"/>
      <c r="AL47" s="24"/>
    </row>
    <row r="48" spans="2:55" ht="15.75" thickBot="1">
      <c r="B48" s="267" t="s">
        <v>129</v>
      </c>
      <c r="C48" s="267" t="s">
        <v>130</v>
      </c>
      <c r="D48" s="267" t="s">
        <v>131</v>
      </c>
      <c r="E48" s="267" t="s">
        <v>92</v>
      </c>
      <c r="F48" s="267" t="s">
        <v>132</v>
      </c>
      <c r="G48" s="267" t="s">
        <v>95</v>
      </c>
      <c r="K48" s="234">
        <f t="shared" si="13"/>
        <v>0.495</v>
      </c>
      <c r="L48" s="46" t="e">
        <f t="shared" ref="L48:T48" ca="1" si="15">+($K48*(L19))*$K$44*(1+$C$5/($C$4+$C$3-$C$5))</f>
        <v>#N/A</v>
      </c>
      <c r="M48" s="46" t="e">
        <f t="shared" ca="1" si="15"/>
        <v>#N/A</v>
      </c>
      <c r="N48" s="46" t="e">
        <f t="shared" ca="1" si="15"/>
        <v>#N/A</v>
      </c>
      <c r="O48" s="46" t="e">
        <f t="shared" ca="1" si="15"/>
        <v>#N/A</v>
      </c>
      <c r="P48" s="46" t="e">
        <f t="shared" ca="1" si="15"/>
        <v>#N/A</v>
      </c>
      <c r="Q48" s="46" t="e">
        <f t="shared" ca="1" si="15"/>
        <v>#N/A</v>
      </c>
      <c r="R48" s="46" t="e">
        <f t="shared" ca="1" si="15"/>
        <v>#N/A</v>
      </c>
      <c r="S48" s="46" t="e">
        <f t="shared" ca="1" si="15"/>
        <v>#N/A</v>
      </c>
      <c r="T48" s="46" t="e">
        <f t="shared" ca="1" si="15"/>
        <v>#N/A</v>
      </c>
      <c r="U48" s="46"/>
      <c r="V48" s="46"/>
      <c r="W48" s="46" t="e">
        <f t="shared" ca="1" si="12"/>
        <v>#N/A</v>
      </c>
      <c r="X48" s="24"/>
      <c r="AL48" s="24"/>
    </row>
    <row r="49" spans="1:38" ht="14.25">
      <c r="B49" s="18" t="s">
        <v>133</v>
      </c>
      <c r="C49" s="47">
        <v>0</v>
      </c>
      <c r="D49" s="47"/>
      <c r="E49" s="20">
        <f t="shared" ref="E49:E54" si="16">(C49)*1000000/$C$3</f>
        <v>0</v>
      </c>
      <c r="F49" s="48" t="s">
        <v>157</v>
      </c>
      <c r="G49" s="49"/>
      <c r="K49" s="234">
        <f t="shared" si="13"/>
        <v>0.745</v>
      </c>
      <c r="L49" s="46" t="e">
        <f t="shared" ref="L49:T49" ca="1" si="17">+($K49*(L20))*$K$44*(1+$C$5/($C$4+$C$3-$C$5))</f>
        <v>#N/A</v>
      </c>
      <c r="M49" s="46" t="e">
        <f t="shared" ca="1" si="17"/>
        <v>#N/A</v>
      </c>
      <c r="N49" s="46" t="e">
        <f t="shared" ca="1" si="17"/>
        <v>#N/A</v>
      </c>
      <c r="O49" s="46" t="e">
        <f t="shared" ca="1" si="17"/>
        <v>#N/A</v>
      </c>
      <c r="P49" s="46" t="e">
        <f t="shared" ca="1" si="17"/>
        <v>#N/A</v>
      </c>
      <c r="Q49" s="46" t="e">
        <f t="shared" ca="1" si="17"/>
        <v>#N/A</v>
      </c>
      <c r="R49" s="46" t="e">
        <f t="shared" ca="1" si="17"/>
        <v>#N/A</v>
      </c>
      <c r="S49" s="46" t="e">
        <f t="shared" ca="1" si="17"/>
        <v>#N/A</v>
      </c>
      <c r="T49" s="46" t="e">
        <f t="shared" ca="1" si="17"/>
        <v>#N/A</v>
      </c>
      <c r="U49" s="46"/>
      <c r="V49" s="46"/>
      <c r="W49" s="46" t="e">
        <f t="shared" ca="1" si="12"/>
        <v>#N/A</v>
      </c>
      <c r="X49" s="24"/>
      <c r="Y49" s="51"/>
      <c r="AL49" s="24"/>
    </row>
    <row r="50" spans="1:38" ht="14.25">
      <c r="B50" s="18" t="s">
        <v>134</v>
      </c>
      <c r="C50" s="47">
        <v>0</v>
      </c>
      <c r="D50" s="47"/>
      <c r="E50" s="20">
        <f t="shared" si="16"/>
        <v>0</v>
      </c>
      <c r="F50" s="50" t="s">
        <v>158</v>
      </c>
      <c r="G50" s="49">
        <v>4.1564693274300302</v>
      </c>
      <c r="H50" s="51"/>
      <c r="K50" s="235">
        <f t="shared" si="13"/>
        <v>1</v>
      </c>
      <c r="L50" s="46" t="e">
        <f t="shared" ref="L50:T50" ca="1" si="18">+($K50*(L21))*$K$44*(1+$C$5/($C$4+$C$3-$C$5))</f>
        <v>#N/A</v>
      </c>
      <c r="M50" s="46" t="e">
        <f t="shared" ca="1" si="18"/>
        <v>#N/A</v>
      </c>
      <c r="N50" s="46" t="e">
        <f t="shared" ca="1" si="18"/>
        <v>#N/A</v>
      </c>
      <c r="O50" s="46" t="e">
        <f t="shared" ca="1" si="18"/>
        <v>#N/A</v>
      </c>
      <c r="P50" s="46" t="e">
        <f t="shared" ca="1" si="18"/>
        <v>#N/A</v>
      </c>
      <c r="Q50" s="46" t="e">
        <f t="shared" ca="1" si="18"/>
        <v>#N/A</v>
      </c>
      <c r="R50" s="46" t="e">
        <f t="shared" ca="1" si="18"/>
        <v>#N/A</v>
      </c>
      <c r="S50" s="46" t="e">
        <f t="shared" ca="1" si="18"/>
        <v>#N/A</v>
      </c>
      <c r="T50" s="46" t="e">
        <f t="shared" ca="1" si="18"/>
        <v>#N/A</v>
      </c>
      <c r="U50" s="46"/>
      <c r="V50" s="46"/>
      <c r="W50" s="46" t="e">
        <f t="shared" ca="1" si="12"/>
        <v>#N/A</v>
      </c>
      <c r="X50" s="24"/>
      <c r="AL50" s="24"/>
    </row>
    <row r="51" spans="1:38" ht="14.25">
      <c r="B51" s="18" t="s">
        <v>135</v>
      </c>
      <c r="C51" s="47">
        <v>0</v>
      </c>
      <c r="D51" s="47"/>
      <c r="E51" s="20">
        <f t="shared" si="16"/>
        <v>0</v>
      </c>
      <c r="F51" s="50" t="s">
        <v>17</v>
      </c>
      <c r="G51" s="49">
        <v>7.7111301174564018</v>
      </c>
      <c r="H51" s="51"/>
      <c r="K51" s="235">
        <f t="shared" si="13"/>
        <v>2</v>
      </c>
      <c r="L51" s="46" t="e">
        <f t="shared" ref="L51:T51" ca="1" si="19">+($K51*(L22))*$K$44*(1+$C$5/($C$4+$C$3-$C$5))</f>
        <v>#N/A</v>
      </c>
      <c r="M51" s="46" t="e">
        <f t="shared" ca="1" si="19"/>
        <v>#N/A</v>
      </c>
      <c r="N51" s="46" t="e">
        <f t="shared" ca="1" si="19"/>
        <v>#N/A</v>
      </c>
      <c r="O51" s="46" t="e">
        <f t="shared" ca="1" si="19"/>
        <v>#N/A</v>
      </c>
      <c r="P51" s="46" t="e">
        <f t="shared" ca="1" si="19"/>
        <v>#N/A</v>
      </c>
      <c r="Q51" s="46" t="e">
        <f t="shared" ca="1" si="19"/>
        <v>#N/A</v>
      </c>
      <c r="R51" s="46" t="e">
        <f t="shared" ca="1" si="19"/>
        <v>#N/A</v>
      </c>
      <c r="S51" s="46" t="e">
        <f t="shared" ca="1" si="19"/>
        <v>#N/A</v>
      </c>
      <c r="T51" s="46" t="e">
        <f t="shared" ca="1" si="19"/>
        <v>#N/A</v>
      </c>
      <c r="U51" s="46"/>
      <c r="V51" s="46"/>
      <c r="W51" s="46" t="e">
        <f t="shared" ca="1" si="12"/>
        <v>#N/A</v>
      </c>
      <c r="X51" s="24"/>
      <c r="AL51" s="24"/>
    </row>
    <row r="52" spans="1:38" ht="14.25">
      <c r="B52" s="18" t="s">
        <v>136</v>
      </c>
      <c r="C52" s="52">
        <v>0</v>
      </c>
      <c r="D52" s="47"/>
      <c r="E52" s="20">
        <f t="shared" si="16"/>
        <v>0</v>
      </c>
      <c r="F52" s="50" t="s">
        <v>36</v>
      </c>
      <c r="G52" s="49" t="s">
        <v>156</v>
      </c>
      <c r="K52" s="235">
        <f t="shared" si="13"/>
        <v>3</v>
      </c>
      <c r="L52" s="46" t="e">
        <f t="shared" ref="L52:T52" ca="1" si="20">+($K52*(L23))*$K$44*(1+$C$5/($C$4+$C$3-$C$5))</f>
        <v>#N/A</v>
      </c>
      <c r="M52" s="46" t="e">
        <f t="shared" ca="1" si="20"/>
        <v>#N/A</v>
      </c>
      <c r="N52" s="46" t="e">
        <f t="shared" ca="1" si="20"/>
        <v>#N/A</v>
      </c>
      <c r="O52" s="46" t="e">
        <f t="shared" ca="1" si="20"/>
        <v>#N/A</v>
      </c>
      <c r="P52" s="46" t="e">
        <f t="shared" ca="1" si="20"/>
        <v>#N/A</v>
      </c>
      <c r="Q52" s="46" t="e">
        <f t="shared" ca="1" si="20"/>
        <v>#N/A</v>
      </c>
      <c r="R52" s="46" t="e">
        <f t="shared" ca="1" si="20"/>
        <v>#N/A</v>
      </c>
      <c r="S52" s="46" t="e">
        <f t="shared" ca="1" si="20"/>
        <v>#N/A</v>
      </c>
      <c r="T52" s="46" t="e">
        <f t="shared" ca="1" si="20"/>
        <v>#N/A</v>
      </c>
      <c r="U52" s="46"/>
      <c r="V52" s="46"/>
      <c r="W52" s="46" t="e">
        <f t="shared" ca="1" si="12"/>
        <v>#N/A</v>
      </c>
      <c r="X52" s="24"/>
      <c r="Y52" s="5">
        <v>5</v>
      </c>
      <c r="Z52" s="53">
        <v>6</v>
      </c>
      <c r="AA52" s="53" t="e">
        <f ca="1">Y52*S52</f>
        <v>#N/A</v>
      </c>
      <c r="AB52" s="53" t="e">
        <f ca="1">Z52*T52</f>
        <v>#N/A</v>
      </c>
      <c r="AC52" s="53"/>
      <c r="AD52" s="53"/>
      <c r="AE52" s="53"/>
      <c r="AF52" s="53"/>
      <c r="AL52" s="24"/>
    </row>
    <row r="53" spans="1:38" ht="14.25">
      <c r="B53" s="18" t="s">
        <v>137</v>
      </c>
      <c r="C53" s="54">
        <v>0</v>
      </c>
      <c r="D53" s="47"/>
      <c r="E53" s="20">
        <f t="shared" si="16"/>
        <v>0</v>
      </c>
      <c r="F53" s="50" t="s">
        <v>159</v>
      </c>
      <c r="G53" s="49">
        <v>4.8563880149893928</v>
      </c>
      <c r="K53" s="235">
        <f t="shared" si="13"/>
        <v>4</v>
      </c>
      <c r="L53" s="46" t="e">
        <f t="shared" ref="L53:T53" ca="1" si="21">+($K53*(L24))*$K$44*(1+$C$5/($C$4+$C$3-$C$5))</f>
        <v>#N/A</v>
      </c>
      <c r="M53" s="46" t="e">
        <f t="shared" ca="1" si="21"/>
        <v>#N/A</v>
      </c>
      <c r="N53" s="46" t="e">
        <f t="shared" ca="1" si="21"/>
        <v>#N/A</v>
      </c>
      <c r="O53" s="46" t="e">
        <f t="shared" ca="1" si="21"/>
        <v>#N/A</v>
      </c>
      <c r="P53" s="46" t="e">
        <f t="shared" ca="1" si="21"/>
        <v>#N/A</v>
      </c>
      <c r="Q53" s="46" t="e">
        <f t="shared" ca="1" si="21"/>
        <v>#N/A</v>
      </c>
      <c r="R53" s="46" t="e">
        <f t="shared" ca="1" si="21"/>
        <v>#N/A</v>
      </c>
      <c r="S53" s="46" t="e">
        <f t="shared" ca="1" si="21"/>
        <v>#N/A</v>
      </c>
      <c r="T53" s="46" t="e">
        <f t="shared" ca="1" si="21"/>
        <v>#N/A</v>
      </c>
      <c r="U53" s="46"/>
      <c r="V53" s="46"/>
      <c r="W53" s="46" t="e">
        <f t="shared" ca="1" si="12"/>
        <v>#N/A</v>
      </c>
      <c r="X53" s="24"/>
      <c r="Y53" s="5">
        <v>5</v>
      </c>
      <c r="Z53" s="53"/>
      <c r="AA53" s="53" t="e">
        <f t="shared" ref="AA53:AB68" ca="1" si="22">Y53*S53</f>
        <v>#N/A</v>
      </c>
      <c r="AB53" s="53" t="e">
        <f t="shared" ca="1" si="22"/>
        <v>#N/A</v>
      </c>
      <c r="AC53" s="53"/>
      <c r="AD53" s="53"/>
      <c r="AE53" s="53"/>
      <c r="AF53" s="53"/>
    </row>
    <row r="54" spans="1:38" ht="14.25">
      <c r="B54" s="18" t="s">
        <v>138</v>
      </c>
      <c r="C54" s="52">
        <v>0</v>
      </c>
      <c r="D54" s="47"/>
      <c r="E54" s="20">
        <f t="shared" si="16"/>
        <v>0</v>
      </c>
      <c r="F54" s="50" t="s">
        <v>19</v>
      </c>
      <c r="G54" s="49">
        <v>9.1994893683993837</v>
      </c>
      <c r="K54" s="235">
        <f t="shared" si="13"/>
        <v>5</v>
      </c>
      <c r="L54" s="46" t="e">
        <f t="shared" ref="L54:T54" ca="1" si="23">+($K54*(L25))*$K$44*(1+$C$5/($C$4+$C$3-$C$5))</f>
        <v>#N/A</v>
      </c>
      <c r="M54" s="46" t="e">
        <f t="shared" ca="1" si="23"/>
        <v>#N/A</v>
      </c>
      <c r="N54" s="46" t="e">
        <f t="shared" ca="1" si="23"/>
        <v>#N/A</v>
      </c>
      <c r="O54" s="46" t="e">
        <f t="shared" ca="1" si="23"/>
        <v>#N/A</v>
      </c>
      <c r="P54" s="46" t="e">
        <f t="shared" ca="1" si="23"/>
        <v>#N/A</v>
      </c>
      <c r="Q54" s="46" t="e">
        <f t="shared" ca="1" si="23"/>
        <v>#N/A</v>
      </c>
      <c r="R54" s="46" t="e">
        <f t="shared" ca="1" si="23"/>
        <v>#N/A</v>
      </c>
      <c r="S54" s="46" t="e">
        <f t="shared" ca="1" si="23"/>
        <v>#N/A</v>
      </c>
      <c r="T54" s="46" t="e">
        <f t="shared" ca="1" si="23"/>
        <v>#N/A</v>
      </c>
      <c r="U54" s="46"/>
      <c r="V54" s="46"/>
      <c r="W54" s="46" t="e">
        <f t="shared" ca="1" si="12"/>
        <v>#N/A</v>
      </c>
      <c r="X54" s="55"/>
      <c r="Z54" s="53"/>
      <c r="AA54" s="53" t="e">
        <f t="shared" ca="1" si="22"/>
        <v>#N/A</v>
      </c>
      <c r="AB54" s="53" t="e">
        <f t="shared" ca="1" si="22"/>
        <v>#N/A</v>
      </c>
      <c r="AC54" s="53"/>
      <c r="AD54" s="53"/>
      <c r="AE54" s="53"/>
      <c r="AF54" s="53"/>
    </row>
    <row r="55" spans="1:38" ht="14.25">
      <c r="K55" s="235">
        <f t="shared" si="13"/>
        <v>6</v>
      </c>
      <c r="L55" s="46" t="e">
        <f t="shared" ref="L55:T55" ca="1" si="24">+($K55*(L26))*$K$44*(1+$C$5/($C$4+$C$3-$C$5))</f>
        <v>#N/A</v>
      </c>
      <c r="M55" s="46" t="e">
        <f t="shared" ca="1" si="24"/>
        <v>#N/A</v>
      </c>
      <c r="N55" s="46" t="e">
        <f t="shared" ca="1" si="24"/>
        <v>#N/A</v>
      </c>
      <c r="O55" s="46" t="e">
        <f t="shared" ca="1" si="24"/>
        <v>#N/A</v>
      </c>
      <c r="P55" s="46" t="e">
        <f t="shared" ca="1" si="24"/>
        <v>#N/A</v>
      </c>
      <c r="Q55" s="46" t="e">
        <f t="shared" ca="1" si="24"/>
        <v>#N/A</v>
      </c>
      <c r="R55" s="46" t="e">
        <f t="shared" ca="1" si="24"/>
        <v>#N/A</v>
      </c>
      <c r="S55" s="46" t="e">
        <f t="shared" ca="1" si="24"/>
        <v>#N/A</v>
      </c>
      <c r="T55" s="46" t="e">
        <f t="shared" ca="1" si="24"/>
        <v>#N/A</v>
      </c>
      <c r="U55" s="46"/>
      <c r="V55" s="46"/>
      <c r="W55" s="46" t="e">
        <f t="shared" ca="1" si="12"/>
        <v>#N/A</v>
      </c>
      <c r="X55" s="24"/>
      <c r="Z55" s="53"/>
      <c r="AA55" s="53" t="e">
        <f t="shared" ca="1" si="22"/>
        <v>#N/A</v>
      </c>
      <c r="AB55" s="53" t="e">
        <f t="shared" ca="1" si="22"/>
        <v>#N/A</v>
      </c>
      <c r="AC55" s="53"/>
      <c r="AD55" s="53"/>
      <c r="AE55" s="53"/>
      <c r="AF55" s="53"/>
    </row>
    <row r="56" spans="1:38" ht="14.25">
      <c r="K56" s="235">
        <f t="shared" si="13"/>
        <v>7</v>
      </c>
      <c r="L56" s="46" t="e">
        <f t="shared" ref="L56:T56" ca="1" si="25">+($K56*(L27))*$K$44*(1+$C$5/($C$4+$C$3-$C$5))</f>
        <v>#N/A</v>
      </c>
      <c r="M56" s="46" t="e">
        <f t="shared" ca="1" si="25"/>
        <v>#N/A</v>
      </c>
      <c r="N56" s="46" t="e">
        <f t="shared" ca="1" si="25"/>
        <v>#N/A</v>
      </c>
      <c r="O56" s="46" t="e">
        <f t="shared" ca="1" si="25"/>
        <v>#N/A</v>
      </c>
      <c r="P56" s="46" t="e">
        <f t="shared" ca="1" si="25"/>
        <v>#N/A</v>
      </c>
      <c r="Q56" s="46" t="e">
        <f t="shared" ca="1" si="25"/>
        <v>#N/A</v>
      </c>
      <c r="R56" s="46" t="e">
        <f t="shared" ca="1" si="25"/>
        <v>#N/A</v>
      </c>
      <c r="S56" s="46" t="e">
        <f t="shared" ca="1" si="25"/>
        <v>#N/A</v>
      </c>
      <c r="T56" s="46" t="e">
        <f t="shared" ca="1" si="25"/>
        <v>#N/A</v>
      </c>
      <c r="U56" s="46"/>
      <c r="V56" s="46"/>
      <c r="W56" s="46" t="e">
        <f t="shared" ca="1" si="12"/>
        <v>#N/A</v>
      </c>
      <c r="X56" s="24"/>
      <c r="Y56" s="5">
        <v>5</v>
      </c>
      <c r="Z56" s="53"/>
      <c r="AA56" s="53" t="e">
        <f t="shared" ca="1" si="22"/>
        <v>#N/A</v>
      </c>
      <c r="AB56" s="53" t="e">
        <f t="shared" ca="1" si="22"/>
        <v>#N/A</v>
      </c>
      <c r="AC56" s="53"/>
      <c r="AD56" s="53"/>
      <c r="AE56" s="53"/>
      <c r="AF56" s="53"/>
    </row>
    <row r="57" spans="1:38" ht="16.5" thickBot="1">
      <c r="B57" s="15" t="s">
        <v>139</v>
      </c>
      <c r="C57" s="15" t="s">
        <v>140</v>
      </c>
      <c r="D57" s="15" t="s">
        <v>92</v>
      </c>
      <c r="E57" s="15"/>
      <c r="F57" s="15" t="s">
        <v>141</v>
      </c>
      <c r="G57" s="15" t="s">
        <v>92</v>
      </c>
      <c r="K57" s="235">
        <f t="shared" si="13"/>
        <v>8</v>
      </c>
      <c r="L57" s="46" t="e">
        <f t="shared" ref="L57:T57" ca="1" si="26">+($K57*(L28))*$K$44*(1+$C$5/($C$4+$C$3-$C$5))</f>
        <v>#N/A</v>
      </c>
      <c r="M57" s="46" t="e">
        <f t="shared" ca="1" si="26"/>
        <v>#N/A</v>
      </c>
      <c r="N57" s="46" t="e">
        <f t="shared" ca="1" si="26"/>
        <v>#N/A</v>
      </c>
      <c r="O57" s="46" t="e">
        <f t="shared" ca="1" si="26"/>
        <v>#N/A</v>
      </c>
      <c r="P57" s="46" t="e">
        <f t="shared" ca="1" si="26"/>
        <v>#N/A</v>
      </c>
      <c r="Q57" s="46" t="e">
        <f t="shared" ca="1" si="26"/>
        <v>#N/A</v>
      </c>
      <c r="R57" s="46" t="e">
        <f t="shared" ca="1" si="26"/>
        <v>#N/A</v>
      </c>
      <c r="S57" s="46" t="e">
        <f t="shared" ca="1" si="26"/>
        <v>#N/A</v>
      </c>
      <c r="T57" s="46" t="e">
        <f t="shared" ca="1" si="26"/>
        <v>#N/A</v>
      </c>
      <c r="U57" s="46"/>
      <c r="V57" s="46"/>
      <c r="W57" s="46" t="e">
        <f t="shared" ca="1" si="12"/>
        <v>#N/A</v>
      </c>
      <c r="X57" s="24"/>
      <c r="Z57" s="53">
        <v>5</v>
      </c>
      <c r="AA57" s="53" t="e">
        <f t="shared" ca="1" si="22"/>
        <v>#N/A</v>
      </c>
      <c r="AB57" s="53" t="e">
        <f t="shared" ca="1" si="22"/>
        <v>#N/A</v>
      </c>
      <c r="AC57" s="53"/>
      <c r="AD57" s="53"/>
      <c r="AE57" s="53"/>
      <c r="AF57" s="53"/>
    </row>
    <row r="58" spans="1:38" ht="14.25">
      <c r="B58" s="18" t="s">
        <v>142</v>
      </c>
      <c r="C58" s="54">
        <v>0</v>
      </c>
      <c r="D58" s="21">
        <f>C58*1000000/$C$3</f>
        <v>0</v>
      </c>
      <c r="E58" s="18" t="s">
        <v>142</v>
      </c>
      <c r="F58" s="54">
        <v>0</v>
      </c>
      <c r="G58" s="21">
        <f t="shared" ref="G58:G71" si="27">F58*1000000/$C$3</f>
        <v>0</v>
      </c>
      <c r="K58" s="235">
        <f t="shared" si="13"/>
        <v>9</v>
      </c>
      <c r="L58" s="46" t="e">
        <f t="shared" ref="L58:T58" ca="1" si="28">+($K58*(L29))*$K$44*(1+$C$5/($C$4+$C$3-$C$5))</f>
        <v>#N/A</v>
      </c>
      <c r="M58" s="46" t="e">
        <f t="shared" ca="1" si="28"/>
        <v>#N/A</v>
      </c>
      <c r="N58" s="46" t="e">
        <f t="shared" ca="1" si="28"/>
        <v>#N/A</v>
      </c>
      <c r="O58" s="46" t="e">
        <f t="shared" ca="1" si="28"/>
        <v>#N/A</v>
      </c>
      <c r="P58" s="46" t="e">
        <f t="shared" ca="1" si="28"/>
        <v>#N/A</v>
      </c>
      <c r="Q58" s="46" t="e">
        <f t="shared" ca="1" si="28"/>
        <v>#N/A</v>
      </c>
      <c r="R58" s="46" t="e">
        <f t="shared" ca="1" si="28"/>
        <v>#N/A</v>
      </c>
      <c r="S58" s="46" t="e">
        <f t="shared" ca="1" si="28"/>
        <v>#N/A</v>
      </c>
      <c r="T58" s="46" t="e">
        <f t="shared" ca="1" si="28"/>
        <v>#N/A</v>
      </c>
      <c r="U58" s="46"/>
      <c r="V58" s="46"/>
      <c r="W58" s="46" t="e">
        <f t="shared" ca="1" si="12"/>
        <v>#N/A</v>
      </c>
      <c r="X58" s="24"/>
      <c r="Y58" s="146"/>
      <c r="Z58" s="53"/>
      <c r="AA58" s="53" t="e">
        <f t="shared" ca="1" si="22"/>
        <v>#N/A</v>
      </c>
      <c r="AB58" s="53" t="e">
        <f t="shared" ca="1" si="22"/>
        <v>#N/A</v>
      </c>
      <c r="AC58" s="53"/>
      <c r="AD58" s="53"/>
      <c r="AE58" s="53"/>
      <c r="AF58" s="53"/>
    </row>
    <row r="59" spans="1:38" ht="14.25">
      <c r="B59" s="18" t="s">
        <v>143</v>
      </c>
      <c r="C59" s="54">
        <v>0</v>
      </c>
      <c r="D59" s="21">
        <f t="shared" ref="D59:D71" si="29">C59*1000000/$C$3</f>
        <v>0</v>
      </c>
      <c r="E59" s="18" t="s">
        <v>143</v>
      </c>
      <c r="F59" s="54">
        <v>0</v>
      </c>
      <c r="G59" s="21">
        <f t="shared" si="27"/>
        <v>0</v>
      </c>
      <c r="K59" s="235">
        <f t="shared" si="13"/>
        <v>10</v>
      </c>
      <c r="L59" s="46" t="e">
        <f t="shared" ref="L59:T59" ca="1" si="30">+($K59*(L30))*$K$44*(1+$C$5/($C$4+$C$3-$C$5))</f>
        <v>#N/A</v>
      </c>
      <c r="M59" s="46" t="e">
        <f t="shared" ca="1" si="30"/>
        <v>#N/A</v>
      </c>
      <c r="N59" s="46" t="e">
        <f t="shared" ca="1" si="30"/>
        <v>#N/A</v>
      </c>
      <c r="O59" s="46" t="e">
        <f t="shared" ca="1" si="30"/>
        <v>#N/A</v>
      </c>
      <c r="P59" s="46" t="e">
        <f t="shared" ca="1" si="30"/>
        <v>#N/A</v>
      </c>
      <c r="Q59" s="46" t="e">
        <f t="shared" ca="1" si="30"/>
        <v>#N/A</v>
      </c>
      <c r="R59" s="46" t="e">
        <f t="shared" ca="1" si="30"/>
        <v>#N/A</v>
      </c>
      <c r="S59" s="46" t="e">
        <f t="shared" ca="1" si="30"/>
        <v>#N/A</v>
      </c>
      <c r="T59" s="46" t="e">
        <f t="shared" ca="1" si="30"/>
        <v>#N/A</v>
      </c>
      <c r="U59" s="46"/>
      <c r="V59" s="46"/>
      <c r="W59" s="46" t="e">
        <f t="shared" ca="1" si="12"/>
        <v>#N/A</v>
      </c>
      <c r="X59" s="24"/>
      <c r="Z59" s="53"/>
      <c r="AA59" s="53" t="e">
        <f t="shared" ca="1" si="22"/>
        <v>#N/A</v>
      </c>
      <c r="AB59" s="53" t="e">
        <f t="shared" ca="1" si="22"/>
        <v>#N/A</v>
      </c>
      <c r="AC59" s="53"/>
      <c r="AD59" s="53"/>
      <c r="AE59" s="53"/>
      <c r="AF59" s="53"/>
      <c r="AH59" s="56"/>
      <c r="AI59" s="56"/>
    </row>
    <row r="60" spans="1:38" ht="14.25">
      <c r="B60" s="18" t="s">
        <v>144</v>
      </c>
      <c r="C60" s="54">
        <v>0</v>
      </c>
      <c r="D60" s="21">
        <f t="shared" si="29"/>
        <v>0</v>
      </c>
      <c r="E60" s="18" t="s">
        <v>144</v>
      </c>
      <c r="F60" s="54">
        <v>0</v>
      </c>
      <c r="G60" s="21">
        <f t="shared" si="27"/>
        <v>0</v>
      </c>
      <c r="K60" s="235">
        <f t="shared" si="13"/>
        <v>11</v>
      </c>
      <c r="L60" s="46" t="e">
        <f t="shared" ref="L60:T60" ca="1" si="31">+($K60*(L31))*$K$44*(1+$C$5/($C$4+$C$3-$C$5))</f>
        <v>#N/A</v>
      </c>
      <c r="M60" s="46" t="e">
        <f t="shared" ca="1" si="31"/>
        <v>#N/A</v>
      </c>
      <c r="N60" s="46" t="e">
        <f t="shared" ca="1" si="31"/>
        <v>#N/A</v>
      </c>
      <c r="O60" s="46" t="e">
        <f t="shared" ca="1" si="31"/>
        <v>#N/A</v>
      </c>
      <c r="P60" s="46" t="e">
        <f t="shared" ca="1" si="31"/>
        <v>#N/A</v>
      </c>
      <c r="Q60" s="46" t="e">
        <f t="shared" ca="1" si="31"/>
        <v>#N/A</v>
      </c>
      <c r="R60" s="46" t="e">
        <f t="shared" ca="1" si="31"/>
        <v>#N/A</v>
      </c>
      <c r="S60" s="46" t="e">
        <f t="shared" ca="1" si="31"/>
        <v>#N/A</v>
      </c>
      <c r="T60" s="46" t="e">
        <f t="shared" ca="1" si="31"/>
        <v>#N/A</v>
      </c>
      <c r="U60" s="46"/>
      <c r="V60" s="46"/>
      <c r="W60" s="46" t="e">
        <f t="shared" ca="1" si="12"/>
        <v>#N/A</v>
      </c>
      <c r="X60" s="24"/>
      <c r="Z60" s="53"/>
      <c r="AA60" s="53" t="e">
        <f t="shared" ca="1" si="22"/>
        <v>#N/A</v>
      </c>
      <c r="AB60" s="53" t="e">
        <f t="shared" ca="1" si="22"/>
        <v>#N/A</v>
      </c>
      <c r="AC60" s="53"/>
      <c r="AD60" s="53"/>
      <c r="AE60" s="53"/>
      <c r="AF60" s="53"/>
      <c r="AH60" s="56"/>
      <c r="AI60" s="56"/>
    </row>
    <row r="61" spans="1:38" ht="14.25">
      <c r="B61" s="18" t="s">
        <v>145</v>
      </c>
      <c r="C61" s="54">
        <v>0</v>
      </c>
      <c r="D61" s="21">
        <f t="shared" si="29"/>
        <v>0</v>
      </c>
      <c r="E61" s="18" t="s">
        <v>145</v>
      </c>
      <c r="F61" s="54">
        <v>0</v>
      </c>
      <c r="G61" s="21">
        <f t="shared" si="27"/>
        <v>0</v>
      </c>
      <c r="K61" s="235">
        <f t="shared" si="13"/>
        <v>12</v>
      </c>
      <c r="L61" s="46" t="e">
        <f t="shared" ref="L61:T61" ca="1" si="32">+($K61*(L32))*$K$44*(1+$C$5/($C$4+$C$3-$C$5))</f>
        <v>#N/A</v>
      </c>
      <c r="M61" s="46" t="e">
        <f t="shared" ca="1" si="32"/>
        <v>#N/A</v>
      </c>
      <c r="N61" s="46" t="e">
        <f t="shared" ca="1" si="32"/>
        <v>#N/A</v>
      </c>
      <c r="O61" s="46" t="e">
        <f t="shared" ca="1" si="32"/>
        <v>#N/A</v>
      </c>
      <c r="P61" s="46" t="e">
        <f t="shared" ca="1" si="32"/>
        <v>#N/A</v>
      </c>
      <c r="Q61" s="46" t="e">
        <f t="shared" ca="1" si="32"/>
        <v>#N/A</v>
      </c>
      <c r="R61" s="46" t="e">
        <f t="shared" ca="1" si="32"/>
        <v>#N/A</v>
      </c>
      <c r="S61" s="46" t="e">
        <f t="shared" ca="1" si="32"/>
        <v>#N/A</v>
      </c>
      <c r="T61" s="46" t="e">
        <f t="shared" ca="1" si="32"/>
        <v>#N/A</v>
      </c>
      <c r="U61" s="46"/>
      <c r="V61" s="46"/>
      <c r="W61" s="46" t="e">
        <f t="shared" ca="1" si="12"/>
        <v>#N/A</v>
      </c>
      <c r="X61" s="24"/>
      <c r="Y61" s="5">
        <v>3</v>
      </c>
      <c r="Z61" s="53"/>
      <c r="AA61" s="53" t="e">
        <f t="shared" ca="1" si="22"/>
        <v>#N/A</v>
      </c>
      <c r="AB61" s="53" t="e">
        <f t="shared" ca="1" si="22"/>
        <v>#N/A</v>
      </c>
      <c r="AC61" s="53"/>
      <c r="AD61" s="53"/>
      <c r="AE61" s="53"/>
      <c r="AF61" s="53"/>
      <c r="AH61" s="56"/>
      <c r="AI61" s="56"/>
    </row>
    <row r="62" spans="1:38" ht="14.25">
      <c r="A62" s="57">
        <v>90</v>
      </c>
      <c r="B62" s="18" t="s">
        <v>146</v>
      </c>
      <c r="C62" s="54">
        <v>0</v>
      </c>
      <c r="D62" s="21">
        <f t="shared" si="29"/>
        <v>0</v>
      </c>
      <c r="E62" s="18" t="s">
        <v>146</v>
      </c>
      <c r="F62" s="54">
        <v>0</v>
      </c>
      <c r="G62" s="21">
        <f t="shared" si="27"/>
        <v>0</v>
      </c>
      <c r="K62" s="235">
        <f t="shared" si="13"/>
        <v>13</v>
      </c>
      <c r="L62" s="46" t="e">
        <f t="shared" ref="L62:T62" ca="1" si="33">+($K62*(L33))*$K$44*(1+$C$5/($C$4+$C$3-$C$5))</f>
        <v>#N/A</v>
      </c>
      <c r="M62" s="46" t="e">
        <f t="shared" ca="1" si="33"/>
        <v>#N/A</v>
      </c>
      <c r="N62" s="46" t="e">
        <f t="shared" ca="1" si="33"/>
        <v>#N/A</v>
      </c>
      <c r="O62" s="46" t="e">
        <f t="shared" ca="1" si="33"/>
        <v>#N/A</v>
      </c>
      <c r="P62" s="46" t="e">
        <f t="shared" ca="1" si="33"/>
        <v>#N/A</v>
      </c>
      <c r="Q62" s="46" t="e">
        <f t="shared" ca="1" si="33"/>
        <v>#N/A</v>
      </c>
      <c r="R62" s="46" t="e">
        <f t="shared" ca="1" si="33"/>
        <v>#N/A</v>
      </c>
      <c r="S62" s="46" t="e">
        <f t="shared" ca="1" si="33"/>
        <v>#N/A</v>
      </c>
      <c r="T62" s="46" t="e">
        <f t="shared" ca="1" si="33"/>
        <v>#N/A</v>
      </c>
      <c r="U62" s="46"/>
      <c r="V62" s="46"/>
      <c r="W62" s="46" t="e">
        <f t="shared" ca="1" si="12"/>
        <v>#N/A</v>
      </c>
      <c r="X62" s="24"/>
      <c r="Z62" s="53"/>
      <c r="AA62" s="53" t="e">
        <f t="shared" ca="1" si="22"/>
        <v>#N/A</v>
      </c>
      <c r="AB62" s="53" t="e">
        <f t="shared" ca="1" si="22"/>
        <v>#N/A</v>
      </c>
      <c r="AC62" s="53"/>
      <c r="AD62" s="53"/>
      <c r="AE62" s="53"/>
      <c r="AF62" s="53"/>
      <c r="AH62" s="56"/>
      <c r="AI62" s="56"/>
    </row>
    <row r="63" spans="1:38" ht="14.25">
      <c r="A63" s="57">
        <v>180</v>
      </c>
      <c r="B63" s="18" t="s">
        <v>147</v>
      </c>
      <c r="C63" s="54">
        <v>0</v>
      </c>
      <c r="D63" s="21">
        <f t="shared" si="29"/>
        <v>0</v>
      </c>
      <c r="E63" s="18" t="s">
        <v>147</v>
      </c>
      <c r="F63" s="54">
        <v>0</v>
      </c>
      <c r="G63" s="21">
        <f t="shared" si="27"/>
        <v>0</v>
      </c>
      <c r="K63" s="235">
        <f t="shared" si="13"/>
        <v>14</v>
      </c>
      <c r="L63" s="46" t="e">
        <f t="shared" ref="L63:T63" ca="1" si="34">+($K63*(L34))*$K$44*(1+$C$5/($C$4+$C$3-$C$5))</f>
        <v>#N/A</v>
      </c>
      <c r="M63" s="46" t="e">
        <f t="shared" ca="1" si="34"/>
        <v>#N/A</v>
      </c>
      <c r="N63" s="46" t="e">
        <f t="shared" ca="1" si="34"/>
        <v>#N/A</v>
      </c>
      <c r="O63" s="46" t="e">
        <f t="shared" ca="1" si="34"/>
        <v>#N/A</v>
      </c>
      <c r="P63" s="46" t="e">
        <f t="shared" ca="1" si="34"/>
        <v>#N/A</v>
      </c>
      <c r="Q63" s="46" t="e">
        <f t="shared" ca="1" si="34"/>
        <v>#N/A</v>
      </c>
      <c r="R63" s="46" t="e">
        <f t="shared" ca="1" si="34"/>
        <v>#N/A</v>
      </c>
      <c r="S63" s="46" t="e">
        <f t="shared" ca="1" si="34"/>
        <v>#N/A</v>
      </c>
      <c r="T63" s="46" t="e">
        <f t="shared" ca="1" si="34"/>
        <v>#N/A</v>
      </c>
      <c r="U63" s="46"/>
      <c r="V63" s="46"/>
      <c r="W63" s="46" t="e">
        <f t="shared" ca="1" si="12"/>
        <v>#N/A</v>
      </c>
      <c r="X63" s="24"/>
      <c r="Y63" s="5">
        <v>8</v>
      </c>
      <c r="Z63" s="53"/>
      <c r="AA63" s="53" t="e">
        <f t="shared" ca="1" si="22"/>
        <v>#N/A</v>
      </c>
      <c r="AB63" s="53" t="e">
        <f t="shared" ca="1" si="22"/>
        <v>#N/A</v>
      </c>
      <c r="AC63" s="53"/>
      <c r="AD63" s="53"/>
      <c r="AE63" s="53"/>
      <c r="AF63" s="53"/>
      <c r="AH63" s="56"/>
      <c r="AI63" s="56"/>
    </row>
    <row r="64" spans="1:38" ht="14.25">
      <c r="A64" s="57">
        <v>270</v>
      </c>
      <c r="B64" s="18" t="s">
        <v>148</v>
      </c>
      <c r="C64" s="54">
        <v>0</v>
      </c>
      <c r="D64" s="21">
        <f t="shared" si="29"/>
        <v>0</v>
      </c>
      <c r="E64" s="18" t="s">
        <v>148</v>
      </c>
      <c r="F64" s="54">
        <v>0</v>
      </c>
      <c r="G64" s="21">
        <f t="shared" si="27"/>
        <v>0</v>
      </c>
      <c r="K64" s="235">
        <f t="shared" si="13"/>
        <v>15</v>
      </c>
      <c r="L64" s="46" t="e">
        <f t="shared" ref="L64:T64" ca="1" si="35">+($K64*(L35))*$K$44*(1+$C$5/($C$4+$C$3-$C$5))</f>
        <v>#N/A</v>
      </c>
      <c r="M64" s="46" t="e">
        <f t="shared" ca="1" si="35"/>
        <v>#N/A</v>
      </c>
      <c r="N64" s="46" t="e">
        <f t="shared" ca="1" si="35"/>
        <v>#N/A</v>
      </c>
      <c r="O64" s="46" t="e">
        <f t="shared" ca="1" si="35"/>
        <v>#N/A</v>
      </c>
      <c r="P64" s="46" t="e">
        <f t="shared" ca="1" si="35"/>
        <v>#N/A</v>
      </c>
      <c r="Q64" s="46" t="e">
        <f t="shared" ca="1" si="35"/>
        <v>#N/A</v>
      </c>
      <c r="R64" s="46" t="e">
        <f t="shared" ca="1" si="35"/>
        <v>#N/A</v>
      </c>
      <c r="S64" s="46" t="e">
        <f t="shared" ca="1" si="35"/>
        <v>#N/A</v>
      </c>
      <c r="T64" s="46" t="e">
        <f t="shared" ca="1" si="35"/>
        <v>#N/A</v>
      </c>
      <c r="U64" s="46"/>
      <c r="V64" s="46"/>
      <c r="W64" s="46" t="e">
        <f t="shared" ca="1" si="12"/>
        <v>#N/A</v>
      </c>
      <c r="X64" s="24"/>
      <c r="Z64" s="53">
        <v>5</v>
      </c>
      <c r="AA64" s="53" t="e">
        <f t="shared" ca="1" si="22"/>
        <v>#N/A</v>
      </c>
      <c r="AB64" s="53" t="e">
        <f t="shared" ca="1" si="22"/>
        <v>#N/A</v>
      </c>
      <c r="AC64" s="53"/>
      <c r="AD64" s="53"/>
      <c r="AE64" s="53"/>
      <c r="AF64" s="53"/>
      <c r="AH64" s="56"/>
      <c r="AI64" s="56"/>
    </row>
    <row r="65" spans="1:35" ht="14.25">
      <c r="A65" s="57">
        <v>365</v>
      </c>
      <c r="B65" s="18" t="s">
        <v>149</v>
      </c>
      <c r="C65" s="54">
        <v>0</v>
      </c>
      <c r="D65" s="21">
        <f t="shared" si="29"/>
        <v>0</v>
      </c>
      <c r="E65" s="18" t="s">
        <v>149</v>
      </c>
      <c r="F65" s="54">
        <v>0</v>
      </c>
      <c r="G65" s="21">
        <f t="shared" si="27"/>
        <v>0</v>
      </c>
      <c r="K65" s="235">
        <f t="shared" si="13"/>
        <v>16</v>
      </c>
      <c r="L65" s="46" t="e">
        <f t="shared" ref="L65:T65" ca="1" si="36">+($K65*(L36))*$K$44*(1+$C$5/($C$4+$C$3-$C$5))</f>
        <v>#N/A</v>
      </c>
      <c r="M65" s="46" t="e">
        <f t="shared" ca="1" si="36"/>
        <v>#N/A</v>
      </c>
      <c r="N65" s="46" t="e">
        <f t="shared" ca="1" si="36"/>
        <v>#N/A</v>
      </c>
      <c r="O65" s="46" t="e">
        <f t="shared" ca="1" si="36"/>
        <v>#N/A</v>
      </c>
      <c r="P65" s="46" t="e">
        <f t="shared" ca="1" si="36"/>
        <v>#N/A</v>
      </c>
      <c r="Q65" s="46" t="e">
        <f t="shared" ca="1" si="36"/>
        <v>#N/A</v>
      </c>
      <c r="R65" s="46" t="e">
        <f t="shared" ca="1" si="36"/>
        <v>#N/A</v>
      </c>
      <c r="S65" s="46" t="e">
        <f t="shared" ca="1" si="36"/>
        <v>#N/A</v>
      </c>
      <c r="T65" s="46" t="e">
        <f t="shared" ca="1" si="36"/>
        <v>#N/A</v>
      </c>
      <c r="U65" s="46"/>
      <c r="V65" s="46"/>
      <c r="W65" s="46" t="e">
        <f t="shared" ca="1" si="12"/>
        <v>#N/A</v>
      </c>
      <c r="X65" s="24"/>
      <c r="Z65" s="53"/>
      <c r="AA65" s="53" t="e">
        <f t="shared" ca="1" si="22"/>
        <v>#N/A</v>
      </c>
      <c r="AB65" s="53" t="e">
        <f t="shared" ca="1" si="22"/>
        <v>#N/A</v>
      </c>
      <c r="AC65" s="53" t="e">
        <f ca="1">SUM(AA52:AB68)/10</f>
        <v>#N/A</v>
      </c>
      <c r="AD65" s="53"/>
      <c r="AE65" s="53"/>
      <c r="AF65" s="53"/>
      <c r="AH65" s="56"/>
      <c r="AI65" s="56"/>
    </row>
    <row r="66" spans="1:35" ht="14.25">
      <c r="A66" s="57">
        <v>548</v>
      </c>
      <c r="B66" s="18" t="s">
        <v>150</v>
      </c>
      <c r="C66" s="54">
        <v>0</v>
      </c>
      <c r="D66" s="21">
        <f t="shared" si="29"/>
        <v>0</v>
      </c>
      <c r="E66" s="18" t="s">
        <v>150</v>
      </c>
      <c r="F66" s="54">
        <v>0</v>
      </c>
      <c r="G66" s="21">
        <f t="shared" si="27"/>
        <v>0</v>
      </c>
      <c r="K66" s="235">
        <f t="shared" si="13"/>
        <v>17</v>
      </c>
      <c r="L66" s="46" t="e">
        <f t="shared" ref="L66:T66" ca="1" si="37">+($K66*(L37))*$K$44*(1+$C$5/($C$4+$C$3-$C$5))</f>
        <v>#N/A</v>
      </c>
      <c r="M66" s="46" t="e">
        <f t="shared" ca="1" si="37"/>
        <v>#N/A</v>
      </c>
      <c r="N66" s="46" t="e">
        <f t="shared" ca="1" si="37"/>
        <v>#N/A</v>
      </c>
      <c r="O66" s="46" t="e">
        <f t="shared" ca="1" si="37"/>
        <v>#N/A</v>
      </c>
      <c r="P66" s="46" t="e">
        <f t="shared" ca="1" si="37"/>
        <v>#N/A</v>
      </c>
      <c r="Q66" s="46" t="e">
        <f t="shared" ca="1" si="37"/>
        <v>#N/A</v>
      </c>
      <c r="R66" s="46" t="e">
        <f t="shared" ca="1" si="37"/>
        <v>#N/A</v>
      </c>
      <c r="S66" s="46" t="e">
        <f t="shared" ca="1" si="37"/>
        <v>#N/A</v>
      </c>
      <c r="T66" s="46" t="e">
        <f t="shared" ca="1" si="37"/>
        <v>#N/A</v>
      </c>
      <c r="U66" s="46"/>
      <c r="V66" s="46"/>
      <c r="W66" s="46" t="e">
        <f t="shared" ca="1" si="12"/>
        <v>#N/A</v>
      </c>
      <c r="X66" s="24"/>
      <c r="Z66" s="53"/>
      <c r="AA66" s="53" t="e">
        <f t="shared" ca="1" si="22"/>
        <v>#N/A</v>
      </c>
      <c r="AB66" s="53" t="e">
        <f t="shared" ca="1" si="22"/>
        <v>#N/A</v>
      </c>
      <c r="AC66" s="53"/>
      <c r="AD66" s="53"/>
      <c r="AE66" s="53"/>
      <c r="AF66" s="53"/>
      <c r="AH66" s="56"/>
      <c r="AI66" s="56"/>
    </row>
    <row r="67" spans="1:35" ht="14.25">
      <c r="A67" s="57">
        <v>730</v>
      </c>
      <c r="B67" s="18" t="s">
        <v>151</v>
      </c>
      <c r="C67" s="54">
        <v>0</v>
      </c>
      <c r="D67" s="21">
        <f t="shared" si="29"/>
        <v>0</v>
      </c>
      <c r="E67" s="18" t="s">
        <v>151</v>
      </c>
      <c r="F67" s="54">
        <v>0</v>
      </c>
      <c r="G67" s="21">
        <f t="shared" si="27"/>
        <v>0</v>
      </c>
      <c r="K67" s="235">
        <f t="shared" si="13"/>
        <v>18</v>
      </c>
      <c r="L67" s="46" t="e">
        <f t="shared" ref="L67:T67" ca="1" si="38">+($K67*(L38))*$K$44*(1+$C$5/($C$4+$C$3-$C$5))</f>
        <v>#N/A</v>
      </c>
      <c r="M67" s="46" t="e">
        <f t="shared" ca="1" si="38"/>
        <v>#N/A</v>
      </c>
      <c r="N67" s="46" t="e">
        <f t="shared" ca="1" si="38"/>
        <v>#N/A</v>
      </c>
      <c r="O67" s="46" t="e">
        <f t="shared" ca="1" si="38"/>
        <v>#N/A</v>
      </c>
      <c r="P67" s="46" t="e">
        <f t="shared" ca="1" si="38"/>
        <v>#N/A</v>
      </c>
      <c r="Q67" s="46" t="e">
        <f t="shared" ca="1" si="38"/>
        <v>#N/A</v>
      </c>
      <c r="R67" s="46" t="e">
        <f t="shared" ca="1" si="38"/>
        <v>#N/A</v>
      </c>
      <c r="S67" s="46" t="e">
        <f t="shared" ca="1" si="38"/>
        <v>#N/A</v>
      </c>
      <c r="T67" s="46" t="e">
        <f t="shared" ca="1" si="38"/>
        <v>#N/A</v>
      </c>
      <c r="U67" s="46"/>
      <c r="V67" s="46"/>
      <c r="W67" s="46" t="e">
        <f t="shared" ca="1" si="12"/>
        <v>#N/A</v>
      </c>
      <c r="X67" s="24"/>
      <c r="Z67" s="53"/>
      <c r="AA67" s="53" t="e">
        <f t="shared" ca="1" si="22"/>
        <v>#N/A</v>
      </c>
      <c r="AB67" s="53" t="e">
        <f t="shared" ca="1" si="22"/>
        <v>#N/A</v>
      </c>
      <c r="AC67" s="53"/>
      <c r="AD67" s="53"/>
      <c r="AE67" s="53"/>
      <c r="AF67" s="53"/>
      <c r="AH67" s="56"/>
      <c r="AI67" s="56"/>
    </row>
    <row r="68" spans="1:35" ht="14.25">
      <c r="A68" s="57">
        <v>1095</v>
      </c>
      <c r="B68" s="18" t="s">
        <v>152</v>
      </c>
      <c r="C68" s="54">
        <v>0</v>
      </c>
      <c r="D68" s="21">
        <f t="shared" si="29"/>
        <v>0</v>
      </c>
      <c r="E68" s="18" t="s">
        <v>152</v>
      </c>
      <c r="F68" s="54">
        <v>0</v>
      </c>
      <c r="G68" s="21">
        <f t="shared" si="27"/>
        <v>0</v>
      </c>
      <c r="K68" s="235">
        <f t="shared" si="13"/>
        <v>19</v>
      </c>
      <c r="L68" s="46" t="e">
        <f t="shared" ref="L68:T68" ca="1" si="39">+($K68*(L39))*$K$44*(1+$C$5/($C$4+$C$3-$C$5))</f>
        <v>#N/A</v>
      </c>
      <c r="M68" s="46" t="e">
        <f t="shared" ca="1" si="39"/>
        <v>#N/A</v>
      </c>
      <c r="N68" s="46" t="e">
        <f t="shared" ca="1" si="39"/>
        <v>#N/A</v>
      </c>
      <c r="O68" s="46" t="e">
        <f t="shared" ca="1" si="39"/>
        <v>#N/A</v>
      </c>
      <c r="P68" s="46" t="e">
        <f t="shared" ca="1" si="39"/>
        <v>#N/A</v>
      </c>
      <c r="Q68" s="46" t="e">
        <f t="shared" ca="1" si="39"/>
        <v>#N/A</v>
      </c>
      <c r="R68" s="46" t="e">
        <f t="shared" ca="1" si="39"/>
        <v>#N/A</v>
      </c>
      <c r="S68" s="46" t="e">
        <f t="shared" ca="1" si="39"/>
        <v>#N/A</v>
      </c>
      <c r="T68" s="46" t="e">
        <f t="shared" ca="1" si="39"/>
        <v>#N/A</v>
      </c>
      <c r="U68" s="46"/>
      <c r="V68" s="46"/>
      <c r="W68" s="46" t="e">
        <f t="shared" ca="1" si="12"/>
        <v>#N/A</v>
      </c>
      <c r="Z68" s="53">
        <v>7</v>
      </c>
      <c r="AA68" s="53" t="e">
        <f t="shared" ca="1" si="22"/>
        <v>#N/A</v>
      </c>
      <c r="AB68" s="53" t="e">
        <f t="shared" ca="1" si="22"/>
        <v>#N/A</v>
      </c>
      <c r="AC68" s="53"/>
      <c r="AD68" s="53"/>
      <c r="AE68" s="53"/>
      <c r="AF68" s="53"/>
      <c r="AH68" s="56"/>
      <c r="AI68" s="56"/>
    </row>
    <row r="69" spans="1:35" ht="15" thickBot="1">
      <c r="A69" s="57">
        <v>1460</v>
      </c>
      <c r="B69" s="18" t="s">
        <v>153</v>
      </c>
      <c r="C69" s="54">
        <v>0</v>
      </c>
      <c r="D69" s="21">
        <f t="shared" si="29"/>
        <v>0</v>
      </c>
      <c r="E69" s="18" t="s">
        <v>153</v>
      </c>
      <c r="F69" s="54">
        <v>0</v>
      </c>
      <c r="G69" s="21">
        <f t="shared" si="27"/>
        <v>0</v>
      </c>
      <c r="K69" s="252">
        <f t="shared" si="13"/>
        <v>20</v>
      </c>
      <c r="L69" s="253" t="e">
        <f t="shared" ref="L69:T69" ca="1" si="40">+($K69*(L40))*$K$44*(1+$C$5/($C$4+$C$3-$C$5))</f>
        <v>#N/A</v>
      </c>
      <c r="M69" s="253" t="e">
        <f t="shared" ca="1" si="40"/>
        <v>#N/A</v>
      </c>
      <c r="N69" s="253" t="e">
        <f t="shared" ca="1" si="40"/>
        <v>#N/A</v>
      </c>
      <c r="O69" s="253" t="e">
        <f t="shared" ca="1" si="40"/>
        <v>#N/A</v>
      </c>
      <c r="P69" s="253" t="e">
        <f t="shared" ca="1" si="40"/>
        <v>#N/A</v>
      </c>
      <c r="Q69" s="253" t="e">
        <f t="shared" ca="1" si="40"/>
        <v>#N/A</v>
      </c>
      <c r="R69" s="253" t="e">
        <f t="shared" ca="1" si="40"/>
        <v>#N/A</v>
      </c>
      <c r="S69" s="253" t="e">
        <f t="shared" ca="1" si="40"/>
        <v>#N/A</v>
      </c>
      <c r="T69" s="253" t="e">
        <f t="shared" ca="1" si="40"/>
        <v>#N/A</v>
      </c>
      <c r="U69" s="253"/>
      <c r="V69" s="253"/>
      <c r="W69" s="253" t="e">
        <f t="shared" ca="1" si="12"/>
        <v>#N/A</v>
      </c>
      <c r="Z69" s="53"/>
      <c r="AA69" s="53"/>
      <c r="AB69" s="53"/>
      <c r="AC69" s="53"/>
      <c r="AD69" s="53"/>
      <c r="AE69" s="53"/>
      <c r="AF69" s="53"/>
      <c r="AH69" s="56"/>
      <c r="AI69" s="56"/>
    </row>
    <row r="70" spans="1:35" ht="15">
      <c r="A70" s="57">
        <v>1825</v>
      </c>
      <c r="B70" s="18" t="s">
        <v>154</v>
      </c>
      <c r="C70" s="54">
        <v>0</v>
      </c>
      <c r="D70" s="21">
        <f t="shared" si="29"/>
        <v>0</v>
      </c>
      <c r="E70" s="18" t="s">
        <v>154</v>
      </c>
      <c r="F70" s="54">
        <v>0</v>
      </c>
      <c r="G70" s="21">
        <f t="shared" si="27"/>
        <v>0</v>
      </c>
      <c r="K70" s="254"/>
      <c r="L70" s="255" t="e">
        <f t="shared" ref="L70:T70" ca="1" si="41">+SUM(L46:L69)</f>
        <v>#N/A</v>
      </c>
      <c r="M70" s="255" t="e">
        <f t="shared" ca="1" si="41"/>
        <v>#N/A</v>
      </c>
      <c r="N70" s="255" t="e">
        <f t="shared" ca="1" si="41"/>
        <v>#N/A</v>
      </c>
      <c r="O70" s="255" t="e">
        <f t="shared" ca="1" si="41"/>
        <v>#N/A</v>
      </c>
      <c r="P70" s="255" t="e">
        <f t="shared" ca="1" si="41"/>
        <v>#N/A</v>
      </c>
      <c r="Q70" s="255" t="e">
        <f t="shared" ca="1" si="41"/>
        <v>#N/A</v>
      </c>
      <c r="R70" s="255" t="e">
        <f t="shared" ca="1" si="41"/>
        <v>#N/A</v>
      </c>
      <c r="S70" s="255" t="e">
        <f t="shared" ca="1" si="41"/>
        <v>#N/A</v>
      </c>
      <c r="T70" s="255" t="e">
        <f t="shared" ca="1" si="41"/>
        <v>#N/A</v>
      </c>
      <c r="U70" s="255"/>
      <c r="V70" s="255"/>
      <c r="W70" s="256" t="e">
        <f ca="1">+SUM(L46:V69)</f>
        <v>#N/A</v>
      </c>
      <c r="Z70" s="53"/>
      <c r="AA70" s="53"/>
      <c r="AB70" s="53"/>
      <c r="AC70" s="53"/>
      <c r="AD70" s="53"/>
      <c r="AE70" s="53"/>
      <c r="AF70" s="53"/>
      <c r="AH70" s="56"/>
      <c r="AI70" s="56"/>
    </row>
    <row r="71" spans="1:35" ht="14.25">
      <c r="A71" s="57">
        <v>2190</v>
      </c>
      <c r="B71" s="18" t="s">
        <v>155</v>
      </c>
      <c r="C71" s="54">
        <v>0</v>
      </c>
      <c r="D71" s="21">
        <f t="shared" si="29"/>
        <v>0</v>
      </c>
      <c r="E71" s="18" t="s">
        <v>155</v>
      </c>
      <c r="F71" s="54">
        <v>0</v>
      </c>
      <c r="G71" s="21">
        <f t="shared" si="27"/>
        <v>0</v>
      </c>
      <c r="Z71" s="53"/>
      <c r="AA71" s="53"/>
      <c r="AB71" s="53"/>
      <c r="AC71" s="53"/>
      <c r="AD71" s="53"/>
      <c r="AE71" s="53"/>
      <c r="AF71" s="53"/>
      <c r="AH71" s="56"/>
      <c r="AI71" s="56"/>
    </row>
    <row r="81" spans="32:32" ht="12">
      <c r="AF81" s="17"/>
    </row>
    <row r="82" spans="32:32" ht="12">
      <c r="AF82" s="17"/>
    </row>
    <row r="83" spans="32:32" ht="12">
      <c r="AF83" s="17"/>
    </row>
  </sheetData>
  <mergeCells count="4">
    <mergeCell ref="K44:L44"/>
    <mergeCell ref="L5:N5"/>
    <mergeCell ref="B2:C2"/>
    <mergeCell ref="I9:K9"/>
  </mergeCells>
  <conditionalFormatting sqref="E16:E24">
    <cfRule type="colorScale" priority="23">
      <colorScale>
        <cfvo type="min"/>
        <cfvo type="max"/>
        <color theme="0"/>
        <color theme="7" tint="0.39997558519241921"/>
      </colorScale>
    </cfRule>
  </conditionalFormatting>
  <conditionalFormatting sqref="E29:E37">
    <cfRule type="colorScale" priority="22">
      <colorScale>
        <cfvo type="min"/>
        <cfvo type="max"/>
        <color theme="0"/>
        <color theme="7" tint="0.39997558519241921"/>
      </colorScale>
    </cfRule>
  </conditionalFormatting>
  <conditionalFormatting sqref="L17:L40">
    <cfRule type="colorScale" priority="21">
      <colorScale>
        <cfvo type="min"/>
        <cfvo type="max"/>
        <color theme="0"/>
        <color theme="7" tint="0.39997558519241921"/>
      </colorScale>
    </cfRule>
  </conditionalFormatting>
  <conditionalFormatting sqref="M17:M40">
    <cfRule type="colorScale" priority="19">
      <colorScale>
        <cfvo type="min"/>
        <cfvo type="max"/>
        <color theme="0"/>
        <color theme="7" tint="0.39997558519241921"/>
      </colorScale>
    </cfRule>
  </conditionalFormatting>
  <conditionalFormatting sqref="O17:O40">
    <cfRule type="colorScale" priority="18">
      <colorScale>
        <cfvo type="min"/>
        <cfvo type="max"/>
        <color theme="0"/>
        <color theme="7" tint="0.39997558519241921"/>
      </colorScale>
    </cfRule>
  </conditionalFormatting>
  <conditionalFormatting sqref="Q17:Q40">
    <cfRule type="colorScale" priority="17">
      <colorScale>
        <cfvo type="min"/>
        <cfvo type="max"/>
        <color theme="0"/>
        <color theme="7" tint="0.39997558519241921"/>
      </colorScale>
    </cfRule>
  </conditionalFormatting>
  <conditionalFormatting sqref="R17:R40">
    <cfRule type="colorScale" priority="16">
      <colorScale>
        <cfvo type="min"/>
        <cfvo type="max"/>
        <color theme="0"/>
        <color theme="7" tint="0.39997558519241921"/>
      </colorScale>
    </cfRule>
  </conditionalFormatting>
  <conditionalFormatting sqref="W17:W40">
    <cfRule type="colorScale" priority="13">
      <colorScale>
        <cfvo type="min"/>
        <cfvo type="max"/>
        <color theme="0"/>
        <color theme="7" tint="0.39997558519241921"/>
      </colorScale>
    </cfRule>
  </conditionalFormatting>
  <conditionalFormatting sqref="P17:P40">
    <cfRule type="cellIs" dxfId="55" priority="11" operator="equal">
      <formula>0</formula>
    </cfRule>
    <cfRule type="colorScale" priority="12">
      <colorScale>
        <cfvo type="min"/>
        <cfvo type="max"/>
        <color theme="0"/>
        <color theme="7" tint="0.39997558519241921"/>
      </colorScale>
    </cfRule>
  </conditionalFormatting>
  <conditionalFormatting sqref="N17:N40">
    <cfRule type="cellIs" dxfId="54" priority="9" operator="equal">
      <formula>0</formula>
    </cfRule>
    <cfRule type="colorScale" priority="10">
      <colorScale>
        <cfvo type="min"/>
        <cfvo type="max"/>
        <color theme="0"/>
        <color theme="7" tint="0.39997558519241921"/>
      </colorScale>
    </cfRule>
  </conditionalFormatting>
  <conditionalFormatting sqref="L47:V69">
    <cfRule type="colorScale" priority="8">
      <colorScale>
        <cfvo type="min"/>
        <cfvo type="max"/>
        <color theme="0"/>
        <color theme="7" tint="0.39997558519241921"/>
      </colorScale>
    </cfRule>
  </conditionalFormatting>
  <conditionalFormatting sqref="W47:W69">
    <cfRule type="colorScale" priority="7">
      <colorScale>
        <cfvo type="min"/>
        <cfvo type="max"/>
        <color theme="0"/>
        <color theme="7" tint="0.39997558519241921"/>
      </colorScale>
    </cfRule>
  </conditionalFormatting>
  <conditionalFormatting sqref="L70:V70">
    <cfRule type="colorScale" priority="6">
      <colorScale>
        <cfvo type="min"/>
        <cfvo type="max"/>
        <color theme="0"/>
        <color theme="7" tint="0.39997558519241921"/>
      </colorScale>
    </cfRule>
  </conditionalFormatting>
  <conditionalFormatting sqref="Q17:R40">
    <cfRule type="cellIs" dxfId="53" priority="5" operator="equal">
      <formula>0</formula>
    </cfRule>
  </conditionalFormatting>
  <conditionalFormatting sqref="S17:S40">
    <cfRule type="colorScale" priority="4">
      <colorScale>
        <cfvo type="min"/>
        <cfvo type="max"/>
        <color theme="0"/>
        <color theme="7" tint="0.39997558519241921"/>
      </colorScale>
    </cfRule>
  </conditionalFormatting>
  <conditionalFormatting sqref="S17:S40">
    <cfRule type="cellIs" dxfId="52" priority="3" operator="equal">
      <formula>0</formula>
    </cfRule>
  </conditionalFormatting>
  <conditionalFormatting sqref="T17:T40">
    <cfRule type="colorScale" priority="2">
      <colorScale>
        <cfvo type="min"/>
        <cfvo type="max"/>
        <color theme="0"/>
        <color theme="7" tint="0.39997558519241921"/>
      </colorScale>
    </cfRule>
  </conditionalFormatting>
  <conditionalFormatting sqref="T17:T40">
    <cfRule type="cellIs" dxfId="51" priority="1" operator="equal">
      <formula>0</formula>
    </cfRule>
  </conditionalFormatting>
  <printOptions horizontalCentered="1"/>
  <pageMargins left="7.874015748031496E-2" right="3.937007874015748E-2" top="0.74803149606299213" bottom="0.74803149606299213" header="0.31496062992125984" footer="0.31496062992125984"/>
  <pageSetup scale="1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Inicio!$B$6:$B$14</xm:f>
          </x14:formula1>
          <xm:sqref>B2 R2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5"/>
  <dimension ref="A1:X153"/>
  <sheetViews>
    <sheetView workbookViewId="0">
      <selection activeCell="D46" sqref="D46"/>
    </sheetView>
  </sheetViews>
  <sheetFormatPr baseColWidth="10" defaultRowHeight="14.25"/>
  <cols>
    <col min="1" max="1" width="46.25" bestFit="1" customWidth="1"/>
    <col min="2" max="2" width="12.25" bestFit="1" customWidth="1"/>
    <col min="4" max="4" width="11" style="218"/>
  </cols>
  <sheetData>
    <row r="1" spans="1:24" s="218" customFormat="1">
      <c r="E1" s="181" t="e">
        <f>+DATE(LEFT(E2,4),MID(E2,6,2),RIGHT(E2,2))</f>
        <v>#VALUE!</v>
      </c>
      <c r="F1" s="181">
        <f>+F2</f>
        <v>0</v>
      </c>
      <c r="G1" s="181">
        <f t="shared" ref="G1:X1" si="0">+G2</f>
        <v>0</v>
      </c>
      <c r="H1" s="181">
        <f t="shared" si="0"/>
        <v>0</v>
      </c>
      <c r="I1" s="181">
        <f t="shared" si="0"/>
        <v>0</v>
      </c>
      <c r="J1" s="181">
        <f t="shared" si="0"/>
        <v>0</v>
      </c>
      <c r="K1" s="181">
        <f t="shared" si="0"/>
        <v>0</v>
      </c>
      <c r="L1" s="181">
        <f t="shared" si="0"/>
        <v>0</v>
      </c>
      <c r="M1" s="181">
        <f t="shared" si="0"/>
        <v>0</v>
      </c>
      <c r="N1" s="181">
        <f t="shared" si="0"/>
        <v>0</v>
      </c>
      <c r="O1" s="181">
        <f t="shared" si="0"/>
        <v>0</v>
      </c>
      <c r="P1" s="181">
        <f t="shared" si="0"/>
        <v>0</v>
      </c>
      <c r="Q1" s="181">
        <f t="shared" si="0"/>
        <v>0</v>
      </c>
      <c r="R1" s="181">
        <f t="shared" si="0"/>
        <v>0</v>
      </c>
      <c r="S1" s="181">
        <f t="shared" si="0"/>
        <v>0</v>
      </c>
      <c r="T1" s="181">
        <f t="shared" si="0"/>
        <v>0</v>
      </c>
      <c r="U1" s="181">
        <f t="shared" si="0"/>
        <v>0</v>
      </c>
      <c r="V1" s="181">
        <f t="shared" si="0"/>
        <v>0</v>
      </c>
      <c r="W1" s="181">
        <f t="shared" si="0"/>
        <v>0</v>
      </c>
      <c r="X1" s="181">
        <f t="shared" si="0"/>
        <v>0</v>
      </c>
    </row>
    <row r="2" spans="1:24">
      <c r="B2" s="181" t="str">
        <f>+Posicionamiento!B2</f>
        <v>IMT E-PLUS</v>
      </c>
      <c r="E2" s="181">
        <f>+[3]SerieVol!B$1</f>
        <v>0</v>
      </c>
      <c r="F2" s="181">
        <f>+[3]SerieVol!C$1</f>
        <v>0</v>
      </c>
      <c r="G2" s="181">
        <f>+[3]SerieVol!D$1</f>
        <v>0</v>
      </c>
      <c r="H2" s="181">
        <f>+[3]SerieVol!E$1</f>
        <v>0</v>
      </c>
      <c r="I2" s="181">
        <f>+[3]SerieVol!F$1</f>
        <v>0</v>
      </c>
      <c r="J2" s="181">
        <f>+[3]SerieVol!G$1</f>
        <v>0</v>
      </c>
      <c r="K2" s="181">
        <f>+[3]SerieVol!H$1</f>
        <v>0</v>
      </c>
      <c r="L2" s="181">
        <f>+[3]SerieVol!I$1</f>
        <v>0</v>
      </c>
      <c r="M2" s="181">
        <f>+[3]SerieVol!J$1</f>
        <v>0</v>
      </c>
      <c r="N2" s="181">
        <f>+[3]SerieVol!K$1</f>
        <v>0</v>
      </c>
      <c r="O2" s="181">
        <f>+[3]SerieVol!L$1</f>
        <v>0</v>
      </c>
      <c r="P2" s="181">
        <f>+[3]SerieVol!M$1</f>
        <v>0</v>
      </c>
      <c r="Q2" s="181">
        <f>+[3]SerieVol!N$1</f>
        <v>0</v>
      </c>
      <c r="R2" s="181">
        <f>+[3]SerieVol!O$1</f>
        <v>0</v>
      </c>
      <c r="S2" s="181">
        <f>+[3]SerieVol!P$1</f>
        <v>0</v>
      </c>
      <c r="T2" s="181">
        <f>+[3]SerieVol!Q$1</f>
        <v>0</v>
      </c>
      <c r="U2" s="181">
        <f>+[3]SerieVol!R$1</f>
        <v>0</v>
      </c>
      <c r="V2" s="181">
        <f>+[3]SerieVol!S$1</f>
        <v>0</v>
      </c>
      <c r="W2" s="181">
        <f>+[3]SerieVol!T$1</f>
        <v>0</v>
      </c>
      <c r="X2" s="181">
        <f>+[3]SerieVol!U$1</f>
        <v>0</v>
      </c>
    </row>
    <row r="3" spans="1:24">
      <c r="A3" s="218" t="s">
        <v>61</v>
      </c>
      <c r="B3">
        <f>+INDEX([3]Rectangulos!$A$2:$E$2000,MATCH($A3,[3]Rectangulos!$A$2:$A$2000,0),MATCH(B$2,[3]Rectangulos!$A$1:$E$1,0))</f>
        <v>0</v>
      </c>
      <c r="D3" s="218" t="s">
        <v>9</v>
      </c>
      <c r="E3" s="125">
        <f>+IF($B$2="MACRO 1.5",[3]SerieVol!B2,IF($B$2="MACRO CLP3",[3]SerieVol!B12,IF($B$2="IMT E-PLUS",[3]SerieVol!B22,[3]SerieVol!B32)))</f>
        <v>0</v>
      </c>
      <c r="F3" s="125">
        <f>+IF($B$2="MACRO 1.5",[3]SerieVol!C2,IF($B$2="MACRO CLP3",[3]SerieVol!C12,IF($B$2="IMT E-PLUS",[3]SerieVol!C22,[3]SerieVol!C32)))</f>
        <v>0</v>
      </c>
      <c r="G3" s="125">
        <f>+IF($B$2="MACRO 1.5",[3]SerieVol!D2,IF($B$2="MACRO CLP3",[3]SerieVol!D12,IF($B$2="IMT E-PLUS",[3]SerieVol!D22,[3]SerieVol!D32)))</f>
        <v>0</v>
      </c>
      <c r="H3" s="125">
        <f>+IF($B$2="MACRO 1.5",[3]SerieVol!E2,IF($B$2="MACRO CLP3",[3]SerieVol!E12,IF($B$2="IMT E-PLUS",[3]SerieVol!E22,[3]SerieVol!E32)))</f>
        <v>0</v>
      </c>
      <c r="I3" s="125">
        <f>+IF($B$2="MACRO 1.5",[3]SerieVol!F2,IF($B$2="MACRO CLP3",[3]SerieVol!F12,IF($B$2="IMT E-PLUS",[3]SerieVol!F22,[3]SerieVol!F32)))</f>
        <v>0</v>
      </c>
      <c r="J3" s="125">
        <f>+IF($B$2="MACRO 1.5",[3]SerieVol!G2,IF($B$2="MACRO CLP3",[3]SerieVol!G12,IF($B$2="IMT E-PLUS",[3]SerieVol!G22,[3]SerieVol!G32)))</f>
        <v>0</v>
      </c>
      <c r="K3" s="125">
        <f>+IF($B$2="MACRO 1.5",[3]SerieVol!H2,IF($B$2="MACRO CLP3",[3]SerieVol!H12,IF($B$2="IMT E-PLUS",[3]SerieVol!H22,[3]SerieVol!H32)))</f>
        <v>0</v>
      </c>
      <c r="L3" s="125">
        <f>+IF($B$2="MACRO 1.5",[3]SerieVol!I2,IF($B$2="MACRO CLP3",[3]SerieVol!I12,IF($B$2="IMT E-PLUS",[3]SerieVol!I22,[3]SerieVol!I32)))</f>
        <v>0</v>
      </c>
      <c r="M3" s="125">
        <f>+IF($B$2="MACRO 1.5",[3]SerieVol!J2,IF($B$2="MACRO CLP3",[3]SerieVol!J12,IF($B$2="IMT E-PLUS",[3]SerieVol!J22,[3]SerieVol!J32)))</f>
        <v>0</v>
      </c>
      <c r="N3" s="125">
        <f>+IF($B$2="MACRO 1.5",[3]SerieVol!K2,IF($B$2="MACRO CLP3",[3]SerieVol!K12,IF($B$2="IMT E-PLUS",[3]SerieVol!K22,[3]SerieVol!K32)))</f>
        <v>0</v>
      </c>
      <c r="O3" s="125">
        <f>+IF($B$2="MACRO 1.5",[3]SerieVol!L2,IF($B$2="MACRO CLP3",[3]SerieVol!L12,IF($B$2="IMT E-PLUS",[3]SerieVol!L22,[3]SerieVol!L32)))</f>
        <v>0</v>
      </c>
      <c r="P3" s="125">
        <f>+IF($B$2="MACRO 1.5",[3]SerieVol!M2,IF($B$2="MACRO CLP3",[3]SerieVol!M12,IF($B$2="IMT E-PLUS",[3]SerieVol!M22,[3]SerieVol!M32)))</f>
        <v>0</v>
      </c>
      <c r="Q3" s="125">
        <f>+IF($B$2="MACRO 1.5",[3]SerieVol!N2,IF($B$2="MACRO CLP3",[3]SerieVol!N12,IF($B$2="IMT E-PLUS",[3]SerieVol!N22,[3]SerieVol!N32)))</f>
        <v>0</v>
      </c>
      <c r="R3" s="125">
        <f>+IF($B$2="MACRO 1.5",[3]SerieVol!O2,IF($B$2="MACRO CLP3",[3]SerieVol!O12,IF($B$2="IMT E-PLUS",[3]SerieVol!O22,[3]SerieVol!O32)))</f>
        <v>0</v>
      </c>
      <c r="S3" s="125">
        <f>+IF($B$2="MACRO 1.5",[3]SerieVol!P2,IF($B$2="MACRO CLP3",[3]SerieVol!P12,IF($B$2="IMT E-PLUS",[3]SerieVol!P22,[3]SerieVol!P32)))</f>
        <v>0</v>
      </c>
      <c r="T3" s="125">
        <f>+IF($B$2="MACRO 1.5",[3]SerieVol!Q2,IF($B$2="MACRO CLP3",[3]SerieVol!Q12,IF($B$2="IMT E-PLUS",[3]SerieVol!Q22,[3]SerieVol!Q32)))</f>
        <v>0</v>
      </c>
      <c r="U3" s="125">
        <f>+IF($B$2="MACRO 1.5",[3]SerieVol!R2,IF($B$2="MACRO CLP3",[3]SerieVol!R12,IF($B$2="IMT E-PLUS",[3]SerieVol!R22,[3]SerieVol!R32)))</f>
        <v>0</v>
      </c>
      <c r="V3" s="125">
        <f>+IF($B$2="MACRO 1.5",[3]SerieVol!S2,IF($B$2="MACRO CLP3",[3]SerieVol!S12,IF($B$2="IMT E-PLUS",[3]SerieVol!S22,[3]SerieVol!S32)))</f>
        <v>0</v>
      </c>
      <c r="W3" s="125">
        <f>+IF($B$2="MACRO 1.5",[3]SerieVol!T2,IF($B$2="MACRO CLP3",[3]SerieVol!T12,IF($B$2="IMT E-PLUS",[3]SerieVol!T22,[3]SerieVol!T32)))</f>
        <v>0</v>
      </c>
      <c r="X3" s="125">
        <f>+IF($B$2="MACRO 1.5",[3]SerieVol!U2,IF($B$2="MACRO CLP3",[3]SerieVol!U12,IF($B$2="IMT E-PLUS",[3]SerieVol!U22,[3]SerieVol!U32)))</f>
        <v>0</v>
      </c>
    </row>
    <row r="4" spans="1:24">
      <c r="A4" s="218" t="s">
        <v>390</v>
      </c>
      <c r="B4" s="218">
        <f>+INDEX([3]Rectangulos!$A$2:$E$2000,MATCH($A4,[3]Rectangulos!$A$2:$A$2000,0),MATCH(B$2,[3]Rectangulos!$A$1:$E$1,0))</f>
        <v>0</v>
      </c>
      <c r="D4" s="218" t="s">
        <v>6</v>
      </c>
      <c r="E4" s="125">
        <f>+IF($B$2="MACRO 1.5",[3]SerieVol!B3,IF($B$2="MACRO CLP3",[3]SerieVol!B13,IF($B$2="IMT E-PLUS",[3]SerieVol!B23,[3]SerieVol!B33)))</f>
        <v>0</v>
      </c>
      <c r="F4" s="125">
        <f>+IF($B$2="MACRO 1.5",[3]SerieVol!C3,IF($B$2="MACRO CLP3",[3]SerieVol!C13,IF($B$2="IMT E-PLUS",[3]SerieVol!C23,[3]SerieVol!C33)))</f>
        <v>0</v>
      </c>
      <c r="G4" s="125">
        <f>+IF($B$2="MACRO 1.5",[3]SerieVol!D3,IF($B$2="MACRO CLP3",[3]SerieVol!D13,IF($B$2="IMT E-PLUS",[3]SerieVol!D23,[3]SerieVol!D33)))</f>
        <v>0</v>
      </c>
      <c r="H4" s="125">
        <f>+IF($B$2="MACRO 1.5",[3]SerieVol!E3,IF($B$2="MACRO CLP3",[3]SerieVol!E13,IF($B$2="IMT E-PLUS",[3]SerieVol!E23,[3]SerieVol!E33)))</f>
        <v>0</v>
      </c>
      <c r="I4" s="125">
        <f>+IF($B$2="MACRO 1.5",[3]SerieVol!F3,IF($B$2="MACRO CLP3",[3]SerieVol!F13,IF($B$2="IMT E-PLUS",[3]SerieVol!F23,[3]SerieVol!F33)))</f>
        <v>0</v>
      </c>
      <c r="J4" s="125">
        <f>+IF($B$2="MACRO 1.5",[3]SerieVol!G3,IF($B$2="MACRO CLP3",[3]SerieVol!G13,IF($B$2="IMT E-PLUS",[3]SerieVol!G23,[3]SerieVol!G33)))</f>
        <v>0</v>
      </c>
      <c r="K4" s="125">
        <f>+IF($B$2="MACRO 1.5",[3]SerieVol!H3,IF($B$2="MACRO CLP3",[3]SerieVol!H13,IF($B$2="IMT E-PLUS",[3]SerieVol!H23,[3]SerieVol!H33)))</f>
        <v>0</v>
      </c>
      <c r="L4" s="125">
        <f>+IF($B$2="MACRO 1.5",[3]SerieVol!I3,IF($B$2="MACRO CLP3",[3]SerieVol!I13,IF($B$2="IMT E-PLUS",[3]SerieVol!I23,[3]SerieVol!I33)))</f>
        <v>0</v>
      </c>
      <c r="M4" s="125">
        <f>+IF($B$2="MACRO 1.5",[3]SerieVol!J3,IF($B$2="MACRO CLP3",[3]SerieVol!J13,IF($B$2="IMT E-PLUS",[3]SerieVol!J23,[3]SerieVol!J33)))</f>
        <v>0</v>
      </c>
      <c r="N4" s="125">
        <f>+IF($B$2="MACRO 1.5",[3]SerieVol!K3,IF($B$2="MACRO CLP3",[3]SerieVol!K13,IF($B$2="IMT E-PLUS",[3]SerieVol!K23,[3]SerieVol!K33)))</f>
        <v>0</v>
      </c>
      <c r="O4" s="125">
        <f>+IF($B$2="MACRO 1.5",[3]SerieVol!L3,IF($B$2="MACRO CLP3",[3]SerieVol!L13,IF($B$2="IMT E-PLUS",[3]SerieVol!L23,[3]SerieVol!L33)))</f>
        <v>0</v>
      </c>
      <c r="P4" s="125">
        <f>+IF($B$2="MACRO 1.5",[3]SerieVol!M3,IF($B$2="MACRO CLP3",[3]SerieVol!M13,IF($B$2="IMT E-PLUS",[3]SerieVol!M23,[3]SerieVol!M33)))</f>
        <v>0</v>
      </c>
      <c r="Q4" s="125">
        <f>+IF($B$2="MACRO 1.5",[3]SerieVol!N3,IF($B$2="MACRO CLP3",[3]SerieVol!N13,IF($B$2="IMT E-PLUS",[3]SerieVol!N23,[3]SerieVol!N33)))</f>
        <v>0</v>
      </c>
      <c r="R4" s="125">
        <f>+IF($B$2="MACRO 1.5",[3]SerieVol!O3,IF($B$2="MACRO CLP3",[3]SerieVol!O13,IF($B$2="IMT E-PLUS",[3]SerieVol!O23,[3]SerieVol!O33)))</f>
        <v>0</v>
      </c>
      <c r="S4" s="125">
        <f>+IF($B$2="MACRO 1.5",[3]SerieVol!P3,IF($B$2="MACRO CLP3",[3]SerieVol!P13,IF($B$2="IMT E-PLUS",[3]SerieVol!P23,[3]SerieVol!P33)))</f>
        <v>0</v>
      </c>
      <c r="T4" s="125">
        <f>+IF($B$2="MACRO 1.5",[3]SerieVol!Q3,IF($B$2="MACRO CLP3",[3]SerieVol!Q13,IF($B$2="IMT E-PLUS",[3]SerieVol!Q23,[3]SerieVol!Q33)))</f>
        <v>0</v>
      </c>
      <c r="U4" s="125">
        <f>+IF($B$2="MACRO 1.5",[3]SerieVol!R3,IF($B$2="MACRO CLP3",[3]SerieVol!R13,IF($B$2="IMT E-PLUS",[3]SerieVol!R23,[3]SerieVol!R33)))</f>
        <v>0</v>
      </c>
      <c r="V4" s="125">
        <f>+IF($B$2="MACRO 1.5",[3]SerieVol!S3,IF($B$2="MACRO CLP3",[3]SerieVol!S13,IF($B$2="IMT E-PLUS",[3]SerieVol!S23,[3]SerieVol!S33)))</f>
        <v>0</v>
      </c>
      <c r="W4" s="125">
        <f>+IF($B$2="MACRO 1.5",[3]SerieVol!T3,IF($B$2="MACRO CLP3",[3]SerieVol!T13,IF($B$2="IMT E-PLUS",[3]SerieVol!T23,[3]SerieVol!T33)))</f>
        <v>0</v>
      </c>
      <c r="X4" s="125">
        <f>+IF($B$2="MACRO 1.5",[3]SerieVol!U3,IF($B$2="MACRO CLP3",[3]SerieVol!U13,IF($B$2="IMT E-PLUS",[3]SerieVol!U23,[3]SerieVol!U33)))</f>
        <v>0</v>
      </c>
    </row>
    <row r="5" spans="1:24">
      <c r="A5" s="218" t="s">
        <v>52</v>
      </c>
      <c r="B5" s="218">
        <f>+INDEX([3]Rectangulos!$A$2:$E$2000,MATCH($A5,[3]Rectangulos!$A$2:$A$2000,0),MATCH(B$2,[3]Rectangulos!$A$1:$E$1,0))</f>
        <v>0</v>
      </c>
      <c r="D5" s="218" t="s">
        <v>369</v>
      </c>
      <c r="E5" s="125">
        <f>+IF($B$2="MACRO 1.5",[3]SerieVol!B4,IF($B$2="MACRO CLP3",[3]SerieVol!B14,IF($B$2="IMT E-PLUS",[3]SerieVol!B24,[3]SerieVol!B34)))</f>
        <v>0</v>
      </c>
      <c r="F5" s="125">
        <f>+IF($B$2="MACRO 1.5",[3]SerieVol!C4,IF($B$2="MACRO CLP3",[3]SerieVol!C14,IF($B$2="IMT E-PLUS",[3]SerieVol!C24,[3]SerieVol!C34)))</f>
        <v>0</v>
      </c>
      <c r="G5" s="125">
        <f>+IF($B$2="MACRO 1.5",[3]SerieVol!D4,IF($B$2="MACRO CLP3",[3]SerieVol!D14,IF($B$2="IMT E-PLUS",[3]SerieVol!D24,[3]SerieVol!D34)))</f>
        <v>0</v>
      </c>
      <c r="H5" s="125">
        <f>+IF($B$2="MACRO 1.5",[3]SerieVol!E4,IF($B$2="MACRO CLP3",[3]SerieVol!E14,IF($B$2="IMT E-PLUS",[3]SerieVol!E24,[3]SerieVol!E34)))</f>
        <v>0</v>
      </c>
      <c r="I5" s="125">
        <f>+IF($B$2="MACRO 1.5",[3]SerieVol!F4,IF($B$2="MACRO CLP3",[3]SerieVol!F14,IF($B$2="IMT E-PLUS",[3]SerieVol!F24,[3]SerieVol!F34)))</f>
        <v>0</v>
      </c>
      <c r="J5" s="125">
        <f>+IF($B$2="MACRO 1.5",[3]SerieVol!G4,IF($B$2="MACRO CLP3",[3]SerieVol!G14,IF($B$2="IMT E-PLUS",[3]SerieVol!G24,[3]SerieVol!G34)))</f>
        <v>0</v>
      </c>
      <c r="K5" s="125">
        <f>+IF($B$2="MACRO 1.5",[3]SerieVol!H4,IF($B$2="MACRO CLP3",[3]SerieVol!H14,IF($B$2="IMT E-PLUS",[3]SerieVol!H24,[3]SerieVol!H34)))</f>
        <v>0</v>
      </c>
      <c r="L5" s="125">
        <f>+IF($B$2="MACRO 1.5",[3]SerieVol!I4,IF($B$2="MACRO CLP3",[3]SerieVol!I14,IF($B$2="IMT E-PLUS",[3]SerieVol!I24,[3]SerieVol!I34)))</f>
        <v>0</v>
      </c>
      <c r="M5" s="125">
        <f>+IF($B$2="MACRO 1.5",[3]SerieVol!J4,IF($B$2="MACRO CLP3",[3]SerieVol!J14,IF($B$2="IMT E-PLUS",[3]SerieVol!J24,[3]SerieVol!J34)))</f>
        <v>0</v>
      </c>
      <c r="N5" s="125">
        <f>+IF($B$2="MACRO 1.5",[3]SerieVol!K4,IF($B$2="MACRO CLP3",[3]SerieVol!K14,IF($B$2="IMT E-PLUS",[3]SerieVol!K24,[3]SerieVol!K34)))</f>
        <v>0</v>
      </c>
      <c r="O5" s="125">
        <f>+IF($B$2="MACRO 1.5",[3]SerieVol!L4,IF($B$2="MACRO CLP3",[3]SerieVol!L14,IF($B$2="IMT E-PLUS",[3]SerieVol!L24,[3]SerieVol!L34)))</f>
        <v>0</v>
      </c>
      <c r="P5" s="125">
        <f>+IF($B$2="MACRO 1.5",[3]SerieVol!M4,IF($B$2="MACRO CLP3",[3]SerieVol!M14,IF($B$2="IMT E-PLUS",[3]SerieVol!M24,[3]SerieVol!M34)))</f>
        <v>0</v>
      </c>
      <c r="Q5" s="125">
        <f>+IF($B$2="MACRO 1.5",[3]SerieVol!N4,IF($B$2="MACRO CLP3",[3]SerieVol!N14,IF($B$2="IMT E-PLUS",[3]SerieVol!N24,[3]SerieVol!N34)))</f>
        <v>0</v>
      </c>
      <c r="R5" s="125">
        <f>+IF($B$2="MACRO 1.5",[3]SerieVol!O4,IF($B$2="MACRO CLP3",[3]SerieVol!O14,IF($B$2="IMT E-PLUS",[3]SerieVol!O24,[3]SerieVol!O34)))</f>
        <v>0</v>
      </c>
      <c r="S5" s="125">
        <f>+IF($B$2="MACRO 1.5",[3]SerieVol!P4,IF($B$2="MACRO CLP3",[3]SerieVol!P14,IF($B$2="IMT E-PLUS",[3]SerieVol!P24,[3]SerieVol!P34)))</f>
        <v>0</v>
      </c>
      <c r="T5" s="125">
        <f>+IF($B$2="MACRO 1.5",[3]SerieVol!Q4,IF($B$2="MACRO CLP3",[3]SerieVol!Q14,IF($B$2="IMT E-PLUS",[3]SerieVol!Q24,[3]SerieVol!Q34)))</f>
        <v>0</v>
      </c>
      <c r="U5" s="125">
        <f>+IF($B$2="MACRO 1.5",[3]SerieVol!R4,IF($B$2="MACRO CLP3",[3]SerieVol!R14,IF($B$2="IMT E-PLUS",[3]SerieVol!R24,[3]SerieVol!R34)))</f>
        <v>0</v>
      </c>
      <c r="V5" s="125">
        <f>+IF($B$2="MACRO 1.5",[3]SerieVol!S4,IF($B$2="MACRO CLP3",[3]SerieVol!S14,IF($B$2="IMT E-PLUS",[3]SerieVol!S24,[3]SerieVol!S34)))</f>
        <v>0</v>
      </c>
      <c r="W5" s="125">
        <f>+IF($B$2="MACRO 1.5",[3]SerieVol!T4,IF($B$2="MACRO CLP3",[3]SerieVol!T14,IF($B$2="IMT E-PLUS",[3]SerieVol!T24,[3]SerieVol!T34)))</f>
        <v>0</v>
      </c>
      <c r="X5" s="125">
        <f>+IF($B$2="MACRO 1.5",[3]SerieVol!U4,IF($B$2="MACRO CLP3",[3]SerieVol!U14,IF($B$2="IMT E-PLUS",[3]SerieVol!U24,[3]SerieVol!U34)))</f>
        <v>0</v>
      </c>
    </row>
    <row r="6" spans="1:24">
      <c r="A6" s="218" t="s">
        <v>978</v>
      </c>
      <c r="B6" s="218">
        <f>+INDEX([3]Rectangulos!$A$2:$E$2000,MATCH($A6,[3]Rectangulos!$A$2:$A$2000,0),MATCH(B$2,[3]Rectangulos!$A$1:$E$1,0))</f>
        <v>0</v>
      </c>
      <c r="D6" s="218" t="s">
        <v>977</v>
      </c>
      <c r="E6" s="125">
        <f>+IF($B$2="MACRO 1.5",[3]SerieVol!B5,IF($B$2="MACRO CLP3",[3]SerieVol!B15,IF($B$2="IMT E-PLUS",[3]SerieVol!B25,[3]SerieVol!B35)))</f>
        <v>0</v>
      </c>
      <c r="F6" s="125">
        <f>+IF($B$2="MACRO 1.5",[3]SerieVol!C5,IF($B$2="MACRO CLP3",[3]SerieVol!C15,IF($B$2="IMT E-PLUS",[3]SerieVol!C25,[3]SerieVol!C35)))</f>
        <v>0</v>
      </c>
      <c r="G6" s="125">
        <f>+IF($B$2="MACRO 1.5",[3]SerieVol!D5,IF($B$2="MACRO CLP3",[3]SerieVol!D15,IF($B$2="IMT E-PLUS",[3]SerieVol!D25,[3]SerieVol!D35)))</f>
        <v>0</v>
      </c>
      <c r="H6" s="125">
        <f>+IF($B$2="MACRO 1.5",[3]SerieVol!E5,IF($B$2="MACRO CLP3",[3]SerieVol!E15,IF($B$2="IMT E-PLUS",[3]SerieVol!E25,[3]SerieVol!E35)))</f>
        <v>0</v>
      </c>
      <c r="I6" s="125">
        <f>+IF($B$2="MACRO 1.5",[3]SerieVol!F5,IF($B$2="MACRO CLP3",[3]SerieVol!F15,IF($B$2="IMT E-PLUS",[3]SerieVol!F25,[3]SerieVol!F35)))</f>
        <v>0</v>
      </c>
      <c r="J6" s="125">
        <f>+IF($B$2="MACRO 1.5",[3]SerieVol!G5,IF($B$2="MACRO CLP3",[3]SerieVol!G15,IF($B$2="IMT E-PLUS",[3]SerieVol!G25,[3]SerieVol!G35)))</f>
        <v>0</v>
      </c>
      <c r="K6" s="125">
        <f>+IF($B$2="MACRO 1.5",[3]SerieVol!H5,IF($B$2="MACRO CLP3",[3]SerieVol!H15,IF($B$2="IMT E-PLUS",[3]SerieVol!H25,[3]SerieVol!H35)))</f>
        <v>0</v>
      </c>
      <c r="L6" s="125">
        <f>+IF($B$2="MACRO 1.5",[3]SerieVol!I5,IF($B$2="MACRO CLP3",[3]SerieVol!I15,IF($B$2="IMT E-PLUS",[3]SerieVol!I25,[3]SerieVol!I35)))</f>
        <v>0</v>
      </c>
      <c r="M6" s="125">
        <f>+IF($B$2="MACRO 1.5",[3]SerieVol!J5,IF($B$2="MACRO CLP3",[3]SerieVol!J15,IF($B$2="IMT E-PLUS",[3]SerieVol!J25,[3]SerieVol!J35)))</f>
        <v>0</v>
      </c>
      <c r="N6" s="125">
        <f>+IF($B$2="MACRO 1.5",[3]SerieVol!K5,IF($B$2="MACRO CLP3",[3]SerieVol!K15,IF($B$2="IMT E-PLUS",[3]SerieVol!K25,[3]SerieVol!K35)))</f>
        <v>0</v>
      </c>
      <c r="O6" s="125">
        <f>+IF($B$2="MACRO 1.5",[3]SerieVol!L5,IF($B$2="MACRO CLP3",[3]SerieVol!L15,IF($B$2="IMT E-PLUS",[3]SerieVol!L25,[3]SerieVol!L35)))</f>
        <v>0</v>
      </c>
      <c r="P6" s="125">
        <f>+IF($B$2="MACRO 1.5",[3]SerieVol!M5,IF($B$2="MACRO CLP3",[3]SerieVol!M15,IF($B$2="IMT E-PLUS",[3]SerieVol!M25,[3]SerieVol!M35)))</f>
        <v>0</v>
      </c>
      <c r="Q6" s="125">
        <f>+IF($B$2="MACRO 1.5",[3]SerieVol!N5,IF($B$2="MACRO CLP3",[3]SerieVol!N15,IF($B$2="IMT E-PLUS",[3]SerieVol!N25,[3]SerieVol!N35)))</f>
        <v>0</v>
      </c>
      <c r="R6" s="125">
        <f>+IF($B$2="MACRO 1.5",[3]SerieVol!O5,IF($B$2="MACRO CLP3",[3]SerieVol!O15,IF($B$2="IMT E-PLUS",[3]SerieVol!O25,[3]SerieVol!O35)))</f>
        <v>0</v>
      </c>
      <c r="S6" s="125">
        <f>+IF($B$2="MACRO 1.5",[3]SerieVol!P5,IF($B$2="MACRO CLP3",[3]SerieVol!P15,IF($B$2="IMT E-PLUS",[3]SerieVol!P25,[3]SerieVol!P35)))</f>
        <v>0</v>
      </c>
      <c r="T6" s="125">
        <f>+IF($B$2="MACRO 1.5",[3]SerieVol!Q5,IF($B$2="MACRO CLP3",[3]SerieVol!Q15,IF($B$2="IMT E-PLUS",[3]SerieVol!Q25,[3]SerieVol!Q35)))</f>
        <v>0</v>
      </c>
      <c r="U6" s="125">
        <f>+IF($B$2="MACRO 1.5",[3]SerieVol!R5,IF($B$2="MACRO CLP3",[3]SerieVol!R15,IF($B$2="IMT E-PLUS",[3]SerieVol!R25,[3]SerieVol!R35)))</f>
        <v>0</v>
      </c>
      <c r="V6" s="125">
        <f>+IF($B$2="MACRO 1.5",[3]SerieVol!S5,IF($B$2="MACRO CLP3",[3]SerieVol!S15,IF($B$2="IMT E-PLUS",[3]SerieVol!S25,[3]SerieVol!S35)))</f>
        <v>0</v>
      </c>
      <c r="W6" s="125">
        <f>+IF($B$2="MACRO 1.5",[3]SerieVol!T5,IF($B$2="MACRO CLP3",[3]SerieVol!T15,IF($B$2="IMT E-PLUS",[3]SerieVol!T25,[3]SerieVol!T35)))</f>
        <v>0</v>
      </c>
      <c r="X6" s="125">
        <f>+IF($B$2="MACRO 1.5",[3]SerieVol!U5,IF($B$2="MACRO CLP3",[3]SerieVol!U15,IF($B$2="IMT E-PLUS",[3]SerieVol!U25,[3]SerieVol!U35)))</f>
        <v>0</v>
      </c>
    </row>
    <row r="7" spans="1:24">
      <c r="A7" s="218" t="s">
        <v>55</v>
      </c>
      <c r="B7" s="218">
        <f>+INDEX([3]Rectangulos!$A$2:$E$2000,MATCH($A7,[3]Rectangulos!$A$2:$A$2000,0),MATCH(B$2,[3]Rectangulos!$A$1:$E$1,0))</f>
        <v>0</v>
      </c>
      <c r="D7" s="218" t="s">
        <v>1243</v>
      </c>
      <c r="E7" s="125">
        <f>+IF($B$2="MACRO 1.5",[3]SerieVol!B6,IF($B$2="MACRO CLP3",[3]SerieVol!B16,IF($B$2="IMT E-PLUS",[3]SerieVol!B26,[3]SerieVol!B36)))</f>
        <v>0</v>
      </c>
      <c r="F7" s="125">
        <f>+IF($B$2="MACRO 1.5",[3]SerieVol!C6,IF($B$2="MACRO CLP3",[3]SerieVol!C16,IF($B$2="IMT E-PLUS",[3]SerieVol!C26,[3]SerieVol!C36)))</f>
        <v>0</v>
      </c>
      <c r="G7" s="125">
        <f>+IF($B$2="MACRO 1.5",[3]SerieVol!D6,IF($B$2="MACRO CLP3",[3]SerieVol!D16,IF($B$2="IMT E-PLUS",[3]SerieVol!D26,[3]SerieVol!D36)))</f>
        <v>0</v>
      </c>
      <c r="H7" s="125">
        <f>+IF($B$2="MACRO 1.5",[3]SerieVol!E6,IF($B$2="MACRO CLP3",[3]SerieVol!E16,IF($B$2="IMT E-PLUS",[3]SerieVol!E26,[3]SerieVol!E36)))</f>
        <v>0</v>
      </c>
      <c r="I7" s="125">
        <f>+IF($B$2="MACRO 1.5",[3]SerieVol!F6,IF($B$2="MACRO CLP3",[3]SerieVol!F16,IF($B$2="IMT E-PLUS",[3]SerieVol!F26,[3]SerieVol!F36)))</f>
        <v>0</v>
      </c>
      <c r="J7" s="125">
        <f>+IF($B$2="MACRO 1.5",[3]SerieVol!G6,IF($B$2="MACRO CLP3",[3]SerieVol!G16,IF($B$2="IMT E-PLUS",[3]SerieVol!G26,[3]SerieVol!G36)))</f>
        <v>0</v>
      </c>
      <c r="K7" s="125">
        <f>+IF($B$2="MACRO 1.5",[3]SerieVol!H6,IF($B$2="MACRO CLP3",[3]SerieVol!H16,IF($B$2="IMT E-PLUS",[3]SerieVol!H26,[3]SerieVol!H36)))</f>
        <v>0</v>
      </c>
      <c r="L7" s="125">
        <f>+IF($B$2="MACRO 1.5",[3]SerieVol!I6,IF($B$2="MACRO CLP3",[3]SerieVol!I16,IF($B$2="IMT E-PLUS",[3]SerieVol!I26,[3]SerieVol!I36)))</f>
        <v>0</v>
      </c>
      <c r="M7" s="125">
        <f>+IF($B$2="MACRO 1.5",[3]SerieVol!J6,IF($B$2="MACRO CLP3",[3]SerieVol!J16,IF($B$2="IMT E-PLUS",[3]SerieVol!J26,[3]SerieVol!J36)))</f>
        <v>0</v>
      </c>
      <c r="N7" s="125">
        <f>+IF($B$2="MACRO 1.5",[3]SerieVol!K6,IF($B$2="MACRO CLP3",[3]SerieVol!K16,IF($B$2="IMT E-PLUS",[3]SerieVol!K26,[3]SerieVol!K36)))</f>
        <v>0</v>
      </c>
      <c r="O7" s="125">
        <f>+IF($B$2="MACRO 1.5",[3]SerieVol!L6,IF($B$2="MACRO CLP3",[3]SerieVol!L16,IF($B$2="IMT E-PLUS",[3]SerieVol!L26,[3]SerieVol!L36)))</f>
        <v>0</v>
      </c>
      <c r="P7" s="125">
        <f>+IF($B$2="MACRO 1.5",[3]SerieVol!M6,IF($B$2="MACRO CLP3",[3]SerieVol!M16,IF($B$2="IMT E-PLUS",[3]SerieVol!M26,[3]SerieVol!M36)))</f>
        <v>0</v>
      </c>
      <c r="Q7" s="125">
        <f>+IF($B$2="MACRO 1.5",[3]SerieVol!N6,IF($B$2="MACRO CLP3",[3]SerieVol!N16,IF($B$2="IMT E-PLUS",[3]SerieVol!N26,[3]SerieVol!N36)))</f>
        <v>0</v>
      </c>
      <c r="R7" s="125">
        <f>+IF($B$2="MACRO 1.5",[3]SerieVol!O6,IF($B$2="MACRO CLP3",[3]SerieVol!O16,IF($B$2="IMT E-PLUS",[3]SerieVol!O26,[3]SerieVol!O36)))</f>
        <v>0</v>
      </c>
      <c r="S7" s="125">
        <f>+IF($B$2="MACRO 1.5",[3]SerieVol!P6,IF($B$2="MACRO CLP3",[3]SerieVol!P16,IF($B$2="IMT E-PLUS",[3]SerieVol!P26,[3]SerieVol!P36)))</f>
        <v>0</v>
      </c>
      <c r="T7" s="125">
        <f>+IF($B$2="MACRO 1.5",[3]SerieVol!Q6,IF($B$2="MACRO CLP3",[3]SerieVol!Q16,IF($B$2="IMT E-PLUS",[3]SerieVol!Q26,[3]SerieVol!Q36)))</f>
        <v>0</v>
      </c>
      <c r="U7" s="125">
        <f>+IF($B$2="MACRO 1.5",[3]SerieVol!R6,IF($B$2="MACRO CLP3",[3]SerieVol!R16,IF($B$2="IMT E-PLUS",[3]SerieVol!R26,[3]SerieVol!R36)))</f>
        <v>0</v>
      </c>
      <c r="V7" s="125">
        <f>+IF($B$2="MACRO 1.5",[3]SerieVol!S6,IF($B$2="MACRO CLP3",[3]SerieVol!S16,IF($B$2="IMT E-PLUS",[3]SerieVol!S26,[3]SerieVol!S36)))</f>
        <v>0</v>
      </c>
      <c r="W7" s="125">
        <f>+IF($B$2="MACRO 1.5",[3]SerieVol!T6,IF($B$2="MACRO CLP3",[3]SerieVol!T16,IF($B$2="IMT E-PLUS",[3]SerieVol!T26,[3]SerieVol!T36)))</f>
        <v>0</v>
      </c>
      <c r="X7" s="125">
        <f>+IF($B$2="MACRO 1.5",[3]SerieVol!U6,IF($B$2="MACRO CLP3",[3]SerieVol!U16,IF($B$2="IMT E-PLUS",[3]SerieVol!U26,[3]SerieVol!U36)))</f>
        <v>0</v>
      </c>
    </row>
    <row r="8" spans="1:24">
      <c r="A8" s="218" t="s">
        <v>70</v>
      </c>
      <c r="B8" s="218">
        <f>+INDEX([3]Rectangulos!$A$2:$E$2000,MATCH($A8,[3]Rectangulos!$A$2:$A$2000,0),MATCH(B$2,[3]Rectangulos!$A$1:$E$1,0))</f>
        <v>0</v>
      </c>
      <c r="D8" s="218" t="s">
        <v>1475</v>
      </c>
      <c r="E8" s="125">
        <f>+IF($B$2="MACRO 1.5",[3]SerieVol!B7,IF($B$2="MACRO CLP3",[3]SerieVol!B17,IF($B$2="IMT E-PLUS",[3]SerieVol!B27,[3]SerieVol!B37)))</f>
        <v>0</v>
      </c>
      <c r="F8" s="125">
        <f>+IF($B$2="MACRO 1.5",[3]SerieVol!C7,IF($B$2="MACRO CLP3",[3]SerieVol!C17,IF($B$2="IMT E-PLUS",[3]SerieVol!C27,[3]SerieVol!C37)))</f>
        <v>0</v>
      </c>
      <c r="G8" s="125">
        <f>+IF($B$2="MACRO 1.5",[3]SerieVol!D7,IF($B$2="MACRO CLP3",[3]SerieVol!D17,IF($B$2="IMT E-PLUS",[3]SerieVol!D27,[3]SerieVol!D37)))</f>
        <v>0</v>
      </c>
      <c r="H8" s="125">
        <f>+IF($B$2="MACRO 1.5",[3]SerieVol!E7,IF($B$2="MACRO CLP3",[3]SerieVol!E17,IF($B$2="IMT E-PLUS",[3]SerieVol!E27,[3]SerieVol!E37)))</f>
        <v>0</v>
      </c>
      <c r="I8" s="125">
        <f>+IF($B$2="MACRO 1.5",[3]SerieVol!F7,IF($B$2="MACRO CLP3",[3]SerieVol!F17,IF($B$2="IMT E-PLUS",[3]SerieVol!F27,[3]SerieVol!F37)))</f>
        <v>0</v>
      </c>
      <c r="J8" s="125">
        <f>+IF($B$2="MACRO 1.5",[3]SerieVol!G7,IF($B$2="MACRO CLP3",[3]SerieVol!G17,IF($B$2="IMT E-PLUS",[3]SerieVol!G27,[3]SerieVol!G37)))</f>
        <v>0</v>
      </c>
      <c r="K8" s="125">
        <f>+IF($B$2="MACRO 1.5",[3]SerieVol!H7,IF($B$2="MACRO CLP3",[3]SerieVol!H17,IF($B$2="IMT E-PLUS",[3]SerieVol!H27,[3]SerieVol!H37)))</f>
        <v>0</v>
      </c>
      <c r="L8" s="125">
        <f>+IF($B$2="MACRO 1.5",[3]SerieVol!I7,IF($B$2="MACRO CLP3",[3]SerieVol!I17,IF($B$2="IMT E-PLUS",[3]SerieVol!I27,[3]SerieVol!I37)))</f>
        <v>0</v>
      </c>
      <c r="M8" s="125">
        <f>+IF($B$2="MACRO 1.5",[3]SerieVol!J7,IF($B$2="MACRO CLP3",[3]SerieVol!J17,IF($B$2="IMT E-PLUS",[3]SerieVol!J27,[3]SerieVol!J37)))</f>
        <v>0</v>
      </c>
      <c r="N8" s="125">
        <f>+IF($B$2="MACRO 1.5",[3]SerieVol!K7,IF($B$2="MACRO CLP3",[3]SerieVol!K17,IF($B$2="IMT E-PLUS",[3]SerieVol!K27,[3]SerieVol!K37)))</f>
        <v>0</v>
      </c>
      <c r="O8" s="125">
        <f>+IF($B$2="MACRO 1.5",[3]SerieVol!L7,IF($B$2="MACRO CLP3",[3]SerieVol!L17,IF($B$2="IMT E-PLUS",[3]SerieVol!L27,[3]SerieVol!L37)))</f>
        <v>0</v>
      </c>
      <c r="P8" s="125">
        <f>+IF($B$2="MACRO 1.5",[3]SerieVol!M7,IF($B$2="MACRO CLP3",[3]SerieVol!M17,IF($B$2="IMT E-PLUS",[3]SerieVol!M27,[3]SerieVol!M37)))</f>
        <v>0</v>
      </c>
      <c r="Q8" s="125">
        <f>+IF($B$2="MACRO 1.5",[3]SerieVol!N7,IF($B$2="MACRO CLP3",[3]SerieVol!N17,IF($B$2="IMT E-PLUS",[3]SerieVol!N27,[3]SerieVol!N37)))</f>
        <v>0</v>
      </c>
      <c r="R8" s="125">
        <f>+IF($B$2="MACRO 1.5",[3]SerieVol!O7,IF($B$2="MACRO CLP3",[3]SerieVol!O17,IF($B$2="IMT E-PLUS",[3]SerieVol!O27,[3]SerieVol!O37)))</f>
        <v>0</v>
      </c>
      <c r="S8" s="125">
        <f>+IF($B$2="MACRO 1.5",[3]SerieVol!P7,IF($B$2="MACRO CLP3",[3]SerieVol!P17,IF($B$2="IMT E-PLUS",[3]SerieVol!P27,[3]SerieVol!P37)))</f>
        <v>0</v>
      </c>
      <c r="T8" s="125">
        <f>+IF($B$2="MACRO 1.5",[3]SerieVol!Q7,IF($B$2="MACRO CLP3",[3]SerieVol!Q17,IF($B$2="IMT E-PLUS",[3]SerieVol!Q27,[3]SerieVol!Q37)))</f>
        <v>0</v>
      </c>
      <c r="U8" s="125">
        <f>+IF($B$2="MACRO 1.5",[3]SerieVol!R7,IF($B$2="MACRO CLP3",[3]SerieVol!R17,IF($B$2="IMT E-PLUS",[3]SerieVol!R27,[3]SerieVol!R37)))</f>
        <v>0</v>
      </c>
      <c r="V8" s="125">
        <f>+IF($B$2="MACRO 1.5",[3]SerieVol!S7,IF($B$2="MACRO CLP3",[3]SerieVol!S17,IF($B$2="IMT E-PLUS",[3]SerieVol!S27,[3]SerieVol!S37)))</f>
        <v>0</v>
      </c>
      <c r="W8" s="125">
        <f>+IF($B$2="MACRO 1.5",[3]SerieVol!T7,IF($B$2="MACRO CLP3",[3]SerieVol!T17,IF($B$2="IMT E-PLUS",[3]SerieVol!T27,[3]SerieVol!T37)))</f>
        <v>0</v>
      </c>
      <c r="X8" s="125">
        <f>+IF($B$2="MACRO 1.5",[3]SerieVol!U7,IF($B$2="MACRO CLP3",[3]SerieVol!U17,IF($B$2="IMT E-PLUS",[3]SerieVol!U27,[3]SerieVol!U37)))</f>
        <v>0</v>
      </c>
    </row>
    <row r="9" spans="1:24">
      <c r="A9" s="218" t="s">
        <v>28</v>
      </c>
      <c r="B9" s="218">
        <f>+INDEX([3]Rectangulos!$A$2:$E$2000,MATCH($A9,[3]Rectangulos!$A$2:$A$2000,0),MATCH(B$2,[3]Rectangulos!$A$1:$E$1,0))</f>
        <v>0</v>
      </c>
      <c r="D9" s="218" t="s">
        <v>1476</v>
      </c>
      <c r="E9" s="125">
        <f>+IF($B$2="MACRO 1.5",[3]SerieVol!B8,IF($B$2="MACRO CLP3",[3]SerieVol!B18,IF($B$2="IMT E-PLUS",[3]SerieVol!B28,[3]SerieVol!B38)))</f>
        <v>0</v>
      </c>
      <c r="F9" s="125">
        <f>+IF($B$2="MACRO 1.5",[3]SerieVol!C8,IF($B$2="MACRO CLP3",[3]SerieVol!C18,IF($B$2="IMT E-PLUS",[3]SerieVol!C28,[3]SerieVol!C38)))</f>
        <v>0</v>
      </c>
      <c r="G9" s="125">
        <f>+IF($B$2="MACRO 1.5",[3]SerieVol!D8,IF($B$2="MACRO CLP3",[3]SerieVol!D18,IF($B$2="IMT E-PLUS",[3]SerieVol!D28,[3]SerieVol!D38)))</f>
        <v>0</v>
      </c>
      <c r="H9" s="125">
        <f>+IF($B$2="MACRO 1.5",[3]SerieVol!E8,IF($B$2="MACRO CLP3",[3]SerieVol!E18,IF($B$2="IMT E-PLUS",[3]SerieVol!E28,[3]SerieVol!E38)))</f>
        <v>0</v>
      </c>
      <c r="I9" s="125">
        <f>+IF($B$2="MACRO 1.5",[3]SerieVol!F8,IF($B$2="MACRO CLP3",[3]SerieVol!F18,IF($B$2="IMT E-PLUS",[3]SerieVol!F28,[3]SerieVol!F38)))</f>
        <v>0</v>
      </c>
      <c r="J9" s="125">
        <f>+IF($B$2="MACRO 1.5",[3]SerieVol!G8,IF($B$2="MACRO CLP3",[3]SerieVol!G18,IF($B$2="IMT E-PLUS",[3]SerieVol!G28,[3]SerieVol!G38)))</f>
        <v>0</v>
      </c>
      <c r="K9" s="125">
        <f>+IF($B$2="MACRO 1.5",[3]SerieVol!H8,IF($B$2="MACRO CLP3",[3]SerieVol!H18,IF($B$2="IMT E-PLUS",[3]SerieVol!H28,[3]SerieVol!H38)))</f>
        <v>0</v>
      </c>
      <c r="L9" s="125">
        <f>+IF($B$2="MACRO 1.5",[3]SerieVol!I8,IF($B$2="MACRO CLP3",[3]SerieVol!I18,IF($B$2="IMT E-PLUS",[3]SerieVol!I28,[3]SerieVol!I38)))</f>
        <v>0</v>
      </c>
      <c r="M9" s="125">
        <f>+IF($B$2="MACRO 1.5",[3]SerieVol!J8,IF($B$2="MACRO CLP3",[3]SerieVol!J18,IF($B$2="IMT E-PLUS",[3]SerieVol!J28,[3]SerieVol!J38)))</f>
        <v>0</v>
      </c>
      <c r="N9" s="125">
        <f>+IF($B$2="MACRO 1.5",[3]SerieVol!K8,IF($B$2="MACRO CLP3",[3]SerieVol!K18,IF($B$2="IMT E-PLUS",[3]SerieVol!K28,[3]SerieVol!K38)))</f>
        <v>0</v>
      </c>
      <c r="O9" s="125">
        <f>+IF($B$2="MACRO 1.5",[3]SerieVol!L8,IF($B$2="MACRO CLP3",[3]SerieVol!L18,IF($B$2="IMT E-PLUS",[3]SerieVol!L28,[3]SerieVol!L38)))</f>
        <v>0</v>
      </c>
      <c r="P9" s="125">
        <f>+IF($B$2="MACRO 1.5",[3]SerieVol!M8,IF($B$2="MACRO CLP3",[3]SerieVol!M18,IF($B$2="IMT E-PLUS",[3]SerieVol!M28,[3]SerieVol!M38)))</f>
        <v>0</v>
      </c>
      <c r="Q9" s="125">
        <f>+IF($B$2="MACRO 1.5",[3]SerieVol!N8,IF($B$2="MACRO CLP3",[3]SerieVol!N18,IF($B$2="IMT E-PLUS",[3]SerieVol!N28,[3]SerieVol!N38)))</f>
        <v>0</v>
      </c>
      <c r="R9" s="125">
        <f>+IF($B$2="MACRO 1.5",[3]SerieVol!O8,IF($B$2="MACRO CLP3",[3]SerieVol!O18,IF($B$2="IMT E-PLUS",[3]SerieVol!O28,[3]SerieVol!O38)))</f>
        <v>0</v>
      </c>
      <c r="S9" s="125">
        <f>+IF($B$2="MACRO 1.5",[3]SerieVol!P8,IF($B$2="MACRO CLP3",[3]SerieVol!P18,IF($B$2="IMT E-PLUS",[3]SerieVol!P28,[3]SerieVol!P38)))</f>
        <v>0</v>
      </c>
      <c r="T9" s="125">
        <f>+IF($B$2="MACRO 1.5",[3]SerieVol!Q8,IF($B$2="MACRO CLP3",[3]SerieVol!Q18,IF($B$2="IMT E-PLUS",[3]SerieVol!Q28,[3]SerieVol!Q38)))</f>
        <v>0</v>
      </c>
      <c r="U9" s="125">
        <f>+IF($B$2="MACRO 1.5",[3]SerieVol!R8,IF($B$2="MACRO CLP3",[3]SerieVol!R18,IF($B$2="IMT E-PLUS",[3]SerieVol!R28,[3]SerieVol!R38)))</f>
        <v>0</v>
      </c>
      <c r="V9" s="125">
        <f>+IF($B$2="MACRO 1.5",[3]SerieVol!S8,IF($B$2="MACRO CLP3",[3]SerieVol!S18,IF($B$2="IMT E-PLUS",[3]SerieVol!S28,[3]SerieVol!S38)))</f>
        <v>0</v>
      </c>
      <c r="W9" s="125">
        <f>+IF($B$2="MACRO 1.5",[3]SerieVol!T8,IF($B$2="MACRO CLP3",[3]SerieVol!T18,IF($B$2="IMT E-PLUS",[3]SerieVol!T28,[3]SerieVol!T38)))</f>
        <v>0</v>
      </c>
      <c r="X9" s="125">
        <f>+IF($B$2="MACRO 1.5",[3]SerieVol!U8,IF($B$2="MACRO CLP3",[3]SerieVol!U18,IF($B$2="IMT E-PLUS",[3]SerieVol!U28,[3]SerieVol!U38)))</f>
        <v>0</v>
      </c>
    </row>
    <row r="10" spans="1:24">
      <c r="A10" s="218" t="s">
        <v>325</v>
      </c>
      <c r="B10" s="218">
        <f>+INDEX([3]Rectangulos!$A$2:$E$2000,MATCH($A10,[3]Rectangulos!$A$2:$A$2000,0),MATCH(B$2,[3]Rectangulos!$A$1:$E$1,0))</f>
        <v>0</v>
      </c>
      <c r="D10" s="218" t="s">
        <v>103</v>
      </c>
      <c r="E10" s="125">
        <f>+IF($B$2="MACRO 1.5",[3]SerieVol!B9,IF($B$2="MACRO CLP3",[3]SerieVol!B19,IF($B$2="IMT E-PLUS",[3]SerieVol!B29,[3]SerieVol!B39)))</f>
        <v>0</v>
      </c>
      <c r="F10" s="125">
        <f>+IF($B$2="MACRO 1.5",[3]SerieVol!C9,IF($B$2="MACRO CLP3",[3]SerieVol!C19,IF($B$2="IMT E-PLUS",[3]SerieVol!C29,[3]SerieVol!C39)))</f>
        <v>0</v>
      </c>
      <c r="G10" s="125">
        <f>+IF($B$2="MACRO 1.5",[3]SerieVol!D9,IF($B$2="MACRO CLP3",[3]SerieVol!D19,IF($B$2="IMT E-PLUS",[3]SerieVol!D29,[3]SerieVol!D39)))</f>
        <v>0</v>
      </c>
      <c r="H10" s="125">
        <f>+IF($B$2="MACRO 1.5",[3]SerieVol!E9,IF($B$2="MACRO CLP3",[3]SerieVol!E19,IF($B$2="IMT E-PLUS",[3]SerieVol!E29,[3]SerieVol!E39)))</f>
        <v>0</v>
      </c>
      <c r="I10" s="125">
        <f>+IF($B$2="MACRO 1.5",[3]SerieVol!F9,IF($B$2="MACRO CLP3",[3]SerieVol!F19,IF($B$2="IMT E-PLUS",[3]SerieVol!F29,[3]SerieVol!F39)))</f>
        <v>0</v>
      </c>
      <c r="J10" s="125">
        <f>+IF($B$2="MACRO 1.5",[3]SerieVol!G9,IF($B$2="MACRO CLP3",[3]SerieVol!G19,IF($B$2="IMT E-PLUS",[3]SerieVol!G29,[3]SerieVol!G39)))</f>
        <v>0</v>
      </c>
      <c r="K10" s="125">
        <f>+IF($B$2="MACRO 1.5",[3]SerieVol!H9,IF($B$2="MACRO CLP3",[3]SerieVol!H19,IF($B$2="IMT E-PLUS",[3]SerieVol!H29,[3]SerieVol!H39)))</f>
        <v>0</v>
      </c>
      <c r="L10" s="125">
        <f>+IF($B$2="MACRO 1.5",[3]SerieVol!I9,IF($B$2="MACRO CLP3",[3]SerieVol!I19,IF($B$2="IMT E-PLUS",[3]SerieVol!I29,[3]SerieVol!I39)))</f>
        <v>0</v>
      </c>
      <c r="M10" s="125">
        <f>+IF($B$2="MACRO 1.5",[3]SerieVol!J9,IF($B$2="MACRO CLP3",[3]SerieVol!J19,IF($B$2="IMT E-PLUS",[3]SerieVol!J29,[3]SerieVol!J39)))</f>
        <v>0</v>
      </c>
      <c r="N10" s="125">
        <f>+IF($B$2="MACRO 1.5",[3]SerieVol!K9,IF($B$2="MACRO CLP3",[3]SerieVol!K19,IF($B$2="IMT E-PLUS",[3]SerieVol!K29,[3]SerieVol!K39)))</f>
        <v>0</v>
      </c>
      <c r="O10" s="125">
        <f>+IF($B$2="MACRO 1.5",[3]SerieVol!L9,IF($B$2="MACRO CLP3",[3]SerieVol!L19,IF($B$2="IMT E-PLUS",[3]SerieVol!L29,[3]SerieVol!L39)))</f>
        <v>0</v>
      </c>
      <c r="P10" s="125">
        <f>+IF($B$2="MACRO 1.5",[3]SerieVol!M9,IF($B$2="MACRO CLP3",[3]SerieVol!M19,IF($B$2="IMT E-PLUS",[3]SerieVol!M29,[3]SerieVol!M39)))</f>
        <v>0</v>
      </c>
      <c r="Q10" s="125">
        <f>+IF($B$2="MACRO 1.5",[3]SerieVol!N9,IF($B$2="MACRO CLP3",[3]SerieVol!N19,IF($B$2="IMT E-PLUS",[3]SerieVol!N29,[3]SerieVol!N39)))</f>
        <v>0</v>
      </c>
      <c r="R10" s="125">
        <f>+IF($B$2="MACRO 1.5",[3]SerieVol!O9,IF($B$2="MACRO CLP3",[3]SerieVol!O19,IF($B$2="IMT E-PLUS",[3]SerieVol!O29,[3]SerieVol!O39)))</f>
        <v>0</v>
      </c>
      <c r="S10" s="125">
        <f>+IF($B$2="MACRO 1.5",[3]SerieVol!P9,IF($B$2="MACRO CLP3",[3]SerieVol!P19,IF($B$2="IMT E-PLUS",[3]SerieVol!P29,[3]SerieVol!P39)))</f>
        <v>0</v>
      </c>
      <c r="T10" s="125">
        <f>+IF($B$2="MACRO 1.5",[3]SerieVol!Q9,IF($B$2="MACRO CLP3",[3]SerieVol!Q19,IF($B$2="IMT E-PLUS",[3]SerieVol!Q29,[3]SerieVol!Q39)))</f>
        <v>0</v>
      </c>
      <c r="U10" s="125">
        <f>+IF($B$2="MACRO 1.5",[3]SerieVol!R9,IF($B$2="MACRO CLP3",[3]SerieVol!R19,IF($B$2="IMT E-PLUS",[3]SerieVol!R29,[3]SerieVol!R39)))</f>
        <v>0</v>
      </c>
      <c r="V10" s="125">
        <f>+IF($B$2="MACRO 1.5",[3]SerieVol!S9,IF($B$2="MACRO CLP3",[3]SerieVol!S19,IF($B$2="IMT E-PLUS",[3]SerieVol!S29,[3]SerieVol!S39)))</f>
        <v>0</v>
      </c>
      <c r="W10" s="125">
        <f>+IF($B$2="MACRO 1.5",[3]SerieVol!T9,IF($B$2="MACRO CLP3",[3]SerieVol!T19,IF($B$2="IMT E-PLUS",[3]SerieVol!T29,[3]SerieVol!T39)))</f>
        <v>0</v>
      </c>
      <c r="X10" s="125">
        <f>+IF($B$2="MACRO 1.5",[3]SerieVol!U9,IF($B$2="MACRO CLP3",[3]SerieVol!U19,IF($B$2="IMT E-PLUS",[3]SerieVol!U29,[3]SerieVol!U39)))</f>
        <v>0</v>
      </c>
    </row>
    <row r="11" spans="1:24">
      <c r="A11" s="218" t="s">
        <v>326</v>
      </c>
      <c r="B11" s="218">
        <f>+INDEX([3]Rectangulos!$A$2:$E$2000,MATCH($A11,[3]Rectangulos!$A$2:$A$2000,0),MATCH(B$2,[3]Rectangulos!$A$1:$E$1,0))</f>
        <v>0</v>
      </c>
    </row>
    <row r="12" spans="1:24">
      <c r="A12" s="218" t="s">
        <v>60</v>
      </c>
      <c r="B12" s="218">
        <f>+INDEX([3]Rectangulos!$A$2:$E$2000,MATCH($A12,[3]Rectangulos!$A$2:$A$2000,0),MATCH(B$2,[3]Rectangulos!$A$1:$E$1,0))</f>
        <v>0</v>
      </c>
    </row>
    <row r="13" spans="1:24">
      <c r="A13" s="218" t="s">
        <v>67</v>
      </c>
      <c r="B13" s="218">
        <f>+INDEX([3]Rectangulos!$A$2:$E$2000,MATCH($A13,[3]Rectangulos!$A$2:$A$2000,0),MATCH(B$2,[3]Rectangulos!$A$1:$E$1,0))</f>
        <v>0</v>
      </c>
    </row>
    <row r="14" spans="1:24">
      <c r="A14" s="218" t="s">
        <v>51</v>
      </c>
      <c r="B14" s="218">
        <f>+INDEX([3]Rectangulos!$A$2:$E$2000,MATCH($A14,[3]Rectangulos!$A$2:$A$2000,0),MATCH(B$2,[3]Rectangulos!$A$1:$E$1,0))</f>
        <v>0</v>
      </c>
    </row>
    <row r="15" spans="1:24">
      <c r="A15" s="218" t="s">
        <v>1292</v>
      </c>
      <c r="B15" s="218">
        <f>+INDEX([3]Rectangulos!$A$2:$E$2000,MATCH($A15,[3]Rectangulos!$A$2:$A$2000,0),MATCH(B$2,[3]Rectangulos!$A$1:$E$1,0))</f>
        <v>0</v>
      </c>
    </row>
    <row r="16" spans="1:24">
      <c r="A16" s="218" t="s">
        <v>77</v>
      </c>
      <c r="B16" s="218">
        <f>+INDEX([3]Rectangulos!$A$2:$E$2000,MATCH($A16,[3]Rectangulos!$A$2:$A$2000,0),MATCH(B$2,[3]Rectangulos!$A$1:$E$1,0))</f>
        <v>0</v>
      </c>
    </row>
    <row r="17" spans="1:2">
      <c r="A17" s="218" t="s">
        <v>88</v>
      </c>
      <c r="B17" s="218">
        <f>+INDEX([3]Rectangulos!$A$2:$E$2000,MATCH($A17,[3]Rectangulos!$A$2:$A$2000,0),MATCH(B$2,[3]Rectangulos!$A$1:$E$1,0))</f>
        <v>0</v>
      </c>
    </row>
    <row r="18" spans="1:2">
      <c r="A18" s="218" t="s">
        <v>74</v>
      </c>
      <c r="B18" s="218">
        <f>+INDEX([3]Rectangulos!$A$2:$E$2000,MATCH($A18,[3]Rectangulos!$A$2:$A$2000,0),MATCH(B$2,[3]Rectangulos!$A$1:$E$1,0))</f>
        <v>0</v>
      </c>
    </row>
    <row r="19" spans="1:2">
      <c r="A19" s="218" t="s">
        <v>1254</v>
      </c>
      <c r="B19" s="218">
        <f>+INDEX([3]Rectangulos!$A$2:$E$2000,MATCH($A19,[3]Rectangulos!$A$2:$A$2000,0),MATCH(B$2,[3]Rectangulos!$A$1:$E$1,0))</f>
        <v>0</v>
      </c>
    </row>
    <row r="20" spans="1:2">
      <c r="A20" s="218" t="s">
        <v>1473</v>
      </c>
      <c r="B20" s="218">
        <f>+INDEX([3]Rectangulos!$A$2:$E$2000,MATCH($A20,[3]Rectangulos!$A$2:$A$2000,0),MATCH(B$2,[3]Rectangulos!$A$1:$E$1,0))</f>
        <v>0</v>
      </c>
    </row>
    <row r="21" spans="1:2">
      <c r="A21" s="218" t="s">
        <v>330</v>
      </c>
      <c r="B21" s="218">
        <f>+INDEX([3]Rectangulos!$A$2:$E$2000,MATCH($A21,[3]Rectangulos!$A$2:$A$2000,0),MATCH(B$2,[3]Rectangulos!$A$1:$E$1,0))</f>
        <v>0</v>
      </c>
    </row>
    <row r="22" spans="1:2">
      <c r="A22" s="218" t="s">
        <v>59</v>
      </c>
      <c r="B22" s="218">
        <f>+INDEX([3]Rectangulos!$A$2:$E$2000,MATCH($A22,[3]Rectangulos!$A$2:$A$2000,0),MATCH(B$2,[3]Rectangulos!$A$1:$E$1,0))</f>
        <v>0</v>
      </c>
    </row>
    <row r="23" spans="1:2">
      <c r="A23" s="218" t="s">
        <v>65</v>
      </c>
      <c r="B23" s="218">
        <f>+INDEX([3]Rectangulos!$A$2:$E$2000,MATCH($A23,[3]Rectangulos!$A$2:$A$2000,0),MATCH(B$2,[3]Rectangulos!$A$1:$E$1,0))</f>
        <v>0</v>
      </c>
    </row>
    <row r="24" spans="1:2">
      <c r="A24" s="218" t="s">
        <v>382</v>
      </c>
      <c r="B24" s="218">
        <f>+INDEX([3]Rectangulos!$A$2:$E$2000,MATCH($A24,[3]Rectangulos!$A$2:$A$2000,0),MATCH(B$2,[3]Rectangulos!$A$1:$E$1,0))</f>
        <v>0</v>
      </c>
    </row>
    <row r="25" spans="1:2">
      <c r="A25" s="218" t="s">
        <v>58</v>
      </c>
      <c r="B25" s="218">
        <f>+INDEX([3]Rectangulos!$A$2:$E$2000,MATCH($A25,[3]Rectangulos!$A$2:$A$2000,0),MATCH(B$2,[3]Rectangulos!$A$1:$E$1,0))</f>
        <v>0</v>
      </c>
    </row>
    <row r="26" spans="1:2">
      <c r="A26" s="218" t="s">
        <v>795</v>
      </c>
      <c r="B26" s="218">
        <f>+INDEX([3]Rectangulos!$A$2:$E$2000,MATCH($A26,[3]Rectangulos!$A$2:$A$2000,0),MATCH(B$2,[3]Rectangulos!$A$1:$E$1,0))</f>
        <v>0</v>
      </c>
    </row>
    <row r="27" spans="1:2">
      <c r="A27" s="218" t="s">
        <v>64</v>
      </c>
      <c r="B27" s="218">
        <f>+INDEX([3]Rectangulos!$A$2:$E$2000,MATCH($A27,[3]Rectangulos!$A$2:$A$2000,0),MATCH(B$2,[3]Rectangulos!$A$1:$E$1,0))</f>
        <v>0</v>
      </c>
    </row>
    <row r="28" spans="1:2">
      <c r="A28" s="218" t="s">
        <v>703</v>
      </c>
      <c r="B28" s="218">
        <f>+INDEX([3]Rectangulos!$A$2:$E$2000,MATCH($A28,[3]Rectangulos!$A$2:$A$2000,0),MATCH(B$2,[3]Rectangulos!$A$1:$E$1,0))</f>
        <v>0</v>
      </c>
    </row>
    <row r="29" spans="1:2">
      <c r="A29" s="218" t="s">
        <v>1367</v>
      </c>
      <c r="B29" s="218">
        <f>+INDEX([3]Rectangulos!$A$2:$E$2000,MATCH($A29,[3]Rectangulos!$A$2:$A$2000,0),MATCH(B$2,[3]Rectangulos!$A$1:$E$1,0))</f>
        <v>0</v>
      </c>
    </row>
    <row r="30" spans="1:2">
      <c r="A30" s="218" t="s">
        <v>1355</v>
      </c>
      <c r="B30" s="218">
        <f>+INDEX([3]Rectangulos!$A$2:$E$2000,MATCH($A30,[3]Rectangulos!$A$2:$A$2000,0),MATCH(B$2,[3]Rectangulos!$A$1:$E$1,0))</f>
        <v>0</v>
      </c>
    </row>
    <row r="31" spans="1:2">
      <c r="A31" s="218" t="s">
        <v>849</v>
      </c>
      <c r="B31" s="218">
        <f>+INDEX([3]Rectangulos!$A$2:$E$2000,MATCH($A31,[3]Rectangulos!$A$2:$A$2000,0),MATCH(B$2,[3]Rectangulos!$A$1:$E$1,0))</f>
        <v>0</v>
      </c>
    </row>
    <row r="32" spans="1:2">
      <c r="A32" s="218" t="s">
        <v>1361</v>
      </c>
      <c r="B32" s="218">
        <f>+INDEX([3]Rectangulos!$A$2:$E$2000,MATCH($A32,[3]Rectangulos!$A$2:$A$2000,0),MATCH(B$2,[3]Rectangulos!$A$1:$E$1,0))</f>
        <v>0</v>
      </c>
    </row>
    <row r="33" spans="1:2">
      <c r="A33" s="218" t="s">
        <v>1370</v>
      </c>
      <c r="B33" s="218">
        <f>+INDEX([3]Rectangulos!$A$2:$E$2000,MATCH($A33,[3]Rectangulos!$A$2:$A$2000,0),MATCH(B$2,[3]Rectangulos!$A$1:$E$1,0))</f>
        <v>0</v>
      </c>
    </row>
    <row r="34" spans="1:2">
      <c r="A34" s="218" t="s">
        <v>1477</v>
      </c>
      <c r="B34" s="218">
        <f>+INDEX([3]Rectangulos!$A$2:$E$2000,MATCH($A34,[3]Rectangulos!$A$2:$A$2000,0),MATCH(B$2,[3]Rectangulos!$A$1:$E$1,0))</f>
        <v>0</v>
      </c>
    </row>
    <row r="35" spans="1:2">
      <c r="A35" s="218" t="s">
        <v>1356</v>
      </c>
      <c r="B35" s="218">
        <f>+INDEX([3]Rectangulos!$A$2:$E$2000,MATCH($A35,[3]Rectangulos!$A$2:$A$2000,0),MATCH(B$2,[3]Rectangulos!$A$1:$E$1,0))</f>
        <v>0</v>
      </c>
    </row>
    <row r="36" spans="1:2">
      <c r="A36" s="218" t="s">
        <v>1377</v>
      </c>
      <c r="B36" s="218">
        <f>+INDEX([3]Rectangulos!$A$2:$E$2000,MATCH($A36,[3]Rectangulos!$A$2:$A$2000,0),MATCH(B$2,[3]Rectangulos!$A$1:$E$1,0))</f>
        <v>0</v>
      </c>
    </row>
    <row r="37" spans="1:2">
      <c r="A37" s="218" t="s">
        <v>1479</v>
      </c>
      <c r="B37" s="218">
        <f>+INDEX([3]Rectangulos!$A$2:$E$2000,MATCH($A37,[3]Rectangulos!$A$2:$A$2000,0),MATCH(B$2,[3]Rectangulos!$A$1:$E$1,0))</f>
        <v>0</v>
      </c>
    </row>
    <row r="38" spans="1:2">
      <c r="A38" s="218" t="s">
        <v>57</v>
      </c>
      <c r="B38" s="218">
        <f>+INDEX([3]Rectangulos!$A$2:$E$2000,MATCH($A38,[3]Rectangulos!$A$2:$A$2000,0),MATCH(B$2,[3]Rectangulos!$A$1:$E$1,0))</f>
        <v>0</v>
      </c>
    </row>
    <row r="39" spans="1:2">
      <c r="A39" s="218" t="s">
        <v>86</v>
      </c>
      <c r="B39" s="218">
        <f>+INDEX([3]Rectangulos!$A$2:$E$2000,MATCH($A39,[3]Rectangulos!$A$2:$A$2000,0),MATCH(B$2,[3]Rectangulos!$A$1:$E$1,0))</f>
        <v>0</v>
      </c>
    </row>
    <row r="40" spans="1:2">
      <c r="A40" s="218" t="s">
        <v>282</v>
      </c>
      <c r="B40" s="218">
        <f>+INDEX([3]Rectangulos!$A$2:$E$2000,MATCH($A40,[3]Rectangulos!$A$2:$A$2000,0),MATCH(B$2,[3]Rectangulos!$A$1:$E$1,0))</f>
        <v>0</v>
      </c>
    </row>
    <row r="41" spans="1:2">
      <c r="A41" s="218" t="s">
        <v>1383</v>
      </c>
      <c r="B41" s="218">
        <f>+INDEX([3]Rectangulos!$A$2:$E$2000,MATCH($A41,[3]Rectangulos!$A$2:$A$2000,0),MATCH(B$2,[3]Rectangulos!$A$1:$E$1,0))</f>
        <v>0</v>
      </c>
    </row>
    <row r="42" spans="1:2">
      <c r="A42" s="218" t="s">
        <v>1359</v>
      </c>
      <c r="B42" s="218">
        <f>+INDEX([3]Rectangulos!$A$2:$E$2000,MATCH($A42,[3]Rectangulos!$A$2:$A$2000,0),MATCH(B$2,[3]Rectangulos!$A$1:$E$1,0))</f>
        <v>0</v>
      </c>
    </row>
    <row r="43" spans="1:2">
      <c r="A43" s="218" t="s">
        <v>1353</v>
      </c>
      <c r="B43" s="218">
        <f>+INDEX([3]Rectangulos!$A$2:$E$2000,MATCH($A43,[3]Rectangulos!$A$2:$A$2000,0),MATCH(B$2,[3]Rectangulos!$A$1:$E$1,0))</f>
        <v>0</v>
      </c>
    </row>
    <row r="44" spans="1:2">
      <c r="A44" s="218" t="s">
        <v>1366</v>
      </c>
      <c r="B44" s="218">
        <f>+INDEX([3]Rectangulos!$A$2:$E$2000,MATCH($A44,[3]Rectangulos!$A$2:$A$2000,0),MATCH(B$2,[3]Rectangulos!$A$1:$E$1,0))</f>
        <v>0</v>
      </c>
    </row>
    <row r="45" spans="1:2">
      <c r="A45" s="218" t="s">
        <v>1379</v>
      </c>
      <c r="B45" s="218">
        <f>+INDEX([3]Rectangulos!$A$2:$E$2000,MATCH($A45,[3]Rectangulos!$A$2:$A$2000,0),MATCH(B$2,[3]Rectangulos!$A$1:$E$1,0))</f>
        <v>0</v>
      </c>
    </row>
    <row r="46" spans="1:2">
      <c r="A46" s="218" t="s">
        <v>71</v>
      </c>
      <c r="B46" s="218">
        <f>+INDEX([3]Rectangulos!$A$2:$E$2000,MATCH($A46,[3]Rectangulos!$A$2:$A$2000,0),MATCH(B$2,[3]Rectangulos!$A$1:$E$1,0))</f>
        <v>0</v>
      </c>
    </row>
    <row r="47" spans="1:2">
      <c r="A47" s="218" t="s">
        <v>1382</v>
      </c>
      <c r="B47" s="218">
        <f>+INDEX([3]Rectangulos!$A$2:$E$2000,MATCH($A47,[3]Rectangulos!$A$2:$A$2000,0),MATCH(B$2,[3]Rectangulos!$A$1:$E$1,0))</f>
        <v>0</v>
      </c>
    </row>
    <row r="48" spans="1:2">
      <c r="A48" s="218" t="s">
        <v>1371</v>
      </c>
      <c r="B48" s="218">
        <f>+INDEX([3]Rectangulos!$A$2:$E$2000,MATCH($A48,[3]Rectangulos!$A$2:$A$2000,0),MATCH(B$2,[3]Rectangulos!$A$1:$E$1,0))</f>
        <v>0</v>
      </c>
    </row>
    <row r="49" spans="1:2">
      <c r="A49" s="218" t="s">
        <v>893</v>
      </c>
      <c r="B49" s="218">
        <f>+INDEX([3]Rectangulos!$A$2:$E$2000,MATCH($A49,[3]Rectangulos!$A$2:$A$2000,0),MATCH(B$2,[3]Rectangulos!$A$1:$E$1,0))</f>
        <v>0</v>
      </c>
    </row>
    <row r="50" spans="1:2">
      <c r="A50" s="218" t="s">
        <v>1384</v>
      </c>
      <c r="B50" s="218">
        <f>+INDEX([3]Rectangulos!$A$2:$E$2000,MATCH($A50,[3]Rectangulos!$A$2:$A$2000,0),MATCH(B$2,[3]Rectangulos!$A$1:$E$1,0))</f>
        <v>0</v>
      </c>
    </row>
    <row r="51" spans="1:2">
      <c r="A51" s="218" t="s">
        <v>1376</v>
      </c>
      <c r="B51" s="218">
        <f>+INDEX([3]Rectangulos!$A$2:$E$2000,MATCH($A51,[3]Rectangulos!$A$2:$A$2000,0),MATCH(B$2,[3]Rectangulos!$A$1:$E$1,0))</f>
        <v>0</v>
      </c>
    </row>
    <row r="52" spans="1:2">
      <c r="A52" s="218" t="s">
        <v>1363</v>
      </c>
      <c r="B52" s="218">
        <f>+INDEX([3]Rectangulos!$A$2:$E$2000,MATCH($A52,[3]Rectangulos!$A$2:$A$2000,0),MATCH(B$2,[3]Rectangulos!$A$1:$E$1,0))</f>
        <v>0</v>
      </c>
    </row>
    <row r="53" spans="1:2">
      <c r="A53" s="218" t="s">
        <v>1357</v>
      </c>
      <c r="B53" s="218">
        <f>+INDEX([3]Rectangulos!$A$2:$E$2000,MATCH($A53,[3]Rectangulos!$A$2:$A$2000,0),MATCH(B$2,[3]Rectangulos!$A$1:$E$1,0))</f>
        <v>0</v>
      </c>
    </row>
    <row r="54" spans="1:2">
      <c r="A54" s="218" t="s">
        <v>1354</v>
      </c>
      <c r="B54" s="218">
        <f>+INDEX([3]Rectangulos!$A$2:$E$2000,MATCH($A54,[3]Rectangulos!$A$2:$A$2000,0),MATCH(B$2,[3]Rectangulos!$A$1:$E$1,0))</f>
        <v>0</v>
      </c>
    </row>
    <row r="55" spans="1:2">
      <c r="A55" s="218" t="s">
        <v>1429</v>
      </c>
      <c r="B55" s="218">
        <f>+INDEX([3]Rectangulos!$A$2:$E$2000,MATCH($A55,[3]Rectangulos!$A$2:$A$2000,0),MATCH(B$2,[3]Rectangulos!$A$1:$E$1,0))</f>
        <v>0</v>
      </c>
    </row>
    <row r="56" spans="1:2">
      <c r="A56" s="218" t="s">
        <v>1031</v>
      </c>
      <c r="B56" s="218">
        <f>+INDEX([3]Rectangulos!$A$2:$E$2000,MATCH($A56,[3]Rectangulos!$A$2:$A$2000,0),MATCH(B$2,[3]Rectangulos!$A$1:$E$1,0))</f>
        <v>0</v>
      </c>
    </row>
    <row r="57" spans="1:2">
      <c r="A57" s="218" t="s">
        <v>1427</v>
      </c>
      <c r="B57" s="218">
        <f>+INDEX([3]Rectangulos!$A$2:$E$2000,MATCH($A57,[3]Rectangulos!$A$2:$A$2000,0),MATCH(B$2,[3]Rectangulos!$A$1:$E$1,0))</f>
        <v>0</v>
      </c>
    </row>
    <row r="58" spans="1:2">
      <c r="A58" s="218" t="s">
        <v>1373</v>
      </c>
      <c r="B58" s="218">
        <f>+INDEX([3]Rectangulos!$A$2:$E$2000,MATCH($A58,[3]Rectangulos!$A$2:$A$2000,0),MATCH(B$2,[3]Rectangulos!$A$1:$E$1,0))</f>
        <v>0</v>
      </c>
    </row>
    <row r="59" spans="1:2">
      <c r="A59" s="218" t="s">
        <v>1374</v>
      </c>
      <c r="B59" s="218">
        <f>+INDEX([3]Rectangulos!$A$2:$E$2000,MATCH($A59,[3]Rectangulos!$A$2:$A$2000,0),MATCH(B$2,[3]Rectangulos!$A$1:$E$1,0))</f>
        <v>0</v>
      </c>
    </row>
    <row r="60" spans="1:2">
      <c r="A60" s="218" t="s">
        <v>836</v>
      </c>
      <c r="B60" s="218">
        <f>+INDEX([3]Rectangulos!$A$2:$E$2000,MATCH($A60,[3]Rectangulos!$A$2:$A$2000,0),MATCH(B$2,[3]Rectangulos!$A$1:$E$1,0))</f>
        <v>0</v>
      </c>
    </row>
    <row r="61" spans="1:2">
      <c r="A61" s="218" t="s">
        <v>1380</v>
      </c>
      <c r="B61" s="218">
        <f>+INDEX([3]Rectangulos!$A$2:$E$2000,MATCH($A61,[3]Rectangulos!$A$2:$A$2000,0),MATCH(B$2,[3]Rectangulos!$A$1:$E$1,0))</f>
        <v>0</v>
      </c>
    </row>
    <row r="62" spans="1:2">
      <c r="A62" s="218" t="s">
        <v>1362</v>
      </c>
      <c r="B62" s="218">
        <f>+INDEX([3]Rectangulos!$A$2:$E$2000,MATCH($A62,[3]Rectangulos!$A$2:$A$2000,0),MATCH(B$2,[3]Rectangulos!$A$1:$E$1,0))</f>
        <v>0</v>
      </c>
    </row>
    <row r="63" spans="1:2">
      <c r="A63" s="218" t="s">
        <v>1381</v>
      </c>
      <c r="B63" s="218">
        <f>+INDEX([3]Rectangulos!$A$2:$E$2000,MATCH($A63,[3]Rectangulos!$A$2:$A$2000,0),MATCH(B$2,[3]Rectangulos!$A$1:$E$1,0))</f>
        <v>0</v>
      </c>
    </row>
    <row r="64" spans="1:2">
      <c r="A64" s="218" t="s">
        <v>1364</v>
      </c>
      <c r="B64" s="218">
        <f>+INDEX([3]Rectangulos!$A$2:$E$2000,MATCH($A64,[3]Rectangulos!$A$2:$A$2000,0),MATCH(B$2,[3]Rectangulos!$A$1:$E$1,0))</f>
        <v>0</v>
      </c>
    </row>
    <row r="65" spans="1:2">
      <c r="A65" s="218" t="s">
        <v>1358</v>
      </c>
      <c r="B65" s="218">
        <f>+INDEX([3]Rectangulos!$A$2:$E$2000,MATCH($A65,[3]Rectangulos!$A$2:$A$2000,0),MATCH(B$2,[3]Rectangulos!$A$1:$E$1,0))</f>
        <v>0</v>
      </c>
    </row>
    <row r="66" spans="1:2">
      <c r="A66" s="218" t="s">
        <v>1428</v>
      </c>
      <c r="B66" s="218">
        <f>+INDEX([3]Rectangulos!$A$2:$E$2000,MATCH($A66,[3]Rectangulos!$A$2:$A$2000,0),MATCH(B$2,[3]Rectangulos!$A$1:$E$1,0))</f>
        <v>0</v>
      </c>
    </row>
    <row r="67" spans="1:2">
      <c r="A67" s="218" t="s">
        <v>1378</v>
      </c>
      <c r="B67" s="218">
        <f>+INDEX([3]Rectangulos!$A$2:$E$2000,MATCH($A67,[3]Rectangulos!$A$2:$A$2000,0),MATCH(B$2,[3]Rectangulos!$A$1:$E$1,0))</f>
        <v>0</v>
      </c>
    </row>
    <row r="68" spans="1:2">
      <c r="A68" s="218" t="s">
        <v>1069</v>
      </c>
      <c r="B68" s="218">
        <f>+INDEX([3]Rectangulos!$A$2:$E$2000,MATCH($A68,[3]Rectangulos!$A$2:$A$2000,0),MATCH(B$2,[3]Rectangulos!$A$1:$E$1,0))</f>
        <v>0</v>
      </c>
    </row>
    <row r="69" spans="1:2">
      <c r="A69" s="218" t="s">
        <v>1375</v>
      </c>
      <c r="B69" s="218">
        <f>+INDEX([3]Rectangulos!$A$2:$E$2000,MATCH($A69,[3]Rectangulos!$A$2:$A$2000,0),MATCH(B$2,[3]Rectangulos!$A$1:$E$1,0))</f>
        <v>0</v>
      </c>
    </row>
    <row r="70" spans="1:2">
      <c r="A70" s="218" t="s">
        <v>809</v>
      </c>
      <c r="B70" s="218">
        <f>+INDEX([3]Rectangulos!$A$2:$E$2000,MATCH($A70,[3]Rectangulos!$A$2:$A$2000,0),MATCH(B$2,[3]Rectangulos!$A$1:$E$1,0))</f>
        <v>0</v>
      </c>
    </row>
    <row r="71" spans="1:2">
      <c r="A71" s="218" t="s">
        <v>1372</v>
      </c>
      <c r="B71" s="218">
        <f>+INDEX([3]Rectangulos!$A$2:$E$2000,MATCH($A71,[3]Rectangulos!$A$2:$A$2000,0),MATCH(B$2,[3]Rectangulos!$A$1:$E$1,0))</f>
        <v>0</v>
      </c>
    </row>
    <row r="72" spans="1:2">
      <c r="A72" s="218" t="s">
        <v>1368</v>
      </c>
      <c r="B72" s="218">
        <f>+INDEX([3]Rectangulos!$A$2:$E$2000,MATCH($A72,[3]Rectangulos!$A$2:$A$2000,0),MATCH(B$2,[3]Rectangulos!$A$1:$E$1,0))</f>
        <v>0</v>
      </c>
    </row>
    <row r="73" spans="1:2">
      <c r="A73" s="218" t="s">
        <v>68</v>
      </c>
      <c r="B73" s="218">
        <f>+INDEX([3]Rectangulos!$A$2:$E$2000,MATCH($A73,[3]Rectangulos!$A$2:$A$2000,0),MATCH(B$2,[3]Rectangulos!$A$1:$E$1,0))</f>
        <v>0</v>
      </c>
    </row>
    <row r="74" spans="1:2">
      <c r="A74" s="218" t="s">
        <v>1365</v>
      </c>
      <c r="B74" s="218">
        <f>+INDEX([3]Rectangulos!$A$2:$E$2000,MATCH($A74,[3]Rectangulos!$A$2:$A$2000,0),MATCH(B$2,[3]Rectangulos!$A$1:$E$1,0))</f>
        <v>0</v>
      </c>
    </row>
    <row r="75" spans="1:2">
      <c r="A75" s="218" t="s">
        <v>1360</v>
      </c>
      <c r="B75" s="218">
        <f>+INDEX([3]Rectangulos!$A$2:$E$2000,MATCH($A75,[3]Rectangulos!$A$2:$A$2000,0),MATCH(B$2,[3]Rectangulos!$A$1:$E$1,0))</f>
        <v>0</v>
      </c>
    </row>
    <row r="76" spans="1:2">
      <c r="A76" s="218" t="s">
        <v>1369</v>
      </c>
      <c r="B76" s="218">
        <f>+INDEX([3]Rectangulos!$A$2:$E$2000,MATCH($A76,[3]Rectangulos!$A$2:$A$2000,0),MATCH(B$2,[3]Rectangulos!$A$1:$E$1,0))</f>
        <v>0</v>
      </c>
    </row>
    <row r="77" spans="1:2">
      <c r="A77" s="218" t="s">
        <v>879</v>
      </c>
      <c r="B77" s="218">
        <f>+INDEX([3]Rectangulos!$A$2:$E$2000,MATCH($A77,[3]Rectangulos!$A$2:$A$2000,0),MATCH(B$2,[3]Rectangulos!$A$1:$E$1,0))</f>
        <v>0</v>
      </c>
    </row>
    <row r="78" spans="1:2">
      <c r="A78" s="218" t="s">
        <v>66</v>
      </c>
      <c r="B78" s="218">
        <f>+INDEX([3]Rectangulos!$A$2:$E$2000,MATCH($A78,[3]Rectangulos!$A$2:$A$2000,0),MATCH(B$2,[3]Rectangulos!$A$1:$E$1,0))</f>
        <v>0</v>
      </c>
    </row>
    <row r="79" spans="1:2">
      <c r="A79" s="218" t="s">
        <v>422</v>
      </c>
      <c r="B79" s="218">
        <f>+INDEX([3]Rectangulos!$A$2:$E$2000,MATCH($A79,[3]Rectangulos!$A$2:$A$2000,0),MATCH(B$2,[3]Rectangulos!$A$1:$E$1,0))</f>
        <v>0</v>
      </c>
    </row>
    <row r="80" spans="1:2">
      <c r="A80" s="218" t="s">
        <v>822</v>
      </c>
      <c r="B80" s="218">
        <f>+INDEX([3]Rectangulos!$A$2:$E$2000,MATCH($A80,[3]Rectangulos!$A$2:$A$2000,0),MATCH(B$2,[3]Rectangulos!$A$1:$E$1,0))</f>
        <v>0</v>
      </c>
    </row>
    <row r="81" spans="1:2">
      <c r="A81" s="218" t="s">
        <v>851</v>
      </c>
      <c r="B81" s="218">
        <f>+INDEX([3]Rectangulos!$A$2:$E$2000,MATCH($A81,[3]Rectangulos!$A$2:$A$2000,0),MATCH(B$2,[3]Rectangulos!$A$1:$E$1,0))</f>
        <v>0</v>
      </c>
    </row>
    <row r="82" spans="1:2">
      <c r="A82" s="218" t="s">
        <v>861</v>
      </c>
      <c r="B82" s="218">
        <f>+INDEX([3]Rectangulos!$A$2:$E$2000,MATCH($A82,[3]Rectangulos!$A$2:$A$2000,0),MATCH(B$2,[3]Rectangulos!$A$1:$E$1,0))</f>
        <v>0</v>
      </c>
    </row>
    <row r="83" spans="1:2">
      <c r="A83" s="218" t="s">
        <v>904</v>
      </c>
      <c r="B83" s="218">
        <f>+INDEX([3]Rectangulos!$A$2:$E$2000,MATCH($A83,[3]Rectangulos!$A$2:$A$2000,0),MATCH(B$2,[3]Rectangulos!$A$1:$E$1,0))</f>
        <v>0</v>
      </c>
    </row>
    <row r="84" spans="1:2">
      <c r="A84" s="218" t="s">
        <v>53</v>
      </c>
      <c r="B84" s="218">
        <f>+INDEX([3]Rectangulos!$A$2:$E$2000,MATCH($A84,[3]Rectangulos!$A$2:$A$2000,0),MATCH(B$2,[3]Rectangulos!$A$1:$E$1,0))</f>
        <v>0</v>
      </c>
    </row>
    <row r="85" spans="1:2">
      <c r="A85" s="218" t="s">
        <v>685</v>
      </c>
      <c r="B85" s="218">
        <f>+INDEX([3]Rectangulos!$A$2:$E$2000,MATCH($A85,[3]Rectangulos!$A$2:$A$2000,0),MATCH(B$2,[3]Rectangulos!$A$1:$E$1,0))</f>
        <v>0</v>
      </c>
    </row>
    <row r="86" spans="1:2">
      <c r="A86" s="218" t="s">
        <v>899</v>
      </c>
      <c r="B86" s="218">
        <f>+INDEX([3]Rectangulos!$A$2:$E$2000,MATCH($A86,[3]Rectangulos!$A$2:$A$2000,0),MATCH(B$2,[3]Rectangulos!$A$1:$E$1,0))</f>
        <v>0</v>
      </c>
    </row>
    <row r="87" spans="1:2">
      <c r="A87" s="218" t="s">
        <v>912</v>
      </c>
      <c r="B87" s="218">
        <f>+INDEX([3]Rectangulos!$A$2:$E$2000,MATCH($A87,[3]Rectangulos!$A$2:$A$2000,0),MATCH(B$2,[3]Rectangulos!$A$1:$E$1,0))</f>
        <v>0</v>
      </c>
    </row>
    <row r="88" spans="1:2">
      <c r="A88" s="218" t="s">
        <v>1464</v>
      </c>
      <c r="B88" s="218">
        <f>+INDEX([3]Rectangulos!$A$2:$E$2000,MATCH($A88,[3]Rectangulos!$A$2:$A$2000,0),MATCH(B$2,[3]Rectangulos!$A$1:$E$1,0))</f>
        <v>0</v>
      </c>
    </row>
    <row r="89" spans="1:2">
      <c r="A89" s="218" t="s">
        <v>940</v>
      </c>
      <c r="B89" s="218">
        <f>+INDEX([3]Rectangulos!$A$2:$E$2000,MATCH($A89,[3]Rectangulos!$A$2:$A$2000,0),MATCH(B$2,[3]Rectangulos!$A$1:$E$1,0))</f>
        <v>0</v>
      </c>
    </row>
    <row r="90" spans="1:2">
      <c r="A90" s="218" t="s">
        <v>929</v>
      </c>
      <c r="B90" s="218">
        <f>+INDEX([3]Rectangulos!$A$2:$E$2000,MATCH($A90,[3]Rectangulos!$A$2:$A$2000,0),MATCH(B$2,[3]Rectangulos!$A$1:$E$1,0))</f>
        <v>0</v>
      </c>
    </row>
    <row r="91" spans="1:2">
      <c r="A91" s="218" t="s">
        <v>937</v>
      </c>
      <c r="B91" s="218">
        <f>+INDEX([3]Rectangulos!$A$2:$E$2000,MATCH($A91,[3]Rectangulos!$A$2:$A$2000,0),MATCH(B$2,[3]Rectangulos!$A$1:$E$1,0))</f>
        <v>0</v>
      </c>
    </row>
    <row r="92" spans="1:2">
      <c r="A92" s="218" t="s">
        <v>1021</v>
      </c>
      <c r="B92" s="218">
        <f>+INDEX([3]Rectangulos!$A$2:$E$2000,MATCH($A92,[3]Rectangulos!$A$2:$A$2000,0),MATCH(B$2,[3]Rectangulos!$A$1:$E$1,0))</f>
        <v>0</v>
      </c>
    </row>
    <row r="93" spans="1:2">
      <c r="A93" s="218" t="s">
        <v>1001</v>
      </c>
      <c r="B93" s="218">
        <f>+INDEX([3]Rectangulos!$A$2:$E$2000,MATCH($A93,[3]Rectangulos!$A$2:$A$2000,0),MATCH(B$2,[3]Rectangulos!$A$1:$E$1,0))</f>
        <v>0</v>
      </c>
    </row>
    <row r="94" spans="1:2">
      <c r="A94" s="218" t="s">
        <v>918</v>
      </c>
      <c r="B94" s="218">
        <f>+INDEX([3]Rectangulos!$A$2:$E$2000,MATCH($A94,[3]Rectangulos!$A$2:$A$2000,0),MATCH(B$2,[3]Rectangulos!$A$1:$E$1,0))</f>
        <v>0</v>
      </c>
    </row>
    <row r="95" spans="1:2">
      <c r="A95" s="218" t="s">
        <v>522</v>
      </c>
      <c r="B95" s="218">
        <f>+INDEX([3]Rectangulos!$A$2:$E$2000,MATCH($A95,[3]Rectangulos!$A$2:$A$2000,0),MATCH(B$2,[3]Rectangulos!$A$1:$E$1,0))</f>
        <v>0</v>
      </c>
    </row>
    <row r="96" spans="1:2">
      <c r="A96" s="218" t="s">
        <v>430</v>
      </c>
      <c r="B96" s="218">
        <f>+INDEX([3]Rectangulos!$A$2:$E$2000,MATCH($A96,[3]Rectangulos!$A$2:$A$2000,0),MATCH(B$2,[3]Rectangulos!$A$1:$E$1,0))</f>
        <v>0</v>
      </c>
    </row>
    <row r="97" spans="1:2">
      <c r="A97" s="218" t="s">
        <v>435</v>
      </c>
      <c r="B97" s="218">
        <f>+INDEX([3]Rectangulos!$A$2:$E$2000,MATCH($A97,[3]Rectangulos!$A$2:$A$2000,0),MATCH(B$2,[3]Rectangulos!$A$1:$E$1,0))</f>
        <v>0</v>
      </c>
    </row>
    <row r="98" spans="1:2">
      <c r="A98" s="218" t="s">
        <v>515</v>
      </c>
      <c r="B98" s="218">
        <f>+INDEX([3]Rectangulos!$A$2:$E$2000,MATCH($A98,[3]Rectangulos!$A$2:$A$2000,0),MATCH(B$2,[3]Rectangulos!$A$1:$E$1,0))</f>
        <v>0</v>
      </c>
    </row>
    <row r="99" spans="1:2">
      <c r="A99" s="218" t="s">
        <v>76</v>
      </c>
      <c r="B99" s="218">
        <f>+INDEX([3]Rectangulos!$A$2:$E$2000,MATCH($A99,[3]Rectangulos!$A$2:$A$2000,0),MATCH(B$2,[3]Rectangulos!$A$1:$E$1,0))</f>
        <v>0</v>
      </c>
    </row>
    <row r="100" spans="1:2">
      <c r="A100" s="218" t="s">
        <v>536</v>
      </c>
      <c r="B100" s="218">
        <f>+INDEX([3]Rectangulos!$A$2:$E$2000,MATCH($A100,[3]Rectangulos!$A$2:$A$2000,0),MATCH(B$2,[3]Rectangulos!$A$1:$E$1,0))</f>
        <v>0</v>
      </c>
    </row>
    <row r="101" spans="1:2">
      <c r="A101" s="218" t="s">
        <v>1258</v>
      </c>
      <c r="B101" s="218">
        <f>+INDEX([3]Rectangulos!$A$2:$E$2000,MATCH($A101,[3]Rectangulos!$A$2:$A$2000,0),MATCH(B$2,[3]Rectangulos!$A$1:$E$1,0))</f>
        <v>0</v>
      </c>
    </row>
    <row r="102" spans="1:2">
      <c r="A102" s="218" t="s">
        <v>328</v>
      </c>
      <c r="B102" s="218">
        <f>+INDEX([3]Rectangulos!$A$2:$E$2000,MATCH($A102,[3]Rectangulos!$A$2:$A$2000,0),MATCH(B$2,[3]Rectangulos!$A$1:$E$1,0))</f>
        <v>0</v>
      </c>
    </row>
    <row r="103" spans="1:2">
      <c r="A103" s="218" t="s">
        <v>544</v>
      </c>
      <c r="B103" s="218">
        <f>+INDEX([3]Rectangulos!$A$2:$E$2000,MATCH($A103,[3]Rectangulos!$A$2:$A$2000,0),MATCH(B$2,[3]Rectangulos!$A$1:$E$1,0))</f>
        <v>0</v>
      </c>
    </row>
    <row r="104" spans="1:2">
      <c r="A104" s="218" t="s">
        <v>487</v>
      </c>
      <c r="B104" s="218">
        <f>+INDEX([3]Rectangulos!$A$2:$E$2000,MATCH($A104,[3]Rectangulos!$A$2:$A$2000,0),MATCH(B$2,[3]Rectangulos!$A$1:$E$1,0))</f>
        <v>0</v>
      </c>
    </row>
    <row r="105" spans="1:2">
      <c r="A105" s="218" t="s">
        <v>579</v>
      </c>
      <c r="B105" s="218">
        <f>+INDEX([3]Rectangulos!$A$2:$E$2000,MATCH($A105,[3]Rectangulos!$A$2:$A$2000,0),MATCH(B$2,[3]Rectangulos!$A$1:$E$1,0))</f>
        <v>0</v>
      </c>
    </row>
    <row r="106" spans="1:2">
      <c r="A106" s="218" t="s">
        <v>574</v>
      </c>
      <c r="B106" s="218">
        <f>+INDEX([3]Rectangulos!$A$2:$E$2000,MATCH($A106,[3]Rectangulos!$A$2:$A$2000,0),MATCH(B$2,[3]Rectangulos!$A$1:$E$1,0))</f>
        <v>0</v>
      </c>
    </row>
    <row r="107" spans="1:2">
      <c r="A107" s="218" t="s">
        <v>596</v>
      </c>
      <c r="B107" s="218">
        <f>+INDEX([3]Rectangulos!$A$2:$E$2000,MATCH($A107,[3]Rectangulos!$A$2:$A$2000,0),MATCH(B$2,[3]Rectangulos!$A$1:$E$1,0))</f>
        <v>0</v>
      </c>
    </row>
    <row r="108" spans="1:2">
      <c r="A108" s="218" t="s">
        <v>471</v>
      </c>
      <c r="B108" s="218">
        <f>+INDEX([3]Rectangulos!$A$2:$E$2000,MATCH($A108,[3]Rectangulos!$A$2:$A$2000,0),MATCH(B$2,[3]Rectangulos!$A$1:$E$1,0))</f>
        <v>0</v>
      </c>
    </row>
    <row r="109" spans="1:2">
      <c r="A109" s="218" t="s">
        <v>531</v>
      </c>
      <c r="B109" s="218">
        <f>+INDEX([3]Rectangulos!$A$2:$E$2000,MATCH($A109,[3]Rectangulos!$A$2:$A$2000,0),MATCH(B$2,[3]Rectangulos!$A$1:$E$1,0))</f>
        <v>0</v>
      </c>
    </row>
    <row r="110" spans="1:2">
      <c r="A110" s="218" t="s">
        <v>673</v>
      </c>
      <c r="B110" s="218">
        <f>+INDEX([3]Rectangulos!$A$2:$E$2000,MATCH($A110,[3]Rectangulos!$A$2:$A$2000,0),MATCH(B$2,[3]Rectangulos!$A$1:$E$1,0))</f>
        <v>0</v>
      </c>
    </row>
    <row r="111" spans="1:2">
      <c r="A111" s="218" t="s">
        <v>327</v>
      </c>
      <c r="B111" s="218">
        <f>+INDEX([3]Rectangulos!$A$2:$E$2000,MATCH($A111,[3]Rectangulos!$A$2:$A$2000,0),MATCH(B$2,[3]Rectangulos!$A$1:$E$1,0))</f>
        <v>0</v>
      </c>
    </row>
    <row r="112" spans="1:2">
      <c r="A112" s="218" t="s">
        <v>653</v>
      </c>
      <c r="B112" s="218">
        <f>+INDEX([3]Rectangulos!$A$2:$E$2000,MATCH($A112,[3]Rectangulos!$A$2:$A$2000,0),MATCH(B$2,[3]Rectangulos!$A$1:$E$1,0))</f>
        <v>0</v>
      </c>
    </row>
    <row r="113" spans="1:2">
      <c r="A113" s="218" t="s">
        <v>1006</v>
      </c>
      <c r="B113" s="218">
        <f>+INDEX([3]Rectangulos!$A$2:$E$2000,MATCH($A113,[3]Rectangulos!$A$2:$A$2000,0),MATCH(B$2,[3]Rectangulos!$A$1:$E$1,0))</f>
        <v>0</v>
      </c>
    </row>
    <row r="114" spans="1:2">
      <c r="A114" s="218" t="s">
        <v>1262</v>
      </c>
      <c r="B114" s="218">
        <f>+INDEX([3]Rectangulos!$A$2:$E$2000,MATCH($A114,[3]Rectangulos!$A$2:$A$2000,0),MATCH(B$2,[3]Rectangulos!$A$1:$E$1,0))</f>
        <v>0</v>
      </c>
    </row>
    <row r="115" spans="1:2">
      <c r="A115" s="218" t="s">
        <v>82</v>
      </c>
      <c r="B115" s="218">
        <f>+INDEX([3]Rectangulos!$A$2:$E$2000,MATCH($A115,[3]Rectangulos!$A$2:$A$2000,0),MATCH(B$2,[3]Rectangulos!$A$1:$E$1,0))</f>
        <v>0</v>
      </c>
    </row>
    <row r="116" spans="1:2">
      <c r="A116" s="218" t="s">
        <v>845</v>
      </c>
      <c r="B116" s="218">
        <f>+INDEX([3]Rectangulos!$A$2:$E$2000,MATCH($A116,[3]Rectangulos!$A$2:$A$2000,0),MATCH(B$2,[3]Rectangulos!$A$1:$E$1,0))</f>
        <v>0</v>
      </c>
    </row>
    <row r="117" spans="1:2">
      <c r="A117" s="218" t="s">
        <v>622</v>
      </c>
      <c r="B117" s="218">
        <f>+INDEX([3]Rectangulos!$A$2:$E$2000,MATCH($A117,[3]Rectangulos!$A$2:$A$2000,0),MATCH(B$2,[3]Rectangulos!$A$1:$E$1,0))</f>
        <v>0</v>
      </c>
    </row>
    <row r="118" spans="1:2">
      <c r="A118" s="218" t="s">
        <v>691</v>
      </c>
      <c r="B118" s="218">
        <f>+INDEX([3]Rectangulos!$A$2:$E$2000,MATCH($A118,[3]Rectangulos!$A$2:$A$2000,0),MATCH(B$2,[3]Rectangulos!$A$1:$E$1,0))</f>
        <v>0</v>
      </c>
    </row>
    <row r="119" spans="1:2">
      <c r="A119" s="218" t="s">
        <v>85</v>
      </c>
      <c r="B119" s="218">
        <f>+INDEX([3]Rectangulos!$A$2:$E$2000,MATCH($A119,[3]Rectangulos!$A$2:$A$2000,0),MATCH(B$2,[3]Rectangulos!$A$1:$E$1,0))</f>
        <v>0</v>
      </c>
    </row>
    <row r="120" spans="1:2">
      <c r="A120" s="218" t="s">
        <v>398</v>
      </c>
      <c r="B120" s="218">
        <f>+INDEX([3]Rectangulos!$A$2:$E$2000,MATCH($A120,[3]Rectangulos!$A$2:$A$2000,0),MATCH(B$2,[3]Rectangulos!$A$1:$E$1,0))</f>
        <v>0</v>
      </c>
    </row>
    <row r="121" spans="1:2">
      <c r="A121" s="218" t="s">
        <v>83</v>
      </c>
      <c r="B121" s="218">
        <f>+INDEX([3]Rectangulos!$A$2:$E$2000,MATCH($A121,[3]Rectangulos!$A$2:$A$2000,0),MATCH(B$2,[3]Rectangulos!$A$1:$E$1,0))</f>
        <v>0</v>
      </c>
    </row>
    <row r="122" spans="1:2">
      <c r="A122" s="218" t="s">
        <v>714</v>
      </c>
      <c r="B122" s="218">
        <f>+INDEX([3]Rectangulos!$A$2:$E$2000,MATCH($A122,[3]Rectangulos!$A$2:$A$2000,0),MATCH(B$2,[3]Rectangulos!$A$1:$E$1,0))</f>
        <v>0</v>
      </c>
    </row>
    <row r="123" spans="1:2">
      <c r="A123" s="218" t="s">
        <v>766</v>
      </c>
      <c r="B123" s="218">
        <f>+INDEX([3]Rectangulos!$A$2:$E$2000,MATCH($A123,[3]Rectangulos!$A$2:$A$2000,0),MATCH(B$2,[3]Rectangulos!$A$1:$E$1,0))</f>
        <v>0</v>
      </c>
    </row>
    <row r="124" spans="1:2">
      <c r="A124" s="218" t="s">
        <v>286</v>
      </c>
      <c r="B124" s="218">
        <f>+INDEX([3]Rectangulos!$A$2:$E$2000,MATCH($A124,[3]Rectangulos!$A$2:$A$2000,0),MATCH(B$2,[3]Rectangulos!$A$1:$E$1,0))</f>
        <v>0</v>
      </c>
    </row>
    <row r="125" spans="1:2">
      <c r="A125" s="218" t="s">
        <v>81</v>
      </c>
      <c r="B125" s="218">
        <f>+INDEX([3]Rectangulos!$A$2:$E$2000,MATCH($A125,[3]Rectangulos!$A$2:$A$2000,0),MATCH(B$2,[3]Rectangulos!$A$1:$E$1,0))</f>
        <v>0</v>
      </c>
    </row>
    <row r="126" spans="1:2">
      <c r="A126" s="218" t="s">
        <v>783</v>
      </c>
      <c r="B126" s="218">
        <f>+INDEX([3]Rectangulos!$A$2:$E$2000,MATCH($A126,[3]Rectangulos!$A$2:$A$2000,0),MATCH(B$2,[3]Rectangulos!$A$1:$E$1,0))</f>
        <v>0</v>
      </c>
    </row>
    <row r="127" spans="1:2">
      <c r="A127" s="218" t="s">
        <v>778</v>
      </c>
      <c r="B127" s="218">
        <f>+INDEX([3]Rectangulos!$A$2:$E$2000,MATCH($A127,[3]Rectangulos!$A$2:$A$2000,0),MATCH(B$2,[3]Rectangulos!$A$1:$E$1,0))</f>
        <v>0</v>
      </c>
    </row>
    <row r="128" spans="1:2">
      <c r="A128" s="218" t="s">
        <v>1223</v>
      </c>
      <c r="B128" s="218">
        <f>+INDEX([3]Rectangulos!$A$2:$E$2000,MATCH($A128,[3]Rectangulos!$A$2:$A$2000,0),MATCH(B$2,[3]Rectangulos!$A$1:$E$1,0))</f>
        <v>0</v>
      </c>
    </row>
    <row r="129" spans="1:2">
      <c r="A129" s="218" t="s">
        <v>84</v>
      </c>
      <c r="B129" s="218">
        <f>+INDEX([3]Rectangulos!$A$2:$E$2000,MATCH($A129,[3]Rectangulos!$A$2:$A$2000,0),MATCH(B$2,[3]Rectangulos!$A$1:$E$1,0))</f>
        <v>0</v>
      </c>
    </row>
    <row r="130" spans="1:2">
      <c r="A130" s="218" t="s">
        <v>466</v>
      </c>
      <c r="B130" s="218">
        <f>+INDEX([3]Rectangulos!$A$2:$E$2000,MATCH($A130,[3]Rectangulos!$A$2:$A$2000,0),MATCH(B$2,[3]Rectangulos!$A$1:$E$1,0))</f>
        <v>0</v>
      </c>
    </row>
    <row r="131" spans="1:2">
      <c r="A131" s="218" t="s">
        <v>56</v>
      </c>
      <c r="B131" s="218">
        <f>+INDEX([3]Rectangulos!$A$2:$E$2000,MATCH($A131,[3]Rectangulos!$A$2:$A$2000,0),MATCH(B$2,[3]Rectangulos!$A$1:$E$1,0))</f>
        <v>0</v>
      </c>
    </row>
    <row r="132" spans="1:2">
      <c r="A132" s="218" t="s">
        <v>588</v>
      </c>
      <c r="B132" s="218">
        <f>+INDEX([3]Rectangulos!$A$2:$E$2000,MATCH($A132,[3]Rectangulos!$A$2:$A$2000,0),MATCH(B$2,[3]Rectangulos!$A$1:$E$1,0))</f>
        <v>0</v>
      </c>
    </row>
    <row r="133" spans="1:2">
      <c r="A133" s="218" t="s">
        <v>79</v>
      </c>
      <c r="B133" s="218">
        <f>+INDEX([3]Rectangulos!$A$2:$E$2000,MATCH($A133,[3]Rectangulos!$A$2:$A$2000,0),MATCH(B$2,[3]Rectangulos!$A$1:$E$1,0))</f>
        <v>0</v>
      </c>
    </row>
    <row r="134" spans="1:2">
      <c r="A134" s="218" t="s">
        <v>633</v>
      </c>
      <c r="B134" s="218">
        <f>+INDEX([3]Rectangulos!$A$2:$E$2000,MATCH($A134,[3]Rectangulos!$A$2:$A$2000,0),MATCH(B$2,[3]Rectangulos!$A$1:$E$1,0))</f>
        <v>0</v>
      </c>
    </row>
    <row r="135" spans="1:2">
      <c r="A135" s="218" t="s">
        <v>63</v>
      </c>
      <c r="B135" s="218">
        <f>+INDEX([3]Rectangulos!$A$2:$E$2000,MATCH($A135,[3]Rectangulos!$A$2:$A$2000,0),MATCH(B$2,[3]Rectangulos!$A$1:$E$1,0))</f>
        <v>0</v>
      </c>
    </row>
    <row r="136" spans="1:2">
      <c r="A136" s="218" t="s">
        <v>69</v>
      </c>
      <c r="B136" s="218">
        <f>+INDEX([3]Rectangulos!$A$2:$E$2000,MATCH($A136,[3]Rectangulos!$A$2:$A$2000,0),MATCH(B$2,[3]Rectangulos!$A$1:$E$1,0))</f>
        <v>0</v>
      </c>
    </row>
    <row r="137" spans="1:2">
      <c r="A137" s="218" t="s">
        <v>827</v>
      </c>
      <c r="B137" s="218">
        <f>+INDEX([3]Rectangulos!$A$2:$E$2000,MATCH($A137,[3]Rectangulos!$A$2:$A$2000,0),MATCH(B$2,[3]Rectangulos!$A$1:$E$1,0))</f>
        <v>0</v>
      </c>
    </row>
    <row r="138" spans="1:2">
      <c r="A138" s="218" t="s">
        <v>856</v>
      </c>
      <c r="B138" s="218">
        <f>+INDEX([3]Rectangulos!$A$2:$E$2000,MATCH($A138,[3]Rectangulos!$A$2:$A$2000,0),MATCH(B$2,[3]Rectangulos!$A$1:$E$1,0))</f>
        <v>0</v>
      </c>
    </row>
    <row r="139" spans="1:2">
      <c r="A139" s="218" t="s">
        <v>866</v>
      </c>
      <c r="B139" s="218">
        <f>+INDEX([3]Rectangulos!$A$2:$E$2000,MATCH($A139,[3]Rectangulos!$A$2:$A$2000,0),MATCH(B$2,[3]Rectangulos!$A$1:$E$1,0))</f>
        <v>0</v>
      </c>
    </row>
    <row r="140" spans="1:2">
      <c r="A140" s="218" t="s">
        <v>841</v>
      </c>
      <c r="B140" s="218">
        <f>+INDEX([3]Rectangulos!$A$2:$E$2000,MATCH($A140,[3]Rectangulos!$A$2:$A$2000,0),MATCH(B$2,[3]Rectangulos!$A$1:$E$1,0))</f>
        <v>0</v>
      </c>
    </row>
    <row r="141" spans="1:2">
      <c r="A141" s="218" t="s">
        <v>62</v>
      </c>
      <c r="B141" s="218">
        <f>+INDEX([3]Rectangulos!$A$2:$E$2000,MATCH($A141,[3]Rectangulos!$A$2:$A$2000,0),MATCH(B$2,[3]Rectangulos!$A$1:$E$1,0))</f>
        <v>0</v>
      </c>
    </row>
    <row r="142" spans="1:2">
      <c r="A142" s="218" t="s">
        <v>1468</v>
      </c>
      <c r="B142" s="218">
        <f>+INDEX([3]Rectangulos!$A$2:$E$2000,MATCH($A142,[3]Rectangulos!$A$2:$A$2000,0),MATCH(B$2,[3]Rectangulos!$A$1:$E$1,0))</f>
        <v>0</v>
      </c>
    </row>
    <row r="143" spans="1:2">
      <c r="A143" s="218" t="s">
        <v>1459</v>
      </c>
      <c r="B143" s="218">
        <f>+INDEX([3]Rectangulos!$A$2:$E$2000,MATCH($A143,[3]Rectangulos!$A$2:$A$2000,0),MATCH(B$2,[3]Rectangulos!$A$1:$E$1,0))</f>
        <v>0</v>
      </c>
    </row>
    <row r="144" spans="1:2">
      <c r="A144" s="218" t="s">
        <v>1467</v>
      </c>
      <c r="B144" s="218">
        <f>+INDEX([3]Rectangulos!$A$2:$E$2000,MATCH($A144,[3]Rectangulos!$A$2:$A$2000,0),MATCH(B$2,[3]Rectangulos!$A$1:$E$1,0))</f>
        <v>0</v>
      </c>
    </row>
    <row r="145" spans="1:2">
      <c r="A145" s="218" t="s">
        <v>800</v>
      </c>
      <c r="B145" s="218">
        <f>+INDEX([3]Rectangulos!$A$2:$E$2000,MATCH($A145,[3]Rectangulos!$A$2:$A$2000,0),MATCH(B$2,[3]Rectangulos!$A$1:$E$1,0))</f>
        <v>0</v>
      </c>
    </row>
    <row r="146" spans="1:2">
      <c r="A146" s="218" t="s">
        <v>1231</v>
      </c>
      <c r="B146" s="218">
        <f>+INDEX([3]Rectangulos!$A$2:$E$2000,MATCH($A146,[3]Rectangulos!$A$2:$A$2000,0),MATCH(B$2,[3]Rectangulos!$A$1:$E$1,0))</f>
        <v>0</v>
      </c>
    </row>
    <row r="147" spans="1:2">
      <c r="A147" s="218" t="s">
        <v>73</v>
      </c>
      <c r="B147" s="218">
        <f>+INDEX([3]Rectangulos!$A$2:$E$2000,MATCH($A147,[3]Rectangulos!$A$2:$A$2000,0),MATCH(B$2,[3]Rectangulos!$A$1:$E$1,0))</f>
        <v>0</v>
      </c>
    </row>
    <row r="148" spans="1:2">
      <c r="A148" s="218" t="s">
        <v>75</v>
      </c>
      <c r="B148" s="218">
        <f>+INDEX([3]Rectangulos!$A$2:$E$2000,MATCH($A148,[3]Rectangulos!$A$2:$A$2000,0),MATCH(B$2,[3]Rectangulos!$A$1:$E$1,0))</f>
        <v>0</v>
      </c>
    </row>
    <row r="149" spans="1:2">
      <c r="A149" s="218" t="s">
        <v>1251</v>
      </c>
      <c r="B149" s="218">
        <f>+INDEX([3]Rectangulos!$A$2:$E$2000,MATCH($A149,[3]Rectangulos!$A$2:$A$2000,0),MATCH(B$2,[3]Rectangulos!$A$1:$E$1,0))</f>
        <v>0</v>
      </c>
    </row>
    <row r="150" spans="1:2">
      <c r="A150" s="218" t="s">
        <v>87</v>
      </c>
      <c r="B150" s="218">
        <f>+INDEX([3]Rectangulos!$A$2:$E$2000,MATCH($A150,[3]Rectangulos!$A$2:$A$2000,0),MATCH(B$2,[3]Rectangulos!$A$1:$E$1,0))</f>
        <v>0</v>
      </c>
    </row>
    <row r="151" spans="1:2">
      <c r="A151" s="218" t="s">
        <v>80</v>
      </c>
      <c r="B151" s="218">
        <f>+INDEX([3]Rectangulos!$A$2:$E$2000,MATCH($A151,[3]Rectangulos!$A$2:$A$2000,0),MATCH(B$2,[3]Rectangulos!$A$1:$E$1,0))</f>
        <v>0</v>
      </c>
    </row>
    <row r="152" spans="1:2">
      <c r="A152" s="218" t="s">
        <v>329</v>
      </c>
      <c r="B152" s="218">
        <f>+INDEX([3]Rectangulos!$A$2:$E$2000,MATCH($A152,[3]Rectangulos!$A$2:$A$2000,0),MATCH(B$2,[3]Rectangulos!$A$1:$E$1,0))</f>
        <v>0</v>
      </c>
    </row>
    <row r="153" spans="1:2">
      <c r="A153" s="218" t="s">
        <v>1466</v>
      </c>
      <c r="B153" s="218">
        <f>+INDEX([3]Rectangulos!$A$2:$E$2000,MATCH($A153,[3]Rectangulos!$A$2:$A$2000,0),MATCH(B$2,[3]Rectangulos!$A$1:$E$1,0))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/>
  <dimension ref="A2:AB39"/>
  <sheetViews>
    <sheetView showGridLines="0" zoomScale="85" zoomScaleNormal="85" workbookViewId="0">
      <selection activeCell="J37" sqref="J37"/>
    </sheetView>
  </sheetViews>
  <sheetFormatPr baseColWidth="10" defaultRowHeight="14.25"/>
  <cols>
    <col min="1" max="1" width="6.5" customWidth="1"/>
    <col min="2" max="2" width="13.125" customWidth="1"/>
    <col min="3" max="3" width="15.625" customWidth="1"/>
    <col min="4" max="4" width="14.625" bestFit="1" customWidth="1"/>
    <col min="5" max="5" width="14.875" customWidth="1"/>
    <col min="6" max="8" width="12.375" customWidth="1"/>
    <col min="10" max="10" width="17.25" bestFit="1" customWidth="1"/>
    <col min="11" max="11" width="14.875" bestFit="1" customWidth="1"/>
    <col min="12" max="12" width="12.125" bestFit="1" customWidth="1"/>
    <col min="13" max="13" width="11.125" bestFit="1" customWidth="1"/>
    <col min="14" max="14" width="17.25" customWidth="1"/>
    <col min="15" max="15" width="14.375" customWidth="1"/>
    <col min="18" max="18" width="12.625" customWidth="1"/>
    <col min="23" max="23" width="16" customWidth="1"/>
    <col min="26" max="26" width="15.625" customWidth="1"/>
    <col min="27" max="27" width="18.875" customWidth="1"/>
  </cols>
  <sheetData>
    <row r="2" spans="1:28">
      <c r="B2" s="195" t="s">
        <v>1193</v>
      </c>
      <c r="C2" s="184">
        <f ca="1">+FechaConsulta</f>
        <v>43058</v>
      </c>
      <c r="E2" s="61"/>
      <c r="F2" s="218"/>
    </row>
    <row r="3" spans="1:28">
      <c r="B3" s="195" t="s">
        <v>1076</v>
      </c>
      <c r="C3" s="185" t="s">
        <v>298</v>
      </c>
      <c r="E3" s="100"/>
      <c r="F3" s="218"/>
      <c r="N3" s="61"/>
      <c r="O3" s="61"/>
    </row>
    <row r="4" spans="1:28">
      <c r="B4" s="195" t="s">
        <v>1194</v>
      </c>
      <c r="C4" s="183">
        <f>+IFERROR(SUMIFS(BaseCompleta!E:E,BaseCompleta!B:B,Resumen!$C$3),0)</f>
        <v>87851814815.142883</v>
      </c>
      <c r="D4" s="100"/>
      <c r="E4" s="218"/>
      <c r="F4" s="218"/>
      <c r="J4" s="206" t="b">
        <v>0</v>
      </c>
      <c r="K4" s="207">
        <v>400000000</v>
      </c>
      <c r="N4" s="61"/>
      <c r="O4" s="61"/>
    </row>
    <row r="5" spans="1:28">
      <c r="C5" s="61"/>
      <c r="J5" s="206" t="b">
        <v>0</v>
      </c>
    </row>
    <row r="7" spans="1:28" ht="33" customHeight="1">
      <c r="B7" s="196" t="s">
        <v>281</v>
      </c>
      <c r="C7" s="196" t="s">
        <v>90</v>
      </c>
      <c r="D7" s="197" t="s">
        <v>1183</v>
      </c>
      <c r="E7" s="197" t="s">
        <v>1185</v>
      </c>
      <c r="F7" s="197" t="s">
        <v>91</v>
      </c>
      <c r="G7" s="197" t="s">
        <v>1184</v>
      </c>
      <c r="H7" s="178"/>
      <c r="I7" s="180"/>
      <c r="J7" s="197" t="s">
        <v>0</v>
      </c>
      <c r="K7" s="197" t="s">
        <v>232</v>
      </c>
      <c r="L7" s="197" t="s">
        <v>315</v>
      </c>
      <c r="M7" s="197" t="s">
        <v>162</v>
      </c>
      <c r="N7" s="197" t="s">
        <v>316</v>
      </c>
      <c r="O7" s="197" t="s">
        <v>317</v>
      </c>
      <c r="P7" s="197" t="s">
        <v>1</v>
      </c>
      <c r="Q7" s="197" t="s">
        <v>319</v>
      </c>
      <c r="R7" s="197" t="s">
        <v>320</v>
      </c>
      <c r="S7" s="197" t="s">
        <v>321</v>
      </c>
      <c r="T7" s="197" t="s">
        <v>322</v>
      </c>
      <c r="U7" s="197" t="s">
        <v>2</v>
      </c>
      <c r="V7" s="197" t="s">
        <v>106</v>
      </c>
      <c r="W7" s="197" t="s">
        <v>365</v>
      </c>
      <c r="X7" s="197" t="s">
        <v>323</v>
      </c>
      <c r="Y7" s="197" t="s">
        <v>3</v>
      </c>
      <c r="Z7" s="197" t="s">
        <v>366</v>
      </c>
      <c r="AA7" s="197" t="s">
        <v>367</v>
      </c>
      <c r="AB7" s="197" t="s">
        <v>1202</v>
      </c>
    </row>
    <row r="8" spans="1:28">
      <c r="B8" t="s">
        <v>1187</v>
      </c>
      <c r="C8" s="3" t="s">
        <v>104</v>
      </c>
      <c r="D8" s="61">
        <f>+SUMIFS(BaseCompleta!E:E,BaseCompleta!B:B,Resumen!$C$3,BaseCompleta!M:M,IF(Resumen!$C8="CLP","$",IF(Resumen!$C8="USD","$US",IF(Resumen!$C8="EUR","EU",Resumen!$C8))),BaseCompleta!N:N,"Bono de Gobierno")+SUMIFS(N:N,K:K,Resumen!$C$3,V:V,IF(Resumen!$C8="CLP","$",IF(Resumen!$C8="USD","$US",IF(Resumen!$C8="EUR","EU",Resumen!$C8))),W:W,"Bono de Gobierno")*$J$5</f>
        <v>9000108373.3267002</v>
      </c>
      <c r="E8" s="186" t="e">
        <f ca="1">+D8/$D$27*100</f>
        <v>#N/A</v>
      </c>
      <c r="F8" s="186">
        <f>+IFERROR(SUMIFS(BaseCompleta!S:S,BaseCompleta!B:B,Resumen!$C$3,BaseCompleta!M:M,IF(Resumen!$C8="CLP","$",IF(Resumen!$C8="USD","US$",IF(Resumen!$C8="EUR","EU",Resumen!$C8))),BaseCompleta!N:N,"Bono de Gobierno")/D8,0)+IFERROR(SUMIFS($AB:$AB,$K:$K,Resumen!$C$3,$V:$V,IF(Resumen!$C8="CLP","$",IF(Resumen!$C8="USD","US$",IF(Resumen!$C8="EUR","EU",Resumen!$C8))),$W:$W,"Bono de Gobierno")/D8,0)*J5</f>
        <v>6.6195324003269294</v>
      </c>
      <c r="G8" s="186" t="e">
        <f ca="1">+F8*E8/100</f>
        <v>#N/A</v>
      </c>
      <c r="I8" s="180"/>
      <c r="J8" s="201">
        <f ca="1">+$C$2</f>
        <v>43058</v>
      </c>
      <c r="K8" s="202" t="str">
        <f>+$C$3</f>
        <v>RENTA</v>
      </c>
      <c r="L8" s="200" t="s">
        <v>356</v>
      </c>
      <c r="M8" s="202" t="str">
        <f>+VLOOKUP(L8,BaseCompleta!$C$2:$T$5000,2,0)</f>
        <v>BTP</v>
      </c>
      <c r="N8" s="203">
        <f>+O8*U8/100</f>
        <v>1024800000</v>
      </c>
      <c r="O8" s="215">
        <v>1000000000</v>
      </c>
      <c r="P8" s="204" t="e">
        <f ca="1">+N8/$D$27</f>
        <v>#N/A</v>
      </c>
      <c r="Q8" s="202">
        <f>+VLOOKUP(L8,BaseCompleta!$C$2:$T$5000,6,0)</f>
        <v>3.72</v>
      </c>
      <c r="R8" s="205" t="str">
        <f>+VLOOKUP(L8,BaseCompleta!$C$2:$T$5000,7,0)</f>
        <v>2021-03-01</v>
      </c>
      <c r="S8" s="202">
        <f>+VLOOKUP(L8,BaseCompleta!$C$2:$T$5000,8,0)</f>
        <v>1197</v>
      </c>
      <c r="T8" s="202">
        <f>+VLOOKUP(L8,BaseCompleta!$C$2:$T$5000,9,0)</f>
        <v>3.06</v>
      </c>
      <c r="U8" s="202">
        <f>+VLOOKUP(L8,BaseCompleta!$C$2:$T$5000,10,0)</f>
        <v>102.48</v>
      </c>
      <c r="V8" s="202" t="str">
        <f>+VLOOKUP(L8,BaseCompleta!$C$2:$T$5000,11,0)</f>
        <v>$</v>
      </c>
      <c r="W8" s="202" t="str">
        <f>+VLOOKUP(L8,BaseCompleta!$C$2:$T$5000,12,0)</f>
        <v>Bono de Gobierno</v>
      </c>
      <c r="X8" s="202" t="str">
        <f>+VLOOKUP(L8,BaseCompleta!$C$2:$T$5000,13,0)</f>
        <v>Gobierno</v>
      </c>
      <c r="Y8" s="202" t="str">
        <f>+VLOOKUP(L8,BaseCompleta!$C$2:$T$5000,14,0)</f>
        <v>AAA</v>
      </c>
      <c r="Z8" s="202" t="str">
        <f>+VLOOKUP(L8,BaseCompleta!$C$2:$T$5000,15,0)</f>
        <v>Gobierno de Chile</v>
      </c>
      <c r="AA8" s="202" t="str">
        <f>+VLOOKUP(L8,BaseCompleta!$C$2:$T$5000,16,0)</f>
        <v>Bono Tesorería en CLP</v>
      </c>
      <c r="AB8" s="202">
        <f>+IFERROR(N8*T8,0)</f>
        <v>3135888000</v>
      </c>
    </row>
    <row r="9" spans="1:28">
      <c r="A9" s="211" t="s">
        <v>163</v>
      </c>
      <c r="B9" s="212" t="e">
        <f ca="1">+SUM(E8:E12)</f>
        <v>#N/A</v>
      </c>
      <c r="C9" s="3" t="s">
        <v>6</v>
      </c>
      <c r="D9" s="61">
        <f>+SUMIFS(BaseCompleta!E:E,BaseCompleta!B:B,Resumen!$C$3,BaseCompleta!M:M,IF(Resumen!$C9="CLP","$",IF(Resumen!$C9="USD","$US",IF(Resumen!$C9="EUR","EU",Resumen!$C9))),BaseCompleta!N:N,"Bono de Gobierno")</f>
        <v>20550700046.105003</v>
      </c>
      <c r="E9" s="186">
        <f t="shared" ref="E9:E26" ca="1" si="0">+IFERROR(D9/$D$27*100,0)</f>
        <v>0</v>
      </c>
      <c r="F9" s="186">
        <f>+IFERROR(SUMIFS(BaseCompleta!S:S,BaseCompleta!B:B,Resumen!$C$3,BaseCompleta!M:M,IF(Resumen!$C9="CLP","$",IF(Resumen!$C9="USD","US$",IF(Resumen!$C9="EUR","EU",Resumen!$C9))),BaseCompleta!N:N,"Bono de Gobierno")/D9,0)</f>
        <v>5.383989703229596</v>
      </c>
      <c r="G9" s="186">
        <f t="shared" ref="G9:G25" ca="1" si="1">+F9*E9/100</f>
        <v>0</v>
      </c>
      <c r="I9" s="180"/>
      <c r="J9" s="201">
        <f ca="1">+$C$2</f>
        <v>43058</v>
      </c>
      <c r="K9" s="202" t="str">
        <f>+$C$3</f>
        <v>RENTA</v>
      </c>
      <c r="L9" s="200" t="s">
        <v>78</v>
      </c>
      <c r="M9" s="202" t="str">
        <f>+VLOOKUP(L9,BaseCompleta!$C$2:$T$5000,2,0)</f>
        <v>BTU</v>
      </c>
      <c r="N9" s="203">
        <f>+O9*U9/100</f>
        <v>0</v>
      </c>
      <c r="O9" s="200">
        <v>0</v>
      </c>
      <c r="P9" s="204" t="e">
        <f ca="1">+N9/$D$27</f>
        <v>#N/A</v>
      </c>
      <c r="Q9" s="202">
        <f>+VLOOKUP(L9,BaseCompleta!$C$2:$T$5000,6,0)</f>
        <v>0.93</v>
      </c>
      <c r="R9" s="205" t="str">
        <f>+VLOOKUP(L9,BaseCompleta!$C$2:$T$5000,7,0)</f>
        <v>2019-01-01</v>
      </c>
      <c r="S9" s="202">
        <f>+VLOOKUP(L9,BaseCompleta!$C$2:$T$5000,8,0)</f>
        <v>407</v>
      </c>
      <c r="T9" s="202">
        <f>+VLOOKUP(L9,BaseCompleta!$C$2:$T$5000,9,0)</f>
        <v>1.0900000000000001</v>
      </c>
      <c r="U9" s="202">
        <f>+VLOOKUP(L9,BaseCompleta!$C$2:$T$5000,10,0)</f>
        <v>102.26</v>
      </c>
      <c r="V9" s="202" t="str">
        <f>+VLOOKUP(L9,BaseCompleta!$C$2:$T$5000,11,0)</f>
        <v>UF</v>
      </c>
      <c r="W9" s="202" t="str">
        <f>+VLOOKUP(L9,BaseCompleta!$C$2:$T$5000,12,0)</f>
        <v>Bono de Gobierno</v>
      </c>
      <c r="X9" s="202" t="str">
        <f>+VLOOKUP(L9,BaseCompleta!$C$2:$T$5000,13,0)</f>
        <v>Gobierno</v>
      </c>
      <c r="Y9" s="202" t="str">
        <f>+VLOOKUP(L9,BaseCompleta!$C$2:$T$5000,14,0)</f>
        <v>AAA</v>
      </c>
      <c r="Z9" s="202" t="str">
        <f>+VLOOKUP(L9,BaseCompleta!$C$2:$T$5000,15,0)</f>
        <v>Gobierno de Chile</v>
      </c>
      <c r="AA9" s="202" t="str">
        <f>+VLOOKUP(L9,BaseCompleta!$C$2:$T$5000,16,0)</f>
        <v>Bono Tesorería en UF</v>
      </c>
      <c r="AB9" s="202">
        <f>+IFERROR(N9*T9,0)</f>
        <v>0</v>
      </c>
    </row>
    <row r="10" spans="1:28">
      <c r="A10" s="211" t="s">
        <v>338</v>
      </c>
      <c r="B10" s="213" t="e">
        <f ca="1">+SUMPRODUCT(E8:E12,F8:F12)/SUM(E8:E12)</f>
        <v>#N/A</v>
      </c>
      <c r="C10" s="3" t="s">
        <v>105</v>
      </c>
      <c r="D10" s="61">
        <f>+SUMIFS(BaseCompleta!E:E,BaseCompleta!B:B,Resumen!$C$3,BaseCompleta!M:M,IF(Resumen!$C10="CLP","$",IF(Resumen!$C10="USD","$US",IF(Resumen!$C10="EUR","EU",Resumen!$C10))),BaseCompleta!N:N,"Bono de Gobierno")</f>
        <v>0</v>
      </c>
      <c r="E10" s="186">
        <f t="shared" ca="1" si="0"/>
        <v>0</v>
      </c>
      <c r="F10" s="186">
        <f>+IFERROR(SUMIFS(BaseCompleta!S:S,BaseCompleta!B:B,Resumen!$C$3,BaseCompleta!M:M,IF(Resumen!$C10="CLP","$",IF(Resumen!$C10="USD","US$",IF(Resumen!$C10="EUR","EU",Resumen!$C10))),BaseCompleta!N:N,"Bono de Gobierno")/D10,0)</f>
        <v>0</v>
      </c>
      <c r="G10" s="186">
        <f t="shared" ca="1" si="1"/>
        <v>0</v>
      </c>
      <c r="I10" s="180"/>
      <c r="J10" s="180"/>
      <c r="K10" s="180"/>
      <c r="L10" s="180"/>
      <c r="M10" s="180"/>
      <c r="N10" s="180"/>
    </row>
    <row r="11" spans="1:28">
      <c r="C11" s="3" t="s">
        <v>121</v>
      </c>
      <c r="D11" s="61">
        <f>+SUMIFS(BaseCompleta!E:E,BaseCompleta!B:B,Resumen!$C$3,BaseCompleta!M:M,IF(Resumen!$C11="CLP","$",IF(Resumen!$C11="USD","$US",IF(Resumen!$C11="EUR","EU",Resumen!$C11))),BaseCompleta!N:N,"Bono de Gobierno")</f>
        <v>0</v>
      </c>
      <c r="E11" s="186">
        <f t="shared" ca="1" si="0"/>
        <v>0</v>
      </c>
      <c r="F11" s="186">
        <f>+IFERROR(SUMIFS(BaseCompleta!S:S,BaseCompleta!B:B,Resumen!$C$3,BaseCompleta!M:M,IF(Resumen!$C11="CLP","$",IF(Resumen!$C11="USD","US$",IF(Resumen!$C11="EUR","EU",Resumen!$C11))),BaseCompleta!N:N,"Bono de Gobierno")/D11,0)</f>
        <v>0</v>
      </c>
      <c r="G11" s="186">
        <f t="shared" ca="1" si="1"/>
        <v>0</v>
      </c>
      <c r="I11" s="180"/>
      <c r="J11" s="180"/>
      <c r="K11" s="180"/>
      <c r="L11" s="180"/>
      <c r="M11" s="180"/>
      <c r="N11" s="180"/>
    </row>
    <row r="12" spans="1:28">
      <c r="B12" s="191"/>
      <c r="C12" s="194" t="s">
        <v>1191</v>
      </c>
      <c r="D12" s="192">
        <f>+SUMIFS(BaseCompleta!E:E,BaseCompleta!B:B,Resumen!$C$3,BaseCompleta!M:M,IF(Resumen!$C12="CLP","$",IF(Resumen!$C12="USD","$US",IF(Resumen!$C12="EUR","EU",Resumen!$C12))),BaseCompleta!N:N,"Bono de Gobierno")</f>
        <v>0</v>
      </c>
      <c r="E12" s="193">
        <f t="shared" ca="1" si="0"/>
        <v>0</v>
      </c>
      <c r="F12" s="193">
        <f>+IFERROR(SUMIFS(BaseCompleta!S:S,BaseCompleta!B:B,Resumen!$C$3,BaseCompleta!M:M,IF(Resumen!$C12="CLP","$",IF(Resumen!$C12="USD","US$",IF(Resumen!$C12="EUR","EU",Resumen!$C12))),BaseCompleta!N:N,"Bono de Gobierno")/D12,0)</f>
        <v>0</v>
      </c>
      <c r="G12" s="193">
        <f t="shared" ca="1" si="1"/>
        <v>0</v>
      </c>
      <c r="I12" s="180"/>
      <c r="J12" s="180"/>
      <c r="K12" s="180"/>
      <c r="L12" s="180"/>
      <c r="M12" s="180"/>
      <c r="N12" s="180"/>
    </row>
    <row r="13" spans="1:28">
      <c r="B13" t="s">
        <v>1186</v>
      </c>
      <c r="C13" s="3" t="s">
        <v>104</v>
      </c>
      <c r="D13" s="61">
        <f>+SUMIFS(BaseCompleta!E:E,BaseCompleta!B:B,Resumen!$C$3,BaseCompleta!M:M,IF(Resumen!$C13="CLP","$",IF(Resumen!$C13="USD","$US",IF(Resumen!$C13="EUR","EU",Resumen!$C13))),BaseCompleta!N:N,"Bono Corporativo")+SUMIFS(BaseCompleta!E:E,BaseCompleta!B:B,Resumen!$C$3,BaseCompleta!M:M,IF(Resumen!$C13="CLP","$",IF(Resumen!$C13="USD","$US",IF(Resumen!$C13="EUR","EU",Resumen!$C13))),BaseCompleta!N:N,"Letra Hipotecaria")</f>
        <v>13052892821.430298</v>
      </c>
      <c r="E13" s="186">
        <f t="shared" ca="1" si="0"/>
        <v>0</v>
      </c>
      <c r="F13" s="186">
        <f>+IFERROR(SUMIFS(BaseCompleta!S:S,BaseCompleta!B:B,Resumen!$C$3,BaseCompleta!M:M,IF(Resumen!$C13="CLP","$",IF(Resumen!$C13="USD","US$",IF(Resumen!$C13="EUR","EU",Resumen!$C13))),BaseCompleta!N:N,"Bono Corporativo")/D13,0)</f>
        <v>3.4273293736444099</v>
      </c>
      <c r="G13" s="186">
        <f t="shared" ca="1" si="1"/>
        <v>0</v>
      </c>
      <c r="I13" s="180"/>
      <c r="J13" s="180"/>
      <c r="K13" s="180"/>
      <c r="L13" s="180"/>
      <c r="M13" s="180"/>
      <c r="N13" s="180"/>
    </row>
    <row r="14" spans="1:28">
      <c r="B14" s="210">
        <f ca="1">+SUM(E13:E17)</f>
        <v>0</v>
      </c>
      <c r="C14" s="3" t="s">
        <v>6</v>
      </c>
      <c r="D14" s="61">
        <f>+SUMIFS(BaseCompleta!E:E,BaseCompleta!B:B,Resumen!$C$3,BaseCompleta!M:M,IF(Resumen!$C14="CLP","$",IF(Resumen!$C14="USD","$US",IF(Resumen!$C14="EUR","EU",Resumen!$C14))),BaseCompleta!N:N,"Bono Corporativo")+SUMIFS(BaseCompleta!E:E,BaseCompleta!B:B,Resumen!$C$3,BaseCompleta!M:M,IF(Resumen!$C14="CLP","$",IF(Resumen!$C14="USD","$US",IF(Resumen!$C14="EUR","EU",Resumen!$C14))),BaseCompleta!N:N,"Letra Hipotecaria")</f>
        <v>41860917323.524185</v>
      </c>
      <c r="E14" s="186">
        <f t="shared" ca="1" si="0"/>
        <v>0</v>
      </c>
      <c r="F14" s="186">
        <f>+IFERROR(SUMIFS(BaseCompleta!S:S,BaseCompleta!B:B,Resumen!$C$3,BaseCompleta!M:M,IF(Resumen!$C14="CLP","$",IF(Resumen!$C14="USD","US$",IF(Resumen!$C14="EUR","EU",Resumen!$C14))),BaseCompleta!N:N,"Bono Corporativo")/D14,0)</f>
        <v>5.7157953189303017</v>
      </c>
      <c r="G14" s="186">
        <f t="shared" ca="1" si="1"/>
        <v>0</v>
      </c>
      <c r="I14" s="180"/>
      <c r="J14" s="180"/>
      <c r="K14" s="180"/>
      <c r="L14" s="180"/>
      <c r="M14" s="180"/>
      <c r="N14" s="180"/>
    </row>
    <row r="15" spans="1:28">
      <c r="A15" s="211" t="s">
        <v>163</v>
      </c>
      <c r="B15" s="212">
        <f ca="1">+SUM(E13:E17)</f>
        <v>0</v>
      </c>
      <c r="C15" s="3" t="s">
        <v>105</v>
      </c>
      <c r="D15" s="61">
        <f>+SUMIFS(BaseCompleta!E:E,BaseCompleta!B:B,Resumen!$C$3,BaseCompleta!M:M,IF(Resumen!$C15="CLP","$",IF(Resumen!$C15="USD","US$",IF(Resumen!$C15="EUR","EU",Resumen!$C15))),BaseCompleta!N:N,"Bono Corporativo")+SUMIFS(BaseCompleta!E:E,BaseCompleta!B:B,Resumen!$C$3,BaseCompleta!M:M,IF(Resumen!$C15="CLP","$",IF(Resumen!$C15="USD","US$",IF(Resumen!$C15="EUR","EU",Resumen!$C15))),BaseCompleta!N:N,"Letra Hipotecaria")</f>
        <v>0</v>
      </c>
      <c r="E15" s="186">
        <f t="shared" ca="1" si="0"/>
        <v>0</v>
      </c>
      <c r="F15" s="186">
        <f>+IFERROR(SUMIFS(BaseCompleta!S:S,BaseCompleta!B:B,Resumen!$C$3,BaseCompleta!M:M,IF(Resumen!$C15="CLP","$",IF(Resumen!$C15="USD","US$",IF(Resumen!$C15="EUR","EU",Resumen!$C15))),BaseCompleta!N:N,"Bono Corporativo")/D15,0)</f>
        <v>0</v>
      </c>
      <c r="G15" s="186">
        <f t="shared" ca="1" si="1"/>
        <v>0</v>
      </c>
      <c r="I15" s="180"/>
      <c r="J15" s="180"/>
      <c r="K15" s="180"/>
      <c r="L15" s="180"/>
      <c r="M15" s="180"/>
      <c r="N15" s="180"/>
    </row>
    <row r="16" spans="1:28">
      <c r="A16" s="211" t="s">
        <v>338</v>
      </c>
      <c r="B16" s="213" t="e">
        <f ca="1">+SUMPRODUCT(E13:E17,F13:F17)/SUM(E13:E17)</f>
        <v>#DIV/0!</v>
      </c>
      <c r="C16" s="3" t="s">
        <v>121</v>
      </c>
      <c r="D16" s="61">
        <f>+SUMIFS(BaseCompleta!E:E,BaseCompleta!B:B,Resumen!$C$3,BaseCompleta!M:M,IF(Resumen!$C16="CLP","$",IF(Resumen!$C16="USD","US$",IF(Resumen!$C16="EUR","EU",Resumen!$C16))),BaseCompleta!N:N,"Bono Corporativo")+SUMIFS(BaseCompleta!E:E,BaseCompleta!B:B,Resumen!$C$3,BaseCompleta!M:M,IF(Resumen!$C16="CLP","$",IF(Resumen!$C16="USD","US$",IF(Resumen!$C16="EUR","EU",Resumen!$C16))),BaseCompleta!N:N,"Letra Hipotecaria")</f>
        <v>0</v>
      </c>
      <c r="E16" s="186">
        <f t="shared" ca="1" si="0"/>
        <v>0</v>
      </c>
      <c r="F16" s="186">
        <f>+IFERROR(SUMIFS(BaseCompleta!S:S,BaseCompleta!B:B,Resumen!$C$3,BaseCompleta!M:M,IF(Resumen!$C16="CLP","$",IF(Resumen!$C16="USD","US$",IF(Resumen!$C16="EUR","EU",Resumen!$C16))),BaseCompleta!N:N,"Bono Corporativo")/D16,0)</f>
        <v>0</v>
      </c>
      <c r="G16" s="186">
        <f t="shared" ca="1" si="1"/>
        <v>0</v>
      </c>
      <c r="I16" s="180"/>
      <c r="J16" s="180"/>
      <c r="K16" s="180"/>
      <c r="L16" s="180"/>
      <c r="M16" s="180"/>
      <c r="N16" s="180"/>
    </row>
    <row r="17" spans="1:14">
      <c r="B17" s="191"/>
      <c r="C17" s="194" t="s">
        <v>1191</v>
      </c>
      <c r="D17" s="192">
        <f>+SUMIFS(BaseCompleta!E:E,BaseCompleta!B:B,Resumen!$C$3,BaseCompleta!M:M,IF(Resumen!$C17="CLP","$",IF(Resumen!$C17="USD","US$",IF(Resumen!$C17="EUR","EU",Resumen!$C17))),BaseCompleta!N:N,"Bono Corporativo")+SUMIFS(BaseCompleta!E:E,BaseCompleta!B:B,Resumen!$C$3,BaseCompleta!M:M,IF(Resumen!$C17="CLP","$",IF(Resumen!$C17="USD","US$",IF(Resumen!$C17="EUR","EU",Resumen!$C17))),BaseCompleta!N:N,"Letra Hipotecaria")</f>
        <v>0</v>
      </c>
      <c r="E17" s="193">
        <f t="shared" ca="1" si="0"/>
        <v>0</v>
      </c>
      <c r="F17" s="193">
        <f>+IFERROR(SUMIFS(BaseCompleta!S:S,BaseCompleta!B:B,Resumen!$C$3,BaseCompleta!M:M,IF(Resumen!$C17="CLP","$",IF(Resumen!$C17="USD","US$",IF(Resumen!$C17="EUR","EU",Resumen!$C17))),BaseCompleta!N:N,"Bono Corporativo")/D17,0)</f>
        <v>0</v>
      </c>
      <c r="G17" s="193">
        <f t="shared" ca="1" si="1"/>
        <v>0</v>
      </c>
      <c r="I17" s="180"/>
      <c r="J17" s="180"/>
      <c r="K17" s="180"/>
      <c r="L17" s="180"/>
      <c r="M17" s="180"/>
      <c r="N17" s="180"/>
    </row>
    <row r="18" spans="1:14">
      <c r="B18" t="s">
        <v>1189</v>
      </c>
      <c r="C18" s="3" t="s">
        <v>104</v>
      </c>
      <c r="D18" s="61">
        <f>+SUMIFS(BaseCompleta!E:E,BaseCompleta!B:B,Resumen!$C$3,BaseCompleta!M:M,IF(Resumen!$C18="CLP","$",Resumen!$C18),BaseCompleta!N:N,"Cuota de Fondo")</f>
        <v>77260284.786000013</v>
      </c>
      <c r="E18" s="186">
        <f t="shared" ca="1" si="0"/>
        <v>0</v>
      </c>
      <c r="F18" s="186">
        <f>+IFERROR(SUMIFS(BaseCompleta!S:S,BaseCompleta!B:B,Resumen!$C$3,BaseCompleta!M:M,IF(Resumen!$C18="CLP","$",IF(Resumen!$C18="USD","US$",IF(Resumen!$C18="EUR","EU",Resumen!$C18))),BaseCompleta!N:N,"Cuota de Fondo")/D18,0)</f>
        <v>0</v>
      </c>
      <c r="G18" s="186">
        <f t="shared" ca="1" si="1"/>
        <v>0</v>
      </c>
      <c r="I18" s="180"/>
      <c r="J18" s="180"/>
      <c r="K18" s="180"/>
      <c r="L18" s="180"/>
      <c r="M18" s="180"/>
      <c r="N18" s="180"/>
    </row>
    <row r="19" spans="1:14">
      <c r="A19" s="211" t="s">
        <v>163</v>
      </c>
      <c r="B19" s="212">
        <f ca="1">+SUM(E18:E21)</f>
        <v>0</v>
      </c>
      <c r="C19" s="3" t="s">
        <v>6</v>
      </c>
      <c r="D19" s="61">
        <f>+SUMIFS(BaseCompleta!E:E,BaseCompleta!B:B,Resumen!$C$3,BaseCompleta!M:M,IF(Resumen!$C19="CLP","$",Resumen!$C19),BaseCompleta!N:N,"Cuota de Fondo")</f>
        <v>0</v>
      </c>
      <c r="E19" s="186">
        <f t="shared" ca="1" si="0"/>
        <v>0</v>
      </c>
      <c r="F19" s="186">
        <f>+IFERROR(SUMIFS(BaseCompleta!S:S,BaseCompleta!B:B,Resumen!$C$3,BaseCompleta!M:M,IF(Resumen!$C19="CLP","$",IF(Resumen!$C19="USD","US$",IF(Resumen!$C19="EUR","EU",Resumen!$C19))),BaseCompleta!N:N,"Cuota de Fondo")/D19,0)</f>
        <v>0</v>
      </c>
      <c r="G19" s="186">
        <f t="shared" ca="1" si="1"/>
        <v>0</v>
      </c>
      <c r="I19" s="180"/>
      <c r="J19" s="180"/>
      <c r="K19" s="180"/>
      <c r="L19" s="180"/>
      <c r="M19" s="180"/>
      <c r="N19" s="180"/>
    </row>
    <row r="20" spans="1:14">
      <c r="A20" s="211" t="s">
        <v>338</v>
      </c>
      <c r="B20" s="213" t="e">
        <f ca="1">+SUMPRODUCT(E18:E21,F18:F21)/SUM(E18:E21)</f>
        <v>#DIV/0!</v>
      </c>
      <c r="C20" s="3" t="s">
        <v>105</v>
      </c>
      <c r="D20" s="61">
        <f>+SUMIFS(BaseCompleta!E:E,BaseCompleta!B:B,Resumen!$C$3,BaseCompleta!M:M,IF(Resumen!$C20="CLP","$",Resumen!$C20),BaseCompleta!N:N,"Cuota de Fondo")</f>
        <v>0</v>
      </c>
      <c r="E20" s="186">
        <f t="shared" ca="1" si="0"/>
        <v>0</v>
      </c>
      <c r="F20" s="186">
        <f>+IFERROR(SUMIFS(BaseCompleta!S:S,BaseCompleta!B:B,Resumen!$C$3,BaseCompleta!M:M,IF(Resumen!$C20="CLP","$",IF(Resumen!$C20="USD","US$",IF(Resumen!$C20="EUR","EU",Resumen!$C20))),BaseCompleta!N:N,"Cuota de Fondo")/D20,0)</f>
        <v>0</v>
      </c>
      <c r="G20" s="186">
        <f t="shared" ca="1" si="1"/>
        <v>0</v>
      </c>
      <c r="I20" s="180"/>
      <c r="J20" s="180"/>
      <c r="K20" s="180"/>
      <c r="L20" s="180"/>
      <c r="M20" s="180"/>
      <c r="N20" s="180"/>
    </row>
    <row r="21" spans="1:14" s="149" customFormat="1">
      <c r="A21" s="211"/>
      <c r="B21" s="214"/>
      <c r="C21" s="194" t="s">
        <v>1191</v>
      </c>
      <c r="D21" s="192">
        <f>+SUMIFS(BaseCompleta!E:E,BaseCompleta!B:B,Resumen!$C$3,BaseCompleta!M:M,IF(Resumen!$C21="CLP","$",Resumen!$C21),BaseCompleta!N:N,"Cuota de Fondo")</f>
        <v>0</v>
      </c>
      <c r="E21" s="193">
        <f t="shared" ca="1" si="0"/>
        <v>0</v>
      </c>
      <c r="F21" s="193">
        <f>+IFERROR(SUMIFS(BaseCompleta!S:S,BaseCompleta!B:B,Resumen!$C$3,BaseCompleta!M:M,IF(Resumen!$C21="CLP","$",IF(Resumen!$C21="USD","US$",IF(Resumen!$C21="EUR","EU",Resumen!$C21))),BaseCompleta!N:N,"Cuota de Fondo")/D21,0)</f>
        <v>0</v>
      </c>
      <c r="G21" s="193">
        <f t="shared" ca="1" si="1"/>
        <v>0</v>
      </c>
      <c r="I21" s="180"/>
      <c r="J21" s="180"/>
      <c r="K21" s="180"/>
      <c r="L21" s="180"/>
      <c r="M21" s="180"/>
      <c r="N21" s="180"/>
    </row>
    <row r="22" spans="1:14">
      <c r="B22" t="s">
        <v>1188</v>
      </c>
      <c r="C22" s="3" t="s">
        <v>104</v>
      </c>
      <c r="D22" s="61">
        <f>+SUMIFS(BaseCompleta!E:E,BaseCompleta!B:B,Resumen!$C$3,BaseCompleta!M:M,IF(Resumen!$C22="CLP","$",Resumen!$C22),BaseCompleta!N:N,"Deposito")+SUMIFS(BaseCompleta!E:E,BaseCompleta!B:B,Resumen!$C$3,BaseCompleta!M:M,IF(Resumen!$C22="CLP","$",Resumen!$C22),BaseCompleta!N:N,"Factura")</f>
        <v>2932315006.403501</v>
      </c>
      <c r="E22" s="186">
        <f t="shared" ca="1" si="0"/>
        <v>0</v>
      </c>
      <c r="F22" s="186">
        <f>+IFERROR(SUMIFS(BaseCompleta!S:S,BaseCompleta!B:B,Resumen!$C$3,BaseCompleta!M:M,IF(Resumen!$C22="CLP","$",IF(Resumen!$C22="USD","US$",IF(Resumen!$C22="EUR","EU",Resumen!$C22))),BaseCompleta!N:N,"Deposito")/D22,0)</f>
        <v>0.199656253915901</v>
      </c>
      <c r="G22" s="186">
        <f t="shared" ca="1" si="1"/>
        <v>0</v>
      </c>
      <c r="I22" s="180"/>
      <c r="J22" s="180"/>
      <c r="K22" s="180"/>
      <c r="L22" s="180"/>
      <c r="M22" s="180"/>
      <c r="N22" s="180"/>
    </row>
    <row r="23" spans="1:14">
      <c r="B23" s="210">
        <f ca="1">+SUM(E22:E25)</f>
        <v>0</v>
      </c>
      <c r="C23" s="3" t="s">
        <v>6</v>
      </c>
      <c r="D23" s="61">
        <f>+SUMIFS(BaseCompleta!E:E,BaseCompleta!B:B,Resumen!$C$3,BaseCompleta!M:M,IF(Resumen!$C23="CLP","$",Resumen!$C23),BaseCompleta!N:N,"Deposito")+SUMIFS(BaseCompleta!E:E,BaseCompleta!B:B,Resumen!$C$3,BaseCompleta!M:M,IF(Resumen!$C23="CLP","$",Resumen!$C23),BaseCompleta!N:N,"Factura")</f>
        <v>377620959.56720001</v>
      </c>
      <c r="E23" s="186">
        <f t="shared" ca="1" si="0"/>
        <v>0</v>
      </c>
      <c r="F23" s="186">
        <f>+IFERROR(SUMIFS(BaseCompleta!S:S,BaseCompleta!B:B,Resumen!$C$3,BaseCompleta!M:M,IF(Resumen!$C23="CLP","$",IF(Resumen!$C23="USD","US$",IF(Resumen!$C23="EUR","EU",Resumen!$C23))),BaseCompleta!N:N,"Deposito")/D23,0)</f>
        <v>0.16504516533249516</v>
      </c>
      <c r="G23" s="186">
        <f t="shared" ca="1" si="1"/>
        <v>0</v>
      </c>
    </row>
    <row r="24" spans="1:14">
      <c r="A24" s="211" t="s">
        <v>163</v>
      </c>
      <c r="B24" s="212">
        <f ca="1">+SUM(E22:E25)</f>
        <v>0</v>
      </c>
      <c r="C24" s="3" t="s">
        <v>105</v>
      </c>
      <c r="D24" s="61">
        <f>+SUMIFS(BaseCompleta!E:E,BaseCompleta!B:B,Resumen!$C$3,BaseCompleta!M:M,IF(Resumen!$C24="CLP","$",Resumen!$C24),BaseCompleta!N:N,"Deposito")+SUMIFS(BaseCompleta!E:E,BaseCompleta!B:B,Resumen!$C$3,BaseCompleta!M:M,IF(Resumen!$C24="CLP","$",Resumen!$C24),BaseCompleta!N:N,"Factura")</f>
        <v>0</v>
      </c>
      <c r="E24" s="186">
        <f t="shared" ca="1" si="0"/>
        <v>0</v>
      </c>
      <c r="F24" s="186">
        <f>+IFERROR(SUMIFS(BaseCompleta!S:S,BaseCompleta!B:B,Resumen!$C$3,BaseCompleta!M:M,IF(Resumen!$C24="CLP","$",IF(Resumen!$C24="USD","US$",IF(Resumen!$C24="EUR","EU",Resumen!$C24))),BaseCompleta!N:N,"Deposito")/D24,0)</f>
        <v>0</v>
      </c>
      <c r="G24" s="186">
        <f t="shared" ca="1" si="1"/>
        <v>0</v>
      </c>
    </row>
    <row r="25" spans="1:14">
      <c r="A25" s="211" t="s">
        <v>338</v>
      </c>
      <c r="B25" s="214" t="e">
        <f ca="1">+SUMPRODUCT(E22:E25,F22:F25)/SUM(E22:E25)</f>
        <v>#DIV/0!</v>
      </c>
      <c r="C25" s="194" t="s">
        <v>1191</v>
      </c>
      <c r="D25" s="192">
        <f>+SUMIFS(BaseCompleta!E:E,BaseCompleta!B:B,Resumen!$C$3,BaseCompleta!M:M,IF(Resumen!$C25="CLP","$",Resumen!$C25),BaseCompleta!N:N,"Deposito")+SUMIFS(BaseCompleta!E:E,BaseCompleta!B:B,Resumen!$C$3,BaseCompleta!M:M,IF(Resumen!$C25="CLP","$",Resumen!$C25),BaseCompleta!N:N,"Factura")</f>
        <v>0</v>
      </c>
      <c r="E25" s="193">
        <f t="shared" ca="1" si="0"/>
        <v>0</v>
      </c>
      <c r="F25" s="193">
        <f>+IFERROR(SUMIFS(BaseCompleta!S:S,BaseCompleta!B:B,Resumen!$C$3,BaseCompleta!M:M,IF(Resumen!$C25="CLP","$",IF(Resumen!$C25="USD","US$",IF(Resumen!$C25="EUR","EU",Resumen!$C25))),BaseCompleta!N:N,"Deposito")/D25,0)</f>
        <v>0</v>
      </c>
      <c r="G25" s="193">
        <f t="shared" ca="1" si="1"/>
        <v>0</v>
      </c>
    </row>
    <row r="26" spans="1:14" s="180" customFormat="1">
      <c r="B26" s="180" t="s">
        <v>160</v>
      </c>
      <c r="C26" s="3" t="s">
        <v>104</v>
      </c>
      <c r="D26" s="61" t="e">
        <f ca="1">+VLOOKUP(C3,Inicio!$B$6:$G$13,4,0)-$J$5*SUM(N8:N500)+$J$4*$K$4</f>
        <v>#N/A</v>
      </c>
      <c r="E26" s="186">
        <f t="shared" ca="1" si="0"/>
        <v>0</v>
      </c>
      <c r="F26" s="186">
        <v>0</v>
      </c>
      <c r="G26" s="186">
        <v>0</v>
      </c>
    </row>
    <row r="27" spans="1:14">
      <c r="B27" s="187" t="s">
        <v>1195</v>
      </c>
      <c r="C27" s="187"/>
      <c r="D27" s="188" t="e">
        <f ca="1">+SUM(D8:D26)</f>
        <v>#N/A</v>
      </c>
      <c r="E27" s="189" t="e">
        <f ca="1">+D27/$D$27*100</f>
        <v>#N/A</v>
      </c>
      <c r="F27" s="189">
        <f ca="1">+IFERROR((SUMIFS(BaseCompleta!S:S,BaseCompleta!B:B,Resumen!$C$3)+SUMIFS($AB:$AB,$K:$K,Resumen!$C$3)*$J$5)/D27,0)</f>
        <v>0</v>
      </c>
      <c r="G27" s="189" t="e">
        <f ca="1">+SUM(G8:G26)</f>
        <v>#N/A</v>
      </c>
      <c r="K27" s="180"/>
    </row>
    <row r="28" spans="1:14" s="149" customFormat="1">
      <c r="B28" s="187" t="s">
        <v>1196</v>
      </c>
      <c r="C28" s="187"/>
      <c r="D28" s="190" t="e">
        <f ca="1">+D27/USDCLPobs</f>
        <v>#N/A</v>
      </c>
      <c r="E28" s="187"/>
      <c r="F28" s="187"/>
      <c r="G28" s="187"/>
    </row>
    <row r="30" spans="1:14" ht="28.5" customHeight="1">
      <c r="B30" s="198" t="s">
        <v>90</v>
      </c>
      <c r="C30" s="197" t="s">
        <v>1192</v>
      </c>
      <c r="D30" s="197" t="s">
        <v>1200</v>
      </c>
      <c r="E30" s="197" t="s">
        <v>1190</v>
      </c>
      <c r="J30" s="199"/>
    </row>
    <row r="31" spans="1:14">
      <c r="B31" t="s">
        <v>104</v>
      </c>
      <c r="C31" s="186">
        <f>+SUMIFS(BaseCompleta!E:E,BaseCompleta!B:B,Resumen!$C$3,BaseCompleta!M:M,IF(Resumen!$B31="CLP","$",IF(Resumen!$B31="USD","US$",IF(Resumen!$B31="EUR","EU",IF(Resumen!$B31="MXN","MX",Resumen!$B31)))))/$C$4*100</f>
        <v>28.528239898837587</v>
      </c>
      <c r="D31" s="186">
        <f>+SUMIFS(Derivatives!E:E,Derivatives!A:A,Resumen!$C$3,Derivatives!C:C,Resumen!$B31)/$C$4*100-SUMIFS(Derivatives!F:F,Derivatives!A:A,Resumen!$C$3,Derivatives!D:D,Resumen!$B31)/$C$4*100</f>
        <v>0</v>
      </c>
      <c r="E31" s="186">
        <f>+C31+D31</f>
        <v>28.528239898837587</v>
      </c>
    </row>
    <row r="32" spans="1:14">
      <c r="B32" t="s">
        <v>6</v>
      </c>
      <c r="C32" s="186">
        <f>+SUMIFS(BaseCompleta!E:E,BaseCompleta!B:B,Resumen!$C$3,BaseCompleta!M:M,IF(Resumen!$B32="CLP","$",IF(Resumen!$B32="USD","US$",IF(Resumen!$B32="EUR","EU",IF(Resumen!$B32="MXN","MX",Resumen!$B32)))))/$C$4*100</f>
        <v>71.471760101162431</v>
      </c>
      <c r="D32" s="186">
        <f>+(SUMIFS(Derivatives!E:E,Derivatives!A:A,Resumen!$C$3,Derivatives!C:C,Resumen!$B32)/$C$4*100-SUMIFS(Derivatives!F:F,Derivatives!A:A,Resumen!$C$3,Derivatives!D:D,Resumen!$B32)/$C$4*100)*_xll.BDP(IF(B32="UF","CLF",B32)&amp;"CLP Curncy","PX_LAST")</f>
        <v>0</v>
      </c>
      <c r="E32" s="186">
        <f t="shared" ref="E32:E38" si="2">+C32+D32</f>
        <v>71.471760101162431</v>
      </c>
    </row>
    <row r="33" spans="2:5">
      <c r="B33" t="s">
        <v>105</v>
      </c>
      <c r="C33" s="186">
        <f>+SUMIFS(BaseCompleta!E:E,BaseCompleta!B:B,Resumen!$C$3,BaseCompleta!M:M,IF(Resumen!$B33="CLP","$",IF(Resumen!$B33="USD","US$",IF(Resumen!$B33="EUR","EU",IF(Resumen!$B33="MXN","MX",Resumen!$B33)))))/$C$4*100</f>
        <v>0</v>
      </c>
      <c r="D33" s="186">
        <f>+(SUMIFS(Derivatives!E:E,Derivatives!A:A,Resumen!$C$3,Derivatives!C:C,Resumen!$B33)/$C$4*100-SUMIFS(Derivatives!F:F,Derivatives!A:A,Resumen!$C$3,Derivatives!D:D,Resumen!$B33)/$C$4*100)*_xll.BDP(IF(B33="UF","CLF",B33)&amp;"CLP Curncy","PX_LAST")</f>
        <v>0</v>
      </c>
      <c r="E33" s="186">
        <f t="shared" si="2"/>
        <v>0</v>
      </c>
    </row>
    <row r="34" spans="2:5">
      <c r="B34" t="s">
        <v>121</v>
      </c>
      <c r="C34" s="186">
        <f>+SUMIFS(BaseCompleta!E:E,BaseCompleta!B:B,Resumen!$C$3,BaseCompleta!M:M,IF(Resumen!$B34="CLP","$",IF(Resumen!$B34="USD","US$",IF(Resumen!$B34="EUR","EU",IF(Resumen!$B34="MXN","MX",Resumen!$B34)))))/$C$4*100</f>
        <v>0</v>
      </c>
      <c r="D34" s="186">
        <f>+(SUMIFS(Derivatives!E:E,Derivatives!A:A,Resumen!$C$3,Derivatives!C:C,Resumen!$B34)/$C$4*100-SUMIFS(Derivatives!F:F,Derivatives!A:A,Resumen!$C$3,Derivatives!D:D,Resumen!$B34)/$C$4*100)*_xll.BDP(IF(B34="UF","CLF",B34)&amp;"CLP Curncy","PX_LAST")</f>
        <v>0</v>
      </c>
      <c r="E34" s="186">
        <f t="shared" si="2"/>
        <v>0</v>
      </c>
    </row>
    <row r="35" spans="2:5">
      <c r="B35" t="s">
        <v>117</v>
      </c>
      <c r="C35" s="186">
        <f>+SUMIFS(BaseCompleta!E:E,BaseCompleta!B:B,Resumen!$C$3,BaseCompleta!M:M,IF(Resumen!$B35="CLP","$",IF(Resumen!$B35="USD","US$",IF(Resumen!$B35="EUR","EU",IF(Resumen!$B35="MXN","MX",Resumen!$B35)))))/$C$4*100</f>
        <v>0</v>
      </c>
      <c r="D35" s="186">
        <f>+(SUMIFS(Derivatives!E:E,Derivatives!A:A,Resumen!$C$3,Derivatives!C:C,Resumen!$B35)/$C$4*100-SUMIFS(Derivatives!F:F,Derivatives!A:A,Resumen!$C$3,Derivatives!D:D,Resumen!$B35)/$C$4*100)*_xll.BDP(IF(B35="UF","CLF",B35)&amp;"CLP Curncy","PX_LAST")</f>
        <v>0</v>
      </c>
      <c r="E35" s="186">
        <f t="shared" si="2"/>
        <v>0</v>
      </c>
    </row>
    <row r="36" spans="2:5">
      <c r="B36" t="s">
        <v>119</v>
      </c>
      <c r="C36" s="186">
        <f>+SUMIFS(BaseCompleta!E:E,BaseCompleta!B:B,Resumen!$C$3,BaseCompleta!M:M,IF(Resumen!$B36="CLP","$",IF(Resumen!$B36="USD","US$",IF(Resumen!$B36="EUR","EU",IF(Resumen!$B36="MXN","MX",Resumen!$B36)))))/$C$4*100</f>
        <v>0</v>
      </c>
      <c r="D36" s="186">
        <f>+(SUMIFS(Derivatives!E:E,Derivatives!A:A,Resumen!$C$3,Derivatives!C:C,Resumen!$B36)/$C$4*100-SUMIFS(Derivatives!F:F,Derivatives!A:A,Resumen!$C$3,Derivatives!D:D,Resumen!$B36)/$C$4*100)*_xll.BDP(IF(B36="UF","CLF",B36)&amp;"CLP Curncy","PX_LAST")</f>
        <v>0</v>
      </c>
      <c r="E36" s="186">
        <f t="shared" si="2"/>
        <v>0</v>
      </c>
    </row>
    <row r="37" spans="2:5">
      <c r="B37" t="s">
        <v>118</v>
      </c>
      <c r="C37" s="186">
        <f>+SUMIFS(BaseCompleta!E:E,BaseCompleta!B:B,Resumen!$C$3,BaseCompleta!M:M,IF(Resumen!$B37="CLP","$",IF(Resumen!$B37="USD","US$",IF(Resumen!$B37="EUR","EU",IF(Resumen!$B37="MXN","MX",Resumen!$B37)))))/$C$4*100</f>
        <v>0</v>
      </c>
      <c r="D37" s="186">
        <f>+(SUMIFS(Derivatives!E:E,Derivatives!A:A,Resumen!$C$3,Derivatives!C:C,Resumen!$B37)/$C$4*100-SUMIFS(Derivatives!F:F,Derivatives!A:A,Resumen!$C$3,Derivatives!D:D,Resumen!$B37)/$C$4*100)*_xll.BDP(IF(B37="UF","CLF",B37)&amp;"CLP Curncy","PX_LAST")</f>
        <v>0</v>
      </c>
      <c r="E37" s="186">
        <f t="shared" si="2"/>
        <v>0</v>
      </c>
    </row>
    <row r="38" spans="2:5">
      <c r="B38" t="s">
        <v>1191</v>
      </c>
      <c r="C38" s="186">
        <f>+SUMIFS(BaseCompleta!E:E,BaseCompleta!B:B,Resumen!$C$3,BaseCompleta!M:M,IF(Resumen!$B38="CLP","$",IF(Resumen!$B38="USD","US$",IF(Resumen!$B38="EUR","EU",IF(Resumen!$B38="MXN","MX",Resumen!$B38)))))/$C$4*100</f>
        <v>0</v>
      </c>
      <c r="D38" s="186">
        <f>+SUMIFS(Derivatives!E:E,Derivatives!A:A,Resumen!$C$3,Derivatives!C:C,Resumen!$B38)/$C$4*100-SUMIFS(Derivatives!F:F,Derivatives!A:A,Resumen!$C$3,Derivatives!D:D,Resumen!$B38)/$C$4*100</f>
        <v>0</v>
      </c>
      <c r="E38" s="186">
        <f t="shared" si="2"/>
        <v>0</v>
      </c>
    </row>
    <row r="39" spans="2:5">
      <c r="B39" s="187" t="s">
        <v>103</v>
      </c>
      <c r="C39" s="189">
        <f>+SUM(C31:C38)</f>
        <v>100.00000000000001</v>
      </c>
      <c r="D39" s="189">
        <f>+SUM(D31:D38)</f>
        <v>0</v>
      </c>
      <c r="E39" s="189">
        <f>+SUM(E31:E38)</f>
        <v>100.00000000000001</v>
      </c>
    </row>
  </sheetData>
  <conditionalFormatting sqref="B8:G14 B17:G18 C15:G16 B22:G23 B26:G26 C24:G25 C19:G21">
    <cfRule type="cellIs" dxfId="50" priority="5" operator="equal">
      <formula>0</formula>
    </cfRule>
  </conditionalFormatting>
  <conditionalFormatting sqref="B15:B16">
    <cfRule type="cellIs" dxfId="49" priority="4" operator="equal">
      <formula>0</formula>
    </cfRule>
  </conditionalFormatting>
  <conditionalFormatting sqref="B21">
    <cfRule type="cellIs" dxfId="48" priority="3" operator="equal">
      <formula>0</formula>
    </cfRule>
  </conditionalFormatting>
  <conditionalFormatting sqref="B24:B25">
    <cfRule type="cellIs" dxfId="47" priority="2" operator="equal">
      <formula>0</formula>
    </cfRule>
  </conditionalFormatting>
  <conditionalFormatting sqref="B19:B20">
    <cfRule type="cellIs" dxfId="46" priority="1" operator="equal">
      <formula>0</formula>
    </cfRule>
  </conditionalFormatting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6" r:id="rId4" name="Check Box 10">
              <controlPr defaultSize="0" autoFill="0" autoLine="0" autoPict="0">
                <anchor moveWithCells="1">
                  <from>
                    <xdr:col>9</xdr:col>
                    <xdr:colOff>142875</xdr:colOff>
                    <xdr:row>3</xdr:row>
                    <xdr:rowOff>142875</xdr:rowOff>
                  </from>
                  <to>
                    <xdr:col>9</xdr:col>
                    <xdr:colOff>1276350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5" name="Check Box 19">
              <controlPr defaultSize="0" autoFill="0" autoLine="0" autoPict="0">
                <anchor moveWithCells="1">
                  <from>
                    <xdr:col>9</xdr:col>
                    <xdr:colOff>142875</xdr:colOff>
                    <xdr:row>2</xdr:row>
                    <xdr:rowOff>142875</xdr:rowOff>
                  </from>
                  <to>
                    <xdr:col>9</xdr:col>
                    <xdr:colOff>1276350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Inicio!$B$6:$B$14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3">
    <pageSetUpPr fitToPage="1"/>
  </sheetPr>
  <dimension ref="A1:T99"/>
  <sheetViews>
    <sheetView showGridLines="0" zoomScale="85" zoomScaleNormal="85" workbookViewId="0">
      <pane xSplit="2" ySplit="4" topLeftCell="C52" activePane="bottomRight" state="frozen"/>
      <selection pane="topRight" activeCell="C1" sqref="C1"/>
      <selection pane="bottomLeft" activeCell="A4" sqref="A4"/>
      <selection pane="bottomRight" activeCell="B68" sqref="B68"/>
    </sheetView>
  </sheetViews>
  <sheetFormatPr baseColWidth="10" defaultRowHeight="15"/>
  <cols>
    <col min="1" max="1" width="14" style="91" customWidth="1"/>
    <col min="2" max="2" width="13" customWidth="1"/>
    <col min="3" max="3" width="16.625" customWidth="1"/>
    <col min="4" max="4" width="16.875" customWidth="1"/>
    <col min="5" max="6" width="19" customWidth="1"/>
    <col min="7" max="7" width="21.75" customWidth="1"/>
    <col min="8" max="8" width="19.75" customWidth="1"/>
    <col min="9" max="10" width="21" customWidth="1"/>
    <col min="11" max="12" width="16" customWidth="1"/>
    <col min="13" max="13" width="4.25" customWidth="1"/>
    <col min="14" max="14" width="15.625" style="3" customWidth="1"/>
    <col min="15" max="15" width="16" customWidth="1"/>
    <col min="16" max="16" width="15" customWidth="1"/>
    <col min="17" max="17" width="18.25" customWidth="1"/>
  </cols>
  <sheetData>
    <row r="1" spans="1:20" ht="18">
      <c r="A1" s="420" t="s">
        <v>183</v>
      </c>
      <c r="B1" s="420"/>
      <c r="C1" s="420"/>
      <c r="D1" s="420"/>
      <c r="E1" s="420"/>
      <c r="F1" s="420"/>
      <c r="G1" s="420"/>
      <c r="H1" s="420"/>
      <c r="I1" s="420"/>
      <c r="J1" s="420"/>
      <c r="K1" s="420"/>
      <c r="L1" s="420"/>
    </row>
    <row r="2" spans="1:20" ht="12" customHeight="1">
      <c r="A2" s="421">
        <f ca="1">+TODAY()</f>
        <v>43059</v>
      </c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</row>
    <row r="3" spans="1:20" ht="15.75" thickBot="1">
      <c r="A3" s="62" t="s">
        <v>184</v>
      </c>
      <c r="B3" s="62" t="s">
        <v>185</v>
      </c>
      <c r="C3" s="63" t="s">
        <v>103</v>
      </c>
      <c r="D3" s="64" t="s">
        <v>260</v>
      </c>
      <c r="E3" s="64" t="s">
        <v>298</v>
      </c>
      <c r="F3" s="64" t="s">
        <v>4</v>
      </c>
      <c r="G3" s="64" t="s">
        <v>353</v>
      </c>
      <c r="H3" s="64" t="s">
        <v>297</v>
      </c>
      <c r="I3" s="64" t="s">
        <v>161</v>
      </c>
      <c r="J3" s="64" t="s">
        <v>234</v>
      </c>
      <c r="K3" s="64"/>
      <c r="L3" s="64"/>
    </row>
    <row r="4" spans="1:20" ht="16.5" thickTop="1" thickBot="1">
      <c r="A4" s="65" t="s">
        <v>6</v>
      </c>
      <c r="B4" s="66"/>
      <c r="C4" s="67"/>
      <c r="D4" s="68"/>
      <c r="E4" s="68"/>
      <c r="F4" s="68"/>
      <c r="G4" s="68"/>
      <c r="H4" s="68"/>
      <c r="I4" s="68"/>
      <c r="J4" s="68"/>
      <c r="K4" s="68"/>
      <c r="L4" s="69"/>
    </row>
    <row r="5" spans="1:20">
      <c r="A5" s="70" t="s">
        <v>261</v>
      </c>
      <c r="B5" s="71" t="s">
        <v>186</v>
      </c>
      <c r="C5" s="72">
        <f>+SUMIFS(BaseCompleta!$F:$F,BaseCompleta!$C:$C,Pos_RF_BK_U!$B5)</f>
        <v>0</v>
      </c>
      <c r="D5" s="72">
        <f>+SUMIFS(BaseCompleta!$F:$F,BaseCompleta!$B:$B,Pos_RF_BK_U!D$3,BaseCompleta!$C:$C,Pos_RF_BK_U!$B5)</f>
        <v>0</v>
      </c>
      <c r="E5" s="72">
        <f>+SUMIFS(BaseCompleta!$F:$F,BaseCompleta!$B:$B,Pos_RF_BK_U!E$3,BaseCompleta!$C:$C,Pos_RF_BK_U!$B5)</f>
        <v>0</v>
      </c>
      <c r="F5" s="72">
        <f>+SUMIFS(BaseCompleta!$F:$F,BaseCompleta!$B:$B,Pos_RF_BK_U!F$3,BaseCompleta!$C:$C,Pos_RF_BK_U!$B5)</f>
        <v>0</v>
      </c>
      <c r="G5" s="72">
        <f>+SUMIFS(BaseCompleta!$F:$F,BaseCompleta!$B:$B,Pos_RF_BK_U!G$3,BaseCompleta!$C:$C,Pos_RF_BK_U!$B5)</f>
        <v>0</v>
      </c>
      <c r="H5" s="72">
        <f>+SUMIFS(BaseCompleta!$F:$F,BaseCompleta!$B:$B,Pos_RF_BK_U!H$3,BaseCompleta!$C:$C,Pos_RF_BK_U!$B5)</f>
        <v>0</v>
      </c>
      <c r="I5" s="72">
        <f>+SUMIFS(BaseCompleta!$F:$F,BaseCompleta!$B:$B,Pos_RF_BK_U!I$3,BaseCompleta!$C:$C,Pos_RF_BK_U!$B5)</f>
        <v>0</v>
      </c>
      <c r="J5" s="72">
        <f>+SUMIFS(BaseCompleta!$F:$F,BaseCompleta!$B:$B,Pos_RF_BK_U!J$3,BaseCompleta!$C:$C,Pos_RF_BK_U!$B5)</f>
        <v>0</v>
      </c>
      <c r="K5" s="72"/>
      <c r="L5" s="73"/>
      <c r="M5" s="4" t="str">
        <f t="shared" ref="M5:M12" si="0">+IF(SUM(D5:J5)=C5,"ok","rev")</f>
        <v>ok</v>
      </c>
      <c r="N5" s="74"/>
    </row>
    <row r="6" spans="1:20">
      <c r="A6" s="75" t="s">
        <v>261</v>
      </c>
      <c r="B6" s="71" t="s">
        <v>187</v>
      </c>
      <c r="C6" s="76">
        <f>+SUMIFS(BaseCompleta!$F:$F,BaseCompleta!$C:$C,Pos_RF_BK_U!$B6)</f>
        <v>0</v>
      </c>
      <c r="D6" s="76">
        <f>+SUMIFS(BaseCompleta!$F:$F,BaseCompleta!$B:$B,Pos_RF_BK_U!D$3,BaseCompleta!$C:$C,Pos_RF_BK_U!$B6)</f>
        <v>0</v>
      </c>
      <c r="E6" s="76">
        <f>+SUMIFS(BaseCompleta!$F:$F,BaseCompleta!$B:$B,Pos_RF_BK_U!E$3,BaseCompleta!$C:$C,Pos_RF_BK_U!$B6)</f>
        <v>0</v>
      </c>
      <c r="F6" s="76">
        <f>+SUMIFS(BaseCompleta!$F:$F,BaseCompleta!$B:$B,Pos_RF_BK_U!F$3,BaseCompleta!$C:$C,Pos_RF_BK_U!$B6)</f>
        <v>0</v>
      </c>
      <c r="G6" s="76">
        <f>+SUMIFS(BaseCompleta!$F:$F,BaseCompleta!$B:$B,Pos_RF_BK_U!G$3,BaseCompleta!$C:$C,Pos_RF_BK_U!$B6)</f>
        <v>0</v>
      </c>
      <c r="H6" s="76">
        <f>+SUMIFS(BaseCompleta!$F:$F,BaseCompleta!$B:$B,Pos_RF_BK_U!H$3,BaseCompleta!$C:$C,Pos_RF_BK_U!$B6)</f>
        <v>0</v>
      </c>
      <c r="I6" s="76">
        <f>+SUMIFS(BaseCompleta!$F:$F,BaseCompleta!$B:$B,Pos_RF_BK_U!I$3,BaseCompleta!$C:$C,Pos_RF_BK_U!$B6)</f>
        <v>0</v>
      </c>
      <c r="J6" s="76">
        <f>+SUMIFS(BaseCompleta!$F:$F,BaseCompleta!$B:$B,Pos_RF_BK_U!J$3,BaseCompleta!$C:$C,Pos_RF_BK_U!$B6)</f>
        <v>0</v>
      </c>
      <c r="K6" s="76"/>
      <c r="L6" s="77"/>
      <c r="M6" s="4" t="str">
        <f t="shared" si="0"/>
        <v>ok</v>
      </c>
      <c r="N6" s="74"/>
      <c r="O6" s="149"/>
      <c r="P6" s="149"/>
      <c r="Q6" s="149"/>
    </row>
    <row r="7" spans="1:20">
      <c r="A7" s="75" t="s">
        <v>261</v>
      </c>
      <c r="B7" s="71" t="s">
        <v>188</v>
      </c>
      <c r="C7" s="76">
        <f>+SUMIFS(BaseCompleta!$F:$F,BaseCompleta!$C:$C,Pos_RF_BK_U!$B7)</f>
        <v>0</v>
      </c>
      <c r="D7" s="76">
        <f>+SUMIFS(BaseCompleta!$F:$F,BaseCompleta!$B:$B,Pos_RF_BK_U!D$3,BaseCompleta!$C:$C,Pos_RF_BK_U!$B7)</f>
        <v>0</v>
      </c>
      <c r="E7" s="76">
        <f>+SUMIFS(BaseCompleta!$F:$F,BaseCompleta!$B:$B,Pos_RF_BK_U!E$3,BaseCompleta!$C:$C,Pos_RF_BK_U!$B7)</f>
        <v>0</v>
      </c>
      <c r="F7" s="76">
        <f>+SUMIFS(BaseCompleta!$F:$F,BaseCompleta!$B:$B,Pos_RF_BK_U!F$3,BaseCompleta!$C:$C,Pos_RF_BK_U!$B7)</f>
        <v>0</v>
      </c>
      <c r="G7" s="76">
        <f>+SUMIFS(BaseCompleta!$F:$F,BaseCompleta!$B:$B,Pos_RF_BK_U!G$3,BaseCompleta!$C:$C,Pos_RF_BK_U!$B7)</f>
        <v>0</v>
      </c>
      <c r="H7" s="76">
        <f>+SUMIFS(BaseCompleta!$F:$F,BaseCompleta!$B:$B,Pos_RF_BK_U!H$3,BaseCompleta!$C:$C,Pos_RF_BK_U!$B7)</f>
        <v>0</v>
      </c>
      <c r="I7" s="76">
        <f>+SUMIFS(BaseCompleta!$F:$F,BaseCompleta!$B:$B,Pos_RF_BK_U!I$3,BaseCompleta!$C:$C,Pos_RF_BK_U!$B7)</f>
        <v>0</v>
      </c>
      <c r="J7" s="76">
        <f>+SUMIFS(BaseCompleta!$F:$F,BaseCompleta!$B:$B,Pos_RF_BK_U!J$3,BaseCompleta!$C:$C,Pos_RF_BK_U!$B7)</f>
        <v>0</v>
      </c>
      <c r="K7" s="76"/>
      <c r="L7" s="77"/>
      <c r="M7" s="4" t="str">
        <f t="shared" si="0"/>
        <v>ok</v>
      </c>
      <c r="N7" s="74"/>
      <c r="O7" s="149"/>
      <c r="P7" s="149"/>
      <c r="Q7" s="149"/>
    </row>
    <row r="8" spans="1:20">
      <c r="A8" s="75" t="s">
        <v>261</v>
      </c>
      <c r="B8" s="71" t="s">
        <v>189</v>
      </c>
      <c r="C8" s="76">
        <f>+SUMIFS(BaseCompleta!$F:$F,BaseCompleta!$C:$C,Pos_RF_BK_U!$B8)</f>
        <v>0</v>
      </c>
      <c r="D8" s="76">
        <f>+SUMIFS(BaseCompleta!$F:$F,BaseCompleta!$B:$B,Pos_RF_BK_U!D$3,BaseCompleta!$C:$C,Pos_RF_BK_U!$B8)</f>
        <v>0</v>
      </c>
      <c r="E8" s="76">
        <f>+SUMIFS(BaseCompleta!$F:$F,BaseCompleta!$B:$B,Pos_RF_BK_U!E$3,BaseCompleta!$C:$C,Pos_RF_BK_U!$B8)</f>
        <v>0</v>
      </c>
      <c r="F8" s="76">
        <f>+SUMIFS(BaseCompleta!$F:$F,BaseCompleta!$B:$B,Pos_RF_BK_U!F$3,BaseCompleta!$C:$C,Pos_RF_BK_U!$B8)</f>
        <v>0</v>
      </c>
      <c r="G8" s="76">
        <f>+SUMIFS(BaseCompleta!$F:$F,BaseCompleta!$B:$B,Pos_RF_BK_U!G$3,BaseCompleta!$C:$C,Pos_RF_BK_U!$B8)</f>
        <v>0</v>
      </c>
      <c r="H8" s="76">
        <f>+SUMIFS(BaseCompleta!$F:$F,BaseCompleta!$B:$B,Pos_RF_BK_U!H$3,BaseCompleta!$C:$C,Pos_RF_BK_U!$B8)</f>
        <v>0</v>
      </c>
      <c r="I8" s="76">
        <f>+SUMIFS(BaseCompleta!$F:$F,BaseCompleta!$B:$B,Pos_RF_BK_U!I$3,BaseCompleta!$C:$C,Pos_RF_BK_U!$B8)</f>
        <v>0</v>
      </c>
      <c r="J8" s="76">
        <f>+SUMIFS(BaseCompleta!$F:$F,BaseCompleta!$B:$B,Pos_RF_BK_U!J$3,BaseCompleta!$C:$C,Pos_RF_BK_U!$B8)</f>
        <v>0</v>
      </c>
      <c r="K8" s="76"/>
      <c r="L8" s="77"/>
      <c r="M8" s="4" t="str">
        <f t="shared" si="0"/>
        <v>ok</v>
      </c>
      <c r="N8" s="74"/>
      <c r="O8" s="149"/>
      <c r="P8" s="149"/>
      <c r="Q8" s="149"/>
      <c r="R8" s="100"/>
    </row>
    <row r="9" spans="1:20">
      <c r="A9" s="75" t="s">
        <v>261</v>
      </c>
      <c r="B9" s="71" t="s">
        <v>190</v>
      </c>
      <c r="C9" s="76">
        <f>+SUMIFS(BaseCompleta!$F:$F,BaseCompleta!$C:$C,Pos_RF_BK_U!$B9)</f>
        <v>0</v>
      </c>
      <c r="D9" s="76">
        <f>+SUMIFS(BaseCompleta!$F:$F,BaseCompleta!$B:$B,Pos_RF_BK_U!D$3,BaseCompleta!$C:$C,Pos_RF_BK_U!$B9)</f>
        <v>0</v>
      </c>
      <c r="E9" s="76">
        <f>+SUMIFS(BaseCompleta!$F:$F,BaseCompleta!$B:$B,Pos_RF_BK_U!E$3,BaseCompleta!$C:$C,Pos_RF_BK_U!$B9)</f>
        <v>0</v>
      </c>
      <c r="F9" s="76">
        <f>+SUMIFS(BaseCompleta!$F:$F,BaseCompleta!$B:$B,Pos_RF_BK_U!F$3,BaseCompleta!$C:$C,Pos_RF_BK_U!$B9)</f>
        <v>0</v>
      </c>
      <c r="G9" s="76">
        <f>+SUMIFS(BaseCompleta!$F:$F,BaseCompleta!$B:$B,Pos_RF_BK_U!G$3,BaseCompleta!$C:$C,Pos_RF_BK_U!$B9)</f>
        <v>0</v>
      </c>
      <c r="H9" s="76">
        <f>+SUMIFS(BaseCompleta!$F:$F,BaseCompleta!$B:$B,Pos_RF_BK_U!H$3,BaseCompleta!$C:$C,Pos_RF_BK_U!$B9)</f>
        <v>0</v>
      </c>
      <c r="I9" s="76">
        <f>+SUMIFS(BaseCompleta!$F:$F,BaseCompleta!$B:$B,Pos_RF_BK_U!I$3,BaseCompleta!$C:$C,Pos_RF_BK_U!$B9)</f>
        <v>0</v>
      </c>
      <c r="J9" s="76">
        <f>+SUMIFS(BaseCompleta!$F:$F,BaseCompleta!$B:$B,Pos_RF_BK_U!J$3,BaseCompleta!$C:$C,Pos_RF_BK_U!$B9)</f>
        <v>0</v>
      </c>
      <c r="K9" s="76"/>
      <c r="L9" s="77"/>
      <c r="M9" s="4" t="str">
        <f t="shared" si="0"/>
        <v>ok</v>
      </c>
      <c r="N9" s="74"/>
      <c r="O9" s="149"/>
      <c r="P9" s="149"/>
      <c r="Q9" s="149"/>
    </row>
    <row r="10" spans="1:20">
      <c r="A10" s="75" t="s">
        <v>261</v>
      </c>
      <c r="B10" s="71" t="s">
        <v>46</v>
      </c>
      <c r="C10" s="76">
        <f>+SUMIFS(BaseCompleta!$F:$F,BaseCompleta!$C:$C,Pos_RF_BK_U!$B10)</f>
        <v>0</v>
      </c>
      <c r="D10" s="76">
        <f>+SUMIFS(BaseCompleta!$F:$F,BaseCompleta!$B:$B,Pos_RF_BK_U!D$3,BaseCompleta!$C:$C,Pos_RF_BK_U!$B10)</f>
        <v>0</v>
      </c>
      <c r="E10" s="76">
        <f>+SUMIFS(BaseCompleta!$F:$F,BaseCompleta!$B:$B,Pos_RF_BK_U!E$3,BaseCompleta!$C:$C,Pos_RF_BK_U!$B10)</f>
        <v>0</v>
      </c>
      <c r="F10" s="76">
        <f>+SUMIFS(BaseCompleta!$F:$F,BaseCompleta!$B:$B,Pos_RF_BK_U!F$3,BaseCompleta!$C:$C,Pos_RF_BK_U!$B10)</f>
        <v>0</v>
      </c>
      <c r="G10" s="76">
        <f>+SUMIFS(BaseCompleta!$F:$F,BaseCompleta!$B:$B,Pos_RF_BK_U!G$3,BaseCompleta!$C:$C,Pos_RF_BK_U!$B10)</f>
        <v>0</v>
      </c>
      <c r="H10" s="76">
        <f>+SUMIFS(BaseCompleta!$F:$F,BaseCompleta!$B:$B,Pos_RF_BK_U!H$3,BaseCompleta!$C:$C,Pos_RF_BK_U!$B10)</f>
        <v>0</v>
      </c>
      <c r="I10" s="76">
        <f>+SUMIFS(BaseCompleta!$F:$F,BaseCompleta!$B:$B,Pos_RF_BK_U!I$3,BaseCompleta!$C:$C,Pos_RF_BK_U!$B10)</f>
        <v>0</v>
      </c>
      <c r="J10" s="76">
        <f>+SUMIFS(BaseCompleta!$F:$F,BaseCompleta!$B:$B,Pos_RF_BK_U!J$3,BaseCompleta!$C:$C,Pos_RF_BK_U!$B10)</f>
        <v>0</v>
      </c>
      <c r="K10" s="76"/>
      <c r="L10" s="77"/>
      <c r="M10" s="4" t="str">
        <f t="shared" si="0"/>
        <v>ok</v>
      </c>
      <c r="N10" s="74"/>
      <c r="O10" s="149"/>
      <c r="P10" s="149"/>
      <c r="Q10" s="149"/>
    </row>
    <row r="11" spans="1:20">
      <c r="A11" s="75" t="s">
        <v>261</v>
      </c>
      <c r="B11" s="71" t="s">
        <v>191</v>
      </c>
      <c r="C11" s="76">
        <f>+SUMIFS(BaseCompleta!$F:$F,BaseCompleta!$C:$C,Pos_RF_BK_U!$B11)</f>
        <v>0</v>
      </c>
      <c r="D11" s="76">
        <f>+SUMIFS(BaseCompleta!$F:$F,BaseCompleta!$B:$B,Pos_RF_BK_U!D$3,BaseCompleta!$C:$C,Pos_RF_BK_U!$B11)</f>
        <v>0</v>
      </c>
      <c r="E11" s="76">
        <f>+SUMIFS(BaseCompleta!$F:$F,BaseCompleta!$B:$B,Pos_RF_BK_U!E$3,BaseCompleta!$C:$C,Pos_RF_BK_U!$B11)</f>
        <v>0</v>
      </c>
      <c r="F11" s="76">
        <f>+SUMIFS(BaseCompleta!$F:$F,BaseCompleta!$B:$B,Pos_RF_BK_U!F$3,BaseCompleta!$C:$C,Pos_RF_BK_U!$B11)</f>
        <v>0</v>
      </c>
      <c r="G11" s="76">
        <f>+SUMIFS(BaseCompleta!$F:$F,BaseCompleta!$B:$B,Pos_RF_BK_U!G$3,BaseCompleta!$C:$C,Pos_RF_BK_U!$B11)</f>
        <v>0</v>
      </c>
      <c r="H11" s="76">
        <f>+SUMIFS(BaseCompleta!$F:$F,BaseCompleta!$B:$B,Pos_RF_BK_U!H$3,BaseCompleta!$C:$C,Pos_RF_BK_U!$B11)</f>
        <v>0</v>
      </c>
      <c r="I11" s="76">
        <f>+SUMIFS(BaseCompleta!$F:$F,BaseCompleta!$B:$B,Pos_RF_BK_U!I$3,BaseCompleta!$C:$C,Pos_RF_BK_U!$B11)</f>
        <v>0</v>
      </c>
      <c r="J11" s="76">
        <f>+SUMIFS(BaseCompleta!$F:$F,BaseCompleta!$B:$B,Pos_RF_BK_U!J$3,BaseCompleta!$C:$C,Pos_RF_BK_U!$B11)</f>
        <v>0</v>
      </c>
      <c r="K11" s="76"/>
      <c r="L11" s="77"/>
      <c r="M11" s="4" t="str">
        <f t="shared" si="0"/>
        <v>ok</v>
      </c>
      <c r="N11" s="74"/>
      <c r="O11" s="149"/>
      <c r="P11" s="149"/>
      <c r="Q11" s="149"/>
    </row>
    <row r="12" spans="1:20">
      <c r="A12" s="75" t="s">
        <v>136</v>
      </c>
      <c r="B12" s="71" t="s">
        <v>192</v>
      </c>
      <c r="C12" s="76">
        <f>+SUMIFS(BaseCompleta!$F:$F,BaseCompleta!$C:$C,Pos_RF_BK_U!$B12)</f>
        <v>0</v>
      </c>
      <c r="D12" s="76">
        <f>+SUMIFS(BaseCompleta!$F:$F,BaseCompleta!$B:$B,Pos_RF_BK_U!D$3,BaseCompleta!$C:$C,Pos_RF_BK_U!$B12)</f>
        <v>0</v>
      </c>
      <c r="E12" s="76">
        <f>+SUMIFS(BaseCompleta!$F:$F,BaseCompleta!$B:$B,Pos_RF_BK_U!E$3,BaseCompleta!$C:$C,Pos_RF_BK_U!$B12)</f>
        <v>0</v>
      </c>
      <c r="F12" s="76">
        <f>+SUMIFS(BaseCompleta!$F:$F,BaseCompleta!$B:$B,Pos_RF_BK_U!F$3,BaseCompleta!$C:$C,Pos_RF_BK_U!$B12)</f>
        <v>0</v>
      </c>
      <c r="G12" s="76">
        <f>+SUMIFS(BaseCompleta!$F:$F,BaseCompleta!$B:$B,Pos_RF_BK_U!G$3,BaseCompleta!$C:$C,Pos_RF_BK_U!$B12)</f>
        <v>0</v>
      </c>
      <c r="H12" s="76">
        <f>+SUMIFS(BaseCompleta!$F:$F,BaseCompleta!$B:$B,Pos_RF_BK_U!H$3,BaseCompleta!$C:$C,Pos_RF_BK_U!$B12)</f>
        <v>0</v>
      </c>
      <c r="I12" s="76">
        <f>+SUMIFS(BaseCompleta!$F:$F,BaseCompleta!$B:$B,Pos_RF_BK_U!I$3,BaseCompleta!$C:$C,Pos_RF_BK_U!$B12)</f>
        <v>0</v>
      </c>
      <c r="J12" s="76">
        <f>+SUMIFS(BaseCompleta!$F:$F,BaseCompleta!$B:$B,Pos_RF_BK_U!J$3,BaseCompleta!$C:$C,Pos_RF_BK_U!$B12)</f>
        <v>0</v>
      </c>
      <c r="K12" s="76"/>
      <c r="L12" s="77"/>
      <c r="M12" s="4" t="str">
        <f t="shared" si="0"/>
        <v>ok</v>
      </c>
      <c r="N12" s="74"/>
      <c r="O12" s="149"/>
      <c r="P12" s="149"/>
      <c r="Q12" s="149"/>
    </row>
    <row r="13" spans="1:20">
      <c r="A13" s="75" t="s">
        <v>136</v>
      </c>
      <c r="B13" s="71" t="s">
        <v>193</v>
      </c>
      <c r="C13" s="76">
        <f>+SUMIFS(BaseCompleta!$F:$F,BaseCompleta!$C:$C,Pos_RF_BK_U!$B13)</f>
        <v>0</v>
      </c>
      <c r="D13" s="76">
        <f>+SUMIFS(BaseCompleta!$F:$F,BaseCompleta!$B:$B,Pos_RF_BK_U!D$3,BaseCompleta!$C:$C,Pos_RF_BK_U!$B13)</f>
        <v>0</v>
      </c>
      <c r="E13" s="76">
        <f>+SUMIFS(BaseCompleta!$F:$F,BaseCompleta!$B:$B,Pos_RF_BK_U!E$3,BaseCompleta!$C:$C,Pos_RF_BK_U!$B13)</f>
        <v>0</v>
      </c>
      <c r="F13" s="76">
        <f>+SUMIFS(BaseCompleta!$F:$F,BaseCompleta!$B:$B,Pos_RF_BK_U!F$3,BaseCompleta!$C:$C,Pos_RF_BK_U!$B13)</f>
        <v>0</v>
      </c>
      <c r="G13" s="76">
        <f>+SUMIFS(BaseCompleta!$F:$F,BaseCompleta!$B:$B,Pos_RF_BK_U!G$3,BaseCompleta!$C:$C,Pos_RF_BK_U!$B13)</f>
        <v>0</v>
      </c>
      <c r="H13" s="76">
        <f>+SUMIFS(BaseCompleta!$F:$F,BaseCompleta!$B:$B,Pos_RF_BK_U!H$3,BaseCompleta!$C:$C,Pos_RF_BK_U!$B13)</f>
        <v>0</v>
      </c>
      <c r="I13" s="76">
        <f>+SUMIFS(BaseCompleta!$F:$F,BaseCompleta!$B:$B,Pos_RF_BK_U!I$3,BaseCompleta!$C:$C,Pos_RF_BK_U!$B13)</f>
        <v>0</v>
      </c>
      <c r="J13" s="76">
        <f>+SUMIFS(BaseCompleta!$F:$F,BaseCompleta!$B:$B,Pos_RF_BK_U!J$3,BaseCompleta!$C:$C,Pos_RF_BK_U!$B13)</f>
        <v>0</v>
      </c>
      <c r="K13" s="76"/>
      <c r="L13" s="77"/>
      <c r="M13" s="4" t="str">
        <f>+IF(SUM(D13:J13)=C13,"ok","rev")</f>
        <v>ok</v>
      </c>
      <c r="N13" s="222"/>
      <c r="O13" s="149"/>
      <c r="P13" s="149"/>
      <c r="Q13" s="149"/>
    </row>
    <row r="14" spans="1:20">
      <c r="A14" s="75" t="s">
        <v>136</v>
      </c>
      <c r="B14" s="71" t="s">
        <v>36</v>
      </c>
      <c r="C14" s="76">
        <f>+SUMIFS(BaseCompleta!$F:$F,BaseCompleta!$C:$C,Pos_RF_BK_U!$B14)</f>
        <v>0</v>
      </c>
      <c r="D14" s="76">
        <f>+SUMIFS(BaseCompleta!$F:$F,BaseCompleta!$B:$B,Pos_RF_BK_U!D$3,BaseCompleta!$C:$C,Pos_RF_BK_U!$B14)</f>
        <v>0</v>
      </c>
      <c r="E14" s="76">
        <f>+SUMIFS(BaseCompleta!$F:$F,BaseCompleta!$B:$B,Pos_RF_BK_U!E$3,BaseCompleta!$C:$C,Pos_RF_BK_U!$B14)</f>
        <v>0</v>
      </c>
      <c r="F14" s="76">
        <f>+SUMIFS(BaseCompleta!$F:$F,BaseCompleta!$B:$B,Pos_RF_BK_U!F$3,BaseCompleta!$C:$C,Pos_RF_BK_U!$B14)</f>
        <v>0</v>
      </c>
      <c r="G14" s="76">
        <f>+SUMIFS(BaseCompleta!$F:$F,BaseCompleta!$B:$B,Pos_RF_BK_U!G$3,BaseCompleta!$C:$C,Pos_RF_BK_U!$B14)</f>
        <v>0</v>
      </c>
      <c r="H14" s="76">
        <f>+SUMIFS(BaseCompleta!$F:$F,BaseCompleta!$B:$B,Pos_RF_BK_U!H$3,BaseCompleta!$C:$C,Pos_RF_BK_U!$B14)</f>
        <v>0</v>
      </c>
      <c r="I14" s="76">
        <f>+SUMIFS(BaseCompleta!$F:$F,BaseCompleta!$B:$B,Pos_RF_BK_U!I$3,BaseCompleta!$C:$C,Pos_RF_BK_U!$B14)</f>
        <v>0</v>
      </c>
      <c r="J14" s="76">
        <f>+SUMIFS(BaseCompleta!$F:$F,BaseCompleta!$B:$B,Pos_RF_BK_U!J$3,BaseCompleta!$C:$C,Pos_RF_BK_U!$B14)</f>
        <v>0</v>
      </c>
      <c r="K14" s="76"/>
      <c r="L14" s="77"/>
      <c r="M14" s="4" t="str">
        <f t="shared" ref="M14:M47" si="1">+IF(SUM(D14:J14)=C14,"ok","rev")</f>
        <v>ok</v>
      </c>
      <c r="N14" s="74"/>
      <c r="O14" s="149"/>
      <c r="P14" s="149"/>
      <c r="Q14" s="149"/>
    </row>
    <row r="15" spans="1:20">
      <c r="A15" s="75" t="s">
        <v>262</v>
      </c>
      <c r="B15" s="71" t="s">
        <v>194</v>
      </c>
      <c r="C15" s="76">
        <f>+SUMIFS(BaseCompleta!$F:$F,BaseCompleta!$C:$C,Pos_RF_BK_U!$B15)</f>
        <v>0</v>
      </c>
      <c r="D15" s="76">
        <f>+SUMIFS(BaseCompleta!$F:$F,BaseCompleta!$B:$B,Pos_RF_BK_U!D$3,BaseCompleta!$C:$C,Pos_RF_BK_U!$B15)</f>
        <v>0</v>
      </c>
      <c r="E15" s="76">
        <f>+SUMIFS(BaseCompleta!$F:$F,BaseCompleta!$B:$B,Pos_RF_BK_U!E$3,BaseCompleta!$C:$C,Pos_RF_BK_U!$B15)</f>
        <v>0</v>
      </c>
      <c r="F15" s="76">
        <f>+SUMIFS(BaseCompleta!$F:$F,BaseCompleta!$B:$B,Pos_RF_BK_U!F$3,BaseCompleta!$C:$C,Pos_RF_BK_U!$B15)</f>
        <v>0</v>
      </c>
      <c r="G15" s="76">
        <f>+SUMIFS(BaseCompleta!$F:$F,BaseCompleta!$B:$B,Pos_RF_BK_U!G$3,BaseCompleta!$C:$C,Pos_RF_BK_U!$B15)</f>
        <v>0</v>
      </c>
      <c r="H15" s="76">
        <f>+SUMIFS(BaseCompleta!$F:$F,BaseCompleta!$B:$B,Pos_RF_BK_U!H$3,BaseCompleta!$C:$C,Pos_RF_BK_U!$B15)</f>
        <v>0</v>
      </c>
      <c r="I15" s="76">
        <f>+SUMIFS(BaseCompleta!$F:$F,BaseCompleta!$B:$B,Pos_RF_BK_U!I$3,BaseCompleta!$C:$C,Pos_RF_BK_U!$B15)</f>
        <v>0</v>
      </c>
      <c r="J15" s="76">
        <f>+SUMIFS(BaseCompleta!$F:$F,BaseCompleta!$B:$B,Pos_RF_BK_U!J$3,BaseCompleta!$C:$C,Pos_RF_BK_U!$B15)</f>
        <v>0</v>
      </c>
      <c r="K15" s="76"/>
      <c r="L15" s="77"/>
      <c r="M15" s="4" t="str">
        <f t="shared" si="1"/>
        <v>ok</v>
      </c>
      <c r="N15" s="74"/>
      <c r="O15" s="149"/>
      <c r="P15" s="149"/>
      <c r="Q15" s="149"/>
      <c r="S15" s="149"/>
      <c r="T15" s="149"/>
    </row>
    <row r="16" spans="1:20">
      <c r="A16" s="75" t="s">
        <v>262</v>
      </c>
      <c r="B16" s="71" t="s">
        <v>195</v>
      </c>
      <c r="C16" s="76">
        <f>+SUMIFS(BaseCompleta!$F:$F,BaseCompleta!$C:$C,Pos_RF_BK_U!$B16)</f>
        <v>0</v>
      </c>
      <c r="D16" s="76">
        <f>+SUMIFS(BaseCompleta!$F:$F,BaseCompleta!$B:$B,Pos_RF_BK_U!D$3,BaseCompleta!$C:$C,Pos_RF_BK_U!$B16)</f>
        <v>0</v>
      </c>
      <c r="E16" s="76">
        <f>+SUMIFS(BaseCompleta!$F:$F,BaseCompleta!$B:$B,Pos_RF_BK_U!E$3,BaseCompleta!$C:$C,Pos_RF_BK_U!$B16)</f>
        <v>0</v>
      </c>
      <c r="F16" s="76">
        <f>+SUMIFS(BaseCompleta!$F:$F,BaseCompleta!$B:$B,Pos_RF_BK_U!F$3,BaseCompleta!$C:$C,Pos_RF_BK_U!$B16)</f>
        <v>0</v>
      </c>
      <c r="G16" s="76">
        <f>+SUMIFS(BaseCompleta!$F:$F,BaseCompleta!$B:$B,Pos_RF_BK_U!G$3,BaseCompleta!$C:$C,Pos_RF_BK_U!$B16)</f>
        <v>0</v>
      </c>
      <c r="H16" s="76">
        <f>+SUMIFS(BaseCompleta!$F:$F,BaseCompleta!$B:$B,Pos_RF_BK_U!H$3,BaseCompleta!$C:$C,Pos_RF_BK_U!$B16)</f>
        <v>0</v>
      </c>
      <c r="I16" s="76">
        <f>+SUMIFS(BaseCompleta!$F:$F,BaseCompleta!$B:$B,Pos_RF_BK_U!I$3,BaseCompleta!$C:$C,Pos_RF_BK_U!$B16)</f>
        <v>0</v>
      </c>
      <c r="J16" s="76">
        <f>+SUMIFS(BaseCompleta!$F:$F,BaseCompleta!$B:$B,Pos_RF_BK_U!J$3,BaseCompleta!$C:$C,Pos_RF_BK_U!$B16)</f>
        <v>0</v>
      </c>
      <c r="K16" s="76"/>
      <c r="L16" s="77"/>
      <c r="M16" s="4" t="str">
        <f t="shared" si="1"/>
        <v>ok</v>
      </c>
      <c r="N16" s="74"/>
      <c r="O16" s="149"/>
      <c r="P16" s="149"/>
      <c r="Q16" s="149"/>
      <c r="S16" s="149"/>
      <c r="T16" s="149"/>
    </row>
    <row r="17" spans="1:20">
      <c r="A17" s="75" t="s">
        <v>262</v>
      </c>
      <c r="B17" s="71" t="s">
        <v>78</v>
      </c>
      <c r="C17" s="76">
        <f>+SUMIFS(BaseCompleta!$F:$F,BaseCompleta!$C:$C,Pos_RF_BK_U!$B17)</f>
        <v>10000</v>
      </c>
      <c r="D17" s="76">
        <f>+SUMIFS(BaseCompleta!$F:$F,BaseCompleta!$B:$B,Pos_RF_BK_U!D$3,BaseCompleta!$C:$C,Pos_RF_BK_U!$B17)</f>
        <v>0</v>
      </c>
      <c r="E17" s="76">
        <f>+SUMIFS(BaseCompleta!$F:$F,BaseCompleta!$B:$B,Pos_RF_BK_U!E$3,BaseCompleta!$C:$C,Pos_RF_BK_U!$B17)</f>
        <v>10000</v>
      </c>
      <c r="F17" s="76">
        <f>+SUMIFS(BaseCompleta!$F:$F,BaseCompleta!$B:$B,Pos_RF_BK_U!F$3,BaseCompleta!$C:$C,Pos_RF_BK_U!$B17)</f>
        <v>0</v>
      </c>
      <c r="G17" s="76">
        <f>+SUMIFS(BaseCompleta!$F:$F,BaseCompleta!$B:$B,Pos_RF_BK_U!G$3,BaseCompleta!$C:$C,Pos_RF_BK_U!$B17)</f>
        <v>0</v>
      </c>
      <c r="H17" s="76">
        <f>+SUMIFS(BaseCompleta!$F:$F,BaseCompleta!$B:$B,Pos_RF_BK_U!H$3,BaseCompleta!$C:$C,Pos_RF_BK_U!$B17)</f>
        <v>0</v>
      </c>
      <c r="I17" s="76">
        <f>+SUMIFS(BaseCompleta!$F:$F,BaseCompleta!$B:$B,Pos_RF_BK_U!I$3,BaseCompleta!$C:$C,Pos_RF_BK_U!$B17)</f>
        <v>0</v>
      </c>
      <c r="J17" s="76">
        <f>+SUMIFS(BaseCompleta!$F:$F,BaseCompleta!$B:$B,Pos_RF_BK_U!J$3,BaseCompleta!$C:$C,Pos_RF_BK_U!$B17)</f>
        <v>0</v>
      </c>
      <c r="K17" s="76"/>
      <c r="L17" s="77"/>
      <c r="M17" s="4" t="str">
        <f t="shared" si="1"/>
        <v>ok</v>
      </c>
      <c r="N17" s="74"/>
      <c r="O17" s="149"/>
      <c r="P17" s="149"/>
      <c r="Q17" s="149"/>
      <c r="R17" s="149"/>
      <c r="S17" s="149"/>
      <c r="T17" s="149"/>
    </row>
    <row r="18" spans="1:20">
      <c r="A18" s="75" t="s">
        <v>262</v>
      </c>
      <c r="B18" s="71" t="s">
        <v>196</v>
      </c>
      <c r="C18" s="76">
        <f>+SUMIFS(BaseCompleta!$F:$F,BaseCompleta!$C:$C,Pos_RF_BK_U!$B18)</f>
        <v>0</v>
      </c>
      <c r="D18" s="76">
        <f>+SUMIFS(BaseCompleta!$F:$F,BaseCompleta!$B:$B,Pos_RF_BK_U!D$3,BaseCompleta!$C:$C,Pos_RF_BK_U!$B18)</f>
        <v>0</v>
      </c>
      <c r="E18" s="76">
        <f>+SUMIFS(BaseCompleta!$F:$F,BaseCompleta!$B:$B,Pos_RF_BK_U!E$3,BaseCompleta!$C:$C,Pos_RF_BK_U!$B18)</f>
        <v>0</v>
      </c>
      <c r="F18" s="76">
        <f>+SUMIFS(BaseCompleta!$F:$F,BaseCompleta!$B:$B,Pos_RF_BK_U!F$3,BaseCompleta!$C:$C,Pos_RF_BK_U!$B18)</f>
        <v>0</v>
      </c>
      <c r="G18" s="76">
        <f>+SUMIFS(BaseCompleta!$F:$F,BaseCompleta!$B:$B,Pos_RF_BK_U!G$3,BaseCompleta!$C:$C,Pos_RF_BK_U!$B18)</f>
        <v>0</v>
      </c>
      <c r="H18" s="76">
        <f>+SUMIFS(BaseCompleta!$F:$F,BaseCompleta!$B:$B,Pos_RF_BK_U!H$3,BaseCompleta!$C:$C,Pos_RF_BK_U!$B18)</f>
        <v>0</v>
      </c>
      <c r="I18" s="76">
        <f>+SUMIFS(BaseCompleta!$F:$F,BaseCompleta!$B:$B,Pos_RF_BK_U!I$3,BaseCompleta!$C:$C,Pos_RF_BK_U!$B18)</f>
        <v>0</v>
      </c>
      <c r="J18" s="76">
        <f>+SUMIFS(BaseCompleta!$F:$F,BaseCompleta!$B:$B,Pos_RF_BK_U!J$3,BaseCompleta!$C:$C,Pos_RF_BK_U!$B18)</f>
        <v>0</v>
      </c>
      <c r="K18" s="76"/>
      <c r="L18" s="77"/>
      <c r="M18" s="4" t="str">
        <f t="shared" si="1"/>
        <v>ok</v>
      </c>
      <c r="N18" s="74"/>
      <c r="O18" s="149"/>
      <c r="P18" s="149"/>
      <c r="Q18" s="149"/>
      <c r="R18" s="149"/>
      <c r="S18" s="149"/>
      <c r="T18" s="149"/>
    </row>
    <row r="19" spans="1:20">
      <c r="A19" s="75" t="s">
        <v>262</v>
      </c>
      <c r="B19" s="71" t="s">
        <v>197</v>
      </c>
      <c r="C19" s="76">
        <f>+SUMIFS(BaseCompleta!$F:$F,BaseCompleta!$C:$C,Pos_RF_BK_U!$B19)</f>
        <v>0</v>
      </c>
      <c r="D19" s="76">
        <f>+SUMIFS(BaseCompleta!$F:$F,BaseCompleta!$B:$B,Pos_RF_BK_U!D$3,BaseCompleta!$C:$C,Pos_RF_BK_U!$B19)</f>
        <v>0</v>
      </c>
      <c r="E19" s="76">
        <f>+SUMIFS(BaseCompleta!$F:$F,BaseCompleta!$B:$B,Pos_RF_BK_U!E$3,BaseCompleta!$C:$C,Pos_RF_BK_U!$B19)</f>
        <v>0</v>
      </c>
      <c r="F19" s="76">
        <f>+SUMIFS(BaseCompleta!$F:$F,BaseCompleta!$B:$B,Pos_RF_BK_U!F$3,BaseCompleta!$C:$C,Pos_RF_BK_U!$B19)</f>
        <v>0</v>
      </c>
      <c r="G19" s="76">
        <f>+SUMIFS(BaseCompleta!$F:$F,BaseCompleta!$B:$B,Pos_RF_BK_U!G$3,BaseCompleta!$C:$C,Pos_RF_BK_U!$B19)</f>
        <v>0</v>
      </c>
      <c r="H19" s="76">
        <f>+SUMIFS(BaseCompleta!$F:$F,BaseCompleta!$B:$B,Pos_RF_BK_U!H$3,BaseCompleta!$C:$C,Pos_RF_BK_U!$B19)</f>
        <v>0</v>
      </c>
      <c r="I19" s="76">
        <f>+SUMIFS(BaseCompleta!$F:$F,BaseCompleta!$B:$B,Pos_RF_BK_U!I$3,BaseCompleta!$C:$C,Pos_RF_BK_U!$B19)</f>
        <v>0</v>
      </c>
      <c r="J19" s="76">
        <f>+SUMIFS(BaseCompleta!$F:$F,BaseCompleta!$B:$B,Pos_RF_BK_U!J$3,BaseCompleta!$C:$C,Pos_RF_BK_U!$B19)</f>
        <v>0</v>
      </c>
      <c r="K19" s="76"/>
      <c r="L19" s="77"/>
      <c r="M19" s="4" t="str">
        <f t="shared" si="1"/>
        <v>ok</v>
      </c>
      <c r="N19" s="74"/>
      <c r="O19" s="149"/>
      <c r="P19" s="109"/>
      <c r="Q19" s="149"/>
      <c r="R19" s="149"/>
      <c r="S19" s="149"/>
      <c r="T19" s="149"/>
    </row>
    <row r="20" spans="1:20">
      <c r="A20" s="75" t="s">
        <v>263</v>
      </c>
      <c r="B20" s="71" t="s">
        <v>45</v>
      </c>
      <c r="C20" s="76">
        <f>+SUMIFS(BaseCompleta!$F:$F,BaseCompleta!$C:$C,Pos_RF_BK_U!$B20)</f>
        <v>32500</v>
      </c>
      <c r="D20" s="76">
        <f>+SUMIFS(BaseCompleta!$F:$F,BaseCompleta!$B:$B,Pos_RF_BK_U!D$3,BaseCompleta!$C:$C,Pos_RF_BK_U!$B20)</f>
        <v>0</v>
      </c>
      <c r="E20" s="76">
        <f>+SUMIFS(BaseCompleta!$F:$F,BaseCompleta!$B:$B,Pos_RF_BK_U!E$3,BaseCompleta!$C:$C,Pos_RF_BK_U!$B20)</f>
        <v>0</v>
      </c>
      <c r="F20" s="76">
        <f>+SUMIFS(BaseCompleta!$F:$F,BaseCompleta!$B:$B,Pos_RF_BK_U!F$3,BaseCompleta!$C:$C,Pos_RF_BK_U!$B20)</f>
        <v>0</v>
      </c>
      <c r="G20" s="76">
        <f>+SUMIFS(BaseCompleta!$F:$F,BaseCompleta!$B:$B,Pos_RF_BK_U!G$3,BaseCompleta!$C:$C,Pos_RF_BK_U!$B20)</f>
        <v>25500</v>
      </c>
      <c r="H20" s="76">
        <f>+SUMIFS(BaseCompleta!$F:$F,BaseCompleta!$B:$B,Pos_RF_BK_U!H$3,BaseCompleta!$C:$C,Pos_RF_BK_U!$B20)</f>
        <v>7000</v>
      </c>
      <c r="I20" s="76">
        <f>+SUMIFS(BaseCompleta!$F:$F,BaseCompleta!$B:$B,Pos_RF_BK_U!I$3,BaseCompleta!$C:$C,Pos_RF_BK_U!$B20)</f>
        <v>0</v>
      </c>
      <c r="J20" s="76">
        <f>+SUMIFS(BaseCompleta!$F:$F,BaseCompleta!$B:$B,Pos_RF_BK_U!J$3,BaseCompleta!$C:$C,Pos_RF_BK_U!$B20)</f>
        <v>0</v>
      </c>
      <c r="K20" s="76"/>
      <c r="L20" s="77"/>
      <c r="M20" s="4" t="str">
        <f t="shared" si="1"/>
        <v>ok</v>
      </c>
      <c r="N20" s="74"/>
      <c r="O20" s="149"/>
      <c r="P20" s="109"/>
      <c r="Q20" s="149"/>
      <c r="R20" s="149"/>
      <c r="S20" s="149"/>
      <c r="T20" s="149"/>
    </row>
    <row r="21" spans="1:20">
      <c r="A21" s="75" t="s">
        <v>137</v>
      </c>
      <c r="B21" s="71" t="s">
        <v>34</v>
      </c>
      <c r="C21" s="76">
        <f>+SUMIFS(BaseCompleta!$F:$F,BaseCompleta!$C:$C,Pos_RF_BK_U!$B21)</f>
        <v>0</v>
      </c>
      <c r="D21" s="76">
        <f>+SUMIFS(BaseCompleta!$F:$F,BaseCompleta!$B:$B,Pos_RF_BK_U!D$3,BaseCompleta!$C:$C,Pos_RF_BK_U!$B21)</f>
        <v>0</v>
      </c>
      <c r="E21" s="76">
        <f>+SUMIFS(BaseCompleta!$F:$F,BaseCompleta!$B:$B,Pos_RF_BK_U!E$3,BaseCompleta!$C:$C,Pos_RF_BK_U!$B21)</f>
        <v>0</v>
      </c>
      <c r="F21" s="76">
        <f>+SUMIFS(BaseCompleta!$F:$F,BaseCompleta!$B:$B,Pos_RF_BK_U!F$3,BaseCompleta!$C:$C,Pos_RF_BK_U!$B21)</f>
        <v>0</v>
      </c>
      <c r="G21" s="76">
        <f>+SUMIFS(BaseCompleta!$F:$F,BaseCompleta!$B:$B,Pos_RF_BK_U!G$3,BaseCompleta!$C:$C,Pos_RF_BK_U!$B21)</f>
        <v>0</v>
      </c>
      <c r="H21" s="76">
        <f>+SUMIFS(BaseCompleta!$F:$F,BaseCompleta!$B:$B,Pos_RF_BK_U!H$3,BaseCompleta!$C:$C,Pos_RF_BK_U!$B21)</f>
        <v>0</v>
      </c>
      <c r="I21" s="76">
        <f>+SUMIFS(BaseCompleta!$F:$F,BaseCompleta!$B:$B,Pos_RF_BK_U!I$3,BaseCompleta!$C:$C,Pos_RF_BK_U!$B21)</f>
        <v>0</v>
      </c>
      <c r="J21" s="76">
        <f>+SUMIFS(BaseCompleta!$F:$F,BaseCompleta!$B:$B,Pos_RF_BK_U!J$3,BaseCompleta!$C:$C,Pos_RF_BK_U!$B21)</f>
        <v>0</v>
      </c>
      <c r="K21" s="76"/>
      <c r="L21" s="77"/>
      <c r="M21" s="4" t="str">
        <f t="shared" si="1"/>
        <v>ok</v>
      </c>
      <c r="N21" s="74"/>
      <c r="O21" s="149"/>
      <c r="P21" s="109"/>
      <c r="Q21" s="149"/>
      <c r="R21" s="149"/>
      <c r="S21" s="149"/>
      <c r="T21" s="149"/>
    </row>
    <row r="22" spans="1:20">
      <c r="A22" s="127" t="s">
        <v>355</v>
      </c>
      <c r="B22" s="128" t="s">
        <v>159</v>
      </c>
      <c r="C22" s="129">
        <f>+SUMIFS(BaseCompleta!$F:$F,BaseCompleta!$C:$C,Pos_RF_BK_U!$B22)</f>
        <v>710500</v>
      </c>
      <c r="D22" s="129">
        <f>+SUMIFS(BaseCompleta!$F:$F,BaseCompleta!$B:$B,Pos_RF_BK_U!D$3,BaseCompleta!$C:$C,Pos_RF_BK_U!$B22)</f>
        <v>25000</v>
      </c>
      <c r="E22" s="129">
        <f>+SUMIFS(BaseCompleta!$F:$F,BaseCompleta!$B:$B,Pos_RF_BK_U!E$3,BaseCompleta!$C:$C,Pos_RF_BK_U!$B22)</f>
        <v>380500</v>
      </c>
      <c r="F22" s="129">
        <f>+SUMIFS(BaseCompleta!$F:$F,BaseCompleta!$B:$B,Pos_RF_BK_U!F$3,BaseCompleta!$C:$C,Pos_RF_BK_U!$B22)</f>
        <v>0</v>
      </c>
      <c r="G22" s="129">
        <f>+SUMIFS(BaseCompleta!$F:$F,BaseCompleta!$B:$B,Pos_RF_BK_U!G$3,BaseCompleta!$C:$C,Pos_RF_BK_U!$B22)</f>
        <v>140000</v>
      </c>
      <c r="H22" s="129">
        <f>+SUMIFS(BaseCompleta!$F:$F,BaseCompleta!$B:$B,Pos_RF_BK_U!H$3,BaseCompleta!$C:$C,Pos_RF_BK_U!$B22)</f>
        <v>35000</v>
      </c>
      <c r="I22" s="129">
        <f>+SUMIFS(BaseCompleta!$F:$F,BaseCompleta!$B:$B,Pos_RF_BK_U!I$3,BaseCompleta!$C:$C,Pos_RF_BK_U!$B22)</f>
        <v>30000</v>
      </c>
      <c r="J22" s="129">
        <f>+SUMIFS(BaseCompleta!$F:$F,BaseCompleta!$B:$B,Pos_RF_BK_U!J$3,BaseCompleta!$C:$C,Pos_RF_BK_U!$B22)</f>
        <v>100000</v>
      </c>
      <c r="K22" s="129"/>
      <c r="L22" s="130"/>
      <c r="M22" s="4" t="str">
        <f t="shared" si="1"/>
        <v>ok</v>
      </c>
      <c r="N22" s="74"/>
      <c r="O22" s="149"/>
      <c r="P22" s="109"/>
      <c r="Q22" s="149"/>
      <c r="R22" s="149"/>
      <c r="S22" s="149"/>
      <c r="T22" s="149"/>
    </row>
    <row r="23" spans="1:20">
      <c r="A23" s="75" t="s">
        <v>264</v>
      </c>
      <c r="B23" s="71" t="s">
        <v>198</v>
      </c>
      <c r="C23" s="76">
        <f>+SUMIFS(BaseCompleta!$F:$F,BaseCompleta!$C:$C,Pos_RF_BK_U!$B23)</f>
        <v>0</v>
      </c>
      <c r="D23" s="76">
        <f>+SUMIFS(BaseCompleta!$F:$F,BaseCompleta!$B:$B,Pos_RF_BK_U!D$3,BaseCompleta!$C:$C,Pos_RF_BK_U!$B23)</f>
        <v>0</v>
      </c>
      <c r="E23" s="76">
        <f>+SUMIFS(BaseCompleta!$F:$F,BaseCompleta!$B:$B,Pos_RF_BK_U!E$3,BaseCompleta!$C:$C,Pos_RF_BK_U!$B23)</f>
        <v>0</v>
      </c>
      <c r="F23" s="76">
        <f>+SUMIFS(BaseCompleta!$F:$F,BaseCompleta!$B:$B,Pos_RF_BK_U!F$3,BaseCompleta!$C:$C,Pos_RF_BK_U!$B23)</f>
        <v>0</v>
      </c>
      <c r="G23" s="76">
        <f>+SUMIFS(BaseCompleta!$F:$F,BaseCompleta!$B:$B,Pos_RF_BK_U!G$3,BaseCompleta!$C:$C,Pos_RF_BK_U!$B23)</f>
        <v>0</v>
      </c>
      <c r="H23" s="76">
        <f>+SUMIFS(BaseCompleta!$F:$F,BaseCompleta!$B:$B,Pos_RF_BK_U!H$3,BaseCompleta!$C:$C,Pos_RF_BK_U!$B23)</f>
        <v>0</v>
      </c>
      <c r="I23" s="76">
        <f>+SUMIFS(BaseCompleta!$F:$F,BaseCompleta!$B:$B,Pos_RF_BK_U!I$3,BaseCompleta!$C:$C,Pos_RF_BK_U!$B23)</f>
        <v>0</v>
      </c>
      <c r="J23" s="76">
        <f>+SUMIFS(BaseCompleta!$F:$F,BaseCompleta!$B:$B,Pos_RF_BK_U!J$3,BaseCompleta!$C:$C,Pos_RF_BK_U!$B23)</f>
        <v>0</v>
      </c>
      <c r="K23" s="76"/>
      <c r="L23" s="77"/>
      <c r="M23" s="4" t="str">
        <f t="shared" si="1"/>
        <v>ok</v>
      </c>
      <c r="N23" s="74"/>
      <c r="O23" s="149"/>
      <c r="P23" s="109"/>
      <c r="Q23" s="149"/>
      <c r="R23" s="149"/>
      <c r="S23" s="149"/>
      <c r="T23" s="149"/>
    </row>
    <row r="24" spans="1:20">
      <c r="A24" s="75" t="s">
        <v>264</v>
      </c>
      <c r="B24" s="71" t="s">
        <v>35</v>
      </c>
      <c r="C24" s="76">
        <f>+SUMIFS(BaseCompleta!$F:$F,BaseCompleta!$C:$C,Pos_RF_BK_U!$B24)</f>
        <v>0</v>
      </c>
      <c r="D24" s="76">
        <f>+SUMIFS(BaseCompleta!$F:$F,BaseCompleta!$B:$B,Pos_RF_BK_U!D$3,BaseCompleta!$C:$C,Pos_RF_BK_U!$B24)</f>
        <v>0</v>
      </c>
      <c r="E24" s="76">
        <f>+SUMIFS(BaseCompleta!$F:$F,BaseCompleta!$B:$B,Pos_RF_BK_U!E$3,BaseCompleta!$C:$C,Pos_RF_BK_U!$B24)</f>
        <v>0</v>
      </c>
      <c r="F24" s="76">
        <f>+SUMIFS(BaseCompleta!$F:$F,BaseCompleta!$B:$B,Pos_RF_BK_U!F$3,BaseCompleta!$C:$C,Pos_RF_BK_U!$B24)</f>
        <v>0</v>
      </c>
      <c r="G24" s="76">
        <f>+SUMIFS(BaseCompleta!$F:$F,BaseCompleta!$B:$B,Pos_RF_BK_U!G$3,BaseCompleta!$C:$C,Pos_RF_BK_U!$B24)</f>
        <v>0</v>
      </c>
      <c r="H24" s="76">
        <f>+SUMIFS(BaseCompleta!$F:$F,BaseCompleta!$B:$B,Pos_RF_BK_U!H$3,BaseCompleta!$C:$C,Pos_RF_BK_U!$B24)</f>
        <v>0</v>
      </c>
      <c r="I24" s="76">
        <f>+SUMIFS(BaseCompleta!$F:$F,BaseCompleta!$B:$B,Pos_RF_BK_U!I$3,BaseCompleta!$C:$C,Pos_RF_BK_U!$B24)</f>
        <v>0</v>
      </c>
      <c r="J24" s="76">
        <f>+SUMIFS(BaseCompleta!$F:$F,BaseCompleta!$B:$B,Pos_RF_BK_U!J$3,BaseCompleta!$C:$C,Pos_RF_BK_U!$B24)</f>
        <v>0</v>
      </c>
      <c r="K24" s="76"/>
      <c r="L24" s="77"/>
      <c r="M24" s="4" t="str">
        <f t="shared" si="1"/>
        <v>ok</v>
      </c>
      <c r="N24" s="74"/>
      <c r="O24" s="149"/>
      <c r="P24" s="109"/>
      <c r="Q24" s="149"/>
      <c r="R24" s="149"/>
      <c r="S24" s="149"/>
      <c r="T24" s="149"/>
    </row>
    <row r="25" spans="1:20">
      <c r="A25" s="75" t="s">
        <v>264</v>
      </c>
      <c r="B25" s="71" t="s">
        <v>199</v>
      </c>
      <c r="C25" s="76">
        <f>+SUMIFS(BaseCompleta!$F:$F,BaseCompleta!$C:$C,Pos_RF_BK_U!$B25)</f>
        <v>0</v>
      </c>
      <c r="D25" s="76">
        <f>+SUMIFS(BaseCompleta!$F:$F,BaseCompleta!$B:$B,Pos_RF_BK_U!D$3,BaseCompleta!$C:$C,Pos_RF_BK_U!$B25)</f>
        <v>0</v>
      </c>
      <c r="E25" s="76">
        <f>+SUMIFS(BaseCompleta!$F:$F,BaseCompleta!$B:$B,Pos_RF_BK_U!E$3,BaseCompleta!$C:$C,Pos_RF_BK_U!$B25)</f>
        <v>0</v>
      </c>
      <c r="F25" s="76">
        <f>+SUMIFS(BaseCompleta!$F:$F,BaseCompleta!$B:$B,Pos_RF_BK_U!F$3,BaseCompleta!$C:$C,Pos_RF_BK_U!$B25)</f>
        <v>0</v>
      </c>
      <c r="G25" s="76">
        <f>+SUMIFS(BaseCompleta!$F:$F,BaseCompleta!$B:$B,Pos_RF_BK_U!G$3,BaseCompleta!$C:$C,Pos_RF_BK_U!$B25)</f>
        <v>0</v>
      </c>
      <c r="H25" s="76">
        <f>+SUMIFS(BaseCompleta!$F:$F,BaseCompleta!$B:$B,Pos_RF_BK_U!H$3,BaseCompleta!$C:$C,Pos_RF_BK_U!$B25)</f>
        <v>0</v>
      </c>
      <c r="I25" s="76">
        <f>+SUMIFS(BaseCompleta!$F:$F,BaseCompleta!$B:$B,Pos_RF_BK_U!I$3,BaseCompleta!$C:$C,Pos_RF_BK_U!$B25)</f>
        <v>0</v>
      </c>
      <c r="J25" s="76">
        <f>+SUMIFS(BaseCompleta!$F:$F,BaseCompleta!$B:$B,Pos_RF_BK_U!J$3,BaseCompleta!$C:$C,Pos_RF_BK_U!$B25)</f>
        <v>0</v>
      </c>
      <c r="K25" s="76"/>
      <c r="L25" s="77"/>
      <c r="M25" s="4" t="str">
        <f t="shared" si="1"/>
        <v>ok</v>
      </c>
      <c r="N25" s="74"/>
      <c r="O25" s="149"/>
      <c r="P25" s="149"/>
      <c r="Q25" s="149"/>
      <c r="R25" s="149"/>
      <c r="S25" s="149"/>
      <c r="T25" s="149"/>
    </row>
    <row r="26" spans="1:20">
      <c r="A26" s="75" t="s">
        <v>264</v>
      </c>
      <c r="B26" s="71" t="s">
        <v>200</v>
      </c>
      <c r="C26" s="76">
        <f>+SUMIFS(BaseCompleta!$F:$F,BaseCompleta!$C:$C,Pos_RF_BK_U!$B26)</f>
        <v>0</v>
      </c>
      <c r="D26" s="76">
        <f>+SUMIFS(BaseCompleta!$F:$F,BaseCompleta!$B:$B,Pos_RF_BK_U!D$3,BaseCompleta!$C:$C,Pos_RF_BK_U!$B26)</f>
        <v>0</v>
      </c>
      <c r="E26" s="76">
        <f>+SUMIFS(BaseCompleta!$F:$F,BaseCompleta!$B:$B,Pos_RF_BK_U!E$3,BaseCompleta!$C:$C,Pos_RF_BK_U!$B26)</f>
        <v>0</v>
      </c>
      <c r="F26" s="76">
        <f>+SUMIFS(BaseCompleta!$F:$F,BaseCompleta!$B:$B,Pos_RF_BK_U!F$3,BaseCompleta!$C:$C,Pos_RF_BK_U!$B26)</f>
        <v>0</v>
      </c>
      <c r="G26" s="76">
        <f>+SUMIFS(BaseCompleta!$F:$F,BaseCompleta!$B:$B,Pos_RF_BK_U!G$3,BaseCompleta!$C:$C,Pos_RF_BK_U!$B26)</f>
        <v>0</v>
      </c>
      <c r="H26" s="76">
        <f>+SUMIFS(BaseCompleta!$F:$F,BaseCompleta!$B:$B,Pos_RF_BK_U!H$3,BaseCompleta!$C:$C,Pos_RF_BK_U!$B26)</f>
        <v>0</v>
      </c>
      <c r="I26" s="76">
        <f>+SUMIFS(BaseCompleta!$F:$F,BaseCompleta!$B:$B,Pos_RF_BK_U!I$3,BaseCompleta!$C:$C,Pos_RF_BK_U!$B26)</f>
        <v>0</v>
      </c>
      <c r="J26" s="76">
        <f>+SUMIFS(BaseCompleta!$F:$F,BaseCompleta!$B:$B,Pos_RF_BK_U!J$3,BaseCompleta!$C:$C,Pos_RF_BK_U!$B26)</f>
        <v>0</v>
      </c>
      <c r="K26" s="76"/>
      <c r="L26" s="77"/>
      <c r="M26" s="4" t="str">
        <f t="shared" si="1"/>
        <v>ok</v>
      </c>
      <c r="N26" s="74"/>
      <c r="O26" s="149"/>
      <c r="P26" s="149"/>
      <c r="Q26" s="149"/>
      <c r="R26" s="149"/>
      <c r="S26" s="149"/>
      <c r="T26" s="149"/>
    </row>
    <row r="27" spans="1:20">
      <c r="A27" s="75" t="s">
        <v>264</v>
      </c>
      <c r="B27" s="71" t="s">
        <v>48</v>
      </c>
      <c r="C27" s="76">
        <f>+SUMIFS(BaseCompleta!$F:$F,BaseCompleta!$C:$C,Pos_RF_BK_U!$B27)</f>
        <v>0</v>
      </c>
      <c r="D27" s="76">
        <f>+SUMIFS(BaseCompleta!$F:$F,BaseCompleta!$B:$B,Pos_RF_BK_U!D$3,BaseCompleta!$C:$C,Pos_RF_BK_U!$B27)</f>
        <v>0</v>
      </c>
      <c r="E27" s="76">
        <f>+SUMIFS(BaseCompleta!$F:$F,BaseCompleta!$B:$B,Pos_RF_BK_U!E$3,BaseCompleta!$C:$C,Pos_RF_BK_U!$B27)</f>
        <v>0</v>
      </c>
      <c r="F27" s="76">
        <f>+SUMIFS(BaseCompleta!$F:$F,BaseCompleta!$B:$B,Pos_RF_BK_U!F$3,BaseCompleta!$C:$C,Pos_RF_BK_U!$B27)</f>
        <v>0</v>
      </c>
      <c r="G27" s="76">
        <f>+SUMIFS(BaseCompleta!$F:$F,BaseCompleta!$B:$B,Pos_RF_BK_U!G$3,BaseCompleta!$C:$C,Pos_RF_BK_U!$B27)</f>
        <v>0</v>
      </c>
      <c r="H27" s="76">
        <f>+SUMIFS(BaseCompleta!$F:$F,BaseCompleta!$B:$B,Pos_RF_BK_U!H$3,BaseCompleta!$C:$C,Pos_RF_BK_U!$B27)</f>
        <v>0</v>
      </c>
      <c r="I27" s="76">
        <f>+SUMIFS(BaseCompleta!$F:$F,BaseCompleta!$B:$B,Pos_RF_BK_U!I$3,BaseCompleta!$C:$C,Pos_RF_BK_U!$B27)</f>
        <v>0</v>
      </c>
      <c r="J27" s="76">
        <f>+SUMIFS(BaseCompleta!$F:$F,BaseCompleta!$B:$B,Pos_RF_BK_U!J$3,BaseCompleta!$C:$C,Pos_RF_BK_U!$B27)</f>
        <v>0</v>
      </c>
      <c r="K27" s="76"/>
      <c r="L27" s="77"/>
      <c r="M27" s="4" t="str">
        <f t="shared" si="1"/>
        <v>ok</v>
      </c>
      <c r="N27" s="74"/>
      <c r="O27" s="149"/>
      <c r="P27" s="149"/>
      <c r="Q27" s="149"/>
      <c r="R27" s="149"/>
      <c r="S27" s="149"/>
      <c r="T27" s="149"/>
    </row>
    <row r="28" spans="1:20">
      <c r="A28" s="75" t="s">
        <v>138</v>
      </c>
      <c r="B28" s="71" t="s">
        <v>20</v>
      </c>
      <c r="C28" s="76">
        <f>+SUMIFS(BaseCompleta!$F:$F,BaseCompleta!$C:$C,Pos_RF_BK_U!$B28)</f>
        <v>0</v>
      </c>
      <c r="D28" s="76">
        <f>+SUMIFS(BaseCompleta!$F:$F,BaseCompleta!$B:$B,Pos_RF_BK_U!D$3,BaseCompleta!$C:$C,Pos_RF_BK_U!$B28)</f>
        <v>0</v>
      </c>
      <c r="E28" s="76">
        <f>+SUMIFS(BaseCompleta!$F:$F,BaseCompleta!$B:$B,Pos_RF_BK_U!E$3,BaseCompleta!$C:$C,Pos_RF_BK_U!$B28)</f>
        <v>0</v>
      </c>
      <c r="F28" s="76">
        <f>+SUMIFS(BaseCompleta!$F:$F,BaseCompleta!$B:$B,Pos_RF_BK_U!F$3,BaseCompleta!$C:$C,Pos_RF_BK_U!$B28)</f>
        <v>0</v>
      </c>
      <c r="G28" s="76">
        <f>+SUMIFS(BaseCompleta!$F:$F,BaseCompleta!$B:$B,Pos_RF_BK_U!G$3,BaseCompleta!$C:$C,Pos_RF_BK_U!$B28)</f>
        <v>0</v>
      </c>
      <c r="H28" s="76">
        <f>+SUMIFS(BaseCompleta!$F:$F,BaseCompleta!$B:$B,Pos_RF_BK_U!H$3,BaseCompleta!$C:$C,Pos_RF_BK_U!$B28)</f>
        <v>0</v>
      </c>
      <c r="I28" s="76">
        <f>+SUMIFS(BaseCompleta!$F:$F,BaseCompleta!$B:$B,Pos_RF_BK_U!I$3,BaseCompleta!$C:$C,Pos_RF_BK_U!$B28)</f>
        <v>0</v>
      </c>
      <c r="J28" s="76">
        <f>+SUMIFS(BaseCompleta!$F:$F,BaseCompleta!$B:$B,Pos_RF_BK_U!J$3,BaseCompleta!$C:$C,Pos_RF_BK_U!$B28)</f>
        <v>0</v>
      </c>
      <c r="K28" s="76"/>
      <c r="L28" s="77"/>
      <c r="M28" s="4" t="str">
        <f t="shared" si="1"/>
        <v>ok</v>
      </c>
      <c r="N28" s="74"/>
      <c r="O28" s="149"/>
      <c r="P28" s="149"/>
      <c r="Q28" s="149"/>
      <c r="R28" s="149"/>
      <c r="S28" s="149"/>
      <c r="T28" s="149"/>
    </row>
    <row r="29" spans="1:20">
      <c r="A29" s="75" t="s">
        <v>138</v>
      </c>
      <c r="B29" s="71" t="s">
        <v>47</v>
      </c>
      <c r="C29" s="76">
        <f>+SUMIFS(BaseCompleta!$F:$F,BaseCompleta!$C:$C,Pos_RF_BK_U!$B29)</f>
        <v>0</v>
      </c>
      <c r="D29" s="76">
        <f>+SUMIFS(BaseCompleta!$F:$F,BaseCompleta!$B:$B,Pos_RF_BK_U!D$3,BaseCompleta!$C:$C,Pos_RF_BK_U!$B29)</f>
        <v>0</v>
      </c>
      <c r="E29" s="76">
        <f>+SUMIFS(BaseCompleta!$F:$F,BaseCompleta!$B:$B,Pos_RF_BK_U!E$3,BaseCompleta!$C:$C,Pos_RF_BK_U!$B29)</f>
        <v>0</v>
      </c>
      <c r="F29" s="76">
        <f>+SUMIFS(BaseCompleta!$F:$F,BaseCompleta!$B:$B,Pos_RF_BK_U!F$3,BaseCompleta!$C:$C,Pos_RF_BK_U!$B29)</f>
        <v>0</v>
      </c>
      <c r="G29" s="76">
        <f>+SUMIFS(BaseCompleta!$F:$F,BaseCompleta!$B:$B,Pos_RF_BK_U!G$3,BaseCompleta!$C:$C,Pos_RF_BK_U!$B29)</f>
        <v>0</v>
      </c>
      <c r="H29" s="76">
        <f>+SUMIFS(BaseCompleta!$F:$F,BaseCompleta!$B:$B,Pos_RF_BK_U!H$3,BaseCompleta!$C:$C,Pos_RF_BK_U!$B29)</f>
        <v>0</v>
      </c>
      <c r="I29" s="76">
        <f>+SUMIFS(BaseCompleta!$F:$F,BaseCompleta!$B:$B,Pos_RF_BK_U!I$3,BaseCompleta!$C:$C,Pos_RF_BK_U!$B29)</f>
        <v>0</v>
      </c>
      <c r="J29" s="76">
        <f>+SUMIFS(BaseCompleta!$F:$F,BaseCompleta!$B:$B,Pos_RF_BK_U!J$3,BaseCompleta!$C:$C,Pos_RF_BK_U!$B29)</f>
        <v>0</v>
      </c>
      <c r="K29" s="76"/>
      <c r="L29" s="77"/>
      <c r="M29" s="4" t="str">
        <f t="shared" si="1"/>
        <v>ok</v>
      </c>
      <c r="N29" s="74"/>
      <c r="O29" s="149"/>
      <c r="P29" s="149"/>
      <c r="Q29" s="149"/>
      <c r="R29" s="149"/>
      <c r="S29" s="149"/>
      <c r="T29" s="149"/>
    </row>
    <row r="30" spans="1:20">
      <c r="A30" s="75" t="s">
        <v>138</v>
      </c>
      <c r="B30" s="71" t="s">
        <v>44</v>
      </c>
      <c r="C30" s="76">
        <f>+SUMIFS(BaseCompleta!$F:$F,BaseCompleta!$C:$C,Pos_RF_BK_U!$B30)</f>
        <v>0</v>
      </c>
      <c r="D30" s="76">
        <f>+SUMIFS(BaseCompleta!$F:$F,BaseCompleta!$B:$B,Pos_RF_BK_U!D$3,BaseCompleta!$C:$C,Pos_RF_BK_U!$B30)</f>
        <v>0</v>
      </c>
      <c r="E30" s="76">
        <f>+SUMIFS(BaseCompleta!$F:$F,BaseCompleta!$B:$B,Pos_RF_BK_U!E$3,BaseCompleta!$C:$C,Pos_RF_BK_U!$B30)</f>
        <v>0</v>
      </c>
      <c r="F30" s="76">
        <f>+SUMIFS(BaseCompleta!$F:$F,BaseCompleta!$B:$B,Pos_RF_BK_U!F$3,BaseCompleta!$C:$C,Pos_RF_BK_U!$B30)</f>
        <v>0</v>
      </c>
      <c r="G30" s="76">
        <f>+SUMIFS(BaseCompleta!$F:$F,BaseCompleta!$B:$B,Pos_RF_BK_U!G$3,BaseCompleta!$C:$C,Pos_RF_BK_U!$B30)</f>
        <v>0</v>
      </c>
      <c r="H30" s="76">
        <f>+SUMIFS(BaseCompleta!$F:$F,BaseCompleta!$B:$B,Pos_RF_BK_U!H$3,BaseCompleta!$C:$C,Pos_RF_BK_U!$B30)</f>
        <v>0</v>
      </c>
      <c r="I30" s="76">
        <f>+SUMIFS(BaseCompleta!$F:$F,BaseCompleta!$B:$B,Pos_RF_BK_U!I$3,BaseCompleta!$C:$C,Pos_RF_BK_U!$B30)</f>
        <v>0</v>
      </c>
      <c r="J30" s="76">
        <f>+SUMIFS(BaseCompleta!$F:$F,BaseCompleta!$B:$B,Pos_RF_BK_U!J$3,BaseCompleta!$C:$C,Pos_RF_BK_U!$B30)</f>
        <v>0</v>
      </c>
      <c r="K30" s="76"/>
      <c r="L30" s="77"/>
      <c r="M30" s="4" t="str">
        <f t="shared" si="1"/>
        <v>ok</v>
      </c>
      <c r="N30" s="290"/>
      <c r="O30" s="149"/>
      <c r="P30" s="149"/>
      <c r="Q30" s="149"/>
      <c r="R30" s="149"/>
      <c r="S30" s="149"/>
      <c r="T30" s="149"/>
    </row>
    <row r="31" spans="1:20">
      <c r="A31" s="127" t="s">
        <v>354</v>
      </c>
      <c r="B31" s="128" t="s">
        <v>19</v>
      </c>
      <c r="C31" s="129">
        <f>+SUMIFS(BaseCompleta!$F:$F,BaseCompleta!$C:$C,Pos_RF_BK_U!$B31)</f>
        <v>725500</v>
      </c>
      <c r="D31" s="129">
        <f>+SUMIFS(BaseCompleta!$F:$F,BaseCompleta!$B:$B,Pos_RF_BK_U!D$3,BaseCompleta!$C:$C,Pos_RF_BK_U!$B31)</f>
        <v>0</v>
      </c>
      <c r="E31" s="129">
        <f>+SUMIFS(BaseCompleta!$F:$F,BaseCompleta!$B:$B,Pos_RF_BK_U!E$3,BaseCompleta!$C:$C,Pos_RF_BK_U!$B31)</f>
        <v>274500</v>
      </c>
      <c r="F31" s="129">
        <f>+SUMIFS(BaseCompleta!$F:$F,BaseCompleta!$B:$B,Pos_RF_BK_U!F$3,BaseCompleta!$C:$C,Pos_RF_BK_U!$B31)</f>
        <v>233000</v>
      </c>
      <c r="G31" s="129">
        <f>+SUMIFS(BaseCompleta!$F:$F,BaseCompleta!$B:$B,Pos_RF_BK_U!G$3,BaseCompleta!$C:$C,Pos_RF_BK_U!$B31)</f>
        <v>85500</v>
      </c>
      <c r="H31" s="129">
        <f>+SUMIFS(BaseCompleta!$F:$F,BaseCompleta!$B:$B,Pos_RF_BK_U!H$3,BaseCompleta!$C:$C,Pos_RF_BK_U!$B31)</f>
        <v>24000</v>
      </c>
      <c r="I31" s="129">
        <f>+SUMIFS(BaseCompleta!$F:$F,BaseCompleta!$B:$B,Pos_RF_BK_U!I$3,BaseCompleta!$C:$C,Pos_RF_BK_U!$B31)</f>
        <v>68500</v>
      </c>
      <c r="J31" s="129">
        <f>+SUMIFS(BaseCompleta!$F:$F,BaseCompleta!$B:$B,Pos_RF_BK_U!J$3,BaseCompleta!$C:$C,Pos_RF_BK_U!$B31)</f>
        <v>40000</v>
      </c>
      <c r="K31" s="129"/>
      <c r="L31" s="130"/>
      <c r="M31" s="4" t="str">
        <f t="shared" si="1"/>
        <v>ok</v>
      </c>
      <c r="N31" s="169"/>
      <c r="O31" s="149"/>
      <c r="P31" s="149"/>
      <c r="Q31" s="149"/>
      <c r="R31" s="149"/>
      <c r="S31" s="149"/>
      <c r="T31" s="149"/>
    </row>
    <row r="32" spans="1:20">
      <c r="A32" s="75" t="s">
        <v>261</v>
      </c>
      <c r="B32" s="71" t="s">
        <v>201</v>
      </c>
      <c r="C32" s="76">
        <f>+SUMIFS(BaseCompleta!$F:$F,BaseCompleta!$C:$C,Pos_RF_BK_U!$B32)</f>
        <v>0</v>
      </c>
      <c r="D32" s="76">
        <f>+SUMIFS(BaseCompleta!$F:$F,BaseCompleta!$B:$B,Pos_RF_BK_U!D$3,BaseCompleta!$C:$C,Pos_RF_BK_U!$B32)</f>
        <v>0</v>
      </c>
      <c r="E32" s="76">
        <f>+SUMIFS(BaseCompleta!$F:$F,BaseCompleta!$B:$B,Pos_RF_BK_U!E$3,BaseCompleta!$C:$C,Pos_RF_BK_U!$B32)</f>
        <v>0</v>
      </c>
      <c r="F32" s="76">
        <f>+SUMIFS(BaseCompleta!$F:$F,BaseCompleta!$B:$B,Pos_RF_BK_U!F$3,BaseCompleta!$C:$C,Pos_RF_BK_U!$B32)</f>
        <v>0</v>
      </c>
      <c r="G32" s="76">
        <f>+SUMIFS(BaseCompleta!$F:$F,BaseCompleta!$B:$B,Pos_RF_BK_U!G$3,BaseCompleta!$C:$C,Pos_RF_BK_U!$B32)</f>
        <v>0</v>
      </c>
      <c r="H32" s="76">
        <f>+SUMIFS(BaseCompleta!$F:$F,BaseCompleta!$B:$B,Pos_RF_BK_U!H$3,BaseCompleta!$C:$C,Pos_RF_BK_U!$B32)</f>
        <v>0</v>
      </c>
      <c r="I32" s="76">
        <f>+SUMIFS(BaseCompleta!$F:$F,BaseCompleta!$B:$B,Pos_RF_BK_U!I$3,BaseCompleta!$C:$C,Pos_RF_BK_U!$B32)</f>
        <v>0</v>
      </c>
      <c r="J32" s="76">
        <f>+SUMIFS(BaseCompleta!$F:$F,BaseCompleta!$B:$B,Pos_RF_BK_U!J$3,BaseCompleta!$C:$C,Pos_RF_BK_U!$B32)</f>
        <v>0</v>
      </c>
      <c r="K32" s="76"/>
      <c r="L32" s="77"/>
      <c r="M32" s="4" t="str">
        <f t="shared" si="1"/>
        <v>ok</v>
      </c>
      <c r="N32" s="74"/>
      <c r="O32" s="149"/>
      <c r="P32" s="149"/>
      <c r="Q32" s="149"/>
      <c r="R32" s="149"/>
      <c r="S32" s="149"/>
      <c r="T32" s="149"/>
    </row>
    <row r="33" spans="1:20">
      <c r="A33" s="75" t="s">
        <v>261</v>
      </c>
      <c r="B33" s="71" t="s">
        <v>202</v>
      </c>
      <c r="C33" s="76">
        <f>+SUMIFS(BaseCompleta!$F:$F,BaseCompleta!$C:$C,Pos_RF_BK_U!$B33)</f>
        <v>0</v>
      </c>
      <c r="D33" s="76">
        <f>+SUMIFS(BaseCompleta!$F:$F,BaseCompleta!$B:$B,Pos_RF_BK_U!D$3,BaseCompleta!$C:$C,Pos_RF_BK_U!$B33)</f>
        <v>0</v>
      </c>
      <c r="E33" s="76">
        <f>+SUMIFS(BaseCompleta!$F:$F,BaseCompleta!$B:$B,Pos_RF_BK_U!E$3,BaseCompleta!$C:$C,Pos_RF_BK_U!$B33)</f>
        <v>0</v>
      </c>
      <c r="F33" s="76">
        <f>+SUMIFS(BaseCompleta!$F:$F,BaseCompleta!$B:$B,Pos_RF_BK_U!F$3,BaseCompleta!$C:$C,Pos_RF_BK_U!$B33)</f>
        <v>0</v>
      </c>
      <c r="G33" s="76">
        <f>+SUMIFS(BaseCompleta!$F:$F,BaseCompleta!$B:$B,Pos_RF_BK_U!G$3,BaseCompleta!$C:$C,Pos_RF_BK_U!$B33)</f>
        <v>0</v>
      </c>
      <c r="H33" s="76">
        <f>+SUMIFS(BaseCompleta!$F:$F,BaseCompleta!$B:$B,Pos_RF_BK_U!H$3,BaseCompleta!$C:$C,Pos_RF_BK_U!$B33)</f>
        <v>0</v>
      </c>
      <c r="I33" s="76">
        <f>+SUMIFS(BaseCompleta!$F:$F,BaseCompleta!$B:$B,Pos_RF_BK_U!I$3,BaseCompleta!$C:$C,Pos_RF_BK_U!$B33)</f>
        <v>0</v>
      </c>
      <c r="J33" s="76">
        <f>+SUMIFS(BaseCompleta!$F:$F,BaseCompleta!$B:$B,Pos_RF_BK_U!J$3,BaseCompleta!$C:$C,Pos_RF_BK_U!$B33)</f>
        <v>0</v>
      </c>
      <c r="K33" s="76"/>
      <c r="L33" s="77"/>
      <c r="M33" s="4" t="str">
        <f t="shared" si="1"/>
        <v>ok</v>
      </c>
      <c r="N33" s="74"/>
      <c r="O33" s="149"/>
      <c r="P33" s="149"/>
      <c r="Q33" s="149"/>
      <c r="R33" s="149"/>
      <c r="S33" s="149"/>
      <c r="T33" s="149"/>
    </row>
    <row r="34" spans="1:20">
      <c r="A34" s="75" t="s">
        <v>261</v>
      </c>
      <c r="B34" s="71" t="s">
        <v>203</v>
      </c>
      <c r="C34" s="76">
        <f>+SUMIFS(BaseCompleta!$F:$F,BaseCompleta!$C:$C,Pos_RF_BK_U!$B34)</f>
        <v>0</v>
      </c>
      <c r="D34" s="76">
        <f>+SUMIFS(BaseCompleta!$F:$F,BaseCompleta!$B:$B,Pos_RF_BK_U!D$3,BaseCompleta!$C:$C,Pos_RF_BK_U!$B34)</f>
        <v>0</v>
      </c>
      <c r="E34" s="76">
        <f>+SUMIFS(BaseCompleta!$F:$F,BaseCompleta!$B:$B,Pos_RF_BK_U!E$3,BaseCompleta!$C:$C,Pos_RF_BK_U!$B34)</f>
        <v>0</v>
      </c>
      <c r="F34" s="76">
        <f>+SUMIFS(BaseCompleta!$F:$F,BaseCompleta!$B:$B,Pos_RF_BK_U!F$3,BaseCompleta!$C:$C,Pos_RF_BK_U!$B34)</f>
        <v>0</v>
      </c>
      <c r="G34" s="76">
        <f>+SUMIFS(BaseCompleta!$F:$F,BaseCompleta!$B:$B,Pos_RF_BK_U!G$3,BaseCompleta!$C:$C,Pos_RF_BK_U!$B34)</f>
        <v>0</v>
      </c>
      <c r="H34" s="76">
        <f>+SUMIFS(BaseCompleta!$F:$F,BaseCompleta!$B:$B,Pos_RF_BK_U!H$3,BaseCompleta!$C:$C,Pos_RF_BK_U!$B34)</f>
        <v>0</v>
      </c>
      <c r="I34" s="76">
        <f>+SUMIFS(BaseCompleta!$F:$F,BaseCompleta!$B:$B,Pos_RF_BK_U!I$3,BaseCompleta!$C:$C,Pos_RF_BK_U!$B34)</f>
        <v>0</v>
      </c>
      <c r="J34" s="76">
        <f>+SUMIFS(BaseCompleta!$F:$F,BaseCompleta!$B:$B,Pos_RF_BK_U!J$3,BaseCompleta!$C:$C,Pos_RF_BK_U!$B34)</f>
        <v>0</v>
      </c>
      <c r="K34" s="76"/>
      <c r="L34" s="77"/>
      <c r="M34" s="4" t="str">
        <f t="shared" si="1"/>
        <v>ok</v>
      </c>
      <c r="N34" s="74"/>
      <c r="O34" s="149"/>
      <c r="P34" s="149"/>
      <c r="Q34" s="149"/>
      <c r="R34" s="149"/>
      <c r="S34" s="149"/>
    </row>
    <row r="35" spans="1:20">
      <c r="A35" s="75" t="s">
        <v>261</v>
      </c>
      <c r="B35" s="71" t="s">
        <v>204</v>
      </c>
      <c r="C35" s="76">
        <f>+SUMIFS(BaseCompleta!$F:$F,BaseCompleta!$C:$C,Pos_RF_BK_U!$B35)</f>
        <v>0</v>
      </c>
      <c r="D35" s="76">
        <f>+SUMIFS(BaseCompleta!$F:$F,BaseCompleta!$B:$B,Pos_RF_BK_U!D$3,BaseCompleta!$C:$C,Pos_RF_BK_U!$B35)</f>
        <v>0</v>
      </c>
      <c r="E35" s="76">
        <f>+SUMIFS(BaseCompleta!$F:$F,BaseCompleta!$B:$B,Pos_RF_BK_U!E$3,BaseCompleta!$C:$C,Pos_RF_BK_U!$B35)</f>
        <v>0</v>
      </c>
      <c r="F35" s="76">
        <f>+SUMIFS(BaseCompleta!$F:$F,BaseCompleta!$B:$B,Pos_RF_BK_U!F$3,BaseCompleta!$C:$C,Pos_RF_BK_U!$B35)</f>
        <v>0</v>
      </c>
      <c r="G35" s="76">
        <f>+SUMIFS(BaseCompleta!$F:$F,BaseCompleta!$B:$B,Pos_RF_BK_U!G$3,BaseCompleta!$C:$C,Pos_RF_BK_U!$B35)</f>
        <v>0</v>
      </c>
      <c r="H35" s="76">
        <f>+SUMIFS(BaseCompleta!$F:$F,BaseCompleta!$B:$B,Pos_RF_BK_U!H$3,BaseCompleta!$C:$C,Pos_RF_BK_U!$B35)</f>
        <v>0</v>
      </c>
      <c r="I35" s="76">
        <f>+SUMIFS(BaseCompleta!$F:$F,BaseCompleta!$B:$B,Pos_RF_BK_U!I$3,BaseCompleta!$C:$C,Pos_RF_BK_U!$B35)</f>
        <v>0</v>
      </c>
      <c r="J35" s="76">
        <f>+SUMIFS(BaseCompleta!$F:$F,BaseCompleta!$B:$B,Pos_RF_BK_U!J$3,BaseCompleta!$C:$C,Pos_RF_BK_U!$B35)</f>
        <v>0</v>
      </c>
      <c r="K35" s="76"/>
      <c r="L35" s="77"/>
      <c r="M35" s="4" t="str">
        <f t="shared" si="1"/>
        <v>ok</v>
      </c>
      <c r="N35" s="74"/>
      <c r="O35" s="149"/>
      <c r="P35" s="149"/>
      <c r="Q35" s="149"/>
      <c r="R35" s="149"/>
      <c r="S35" s="149"/>
    </row>
    <row r="36" spans="1:20">
      <c r="A36" s="75" t="s">
        <v>261</v>
      </c>
      <c r="B36" s="71" t="s">
        <v>205</v>
      </c>
      <c r="C36" s="76">
        <f>+SUMIFS(BaseCompleta!$F:$F,BaseCompleta!$C:$C,Pos_RF_BK_U!$B36)</f>
        <v>0</v>
      </c>
      <c r="D36" s="76">
        <f>+SUMIFS(BaseCompleta!$F:$F,BaseCompleta!$B:$B,Pos_RF_BK_U!D$3,BaseCompleta!$C:$C,Pos_RF_BK_U!$B36)</f>
        <v>0</v>
      </c>
      <c r="E36" s="76">
        <f>+SUMIFS(BaseCompleta!$F:$F,BaseCompleta!$B:$B,Pos_RF_BK_U!E$3,BaseCompleta!$C:$C,Pos_RF_BK_U!$B36)</f>
        <v>0</v>
      </c>
      <c r="F36" s="76">
        <f>+SUMIFS(BaseCompleta!$F:$F,BaseCompleta!$B:$B,Pos_RF_BK_U!F$3,BaseCompleta!$C:$C,Pos_RF_BK_U!$B36)</f>
        <v>0</v>
      </c>
      <c r="G36" s="76">
        <f>+SUMIFS(BaseCompleta!$F:$F,BaseCompleta!$B:$B,Pos_RF_BK_U!G$3,BaseCompleta!$C:$C,Pos_RF_BK_U!$B36)</f>
        <v>0</v>
      </c>
      <c r="H36" s="76">
        <f>+SUMIFS(BaseCompleta!$F:$F,BaseCompleta!$B:$B,Pos_RF_BK_U!H$3,BaseCompleta!$C:$C,Pos_RF_BK_U!$B36)</f>
        <v>0</v>
      </c>
      <c r="I36" s="76">
        <f>+SUMIFS(BaseCompleta!$F:$F,BaseCompleta!$B:$B,Pos_RF_BK_U!I$3,BaseCompleta!$C:$C,Pos_RF_BK_U!$B36)</f>
        <v>0</v>
      </c>
      <c r="J36" s="76">
        <f>+SUMIFS(BaseCompleta!$F:$F,BaseCompleta!$B:$B,Pos_RF_BK_U!J$3,BaseCompleta!$C:$C,Pos_RF_BK_U!$B36)</f>
        <v>0</v>
      </c>
      <c r="K36" s="76"/>
      <c r="L36" s="77"/>
      <c r="M36" s="4" t="str">
        <f t="shared" si="1"/>
        <v>ok</v>
      </c>
      <c r="N36" s="74"/>
      <c r="O36" s="149"/>
      <c r="P36" s="149"/>
      <c r="Q36" s="149"/>
      <c r="R36" s="149"/>
      <c r="S36" s="149"/>
    </row>
    <row r="37" spans="1:20">
      <c r="A37" s="75" t="s">
        <v>261</v>
      </c>
      <c r="B37" s="71" t="s">
        <v>206</v>
      </c>
      <c r="C37" s="76">
        <f>+SUMIFS(BaseCompleta!$F:$F,BaseCompleta!$C:$C,Pos_RF_BK_U!$B37)</f>
        <v>0</v>
      </c>
      <c r="D37" s="76">
        <f>+SUMIFS(BaseCompleta!$F:$F,BaseCompleta!$B:$B,Pos_RF_BK_U!D$3,BaseCompleta!$C:$C,Pos_RF_BK_U!$B37)</f>
        <v>0</v>
      </c>
      <c r="E37" s="76">
        <f>+SUMIFS(BaseCompleta!$F:$F,BaseCompleta!$B:$B,Pos_RF_BK_U!E$3,BaseCompleta!$C:$C,Pos_RF_BK_U!$B37)</f>
        <v>0</v>
      </c>
      <c r="F37" s="76">
        <f>+SUMIFS(BaseCompleta!$F:$F,BaseCompleta!$B:$B,Pos_RF_BK_U!F$3,BaseCompleta!$C:$C,Pos_RF_BK_U!$B37)</f>
        <v>0</v>
      </c>
      <c r="G37" s="76">
        <f>+SUMIFS(BaseCompleta!$F:$F,BaseCompleta!$B:$B,Pos_RF_BK_U!G$3,BaseCompleta!$C:$C,Pos_RF_BK_U!$B37)</f>
        <v>0</v>
      </c>
      <c r="H37" s="76">
        <f>+SUMIFS(BaseCompleta!$F:$F,BaseCompleta!$B:$B,Pos_RF_BK_U!H$3,BaseCompleta!$C:$C,Pos_RF_BK_U!$B37)</f>
        <v>0</v>
      </c>
      <c r="I37" s="76">
        <f>+SUMIFS(BaseCompleta!$F:$F,BaseCompleta!$B:$B,Pos_RF_BK_U!I$3,BaseCompleta!$C:$C,Pos_RF_BK_U!$B37)</f>
        <v>0</v>
      </c>
      <c r="J37" s="76">
        <f>+SUMIFS(BaseCompleta!$F:$F,BaseCompleta!$B:$B,Pos_RF_BK_U!J$3,BaseCompleta!$C:$C,Pos_RF_BK_U!$B37)</f>
        <v>0</v>
      </c>
      <c r="K37" s="76"/>
      <c r="L37" s="77"/>
      <c r="M37" s="4" t="str">
        <f t="shared" si="1"/>
        <v>ok</v>
      </c>
      <c r="N37" s="74"/>
      <c r="O37" s="149"/>
      <c r="P37" s="149"/>
      <c r="Q37" s="149"/>
      <c r="R37" s="149"/>
      <c r="S37" s="149"/>
    </row>
    <row r="38" spans="1:20">
      <c r="A38" s="75" t="s">
        <v>265</v>
      </c>
      <c r="B38" s="71" t="s">
        <v>207</v>
      </c>
      <c r="C38" s="76">
        <f>+SUMIFS(BaseCompleta!$F:$F,BaseCompleta!$C:$C,Pos_RF_BK_U!$B38)</f>
        <v>0</v>
      </c>
      <c r="D38" s="76">
        <f>+SUMIFS(BaseCompleta!$F:$F,BaseCompleta!$B:$B,Pos_RF_BK_U!D$3,BaseCompleta!$C:$C,Pos_RF_BK_U!$B38)</f>
        <v>0</v>
      </c>
      <c r="E38" s="76">
        <f>+SUMIFS(BaseCompleta!$F:$F,BaseCompleta!$B:$B,Pos_RF_BK_U!E$3,BaseCompleta!$C:$C,Pos_RF_BK_U!$B38)</f>
        <v>0</v>
      </c>
      <c r="F38" s="76">
        <f>+SUMIFS(BaseCompleta!$F:$F,BaseCompleta!$B:$B,Pos_RF_BK_U!F$3,BaseCompleta!$C:$C,Pos_RF_BK_U!$B38)</f>
        <v>0</v>
      </c>
      <c r="G38" s="76">
        <f>+SUMIFS(BaseCompleta!$F:$F,BaseCompleta!$B:$B,Pos_RF_BK_U!G$3,BaseCompleta!$C:$C,Pos_RF_BK_U!$B38)</f>
        <v>0</v>
      </c>
      <c r="H38" s="76">
        <f>+SUMIFS(BaseCompleta!$F:$F,BaseCompleta!$B:$B,Pos_RF_BK_U!H$3,BaseCompleta!$C:$C,Pos_RF_BK_U!$B38)</f>
        <v>0</v>
      </c>
      <c r="I38" s="76">
        <f>+SUMIFS(BaseCompleta!$F:$F,BaseCompleta!$B:$B,Pos_RF_BK_U!I$3,BaseCompleta!$C:$C,Pos_RF_BK_U!$B38)</f>
        <v>0</v>
      </c>
      <c r="J38" s="76">
        <f>+SUMIFS(BaseCompleta!$F:$F,BaseCompleta!$B:$B,Pos_RF_BK_U!J$3,BaseCompleta!$C:$C,Pos_RF_BK_U!$B38)</f>
        <v>0</v>
      </c>
      <c r="K38" s="76"/>
      <c r="L38" s="77"/>
      <c r="M38" s="4" t="str">
        <f t="shared" si="1"/>
        <v>ok</v>
      </c>
      <c r="N38" s="169"/>
      <c r="O38" s="149"/>
      <c r="P38" s="149"/>
      <c r="Q38" s="149"/>
      <c r="R38" s="149"/>
      <c r="S38" s="149"/>
    </row>
    <row r="39" spans="1:20" ht="13.5" customHeight="1">
      <c r="A39" s="75" t="s">
        <v>265</v>
      </c>
      <c r="B39" s="71" t="s">
        <v>21</v>
      </c>
      <c r="C39" s="76">
        <f>+SUMIFS(BaseCompleta!$F:$F,BaseCompleta!$C:$C,Pos_RF_BK_U!$B39)</f>
        <v>0</v>
      </c>
      <c r="D39" s="76">
        <f>+SUMIFS(BaseCompleta!$F:$F,BaseCompleta!$B:$B,Pos_RF_BK_U!D$3,BaseCompleta!$C:$C,Pos_RF_BK_U!$B39)</f>
        <v>0</v>
      </c>
      <c r="E39" s="76">
        <f>+SUMIFS(BaseCompleta!$F:$F,BaseCompleta!$B:$B,Pos_RF_BK_U!E$3,BaseCompleta!$C:$C,Pos_RF_BK_U!$B39)</f>
        <v>0</v>
      </c>
      <c r="F39" s="76">
        <f>+SUMIFS(BaseCompleta!$F:$F,BaseCompleta!$B:$B,Pos_RF_BK_U!F$3,BaseCompleta!$C:$C,Pos_RF_BK_U!$B39)</f>
        <v>0</v>
      </c>
      <c r="G39" s="76">
        <f>+SUMIFS(BaseCompleta!$F:$F,BaseCompleta!$B:$B,Pos_RF_BK_U!G$3,BaseCompleta!$C:$C,Pos_RF_BK_U!$B39)</f>
        <v>0</v>
      </c>
      <c r="H39" s="76">
        <f>+SUMIFS(BaseCompleta!$F:$F,BaseCompleta!$B:$B,Pos_RF_BK_U!H$3,BaseCompleta!$C:$C,Pos_RF_BK_U!$B39)</f>
        <v>0</v>
      </c>
      <c r="I39" s="76">
        <f>+SUMIFS(BaseCompleta!$F:$F,BaseCompleta!$B:$B,Pos_RF_BK_U!I$3,BaseCompleta!$C:$C,Pos_RF_BK_U!$B39)</f>
        <v>0</v>
      </c>
      <c r="J39" s="76">
        <f>+SUMIFS(BaseCompleta!$F:$F,BaseCompleta!$B:$B,Pos_RF_BK_U!J$3,BaseCompleta!$C:$C,Pos_RF_BK_U!$B39)</f>
        <v>0</v>
      </c>
      <c r="K39" s="76"/>
      <c r="L39" s="77"/>
      <c r="M39" s="4" t="str">
        <f t="shared" si="1"/>
        <v>ok</v>
      </c>
      <c r="N39" s="74"/>
      <c r="O39" s="149"/>
      <c r="P39" s="149"/>
      <c r="Q39" s="149"/>
      <c r="R39" s="149"/>
      <c r="S39" s="149"/>
    </row>
    <row r="40" spans="1:20">
      <c r="A40" s="127" t="s">
        <v>361</v>
      </c>
      <c r="B40" s="128" t="s">
        <v>208</v>
      </c>
      <c r="C40" s="129">
        <f>+SUMIFS(BaseCompleta!$F:$F,BaseCompleta!$C:$C,Pos_RF_BK_U!$B40)</f>
        <v>167000</v>
      </c>
      <c r="D40" s="129">
        <f>+SUMIFS(BaseCompleta!$F:$F,BaseCompleta!$B:$B,Pos_RF_BK_U!D$3,BaseCompleta!$C:$C,Pos_RF_BK_U!$B40)</f>
        <v>0</v>
      </c>
      <c r="E40" s="129">
        <f>+SUMIFS(BaseCompleta!$F:$F,BaseCompleta!$B:$B,Pos_RF_BK_U!E$3,BaseCompleta!$C:$C,Pos_RF_BK_U!$B40)</f>
        <v>34500</v>
      </c>
      <c r="F40" s="129">
        <f>+SUMIFS(BaseCompleta!$F:$F,BaseCompleta!$B:$B,Pos_RF_BK_U!F$3,BaseCompleta!$C:$C,Pos_RF_BK_U!$B40)</f>
        <v>112000</v>
      </c>
      <c r="G40" s="129">
        <f>+SUMIFS(BaseCompleta!$F:$F,BaseCompleta!$B:$B,Pos_RF_BK_U!G$3,BaseCompleta!$C:$C,Pos_RF_BK_U!$B40)</f>
        <v>14000</v>
      </c>
      <c r="H40" s="129">
        <f>+SUMIFS(BaseCompleta!$F:$F,BaseCompleta!$B:$B,Pos_RF_BK_U!H$3,BaseCompleta!$C:$C,Pos_RF_BK_U!$B40)</f>
        <v>6500</v>
      </c>
      <c r="I40" s="129">
        <f>+SUMIFS(BaseCompleta!$F:$F,BaseCompleta!$B:$B,Pos_RF_BK_U!I$3,BaseCompleta!$C:$C,Pos_RF_BK_U!$B40)</f>
        <v>0</v>
      </c>
      <c r="J40" s="129">
        <f>+SUMIFS(BaseCompleta!$F:$F,BaseCompleta!$B:$B,Pos_RF_BK_U!J$3,BaseCompleta!$C:$C,Pos_RF_BK_U!$B40)</f>
        <v>0</v>
      </c>
      <c r="K40" s="129"/>
      <c r="L40" s="130"/>
      <c r="M40" s="4" t="str">
        <f t="shared" si="1"/>
        <v>ok</v>
      </c>
      <c r="N40" s="74"/>
      <c r="O40" s="149"/>
      <c r="P40" s="149"/>
      <c r="Q40" s="149"/>
      <c r="R40" s="149"/>
      <c r="S40" s="149"/>
    </row>
    <row r="41" spans="1:20">
      <c r="A41" s="75" t="s">
        <v>261</v>
      </c>
      <c r="B41" s="71" t="s">
        <v>209</v>
      </c>
      <c r="C41" s="76">
        <f>+SUMIFS(BaseCompleta!$F:$F,BaseCompleta!$C:$C,Pos_RF_BK_U!$B41)</f>
        <v>0</v>
      </c>
      <c r="D41" s="76">
        <f>+SUMIFS(BaseCompleta!$F:$F,BaseCompleta!$B:$B,Pos_RF_BK_U!D$3,BaseCompleta!$C:$C,Pos_RF_BK_U!$B41)</f>
        <v>0</v>
      </c>
      <c r="E41" s="76">
        <f>+SUMIFS(BaseCompleta!$F:$F,BaseCompleta!$B:$B,Pos_RF_BK_U!E$3,BaseCompleta!$C:$C,Pos_RF_BK_U!$B41)</f>
        <v>0</v>
      </c>
      <c r="F41" s="76">
        <f>+SUMIFS(BaseCompleta!$F:$F,BaseCompleta!$B:$B,Pos_RF_BK_U!F$3,BaseCompleta!$C:$C,Pos_RF_BK_U!$B41)</f>
        <v>0</v>
      </c>
      <c r="G41" s="76">
        <f>+SUMIFS(BaseCompleta!$F:$F,BaseCompleta!$B:$B,Pos_RF_BK_U!G$3,BaseCompleta!$C:$C,Pos_RF_BK_U!$B41)</f>
        <v>0</v>
      </c>
      <c r="H41" s="76">
        <f>+SUMIFS(BaseCompleta!$F:$F,BaseCompleta!$B:$B,Pos_RF_BK_U!H$3,BaseCompleta!$C:$C,Pos_RF_BK_U!$B41)</f>
        <v>0</v>
      </c>
      <c r="I41" s="76">
        <f>+SUMIFS(BaseCompleta!$F:$F,BaseCompleta!$B:$B,Pos_RF_BK_U!I$3,BaseCompleta!$C:$C,Pos_RF_BK_U!$B41)</f>
        <v>0</v>
      </c>
      <c r="J41" s="76">
        <f>+SUMIFS(BaseCompleta!$F:$F,BaseCompleta!$B:$B,Pos_RF_BK_U!J$3,BaseCompleta!$C:$C,Pos_RF_BK_U!$B41)</f>
        <v>0</v>
      </c>
      <c r="K41" s="76"/>
      <c r="L41" s="77"/>
      <c r="M41" s="4" t="str">
        <f t="shared" si="1"/>
        <v>ok</v>
      </c>
      <c r="N41" s="74"/>
      <c r="O41" s="149"/>
      <c r="P41" s="149"/>
      <c r="Q41" s="149"/>
      <c r="R41" s="149"/>
      <c r="S41" s="149"/>
    </row>
    <row r="42" spans="1:20">
      <c r="A42" s="75" t="s">
        <v>261</v>
      </c>
      <c r="B42" s="71" t="s">
        <v>210</v>
      </c>
      <c r="C42" s="76">
        <f>+SUMIFS(BaseCompleta!$F:$F,BaseCompleta!$C:$C,Pos_RF_BK_U!$B42)</f>
        <v>0</v>
      </c>
      <c r="D42" s="76">
        <f>+SUMIFS(BaseCompleta!$F:$F,BaseCompleta!$B:$B,Pos_RF_BK_U!D$3,BaseCompleta!$C:$C,Pos_RF_BK_U!$B42)</f>
        <v>0</v>
      </c>
      <c r="E42" s="76">
        <f>+SUMIFS(BaseCompleta!$F:$F,BaseCompleta!$B:$B,Pos_RF_BK_U!E$3,BaseCompleta!$C:$C,Pos_RF_BK_U!$B42)</f>
        <v>0</v>
      </c>
      <c r="F42" s="76">
        <f>+SUMIFS(BaseCompleta!$F:$F,BaseCompleta!$B:$B,Pos_RF_BK_U!F$3,BaseCompleta!$C:$C,Pos_RF_BK_U!$B42)</f>
        <v>0</v>
      </c>
      <c r="G42" s="76">
        <f>+SUMIFS(BaseCompleta!$F:$F,BaseCompleta!$B:$B,Pos_RF_BK_U!G$3,BaseCompleta!$C:$C,Pos_RF_BK_U!$B42)</f>
        <v>0</v>
      </c>
      <c r="H42" s="76">
        <f>+SUMIFS(BaseCompleta!$F:$F,BaseCompleta!$B:$B,Pos_RF_BK_U!H$3,BaseCompleta!$C:$C,Pos_RF_BK_U!$B42)</f>
        <v>0</v>
      </c>
      <c r="I42" s="76">
        <f>+SUMIFS(BaseCompleta!$F:$F,BaseCompleta!$B:$B,Pos_RF_BK_U!I$3,BaseCompleta!$C:$C,Pos_RF_BK_U!$B42)</f>
        <v>0</v>
      </c>
      <c r="J42" s="76">
        <f>+SUMIFS(BaseCompleta!$F:$F,BaseCompleta!$B:$B,Pos_RF_BK_U!J$3,BaseCompleta!$C:$C,Pos_RF_BK_U!$B42)</f>
        <v>0</v>
      </c>
      <c r="K42" s="76"/>
      <c r="L42" s="77"/>
      <c r="M42" s="4" t="str">
        <f t="shared" si="1"/>
        <v>ok</v>
      </c>
      <c r="N42" s="74"/>
      <c r="O42" s="149"/>
      <c r="P42" s="149"/>
      <c r="Q42" s="149"/>
      <c r="R42" s="149"/>
      <c r="S42" s="149"/>
    </row>
    <row r="43" spans="1:20">
      <c r="A43" s="75" t="s">
        <v>261</v>
      </c>
      <c r="B43" s="71" t="s">
        <v>211</v>
      </c>
      <c r="C43" s="76">
        <f>+SUMIFS(BaseCompleta!$F:$F,BaseCompleta!$C:$C,Pos_RF_BK_U!$B43)</f>
        <v>0</v>
      </c>
      <c r="D43" s="76">
        <f>+SUMIFS(BaseCompleta!$F:$F,BaseCompleta!$B:$B,Pos_RF_BK_U!D$3,BaseCompleta!$C:$C,Pos_RF_BK_U!$B43)</f>
        <v>0</v>
      </c>
      <c r="E43" s="76">
        <f>+SUMIFS(BaseCompleta!$F:$F,BaseCompleta!$B:$B,Pos_RF_BK_U!E$3,BaseCompleta!$C:$C,Pos_RF_BK_U!$B43)</f>
        <v>0</v>
      </c>
      <c r="F43" s="76">
        <f>+SUMIFS(BaseCompleta!$F:$F,BaseCompleta!$B:$B,Pos_RF_BK_U!F$3,BaseCompleta!$C:$C,Pos_RF_BK_U!$B43)</f>
        <v>0</v>
      </c>
      <c r="G43" s="76">
        <f>+SUMIFS(BaseCompleta!$F:$F,BaseCompleta!$B:$B,Pos_RF_BK_U!G$3,BaseCompleta!$C:$C,Pos_RF_BK_U!$B43)</f>
        <v>0</v>
      </c>
      <c r="H43" s="76">
        <f>+SUMIFS(BaseCompleta!$F:$F,BaseCompleta!$B:$B,Pos_RF_BK_U!H$3,BaseCompleta!$C:$C,Pos_RF_BK_U!$B43)</f>
        <v>0</v>
      </c>
      <c r="I43" s="76">
        <f>+SUMIFS(BaseCompleta!$F:$F,BaseCompleta!$B:$B,Pos_RF_BK_U!I$3,BaseCompleta!$C:$C,Pos_RF_BK_U!$B43)</f>
        <v>0</v>
      </c>
      <c r="J43" s="76">
        <f>+SUMIFS(BaseCompleta!$F:$F,BaseCompleta!$B:$B,Pos_RF_BK_U!J$3,BaseCompleta!$C:$C,Pos_RF_BK_U!$B43)</f>
        <v>0</v>
      </c>
      <c r="K43" s="76"/>
      <c r="L43" s="77"/>
      <c r="M43" s="4" t="str">
        <f t="shared" si="1"/>
        <v>ok</v>
      </c>
      <c r="N43" s="74"/>
      <c r="O43" s="149"/>
      <c r="P43" s="149"/>
      <c r="Q43" s="149"/>
      <c r="R43" s="149"/>
      <c r="S43" s="149"/>
    </row>
    <row r="44" spans="1:20">
      <c r="A44" s="75" t="s">
        <v>266</v>
      </c>
      <c r="B44" s="71" t="s">
        <v>212</v>
      </c>
      <c r="C44" s="76">
        <f>+SUMIFS(BaseCompleta!$F:$F,BaseCompleta!$C:$C,Pos_RF_BK_U!$B44)</f>
        <v>0</v>
      </c>
      <c r="D44" s="76">
        <f>+SUMIFS(BaseCompleta!$F:$F,BaseCompleta!$B:$B,Pos_RF_BK_U!D$3,BaseCompleta!$C:$C,Pos_RF_BK_U!$B44)</f>
        <v>0</v>
      </c>
      <c r="E44" s="76">
        <f>+SUMIFS(BaseCompleta!$F:$F,BaseCompleta!$B:$B,Pos_RF_BK_U!E$3,BaseCompleta!$C:$C,Pos_RF_BK_U!$B44)</f>
        <v>0</v>
      </c>
      <c r="F44" s="76">
        <f>+SUMIFS(BaseCompleta!$F:$F,BaseCompleta!$B:$B,Pos_RF_BK_U!F$3,BaseCompleta!$C:$C,Pos_RF_BK_U!$B44)</f>
        <v>0</v>
      </c>
      <c r="G44" s="76">
        <f>+SUMIFS(BaseCompleta!$F:$F,BaseCompleta!$B:$B,Pos_RF_BK_U!G$3,BaseCompleta!$C:$C,Pos_RF_BK_U!$B44)</f>
        <v>0</v>
      </c>
      <c r="H44" s="76">
        <f>+SUMIFS(BaseCompleta!$F:$F,BaseCompleta!$B:$B,Pos_RF_BK_U!H$3,BaseCompleta!$C:$C,Pos_RF_BK_U!$B44)</f>
        <v>0</v>
      </c>
      <c r="I44" s="76">
        <f>+SUMIFS(BaseCompleta!$F:$F,BaseCompleta!$B:$B,Pos_RF_BK_U!I$3,BaseCompleta!$C:$C,Pos_RF_BK_U!$B44)</f>
        <v>0</v>
      </c>
      <c r="J44" s="76">
        <f>+SUMIFS(BaseCompleta!$F:$F,BaseCompleta!$B:$B,Pos_RF_BK_U!J$3,BaseCompleta!$C:$C,Pos_RF_BK_U!$B44)</f>
        <v>0</v>
      </c>
      <c r="K44" s="76"/>
      <c r="L44" s="77"/>
      <c r="M44" s="4" t="str">
        <f t="shared" si="1"/>
        <v>ok</v>
      </c>
      <c r="N44" s="74"/>
      <c r="O44" s="149"/>
      <c r="P44" s="149"/>
      <c r="Q44" s="149"/>
      <c r="R44" s="149"/>
      <c r="S44" s="149"/>
    </row>
    <row r="45" spans="1:20">
      <c r="A45" s="75" t="s">
        <v>266</v>
      </c>
      <c r="B45" s="71" t="s">
        <v>213</v>
      </c>
      <c r="C45" s="76">
        <f>+SUMIFS(BaseCompleta!$F:$F,BaseCompleta!$C:$C,Pos_RF_BK_U!$B45)</f>
        <v>0</v>
      </c>
      <c r="D45" s="76">
        <f>+SUMIFS(BaseCompleta!$F:$F,BaseCompleta!$B:$B,Pos_RF_BK_U!D$3,BaseCompleta!$C:$C,Pos_RF_BK_U!$B45)</f>
        <v>0</v>
      </c>
      <c r="E45" s="76">
        <f>+SUMIFS(BaseCompleta!$F:$F,BaseCompleta!$B:$B,Pos_RF_BK_U!E$3,BaseCompleta!$C:$C,Pos_RF_BK_U!$B45)</f>
        <v>0</v>
      </c>
      <c r="F45" s="76">
        <f>+SUMIFS(BaseCompleta!$F:$F,BaseCompleta!$B:$B,Pos_RF_BK_U!F$3,BaseCompleta!$C:$C,Pos_RF_BK_U!$B45)</f>
        <v>0</v>
      </c>
      <c r="G45" s="76">
        <f>+SUMIFS(BaseCompleta!$F:$F,BaseCompleta!$B:$B,Pos_RF_BK_U!G$3,BaseCompleta!$C:$C,Pos_RF_BK_U!$B45)</f>
        <v>0</v>
      </c>
      <c r="H45" s="76">
        <f>+SUMIFS(BaseCompleta!$F:$F,BaseCompleta!$B:$B,Pos_RF_BK_U!H$3,BaseCompleta!$C:$C,Pos_RF_BK_U!$B45)</f>
        <v>0</v>
      </c>
      <c r="I45" s="76">
        <f>+SUMIFS(BaseCompleta!$F:$F,BaseCompleta!$B:$B,Pos_RF_BK_U!I$3,BaseCompleta!$C:$C,Pos_RF_BK_U!$B45)</f>
        <v>0</v>
      </c>
      <c r="J45" s="76">
        <f>+SUMIFS(BaseCompleta!$F:$F,BaseCompleta!$B:$B,Pos_RF_BK_U!J$3,BaseCompleta!$C:$C,Pos_RF_BK_U!$B45)</f>
        <v>0</v>
      </c>
      <c r="K45" s="76"/>
      <c r="L45" s="77"/>
      <c r="M45" s="4" t="str">
        <f t="shared" si="1"/>
        <v>ok</v>
      </c>
      <c r="N45" s="74"/>
      <c r="O45" s="149"/>
      <c r="P45" s="149"/>
      <c r="Q45" s="149"/>
      <c r="R45" s="149"/>
      <c r="S45" s="149"/>
    </row>
    <row r="46" spans="1:20">
      <c r="A46" s="127" t="s">
        <v>266</v>
      </c>
      <c r="B46" s="128" t="s">
        <v>214</v>
      </c>
      <c r="C46" s="129">
        <f>+SUMIFS(BaseCompleta!$F:$F,BaseCompleta!$C:$C,Pos_RF_BK_U!$B46)</f>
        <v>63000</v>
      </c>
      <c r="D46" s="129">
        <f>+SUMIFS(BaseCompleta!$F:$F,BaseCompleta!$B:$B,Pos_RF_BK_U!D$3,BaseCompleta!$C:$C,Pos_RF_BK_U!$B46)</f>
        <v>0</v>
      </c>
      <c r="E46" s="129">
        <f>+SUMIFS(BaseCompleta!$F:$F,BaseCompleta!$B:$B,Pos_RF_BK_U!E$3,BaseCompleta!$C:$C,Pos_RF_BK_U!$B46)</f>
        <v>0</v>
      </c>
      <c r="F46" s="129">
        <f>+SUMIFS(BaseCompleta!$F:$F,BaseCompleta!$B:$B,Pos_RF_BK_U!F$3,BaseCompleta!$C:$C,Pos_RF_BK_U!$B46)</f>
        <v>63000</v>
      </c>
      <c r="G46" s="129">
        <f>+SUMIFS(BaseCompleta!$F:$F,BaseCompleta!$B:$B,Pos_RF_BK_U!G$3,BaseCompleta!$C:$C,Pos_RF_BK_U!$B46)</f>
        <v>0</v>
      </c>
      <c r="H46" s="129">
        <f>+SUMIFS(BaseCompleta!$F:$F,BaseCompleta!$B:$B,Pos_RF_BK_U!H$3,BaseCompleta!$C:$C,Pos_RF_BK_U!$B46)</f>
        <v>0</v>
      </c>
      <c r="I46" s="129">
        <f>+SUMIFS(BaseCompleta!$F:$F,BaseCompleta!$B:$B,Pos_RF_BK_U!I$3,BaseCompleta!$C:$C,Pos_RF_BK_U!$B46)</f>
        <v>0</v>
      </c>
      <c r="J46" s="129">
        <f>+SUMIFS(BaseCompleta!$F:$F,BaseCompleta!$B:$B,Pos_RF_BK_U!J$3,BaseCompleta!$C:$C,Pos_RF_BK_U!$B46)</f>
        <v>0</v>
      </c>
      <c r="K46" s="129"/>
      <c r="L46" s="130"/>
      <c r="M46" s="4" t="str">
        <f t="shared" si="1"/>
        <v>ok</v>
      </c>
      <c r="N46" s="74"/>
      <c r="O46" s="149"/>
      <c r="P46" s="149"/>
      <c r="Q46" s="149"/>
      <c r="R46" s="149"/>
      <c r="S46" s="149"/>
    </row>
    <row r="47" spans="1:20">
      <c r="A47" s="75"/>
      <c r="B47" s="71"/>
      <c r="C47" s="76">
        <f>+SUMIFS(BaseCompleta!$F:$F,BaseCompleta!$C:$C,Pos_RF_BK_U!$B47)</f>
        <v>0</v>
      </c>
      <c r="D47" s="76">
        <f>+SUMIFS(BaseCompleta!$F:$F,BaseCompleta!$B:$B,Pos_RF_BK_U!D$3,BaseCompleta!$C:$C,Pos_RF_BK_U!$B47)</f>
        <v>0</v>
      </c>
      <c r="E47" s="76">
        <f>+SUMIFS(BaseCompleta!$F:$F,BaseCompleta!$B:$B,Pos_RF_BK_U!E$3,BaseCompleta!$C:$C,Pos_RF_BK_U!$B47)</f>
        <v>0</v>
      </c>
      <c r="F47" s="76">
        <f>+SUMIFS(BaseCompleta!$F:$F,BaseCompleta!$B:$B,Pos_RF_BK_U!F$3,BaseCompleta!$C:$C,Pos_RF_BK_U!$B47)</f>
        <v>0</v>
      </c>
      <c r="G47" s="76">
        <f>+SUMIFS(BaseCompleta!$F:$F,BaseCompleta!$B:$B,Pos_RF_BK_U!G$3,BaseCompleta!$C:$C,Pos_RF_BK_U!$B47)</f>
        <v>0</v>
      </c>
      <c r="H47" s="76">
        <f>+SUMIFS(BaseCompleta!$F:$F,BaseCompleta!$B:$B,Pos_RF_BK_U!H$3,BaseCompleta!$C:$C,Pos_RF_BK_U!$B47)</f>
        <v>0</v>
      </c>
      <c r="I47" s="76">
        <f>+SUMIFS(BaseCompleta!$F:$F,BaseCompleta!$B:$B,Pos_RF_BK_U!I$3,BaseCompleta!$C:$C,Pos_RF_BK_U!$B47)</f>
        <v>0</v>
      </c>
      <c r="J47" s="76">
        <f>+SUMIFS(BaseCompleta!$F:$F,BaseCompleta!$B:$B,Pos_RF_BK_U!J$3,BaseCompleta!$C:$C,Pos_RF_BK_U!$B47)</f>
        <v>0</v>
      </c>
      <c r="K47" s="76"/>
      <c r="L47" s="77"/>
      <c r="M47" s="4" t="str">
        <f t="shared" si="1"/>
        <v>ok</v>
      </c>
      <c r="N47" s="74"/>
      <c r="O47" s="149"/>
      <c r="P47" s="149"/>
      <c r="Q47" s="149"/>
      <c r="R47" s="149"/>
      <c r="S47" s="149"/>
    </row>
    <row r="48" spans="1:20" ht="15.75" thickBot="1">
      <c r="A48" s="75"/>
      <c r="B48" s="71"/>
      <c r="C48" s="78">
        <f>+SUMIFS(BaseCompleta!$F:$F,BaseCompleta!$C:$C,Pos_RF_BK_U!$B48)</f>
        <v>0</v>
      </c>
      <c r="D48" s="78">
        <f>+SUMIFS(BaseCompleta!$F:$F,BaseCompleta!$B:$B,Pos_RF_BK_U!D$3,BaseCompleta!$C:$C,Pos_RF_BK_U!$B48)</f>
        <v>0</v>
      </c>
      <c r="E48" s="78">
        <f>+SUMIFS(BaseCompleta!$F:$F,BaseCompleta!$B:$B,Pos_RF_BK_U!E$3,BaseCompleta!$C:$C,Pos_RF_BK_U!$B48)</f>
        <v>0</v>
      </c>
      <c r="F48" s="78">
        <f>+SUMIFS(BaseCompleta!$F:$F,BaseCompleta!$B:$B,Pos_RF_BK_U!F$3,BaseCompleta!$C:$C,Pos_RF_BK_U!$B48)</f>
        <v>0</v>
      </c>
      <c r="G48" s="78">
        <f>+SUMIFS(BaseCompleta!$F:$F,BaseCompleta!$B:$B,Pos_RF_BK_U!G$3,BaseCompleta!$C:$C,Pos_RF_BK_U!$B48)</f>
        <v>0</v>
      </c>
      <c r="H48" s="78">
        <f>+SUMIFS(BaseCompleta!$F:$F,BaseCompleta!$B:$B,Pos_RF_BK_U!H$3,BaseCompleta!$C:$C,Pos_RF_BK_U!$B48)</f>
        <v>0</v>
      </c>
      <c r="I48" s="78">
        <f>+SUMIFS(BaseCompleta!$F:$F,BaseCompleta!$B:$B,Pos_RF_BK_U!I$3,BaseCompleta!$C:$C,Pos_RF_BK_U!$B48)</f>
        <v>0</v>
      </c>
      <c r="J48" s="78">
        <f>+SUMIFS(BaseCompleta!$F:$F,BaseCompleta!$B:$B,Pos_RF_BK_U!J$3,BaseCompleta!$C:$C,Pos_RF_BK_U!$B48)</f>
        <v>0</v>
      </c>
      <c r="K48" s="78"/>
      <c r="L48" s="79"/>
      <c r="M48" s="4"/>
      <c r="N48" s="74"/>
      <c r="O48" s="149"/>
      <c r="P48" s="149"/>
      <c r="Q48" s="149"/>
      <c r="R48" s="149"/>
      <c r="S48" s="149"/>
    </row>
    <row r="49" spans="1:20" ht="15.75" thickBot="1">
      <c r="A49" s="80" t="s">
        <v>104</v>
      </c>
      <c r="B49" s="81"/>
      <c r="C49" s="82"/>
      <c r="D49" s="82"/>
      <c r="E49" s="82"/>
      <c r="F49" s="82"/>
      <c r="G49" s="82"/>
      <c r="H49" s="82"/>
      <c r="I49" s="82"/>
      <c r="J49" s="82"/>
      <c r="K49" s="82"/>
      <c r="L49" s="83"/>
      <c r="M49" s="4"/>
      <c r="N49" s="74"/>
      <c r="O49" s="149"/>
      <c r="P49" s="149"/>
      <c r="Q49" s="149"/>
      <c r="R49" s="149"/>
      <c r="S49" s="149"/>
    </row>
    <row r="50" spans="1:20">
      <c r="A50" s="70" t="s">
        <v>261</v>
      </c>
      <c r="B50" s="84" t="s">
        <v>215</v>
      </c>
      <c r="C50" s="87">
        <f>+SUMIFS(BaseCompleta!$F:$F,BaseCompleta!$C:$C,Pos_RF_BK_U!$B50)</f>
        <v>0</v>
      </c>
      <c r="D50" s="87">
        <f>+SUMIFS(BaseCompleta!$F:$F,BaseCompleta!$B:$B,Pos_RF_BK_U!D$3,BaseCompleta!$C:$C,Pos_RF_BK_U!$B50)</f>
        <v>0</v>
      </c>
      <c r="E50" s="87">
        <f>+SUMIFS(BaseCompleta!$F:$F,BaseCompleta!$B:$B,Pos_RF_BK_U!E$3,BaseCompleta!$C:$C,Pos_RF_BK_U!$B50)</f>
        <v>0</v>
      </c>
      <c r="F50" s="87">
        <f>+SUMIFS(BaseCompleta!$F:$F,BaseCompleta!$B:$B,Pos_RF_BK_U!F$3,BaseCompleta!$C:$C,Pos_RF_BK_U!$B50)</f>
        <v>0</v>
      </c>
      <c r="G50" s="87">
        <f>+SUMIFS(BaseCompleta!$F:$F,BaseCompleta!$B:$B,Pos_RF_BK_U!G$3,BaseCompleta!$C:$C,Pos_RF_BK_U!$B50)</f>
        <v>0</v>
      </c>
      <c r="H50" s="87">
        <f>+SUMIFS(BaseCompleta!$F:$F,BaseCompleta!$B:$B,Pos_RF_BK_U!H$3,BaseCompleta!$C:$C,Pos_RF_BK_U!$B50)</f>
        <v>0</v>
      </c>
      <c r="I50" s="87">
        <f>+SUMIFS(BaseCompleta!$F:$F,BaseCompleta!$B:$B,Pos_RF_BK_U!I$3,BaseCompleta!$C:$C,Pos_RF_BK_U!$B50)</f>
        <v>0</v>
      </c>
      <c r="J50" s="87">
        <f>+SUMIFS(BaseCompleta!$F:$F,BaseCompleta!$B:$B,Pos_RF_BK_U!J$3,BaseCompleta!$C:$C,Pos_RF_BK_U!$B50)</f>
        <v>0</v>
      </c>
      <c r="K50" s="85"/>
      <c r="L50" s="86"/>
      <c r="M50" s="4" t="str">
        <f>+IF(SUM(D50:L50)=C50,"ok","rev")</f>
        <v>ok</v>
      </c>
      <c r="N50" s="74"/>
      <c r="O50" s="149"/>
      <c r="P50" s="149"/>
      <c r="Q50" s="149"/>
      <c r="R50" s="149"/>
      <c r="S50" s="149"/>
    </row>
    <row r="51" spans="1:20">
      <c r="A51" s="75" t="s">
        <v>261</v>
      </c>
      <c r="B51" s="71" t="s">
        <v>216</v>
      </c>
      <c r="C51" s="87">
        <f>+SUMIFS(BaseCompleta!$F:$F,BaseCompleta!$C:$C,Pos_RF_BK_U!$B51)</f>
        <v>0</v>
      </c>
      <c r="D51" s="87">
        <f>+SUMIFS(BaseCompleta!$F:$F,BaseCompleta!$B:$B,Pos_RF_BK_U!D$3,BaseCompleta!$C:$C,Pos_RF_BK_U!$B51)</f>
        <v>0</v>
      </c>
      <c r="E51" s="87">
        <f>+SUMIFS(BaseCompleta!$F:$F,BaseCompleta!$B:$B,Pos_RF_BK_U!E$3,BaseCompleta!$C:$C,Pos_RF_BK_U!$B51)</f>
        <v>0</v>
      </c>
      <c r="F51" s="87">
        <f>+SUMIFS(BaseCompleta!$F:$F,BaseCompleta!$B:$B,Pos_RF_BK_U!F$3,BaseCompleta!$C:$C,Pos_RF_BK_U!$B51)</f>
        <v>0</v>
      </c>
      <c r="G51" s="87">
        <f>+SUMIFS(BaseCompleta!$F:$F,BaseCompleta!$B:$B,Pos_RF_BK_U!G$3,BaseCompleta!$C:$C,Pos_RF_BK_U!$B51)</f>
        <v>0</v>
      </c>
      <c r="H51" s="87">
        <f>+SUMIFS(BaseCompleta!$F:$F,BaseCompleta!$B:$B,Pos_RF_BK_U!H$3,BaseCompleta!$C:$C,Pos_RF_BK_U!$B51)</f>
        <v>0</v>
      </c>
      <c r="I51" s="87">
        <f>+SUMIFS(BaseCompleta!$F:$F,BaseCompleta!$B:$B,Pos_RF_BK_U!I$3,BaseCompleta!$C:$C,Pos_RF_BK_U!$B51)</f>
        <v>0</v>
      </c>
      <c r="J51" s="87">
        <f>+SUMIFS(BaseCompleta!$F:$F,BaseCompleta!$B:$B,Pos_RF_BK_U!J$3,BaseCompleta!$C:$C,Pos_RF_BK_U!$B51)</f>
        <v>0</v>
      </c>
      <c r="K51" s="87"/>
      <c r="L51" s="88"/>
      <c r="M51" s="4" t="str">
        <f t="shared" ref="M51:M63" si="2">+IF(SUM(D51:L51)=C51,"ok","rev")</f>
        <v>ok</v>
      </c>
      <c r="N51" s="74"/>
      <c r="O51" s="149"/>
      <c r="P51" s="149"/>
      <c r="Q51" s="149"/>
      <c r="R51" s="149"/>
      <c r="S51" s="149"/>
    </row>
    <row r="52" spans="1:20">
      <c r="A52" s="75" t="s">
        <v>261</v>
      </c>
      <c r="B52" s="71" t="s">
        <v>217</v>
      </c>
      <c r="C52" s="87">
        <f>+SUMIFS(BaseCompleta!$F:$F,BaseCompleta!$C:$C,Pos_RF_BK_U!$B52)</f>
        <v>0</v>
      </c>
      <c r="D52" s="87">
        <f>+SUMIFS(BaseCompleta!$F:$F,BaseCompleta!$B:$B,Pos_RF_BK_U!D$3,BaseCompleta!$C:$C,Pos_RF_BK_U!$B52)</f>
        <v>0</v>
      </c>
      <c r="E52" s="87">
        <f>+SUMIFS(BaseCompleta!$F:$F,BaseCompleta!$B:$B,Pos_RF_BK_U!E$3,BaseCompleta!$C:$C,Pos_RF_BK_U!$B52)</f>
        <v>0</v>
      </c>
      <c r="F52" s="87">
        <f>+SUMIFS(BaseCompleta!$F:$F,BaseCompleta!$B:$B,Pos_RF_BK_U!F$3,BaseCompleta!$C:$C,Pos_RF_BK_U!$B52)</f>
        <v>0</v>
      </c>
      <c r="G52" s="87">
        <f>+SUMIFS(BaseCompleta!$F:$F,BaseCompleta!$B:$B,Pos_RF_BK_U!G$3,BaseCompleta!$C:$C,Pos_RF_BK_U!$B52)</f>
        <v>0</v>
      </c>
      <c r="H52" s="87">
        <f>+SUMIFS(BaseCompleta!$F:$F,BaseCompleta!$B:$B,Pos_RF_BK_U!H$3,BaseCompleta!$C:$C,Pos_RF_BK_U!$B52)</f>
        <v>0</v>
      </c>
      <c r="I52" s="87">
        <f>+SUMIFS(BaseCompleta!$F:$F,BaseCompleta!$B:$B,Pos_RF_BK_U!I$3,BaseCompleta!$C:$C,Pos_RF_BK_U!$B52)</f>
        <v>0</v>
      </c>
      <c r="J52" s="87">
        <f>+SUMIFS(BaseCompleta!$F:$F,BaseCompleta!$B:$B,Pos_RF_BK_U!J$3,BaseCompleta!$C:$C,Pos_RF_BK_U!$B52)</f>
        <v>0</v>
      </c>
      <c r="K52" s="87"/>
      <c r="L52" s="88"/>
      <c r="M52" s="4" t="str">
        <f t="shared" si="2"/>
        <v>ok</v>
      </c>
      <c r="N52" s="74"/>
      <c r="O52" s="149"/>
      <c r="P52" s="149"/>
      <c r="Q52" s="149"/>
      <c r="R52" s="149"/>
      <c r="S52" s="149"/>
    </row>
    <row r="53" spans="1:20">
      <c r="A53" s="75" t="s">
        <v>261</v>
      </c>
      <c r="B53" s="71" t="s">
        <v>218</v>
      </c>
      <c r="C53" s="87">
        <f>+SUMIFS(BaseCompleta!$F:$F,BaseCompleta!$C:$C,Pos_RF_BK_U!$B53)</f>
        <v>0</v>
      </c>
      <c r="D53" s="87">
        <f>+SUMIFS(BaseCompleta!$F:$F,BaseCompleta!$B:$B,Pos_RF_BK_U!D$3,BaseCompleta!$C:$C,Pos_RF_BK_U!$B53)</f>
        <v>0</v>
      </c>
      <c r="E53" s="87">
        <f>+SUMIFS(BaseCompleta!$F:$F,BaseCompleta!$B:$B,Pos_RF_BK_U!E$3,BaseCompleta!$C:$C,Pos_RF_BK_U!$B53)</f>
        <v>0</v>
      </c>
      <c r="F53" s="87">
        <f>+SUMIFS(BaseCompleta!$F:$F,BaseCompleta!$B:$B,Pos_RF_BK_U!F$3,BaseCompleta!$C:$C,Pos_RF_BK_U!$B53)</f>
        <v>0</v>
      </c>
      <c r="G53" s="87">
        <f>+SUMIFS(BaseCompleta!$F:$F,BaseCompleta!$B:$B,Pos_RF_BK_U!G$3,BaseCompleta!$C:$C,Pos_RF_BK_U!$B53)</f>
        <v>0</v>
      </c>
      <c r="H53" s="87">
        <f>+SUMIFS(BaseCompleta!$F:$F,BaseCompleta!$B:$B,Pos_RF_BK_U!H$3,BaseCompleta!$C:$C,Pos_RF_BK_U!$B53)</f>
        <v>0</v>
      </c>
      <c r="I53" s="87">
        <f>+SUMIFS(BaseCompleta!$F:$F,BaseCompleta!$B:$B,Pos_RF_BK_U!I$3,BaseCompleta!$C:$C,Pos_RF_BK_U!$B53)</f>
        <v>0</v>
      </c>
      <c r="J53" s="87">
        <f>+SUMIFS(BaseCompleta!$F:$F,BaseCompleta!$B:$B,Pos_RF_BK_U!J$3,BaseCompleta!$C:$C,Pos_RF_BK_U!$B53)</f>
        <v>0</v>
      </c>
      <c r="K53" s="87"/>
      <c r="L53" s="88"/>
      <c r="M53" s="4" t="str">
        <f t="shared" si="2"/>
        <v>ok</v>
      </c>
      <c r="N53" s="74"/>
      <c r="O53" s="149"/>
      <c r="P53" s="149"/>
      <c r="Q53" s="149"/>
      <c r="R53" s="149"/>
      <c r="S53" s="149"/>
    </row>
    <row r="54" spans="1:20">
      <c r="A54" s="75" t="s">
        <v>261</v>
      </c>
      <c r="B54" s="71" t="s">
        <v>219</v>
      </c>
      <c r="C54" s="87">
        <f>+SUMIFS(BaseCompleta!$F:$F,BaseCompleta!$C:$C,Pos_RF_BK_U!$B54)</f>
        <v>0</v>
      </c>
      <c r="D54" s="87">
        <f>+SUMIFS(BaseCompleta!$F:$F,BaseCompleta!$B:$B,Pos_RF_BK_U!D$3,BaseCompleta!$C:$C,Pos_RF_BK_U!$B54)</f>
        <v>0</v>
      </c>
      <c r="E54" s="87">
        <f>+SUMIFS(BaseCompleta!$F:$F,BaseCompleta!$B:$B,Pos_RF_BK_U!E$3,BaseCompleta!$C:$C,Pos_RF_BK_U!$B54)</f>
        <v>0</v>
      </c>
      <c r="F54" s="87">
        <f>+SUMIFS(BaseCompleta!$F:$F,BaseCompleta!$B:$B,Pos_RF_BK_U!F$3,BaseCompleta!$C:$C,Pos_RF_BK_U!$B54)</f>
        <v>0</v>
      </c>
      <c r="G54" s="87">
        <f>+SUMIFS(BaseCompleta!$F:$F,BaseCompleta!$B:$B,Pos_RF_BK_U!G$3,BaseCompleta!$C:$C,Pos_RF_BK_U!$B54)</f>
        <v>0</v>
      </c>
      <c r="H54" s="87">
        <f>+SUMIFS(BaseCompleta!$F:$F,BaseCompleta!$B:$B,Pos_RF_BK_U!H$3,BaseCompleta!$C:$C,Pos_RF_BK_U!$B54)</f>
        <v>0</v>
      </c>
      <c r="I54" s="87">
        <f>+SUMIFS(BaseCompleta!$F:$F,BaseCompleta!$B:$B,Pos_RF_BK_U!I$3,BaseCompleta!$C:$C,Pos_RF_BK_U!$B54)</f>
        <v>0</v>
      </c>
      <c r="J54" s="87">
        <f>+SUMIFS(BaseCompleta!$F:$F,BaseCompleta!$B:$B,Pos_RF_BK_U!J$3,BaseCompleta!$C:$C,Pos_RF_BK_U!$B54)</f>
        <v>0</v>
      </c>
      <c r="K54" s="87"/>
      <c r="L54" s="88"/>
      <c r="M54" s="4" t="str">
        <f t="shared" si="2"/>
        <v>ok</v>
      </c>
      <c r="N54" s="74"/>
      <c r="O54" s="149"/>
      <c r="P54" s="149"/>
      <c r="Q54" s="149"/>
      <c r="R54" s="149"/>
      <c r="S54" s="149"/>
    </row>
    <row r="55" spans="1:20">
      <c r="A55" s="75" t="s">
        <v>133</v>
      </c>
      <c r="B55" s="71" t="s">
        <v>220</v>
      </c>
      <c r="C55" s="87">
        <f>+SUMIFS(BaseCompleta!$F:$F,BaseCompleta!$C:$C,Pos_RF_BK_U!$B55)</f>
        <v>0</v>
      </c>
      <c r="D55" s="87">
        <f>+SUMIFS(BaseCompleta!$F:$F,BaseCompleta!$B:$B,Pos_RF_BK_U!D$3,BaseCompleta!$C:$C,Pos_RF_BK_U!$B55)</f>
        <v>0</v>
      </c>
      <c r="E55" s="87">
        <f>+SUMIFS(BaseCompleta!$F:$F,BaseCompleta!$B:$B,Pos_RF_BK_U!E$3,BaseCompleta!$C:$C,Pos_RF_BK_U!$B55)</f>
        <v>0</v>
      </c>
      <c r="F55" s="87">
        <f>+SUMIFS(BaseCompleta!$F:$F,BaseCompleta!$B:$B,Pos_RF_BK_U!F$3,BaseCompleta!$C:$C,Pos_RF_BK_U!$B55)</f>
        <v>0</v>
      </c>
      <c r="G55" s="87">
        <f>+SUMIFS(BaseCompleta!$F:$F,BaseCompleta!$B:$B,Pos_RF_BK_U!G$3,BaseCompleta!$C:$C,Pos_RF_BK_U!$B55)</f>
        <v>0</v>
      </c>
      <c r="H55" s="87">
        <f>+SUMIFS(BaseCompleta!$F:$F,BaseCompleta!$B:$B,Pos_RF_BK_U!H$3,BaseCompleta!$C:$C,Pos_RF_BK_U!$B55)</f>
        <v>0</v>
      </c>
      <c r="I55" s="87">
        <f>+SUMIFS(BaseCompleta!$F:$F,BaseCompleta!$B:$B,Pos_RF_BK_U!I$3,BaseCompleta!$C:$C,Pos_RF_BK_U!$B55)</f>
        <v>0</v>
      </c>
      <c r="J55" s="87">
        <f>+SUMIFS(BaseCompleta!$F:$F,BaseCompleta!$B:$B,Pos_RF_BK_U!J$3,BaseCompleta!$C:$C,Pos_RF_BK_U!$B55)</f>
        <v>0</v>
      </c>
      <c r="K55" s="87"/>
      <c r="L55" s="88"/>
      <c r="M55" s="4" t="str">
        <f t="shared" si="2"/>
        <v>ok</v>
      </c>
      <c r="N55" s="74"/>
      <c r="O55" s="149"/>
      <c r="P55" s="149"/>
      <c r="Q55" s="149"/>
      <c r="R55" s="149"/>
      <c r="S55" s="149"/>
    </row>
    <row r="56" spans="1:20">
      <c r="A56" s="75" t="s">
        <v>133</v>
      </c>
      <c r="B56" s="71" t="s">
        <v>43</v>
      </c>
      <c r="C56" s="87">
        <f>+SUMIFS(BaseCompleta!$F:$F,BaseCompleta!$C:$C,Pos_RF_BK_U!$B56)</f>
        <v>0</v>
      </c>
      <c r="D56" s="87">
        <f>+SUMIFS(BaseCompleta!$F:$F,BaseCompleta!$B:$B,Pos_RF_BK_U!D$3,BaseCompleta!$C:$C,Pos_RF_BK_U!$B56)</f>
        <v>0</v>
      </c>
      <c r="E56" s="87">
        <f>+SUMIFS(BaseCompleta!$F:$F,BaseCompleta!$B:$B,Pos_RF_BK_U!E$3,BaseCompleta!$C:$C,Pos_RF_BK_U!$B56)</f>
        <v>0</v>
      </c>
      <c r="F56" s="87">
        <f>+SUMIFS(BaseCompleta!$F:$F,BaseCompleta!$B:$B,Pos_RF_BK_U!F$3,BaseCompleta!$C:$C,Pos_RF_BK_U!$B56)</f>
        <v>0</v>
      </c>
      <c r="G56" s="87">
        <f>+SUMIFS(BaseCompleta!$F:$F,BaseCompleta!$B:$B,Pos_RF_BK_U!G$3,BaseCompleta!$C:$C,Pos_RF_BK_U!$B56)</f>
        <v>0</v>
      </c>
      <c r="H56" s="87">
        <f>+SUMIFS(BaseCompleta!$F:$F,BaseCompleta!$B:$B,Pos_RF_BK_U!H$3,BaseCompleta!$C:$C,Pos_RF_BK_U!$B56)</f>
        <v>0</v>
      </c>
      <c r="I56" s="87">
        <f>+SUMIFS(BaseCompleta!$F:$F,BaseCompleta!$B:$B,Pos_RF_BK_U!I$3,BaseCompleta!$C:$C,Pos_RF_BK_U!$B56)</f>
        <v>0</v>
      </c>
      <c r="J56" s="87">
        <f>+SUMIFS(BaseCompleta!$F:$F,BaseCompleta!$B:$B,Pos_RF_BK_U!J$3,BaseCompleta!$C:$C,Pos_RF_BK_U!$B56)</f>
        <v>0</v>
      </c>
      <c r="K56" s="87"/>
      <c r="L56" s="88"/>
      <c r="M56" s="4" t="str">
        <f t="shared" si="2"/>
        <v>ok</v>
      </c>
      <c r="N56" s="74"/>
      <c r="O56" s="149"/>
      <c r="P56" s="149"/>
      <c r="Q56" s="149"/>
      <c r="R56" s="149"/>
      <c r="S56" s="149"/>
    </row>
    <row r="57" spans="1:20">
      <c r="A57" s="75" t="s">
        <v>133</v>
      </c>
      <c r="B57" s="71" t="s">
        <v>221</v>
      </c>
      <c r="C57" s="87">
        <f>+SUMIFS(BaseCompleta!$F:$F,BaseCompleta!$C:$C,Pos_RF_BK_U!$B57)</f>
        <v>0</v>
      </c>
      <c r="D57" s="87">
        <f>+SUMIFS(BaseCompleta!$F:$F,BaseCompleta!$B:$B,Pos_RF_BK_U!D$3,BaseCompleta!$C:$C,Pos_RF_BK_U!$B57)</f>
        <v>0</v>
      </c>
      <c r="E57" s="87">
        <f>+SUMIFS(BaseCompleta!$F:$F,BaseCompleta!$B:$B,Pos_RF_BK_U!E$3,BaseCompleta!$C:$C,Pos_RF_BK_U!$B57)</f>
        <v>0</v>
      </c>
      <c r="F57" s="87">
        <f>+SUMIFS(BaseCompleta!$F:$F,BaseCompleta!$B:$B,Pos_RF_BK_U!F$3,BaseCompleta!$C:$C,Pos_RF_BK_U!$B57)</f>
        <v>0</v>
      </c>
      <c r="G57" s="87">
        <f>+SUMIFS(BaseCompleta!$F:$F,BaseCompleta!$B:$B,Pos_RF_BK_U!G$3,BaseCompleta!$C:$C,Pos_RF_BK_U!$B57)</f>
        <v>0</v>
      </c>
      <c r="H57" s="87">
        <f>+SUMIFS(BaseCompleta!$F:$F,BaseCompleta!$B:$B,Pos_RF_BK_U!H$3,BaseCompleta!$C:$C,Pos_RF_BK_U!$B57)</f>
        <v>0</v>
      </c>
      <c r="I57" s="87">
        <f>+SUMIFS(BaseCompleta!$F:$F,BaseCompleta!$B:$B,Pos_RF_BK_U!I$3,BaseCompleta!$C:$C,Pos_RF_BK_U!$B57)</f>
        <v>0</v>
      </c>
      <c r="J57" s="87">
        <f>+SUMIFS(BaseCompleta!$F:$F,BaseCompleta!$B:$B,Pos_RF_BK_U!J$3,BaseCompleta!$C:$C,Pos_RF_BK_U!$B57)</f>
        <v>0</v>
      </c>
      <c r="K57" s="87"/>
      <c r="L57" s="88"/>
      <c r="M57" s="4" t="str">
        <f t="shared" si="2"/>
        <v>ok</v>
      </c>
      <c r="N57" s="74"/>
      <c r="O57" s="149"/>
      <c r="P57" s="149"/>
      <c r="Q57" s="149"/>
      <c r="R57" s="149"/>
      <c r="S57" s="149"/>
    </row>
    <row r="58" spans="1:20">
      <c r="A58" s="75" t="s">
        <v>133</v>
      </c>
      <c r="B58" s="71" t="s">
        <v>222</v>
      </c>
      <c r="C58" s="87">
        <f>+SUMIFS(BaseCompleta!$F:$F,BaseCompleta!$C:$C,Pos_RF_BK_U!$B58)</f>
        <v>0</v>
      </c>
      <c r="D58" s="87">
        <f>+SUMIFS(BaseCompleta!$F:$F,BaseCompleta!$B:$B,Pos_RF_BK_U!D$3,BaseCompleta!$C:$C,Pos_RF_BK_U!$B58)</f>
        <v>0</v>
      </c>
      <c r="E58" s="87">
        <f>+SUMIFS(BaseCompleta!$F:$F,BaseCompleta!$B:$B,Pos_RF_BK_U!E$3,BaseCompleta!$C:$C,Pos_RF_BK_U!$B58)</f>
        <v>0</v>
      </c>
      <c r="F58" s="87">
        <f>+SUMIFS(BaseCompleta!$F:$F,BaseCompleta!$B:$B,Pos_RF_BK_U!F$3,BaseCompleta!$C:$C,Pos_RF_BK_U!$B58)</f>
        <v>0</v>
      </c>
      <c r="G58" s="87">
        <f>+SUMIFS(BaseCompleta!$F:$F,BaseCompleta!$B:$B,Pos_RF_BK_U!G$3,BaseCompleta!$C:$C,Pos_RF_BK_U!$B58)</f>
        <v>0</v>
      </c>
      <c r="H58" s="87">
        <f>+SUMIFS(BaseCompleta!$F:$F,BaseCompleta!$B:$B,Pos_RF_BK_U!H$3,BaseCompleta!$C:$C,Pos_RF_BK_U!$B58)</f>
        <v>0</v>
      </c>
      <c r="I58" s="87">
        <f>+SUMIFS(BaseCompleta!$F:$F,BaseCompleta!$B:$B,Pos_RF_BK_U!I$3,BaseCompleta!$C:$C,Pos_RF_BK_U!$B58)</f>
        <v>0</v>
      </c>
      <c r="J58" s="87">
        <f>+SUMIFS(BaseCompleta!$F:$F,BaseCompleta!$B:$B,Pos_RF_BK_U!J$3,BaseCompleta!$C:$C,Pos_RF_BK_U!$B58)</f>
        <v>0</v>
      </c>
      <c r="K58" s="87"/>
      <c r="L58" s="88"/>
      <c r="M58" s="4" t="str">
        <f t="shared" si="2"/>
        <v>ok</v>
      </c>
      <c r="N58" s="74"/>
      <c r="O58" s="149"/>
      <c r="P58" s="149"/>
      <c r="Q58" s="149"/>
      <c r="R58" s="149"/>
      <c r="S58" s="149"/>
    </row>
    <row r="59" spans="1:20">
      <c r="A59" s="75" t="s">
        <v>133</v>
      </c>
      <c r="B59" s="71" t="s">
        <v>157</v>
      </c>
      <c r="C59" s="87">
        <f>+SUMIFS(BaseCompleta!$F:$F,BaseCompleta!$C:$C,Pos_RF_BK_U!$B59)</f>
        <v>0</v>
      </c>
      <c r="D59" s="87">
        <f>+SUMIFS(BaseCompleta!$F:$F,BaseCompleta!$B:$B,Pos_RF_BK_U!D$3,BaseCompleta!$C:$C,Pos_RF_BK_U!$B59)</f>
        <v>0</v>
      </c>
      <c r="E59" s="87">
        <f>+SUMIFS(BaseCompleta!$F:$F,BaseCompleta!$B:$B,Pos_RF_BK_U!E$3,BaseCompleta!$C:$C,Pos_RF_BK_U!$B59)</f>
        <v>0</v>
      </c>
      <c r="F59" s="87">
        <f>+SUMIFS(BaseCompleta!$F:$F,BaseCompleta!$B:$B,Pos_RF_BK_U!F$3,BaseCompleta!$C:$C,Pos_RF_BK_U!$B59)</f>
        <v>0</v>
      </c>
      <c r="G59" s="87">
        <f>+SUMIFS(BaseCompleta!$F:$F,BaseCompleta!$B:$B,Pos_RF_BK_U!G$3,BaseCompleta!$C:$C,Pos_RF_BK_U!$B59)</f>
        <v>0</v>
      </c>
      <c r="H59" s="87">
        <f>+SUMIFS(BaseCompleta!$F:$F,BaseCompleta!$B:$B,Pos_RF_BK_U!H$3,BaseCompleta!$C:$C,Pos_RF_BK_U!$B59)</f>
        <v>0</v>
      </c>
      <c r="I59" s="87">
        <f>+SUMIFS(BaseCompleta!$F:$F,BaseCompleta!$B:$B,Pos_RF_BK_U!I$3,BaseCompleta!$C:$C,Pos_RF_BK_U!$B59)</f>
        <v>0</v>
      </c>
      <c r="J59" s="87">
        <f>+SUMIFS(BaseCompleta!$F:$F,BaseCompleta!$B:$B,Pos_RF_BK_U!J$3,BaseCompleta!$C:$C,Pos_RF_BK_U!$B59)</f>
        <v>0</v>
      </c>
      <c r="K59" s="87"/>
      <c r="L59" s="88"/>
      <c r="M59" s="4" t="str">
        <f t="shared" si="2"/>
        <v>ok</v>
      </c>
      <c r="N59" s="74"/>
      <c r="O59" s="149"/>
      <c r="P59" s="149"/>
      <c r="Q59" s="149"/>
      <c r="R59" s="149"/>
      <c r="S59" s="149"/>
    </row>
    <row r="60" spans="1:20">
      <c r="A60" s="75" t="s">
        <v>267</v>
      </c>
      <c r="B60" s="71" t="s">
        <v>41</v>
      </c>
      <c r="C60" s="87">
        <f>+SUMIFS(BaseCompleta!$F:$F,BaseCompleta!$C:$C,Pos_RF_BK_U!$B60)</f>
        <v>0</v>
      </c>
      <c r="D60" s="87">
        <f>+SUMIFS(BaseCompleta!$F:$F,BaseCompleta!$B:$B,Pos_RF_BK_U!D$3,BaseCompleta!$C:$C,Pos_RF_BK_U!$B60)</f>
        <v>0</v>
      </c>
      <c r="E60" s="87">
        <f>+SUMIFS(BaseCompleta!$F:$F,BaseCompleta!$B:$B,Pos_RF_BK_U!E$3,BaseCompleta!$C:$C,Pos_RF_BK_U!$B60)</f>
        <v>0</v>
      </c>
      <c r="F60" s="87">
        <f>+SUMIFS(BaseCompleta!$F:$F,BaseCompleta!$B:$B,Pos_RF_BK_U!F$3,BaseCompleta!$C:$C,Pos_RF_BK_U!$B60)</f>
        <v>0</v>
      </c>
      <c r="G60" s="87">
        <f>+SUMIFS(BaseCompleta!$F:$F,BaseCompleta!$B:$B,Pos_RF_BK_U!G$3,BaseCompleta!$C:$C,Pos_RF_BK_U!$B60)</f>
        <v>0</v>
      </c>
      <c r="H60" s="87">
        <f>+SUMIFS(BaseCompleta!$F:$F,BaseCompleta!$B:$B,Pos_RF_BK_U!H$3,BaseCompleta!$C:$C,Pos_RF_BK_U!$B60)</f>
        <v>0</v>
      </c>
      <c r="I60" s="87">
        <f>+SUMIFS(BaseCompleta!$F:$F,BaseCompleta!$B:$B,Pos_RF_BK_U!I$3,BaseCompleta!$C:$C,Pos_RF_BK_U!$B60)</f>
        <v>0</v>
      </c>
      <c r="J60" s="87">
        <f>+SUMIFS(BaseCompleta!$F:$F,BaseCompleta!$B:$B,Pos_RF_BK_U!J$3,BaseCompleta!$C:$C,Pos_RF_BK_U!$B60)</f>
        <v>0</v>
      </c>
      <c r="K60" s="87"/>
      <c r="L60" s="88"/>
      <c r="M60" s="4" t="str">
        <f t="shared" si="2"/>
        <v>ok</v>
      </c>
      <c r="N60" s="74"/>
      <c r="O60" s="149"/>
      <c r="P60" s="149"/>
      <c r="Q60" s="149"/>
      <c r="R60" s="149"/>
      <c r="S60" s="149"/>
    </row>
    <row r="61" spans="1:20">
      <c r="A61" s="75" t="s">
        <v>268</v>
      </c>
      <c r="B61" s="71" t="s">
        <v>223</v>
      </c>
      <c r="C61" s="87">
        <f>+SUMIFS(BaseCompleta!$F:$F,BaseCompleta!$C:$C,Pos_RF_BK_U!$B61)</f>
        <v>0</v>
      </c>
      <c r="D61" s="87">
        <f>+SUMIFS(BaseCompleta!$F:$F,BaseCompleta!$B:$B,Pos_RF_BK_U!D$3,BaseCompleta!$C:$C,Pos_RF_BK_U!$B61)</f>
        <v>0</v>
      </c>
      <c r="E61" s="87">
        <f>+SUMIFS(BaseCompleta!$F:$F,BaseCompleta!$B:$B,Pos_RF_BK_U!E$3,BaseCompleta!$C:$C,Pos_RF_BK_U!$B61)</f>
        <v>0</v>
      </c>
      <c r="F61" s="87">
        <f>+SUMIFS(BaseCompleta!$F:$F,BaseCompleta!$B:$B,Pos_RF_BK_U!F$3,BaseCompleta!$C:$C,Pos_RF_BK_U!$B61)</f>
        <v>0</v>
      </c>
      <c r="G61" s="87">
        <f>+SUMIFS(BaseCompleta!$F:$F,BaseCompleta!$B:$B,Pos_RF_BK_U!G$3,BaseCompleta!$C:$C,Pos_RF_BK_U!$B61)</f>
        <v>0</v>
      </c>
      <c r="H61" s="87">
        <f>+SUMIFS(BaseCompleta!$F:$F,BaseCompleta!$B:$B,Pos_RF_BK_U!H$3,BaseCompleta!$C:$C,Pos_RF_BK_U!$B61)</f>
        <v>0</v>
      </c>
      <c r="I61" s="87">
        <f>+SUMIFS(BaseCompleta!$F:$F,BaseCompleta!$B:$B,Pos_RF_BK_U!I$3,BaseCompleta!$C:$C,Pos_RF_BK_U!$B61)</f>
        <v>0</v>
      </c>
      <c r="J61" s="87">
        <f>+SUMIFS(BaseCompleta!$F:$F,BaseCompleta!$B:$B,Pos_RF_BK_U!J$3,BaseCompleta!$C:$C,Pos_RF_BK_U!$B61)</f>
        <v>0</v>
      </c>
      <c r="K61" s="87"/>
      <c r="L61" s="88"/>
      <c r="M61" s="4" t="str">
        <f t="shared" si="2"/>
        <v>ok</v>
      </c>
      <c r="N61" s="74"/>
      <c r="O61" s="149"/>
      <c r="P61" s="149"/>
      <c r="Q61" s="149"/>
      <c r="R61" s="149"/>
      <c r="S61" s="149"/>
    </row>
    <row r="62" spans="1:20">
      <c r="A62" s="75" t="s">
        <v>268</v>
      </c>
      <c r="B62" s="71" t="s">
        <v>224</v>
      </c>
      <c r="C62" s="87">
        <f>+SUMIFS(BaseCompleta!$F:$F,BaseCompleta!$C:$C,Pos_RF_BK_U!$B62)</f>
        <v>0</v>
      </c>
      <c r="D62" s="87">
        <f>+SUMIFS(BaseCompleta!$F:$F,BaseCompleta!$B:$B,Pos_RF_BK_U!D$3,BaseCompleta!$C:$C,Pos_RF_BK_U!$B62)</f>
        <v>0</v>
      </c>
      <c r="E62" s="87">
        <f>+SUMIFS(BaseCompleta!$F:$F,BaseCompleta!$B:$B,Pos_RF_BK_U!E$3,BaseCompleta!$C:$C,Pos_RF_BK_U!$B62)</f>
        <v>0</v>
      </c>
      <c r="F62" s="87">
        <f>+SUMIFS(BaseCompleta!$F:$F,BaseCompleta!$B:$B,Pos_RF_BK_U!F$3,BaseCompleta!$C:$C,Pos_RF_BK_U!$B62)</f>
        <v>0</v>
      </c>
      <c r="G62" s="87">
        <f>+SUMIFS(BaseCompleta!$F:$F,BaseCompleta!$B:$B,Pos_RF_BK_U!G$3,BaseCompleta!$C:$C,Pos_RF_BK_U!$B62)</f>
        <v>0</v>
      </c>
      <c r="H62" s="87">
        <f>+SUMIFS(BaseCompleta!$F:$F,BaseCompleta!$B:$B,Pos_RF_BK_U!H$3,BaseCompleta!$C:$C,Pos_RF_BK_U!$B62)</f>
        <v>0</v>
      </c>
      <c r="I62" s="87">
        <f>+SUMIFS(BaseCompleta!$F:$F,BaseCompleta!$B:$B,Pos_RF_BK_U!I$3,BaseCompleta!$C:$C,Pos_RF_BK_U!$B62)</f>
        <v>0</v>
      </c>
      <c r="J62" s="87">
        <f>+SUMIFS(BaseCompleta!$F:$F,BaseCompleta!$B:$B,Pos_RF_BK_U!J$3,BaseCompleta!$C:$C,Pos_RF_BK_U!$B62)</f>
        <v>0</v>
      </c>
      <c r="K62" s="87"/>
      <c r="L62" s="88"/>
      <c r="M62" s="4" t="str">
        <f t="shared" si="2"/>
        <v>ok</v>
      </c>
      <c r="N62" s="74"/>
      <c r="O62" s="149"/>
      <c r="P62" s="149"/>
      <c r="Q62" s="149"/>
      <c r="R62" s="149"/>
      <c r="S62" s="149"/>
    </row>
    <row r="63" spans="1:20">
      <c r="A63" s="75" t="s">
        <v>268</v>
      </c>
      <c r="B63" s="71" t="s">
        <v>33</v>
      </c>
      <c r="C63" s="87">
        <f>+SUMIFS(BaseCompleta!$F:$F,BaseCompleta!$C:$C,Pos_RF_BK_U!$B63)</f>
        <v>0</v>
      </c>
      <c r="D63" s="87">
        <f>+SUMIFS(BaseCompleta!$F:$F,BaseCompleta!$B:$B,Pos_RF_BK_U!D$3,BaseCompleta!$C:$C,Pos_RF_BK_U!$B63)</f>
        <v>0</v>
      </c>
      <c r="E63" s="87">
        <f>+SUMIFS(BaseCompleta!$F:$F,BaseCompleta!$B:$B,Pos_RF_BK_U!E$3,BaseCompleta!$C:$C,Pos_RF_BK_U!$B63)</f>
        <v>0</v>
      </c>
      <c r="F63" s="87">
        <f>+SUMIFS(BaseCompleta!$F:$F,BaseCompleta!$B:$B,Pos_RF_BK_U!F$3,BaseCompleta!$C:$C,Pos_RF_BK_U!$B63)</f>
        <v>0</v>
      </c>
      <c r="G63" s="87">
        <f>+SUMIFS(BaseCompleta!$F:$F,BaseCompleta!$B:$B,Pos_RF_BK_U!G$3,BaseCompleta!$C:$C,Pos_RF_BK_U!$B63)</f>
        <v>0</v>
      </c>
      <c r="H63" s="87">
        <f>+SUMIFS(BaseCompleta!$F:$F,BaseCompleta!$B:$B,Pos_RF_BK_U!H$3,BaseCompleta!$C:$C,Pos_RF_BK_U!$B63)</f>
        <v>0</v>
      </c>
      <c r="I63" s="87">
        <f>+SUMIFS(BaseCompleta!$F:$F,BaseCompleta!$B:$B,Pos_RF_BK_U!I$3,BaseCompleta!$C:$C,Pos_RF_BK_U!$B63)</f>
        <v>0</v>
      </c>
      <c r="J63" s="87">
        <f>+SUMIFS(BaseCompleta!$F:$F,BaseCompleta!$B:$B,Pos_RF_BK_U!J$3,BaseCompleta!$C:$C,Pos_RF_BK_U!$B63)</f>
        <v>0</v>
      </c>
      <c r="K63" s="87"/>
      <c r="L63" s="88"/>
      <c r="M63" s="4" t="str">
        <f t="shared" si="2"/>
        <v>ok</v>
      </c>
      <c r="N63" s="74"/>
      <c r="O63" s="149"/>
      <c r="P63" s="149"/>
      <c r="Q63" s="149"/>
      <c r="R63" s="149"/>
      <c r="S63" s="149"/>
    </row>
    <row r="64" spans="1:20">
      <c r="A64" s="75" t="s">
        <v>134</v>
      </c>
      <c r="B64" s="71" t="s">
        <v>158</v>
      </c>
      <c r="C64" s="87">
        <f>+SUMIFS(BaseCompleta!$F:$F,BaseCompleta!$C:$C,Pos_RF_BK_U!$B64)</f>
        <v>0</v>
      </c>
      <c r="D64" s="87">
        <f>+SUMIFS(BaseCompleta!$F:$F,BaseCompleta!$B:$B,Pos_RF_BK_U!D$3,BaseCompleta!$C:$C,Pos_RF_BK_U!$B64)</f>
        <v>0</v>
      </c>
      <c r="E64" s="87">
        <f>+SUMIFS(BaseCompleta!$F:$F,BaseCompleta!$B:$B,Pos_RF_BK_U!E$3,BaseCompleta!$C:$C,Pos_RF_BK_U!$B64)</f>
        <v>0</v>
      </c>
      <c r="F64" s="87">
        <f>+SUMIFS(BaseCompleta!$F:$F,BaseCompleta!$B:$B,Pos_RF_BK_U!F$3,BaseCompleta!$C:$C,Pos_RF_BK_U!$B64)</f>
        <v>0</v>
      </c>
      <c r="G64" s="87">
        <f>+SUMIFS(BaseCompleta!$F:$F,BaseCompleta!$B:$B,Pos_RF_BK_U!G$3,BaseCompleta!$C:$C,Pos_RF_BK_U!$B64)</f>
        <v>0</v>
      </c>
      <c r="H64" s="87">
        <f>+SUMIFS(BaseCompleta!$F:$F,BaseCompleta!$B:$B,Pos_RF_BK_U!H$3,BaseCompleta!$C:$C,Pos_RF_BK_U!$B64)</f>
        <v>0</v>
      </c>
      <c r="I64" s="87">
        <f>+SUMIFS(BaseCompleta!$F:$F,BaseCompleta!$B:$B,Pos_RF_BK_U!I$3,BaseCompleta!$C:$C,Pos_RF_BK_U!$B64)</f>
        <v>0</v>
      </c>
      <c r="J64" s="87">
        <f>+SUMIFS(BaseCompleta!$F:$F,BaseCompleta!$B:$B,Pos_RF_BK_U!J$3,BaseCompleta!$C:$C,Pos_RF_BK_U!$B64)</f>
        <v>0</v>
      </c>
      <c r="K64" s="87"/>
      <c r="L64" s="88"/>
      <c r="M64" s="4" t="str">
        <f t="shared" ref="M64:M75" si="3">+IF(SUM(D64:L64)=C64,"ok","rev")</f>
        <v>ok</v>
      </c>
      <c r="N64" s="74"/>
      <c r="O64" s="149"/>
      <c r="P64" s="149"/>
      <c r="Q64" s="149"/>
      <c r="R64" s="149"/>
      <c r="S64" s="149"/>
      <c r="T64" s="149"/>
    </row>
    <row r="65" spans="1:20" s="180" customFormat="1">
      <c r="A65" s="208" t="s">
        <v>134</v>
      </c>
      <c r="B65" s="209" t="s">
        <v>1293</v>
      </c>
      <c r="C65" s="87">
        <f>+SUMIFS(BaseCompleta!$F:$F,BaseCompleta!$C:$C,Pos_RF_BK_U!$B65)</f>
        <v>0</v>
      </c>
      <c r="D65" s="87">
        <f>+SUMIFS(BaseCompleta!$F:$F,BaseCompleta!$B:$B,Pos_RF_BK_U!D$3,BaseCompleta!$C:$C,Pos_RF_BK_U!$B65)</f>
        <v>0</v>
      </c>
      <c r="E65" s="87">
        <f>+SUMIFS(BaseCompleta!$F:$F,BaseCompleta!$B:$B,Pos_RF_BK_U!E$3,BaseCompleta!$C:$C,Pos_RF_BK_U!$B65)</f>
        <v>0</v>
      </c>
      <c r="F65" s="87">
        <f>+SUMIFS(BaseCompleta!$F:$F,BaseCompleta!$B:$B,Pos_RF_BK_U!F$3,BaseCompleta!$C:$C,Pos_RF_BK_U!$B65)</f>
        <v>0</v>
      </c>
      <c r="G65" s="87">
        <f>+SUMIFS(BaseCompleta!$F:$F,BaseCompleta!$B:$B,Pos_RF_BK_U!G$3,BaseCompleta!$C:$C,Pos_RF_BK_U!$B65)</f>
        <v>0</v>
      </c>
      <c r="H65" s="87">
        <f>+SUMIFS(BaseCompleta!$F:$F,BaseCompleta!$B:$B,Pos_RF_BK_U!H$3,BaseCompleta!$C:$C,Pos_RF_BK_U!$B65)</f>
        <v>0</v>
      </c>
      <c r="I65" s="87">
        <f>+SUMIFS(BaseCompleta!$F:$F,BaseCompleta!$B:$B,Pos_RF_BK_U!I$3,BaseCompleta!$C:$C,Pos_RF_BK_U!$B65)</f>
        <v>0</v>
      </c>
      <c r="J65" s="87">
        <f>+SUMIFS(BaseCompleta!$F:$F,BaseCompleta!$B:$B,Pos_RF_BK_U!J$3,BaseCompleta!$C:$C,Pos_RF_BK_U!$B65)</f>
        <v>0</v>
      </c>
      <c r="K65" s="87"/>
      <c r="L65" s="88"/>
      <c r="M65" s="4" t="str">
        <f t="shared" si="3"/>
        <v>ok</v>
      </c>
      <c r="N65" s="74"/>
    </row>
    <row r="66" spans="1:20">
      <c r="A66" s="127" t="s">
        <v>357</v>
      </c>
      <c r="B66" s="128" t="s">
        <v>356</v>
      </c>
      <c r="C66" s="131">
        <f>+SUMIFS(BaseCompleta!$F:$F,BaseCompleta!$C:$C,Pos_RF_BK_U!$B66)</f>
        <v>21605358858.788712</v>
      </c>
      <c r="D66" s="131">
        <f>+SUMIFS(BaseCompleta!$F:$F,BaseCompleta!$B:$B,Pos_RF_BK_U!D$3,BaseCompleta!$C:$C,Pos_RF_BK_U!$B66)</f>
        <v>475000000</v>
      </c>
      <c r="E66" s="131">
        <f>+SUMIFS(BaseCompleta!$F:$F,BaseCompleta!$B:$B,Pos_RF_BK_U!E$3,BaseCompleta!$C:$C,Pos_RF_BK_U!$B66)</f>
        <v>4990262942.6591082</v>
      </c>
      <c r="F66" s="131">
        <f>+SUMIFS(BaseCompleta!$F:$F,BaseCompleta!$B:$B,Pos_RF_BK_U!F$3,BaseCompleta!$C:$C,Pos_RF_BK_U!$B66)</f>
        <v>730095916.12960196</v>
      </c>
      <c r="G66" s="131">
        <f>+SUMIFS(BaseCompleta!$F:$F,BaseCompleta!$B:$B,Pos_RF_BK_U!G$3,BaseCompleta!$C:$C,Pos_RF_BK_U!$B66)</f>
        <v>10005000000</v>
      </c>
      <c r="H66" s="131">
        <f>+SUMIFS(BaseCompleta!$F:$F,BaseCompleta!$B:$B,Pos_RF_BK_U!H$3,BaseCompleta!$C:$C,Pos_RF_BK_U!$B66)</f>
        <v>3930000000</v>
      </c>
      <c r="I66" s="131">
        <f>+SUMIFS(BaseCompleta!$F:$F,BaseCompleta!$B:$B,Pos_RF_BK_U!I$3,BaseCompleta!$C:$C,Pos_RF_BK_U!$B66)</f>
        <v>0</v>
      </c>
      <c r="J66" s="131">
        <f>+SUMIFS(BaseCompleta!$F:$F,BaseCompleta!$B:$B,Pos_RF_BK_U!J$3,BaseCompleta!$C:$C,Pos_RF_BK_U!$B66)</f>
        <v>1475000000</v>
      </c>
      <c r="K66" s="131"/>
      <c r="L66" s="132"/>
      <c r="M66" s="4" t="str">
        <f t="shared" si="3"/>
        <v>ok</v>
      </c>
      <c r="N66" s="74"/>
      <c r="O66" s="149"/>
      <c r="P66" s="149"/>
      <c r="Q66" s="149"/>
      <c r="R66" s="149"/>
      <c r="S66" s="149"/>
      <c r="T66" s="149"/>
    </row>
    <row r="67" spans="1:20">
      <c r="A67" s="75" t="s">
        <v>269</v>
      </c>
      <c r="B67" s="71" t="s">
        <v>42</v>
      </c>
      <c r="C67" s="87">
        <f>+SUMIFS(BaseCompleta!$F:$F,BaseCompleta!$C:$C,Pos_RF_BK_U!$B67)</f>
        <v>0</v>
      </c>
      <c r="D67" s="87">
        <f>+SUMIFS(BaseCompleta!$F:$F,BaseCompleta!$B:$B,Pos_RF_BK_U!D$3,BaseCompleta!$C:$C,Pos_RF_BK_U!$B67)</f>
        <v>0</v>
      </c>
      <c r="E67" s="87">
        <f>+SUMIFS(BaseCompleta!$F:$F,BaseCompleta!$B:$B,Pos_RF_BK_U!E$3,BaseCompleta!$C:$C,Pos_RF_BK_U!$B67)</f>
        <v>0</v>
      </c>
      <c r="F67" s="87">
        <f>+SUMIFS(BaseCompleta!$F:$F,BaseCompleta!$B:$B,Pos_RF_BK_U!F$3,BaseCompleta!$C:$C,Pos_RF_BK_U!$B67)</f>
        <v>0</v>
      </c>
      <c r="G67" s="87">
        <f>+SUMIFS(BaseCompleta!$F:$F,BaseCompleta!$B:$B,Pos_RF_BK_U!G$3,BaseCompleta!$C:$C,Pos_RF_BK_U!$B67)</f>
        <v>0</v>
      </c>
      <c r="H67" s="87">
        <f>+SUMIFS(BaseCompleta!$F:$F,BaseCompleta!$B:$B,Pos_RF_BK_U!H$3,BaseCompleta!$C:$C,Pos_RF_BK_U!$B67)</f>
        <v>0</v>
      </c>
      <c r="I67" s="87">
        <f>+SUMIFS(BaseCompleta!$F:$F,BaseCompleta!$B:$B,Pos_RF_BK_U!I$3,BaseCompleta!$C:$C,Pos_RF_BK_U!$B67)</f>
        <v>0</v>
      </c>
      <c r="J67" s="87">
        <f>+SUMIFS(BaseCompleta!$F:$F,BaseCompleta!$B:$B,Pos_RF_BK_U!J$3,BaseCompleta!$C:$C,Pos_RF_BK_U!$B67)</f>
        <v>0</v>
      </c>
      <c r="K67" s="87"/>
      <c r="L67" s="88"/>
      <c r="M67" s="4" t="str">
        <f t="shared" si="3"/>
        <v>ok</v>
      </c>
      <c r="N67" s="74"/>
      <c r="O67" s="149"/>
      <c r="P67" s="149"/>
      <c r="Q67" s="149"/>
      <c r="R67" s="149"/>
      <c r="S67" s="149"/>
      <c r="T67" s="149"/>
    </row>
    <row r="68" spans="1:20">
      <c r="A68" s="75" t="s">
        <v>269</v>
      </c>
      <c r="B68" s="71" t="s">
        <v>13</v>
      </c>
      <c r="C68" s="87">
        <f>+SUMIFS(BaseCompleta!$F:$F,BaseCompleta!$C:$C,Pos_RF_BK_U!$B68)</f>
        <v>2424177691.7065349</v>
      </c>
      <c r="D68" s="87">
        <f>+SUMIFS(BaseCompleta!$F:$F,BaseCompleta!$B:$B,Pos_RF_BK_U!D$3,BaseCompleta!$C:$C,Pos_RF_BK_U!$B68)</f>
        <v>0</v>
      </c>
      <c r="E68" s="87">
        <f>+SUMIFS(BaseCompleta!$F:$F,BaseCompleta!$B:$B,Pos_RF_BK_U!E$3,BaseCompleta!$C:$C,Pos_RF_BK_U!$B68)</f>
        <v>124177691.70653509</v>
      </c>
      <c r="F68" s="87">
        <f>+SUMIFS(BaseCompleta!$F:$F,BaseCompleta!$B:$B,Pos_RF_BK_U!F$3,BaseCompleta!$C:$C,Pos_RF_BK_U!$B68)</f>
        <v>0</v>
      </c>
      <c r="G68" s="87">
        <f>+SUMIFS(BaseCompleta!$F:$F,BaseCompleta!$B:$B,Pos_RF_BK_U!G$3,BaseCompleta!$C:$C,Pos_RF_BK_U!$B68)</f>
        <v>1780000000</v>
      </c>
      <c r="H68" s="87">
        <f>+SUMIFS(BaseCompleta!$F:$F,BaseCompleta!$B:$B,Pos_RF_BK_U!H$3,BaseCompleta!$C:$C,Pos_RF_BK_U!$B68)</f>
        <v>520000000</v>
      </c>
      <c r="I68" s="87">
        <f>+SUMIFS(BaseCompleta!$F:$F,BaseCompleta!$B:$B,Pos_RF_BK_U!I$3,BaseCompleta!$C:$C,Pos_RF_BK_U!$B68)</f>
        <v>0</v>
      </c>
      <c r="J68" s="87">
        <f>+SUMIFS(BaseCompleta!$F:$F,BaseCompleta!$B:$B,Pos_RF_BK_U!J$3,BaseCompleta!$C:$C,Pos_RF_BK_U!$B68)</f>
        <v>0</v>
      </c>
      <c r="K68" s="87"/>
      <c r="L68" s="88"/>
      <c r="M68" s="4" t="str">
        <f t="shared" si="3"/>
        <v>rev</v>
      </c>
      <c r="N68" s="74"/>
      <c r="O68" s="149"/>
      <c r="P68" s="149"/>
      <c r="Q68" s="149"/>
      <c r="R68" s="149"/>
      <c r="S68" s="149"/>
      <c r="T68" s="149"/>
    </row>
    <row r="69" spans="1:20">
      <c r="A69" s="75" t="s">
        <v>269</v>
      </c>
      <c r="B69" s="71" t="s">
        <v>14</v>
      </c>
      <c r="C69" s="87">
        <f>+SUMIFS(BaseCompleta!$F:$F,BaseCompleta!$C:$C,Pos_RF_BK_U!$B69)</f>
        <v>0</v>
      </c>
      <c r="D69" s="87">
        <f>+SUMIFS(BaseCompleta!$F:$F,BaseCompleta!$B:$B,Pos_RF_BK_U!D$3,BaseCompleta!$C:$C,Pos_RF_BK_U!$B69)</f>
        <v>0</v>
      </c>
      <c r="E69" s="87">
        <f>+SUMIFS(BaseCompleta!$F:$F,BaseCompleta!$B:$B,Pos_RF_BK_U!E$3,BaseCompleta!$C:$C,Pos_RF_BK_U!$B69)</f>
        <v>0</v>
      </c>
      <c r="F69" s="87">
        <f>+SUMIFS(BaseCompleta!$F:$F,BaseCompleta!$B:$B,Pos_RF_BK_U!F$3,BaseCompleta!$C:$C,Pos_RF_BK_U!$B69)</f>
        <v>0</v>
      </c>
      <c r="G69" s="87">
        <f>+SUMIFS(BaseCompleta!$F:$F,BaseCompleta!$B:$B,Pos_RF_BK_U!G$3,BaseCompleta!$C:$C,Pos_RF_BK_U!$B69)</f>
        <v>0</v>
      </c>
      <c r="H69" s="87">
        <f>+SUMIFS(BaseCompleta!$F:$F,BaseCompleta!$B:$B,Pos_RF_BK_U!H$3,BaseCompleta!$C:$C,Pos_RF_BK_U!$B69)</f>
        <v>0</v>
      </c>
      <c r="I69" s="87">
        <f>+SUMIFS(BaseCompleta!$F:$F,BaseCompleta!$B:$B,Pos_RF_BK_U!I$3,BaseCompleta!$C:$C,Pos_RF_BK_U!$B69)</f>
        <v>0</v>
      </c>
      <c r="J69" s="87">
        <f>+SUMIFS(BaseCompleta!$F:$F,BaseCompleta!$B:$B,Pos_RF_BK_U!J$3,BaseCompleta!$C:$C,Pos_RF_BK_U!$B69)</f>
        <v>0</v>
      </c>
      <c r="K69" s="87"/>
      <c r="L69" s="88"/>
      <c r="M69" s="4" t="str">
        <f t="shared" si="3"/>
        <v>ok</v>
      </c>
      <c r="N69" s="74"/>
      <c r="O69" s="149"/>
      <c r="P69" s="149"/>
      <c r="Q69" s="149"/>
      <c r="R69" s="149"/>
      <c r="S69" s="149"/>
      <c r="T69" s="149"/>
    </row>
    <row r="70" spans="1:20">
      <c r="A70" s="75" t="s">
        <v>135</v>
      </c>
      <c r="B70" s="71" t="s">
        <v>18</v>
      </c>
      <c r="C70" s="87">
        <f>+SUMIFS(BaseCompleta!$F:$F,BaseCompleta!$C:$C,Pos_RF_BK_U!$B70)</f>
        <v>0</v>
      </c>
      <c r="D70" s="87">
        <f>+SUMIFS(BaseCompleta!$F:$F,BaseCompleta!$B:$B,Pos_RF_BK_U!D$3,BaseCompleta!$C:$C,Pos_RF_BK_U!$B70)</f>
        <v>0</v>
      </c>
      <c r="E70" s="87">
        <f>+SUMIFS(BaseCompleta!$F:$F,BaseCompleta!$B:$B,Pos_RF_BK_U!E$3,BaseCompleta!$C:$C,Pos_RF_BK_U!$B70)</f>
        <v>0</v>
      </c>
      <c r="F70" s="87">
        <f>+SUMIFS(BaseCompleta!$F:$F,BaseCompleta!$B:$B,Pos_RF_BK_U!F$3,BaseCompleta!$C:$C,Pos_RF_BK_U!$B70)</f>
        <v>0</v>
      </c>
      <c r="G70" s="87">
        <f>+SUMIFS(BaseCompleta!$F:$F,BaseCompleta!$B:$B,Pos_RF_BK_U!G$3,BaseCompleta!$C:$C,Pos_RF_BK_U!$B70)</f>
        <v>0</v>
      </c>
      <c r="H70" s="87">
        <f>+SUMIFS(BaseCompleta!$F:$F,BaseCompleta!$B:$B,Pos_RF_BK_U!H$3,BaseCompleta!$C:$C,Pos_RF_BK_U!$B70)</f>
        <v>0</v>
      </c>
      <c r="I70" s="87">
        <f>+SUMIFS(BaseCompleta!$F:$F,BaseCompleta!$B:$B,Pos_RF_BK_U!I$3,BaseCompleta!$C:$C,Pos_RF_BK_U!$B70)</f>
        <v>0</v>
      </c>
      <c r="J70" s="87">
        <f>+SUMIFS(BaseCompleta!$F:$F,BaseCompleta!$B:$B,Pos_RF_BK_U!J$3,BaseCompleta!$C:$C,Pos_RF_BK_U!$B70)</f>
        <v>0</v>
      </c>
      <c r="K70" s="87"/>
      <c r="L70" s="88"/>
      <c r="M70" s="4" t="str">
        <f t="shared" si="3"/>
        <v>ok</v>
      </c>
      <c r="N70" s="74"/>
      <c r="O70" s="149"/>
      <c r="P70" s="149"/>
      <c r="Q70" s="149"/>
      <c r="R70" s="149"/>
      <c r="S70" s="149"/>
      <c r="T70" s="149"/>
    </row>
    <row r="71" spans="1:20">
      <c r="A71" s="127" t="s">
        <v>358</v>
      </c>
      <c r="B71" s="128" t="s">
        <v>17</v>
      </c>
      <c r="C71" s="131">
        <f>+SUMIFS(BaseCompleta!$F:$F,BaseCompleta!$C:$C,Pos_RF_BK_U!$B71)</f>
        <v>1035000000</v>
      </c>
      <c r="D71" s="131">
        <f>+SUMIFS(BaseCompleta!$F:$F,BaseCompleta!$B:$B,Pos_RF_BK_U!D$3,BaseCompleta!$C:$C,Pos_RF_BK_U!$B71)</f>
        <v>0</v>
      </c>
      <c r="E71" s="131">
        <f>+SUMIFS(BaseCompleta!$F:$F,BaseCompleta!$B:$B,Pos_RF_BK_U!E$3,BaseCompleta!$C:$C,Pos_RF_BK_U!$B71)</f>
        <v>0</v>
      </c>
      <c r="F71" s="131">
        <f>+SUMIFS(BaseCompleta!$F:$F,BaseCompleta!$B:$B,Pos_RF_BK_U!F$3,BaseCompleta!$C:$C,Pos_RF_BK_U!$B71)</f>
        <v>1035000000</v>
      </c>
      <c r="G71" s="131">
        <f>+SUMIFS(BaseCompleta!$F:$F,BaseCompleta!$B:$B,Pos_RF_BK_U!G$3,BaseCompleta!$C:$C,Pos_RF_BK_U!$B71)</f>
        <v>0</v>
      </c>
      <c r="H71" s="131">
        <f>+SUMIFS(BaseCompleta!$F:$F,BaseCompleta!$B:$B,Pos_RF_BK_U!H$3,BaseCompleta!$C:$C,Pos_RF_BK_U!$B71)</f>
        <v>0</v>
      </c>
      <c r="I71" s="131">
        <f>+SUMIFS(BaseCompleta!$F:$F,BaseCompleta!$B:$B,Pos_RF_BK_U!I$3,BaseCompleta!$C:$C,Pos_RF_BK_U!$B71)</f>
        <v>0</v>
      </c>
      <c r="J71" s="131">
        <f>+SUMIFS(BaseCompleta!$F:$F,BaseCompleta!$B:$B,Pos_RF_BK_U!J$3,BaseCompleta!$C:$C,Pos_RF_BK_U!$B71)</f>
        <v>0</v>
      </c>
      <c r="K71" s="131"/>
      <c r="L71" s="132"/>
      <c r="M71" s="4" t="str">
        <f t="shared" si="3"/>
        <v>ok</v>
      </c>
      <c r="N71" s="74"/>
      <c r="O71" s="149"/>
      <c r="P71" s="149"/>
      <c r="Q71" s="149"/>
      <c r="R71" s="149"/>
      <c r="S71" s="149"/>
      <c r="T71" s="149"/>
    </row>
    <row r="72" spans="1:20">
      <c r="A72" s="75" t="s">
        <v>270</v>
      </c>
      <c r="B72" s="71" t="s">
        <v>225</v>
      </c>
      <c r="C72" s="87">
        <f>+SUMIFS(BaseCompleta!$F:$F,BaseCompleta!$C:$C,Pos_RF_BK_U!$B72)</f>
        <v>0</v>
      </c>
      <c r="D72" s="87">
        <f>+SUMIFS(BaseCompleta!$F:$F,BaseCompleta!$B:$B,Pos_RF_BK_U!D$3,BaseCompleta!$C:$C,Pos_RF_BK_U!$B72)</f>
        <v>0</v>
      </c>
      <c r="E72" s="87">
        <f>+SUMIFS(BaseCompleta!$F:$F,BaseCompleta!$B:$B,Pos_RF_BK_U!E$3,BaseCompleta!$C:$C,Pos_RF_BK_U!$B72)</f>
        <v>0</v>
      </c>
      <c r="F72" s="87">
        <f>+SUMIFS(BaseCompleta!$F:$F,BaseCompleta!$B:$B,Pos_RF_BK_U!F$3,BaseCompleta!$C:$C,Pos_RF_BK_U!$B72)</f>
        <v>0</v>
      </c>
      <c r="G72" s="87">
        <f>+SUMIFS(BaseCompleta!$F:$F,BaseCompleta!$B:$B,Pos_RF_BK_U!G$3,BaseCompleta!$C:$C,Pos_RF_BK_U!$B72)</f>
        <v>0</v>
      </c>
      <c r="H72" s="87">
        <f>+SUMIFS(BaseCompleta!$F:$F,BaseCompleta!$B:$B,Pos_RF_BK_U!H$3,BaseCompleta!$C:$C,Pos_RF_BK_U!$B72)</f>
        <v>0</v>
      </c>
      <c r="I72" s="87">
        <f>+SUMIFS(BaseCompleta!$F:$F,BaseCompleta!$B:$B,Pos_RF_BK_U!I$3,BaseCompleta!$C:$C,Pos_RF_BK_U!$B72)</f>
        <v>0</v>
      </c>
      <c r="J72" s="87">
        <f>+SUMIFS(BaseCompleta!$F:$F,BaseCompleta!$B:$B,Pos_RF_BK_U!J$3,BaseCompleta!$C:$C,Pos_RF_BK_U!$B72)</f>
        <v>0</v>
      </c>
      <c r="K72" s="87"/>
      <c r="L72" s="88"/>
      <c r="M72" s="4" t="str">
        <f t="shared" si="3"/>
        <v>ok</v>
      </c>
      <c r="N72" s="74"/>
      <c r="O72" s="149"/>
      <c r="P72" s="149"/>
      <c r="Q72" s="149"/>
      <c r="R72" s="149"/>
      <c r="S72" s="149"/>
      <c r="T72" s="149"/>
    </row>
    <row r="73" spans="1:20">
      <c r="A73" s="75" t="s">
        <v>270</v>
      </c>
      <c r="B73" s="71" t="s">
        <v>226</v>
      </c>
      <c r="C73" s="87">
        <f>+SUMIFS(BaseCompleta!$F:$F,BaseCompleta!$C:$C,Pos_RF_BK_U!$B73)</f>
        <v>0</v>
      </c>
      <c r="D73" s="87">
        <f>+SUMIFS(BaseCompleta!$F:$F,BaseCompleta!$B:$B,Pos_RF_BK_U!D$3,BaseCompleta!$C:$C,Pos_RF_BK_U!$B73)</f>
        <v>0</v>
      </c>
      <c r="E73" s="87">
        <f>+SUMIFS(BaseCompleta!$F:$F,BaseCompleta!$B:$B,Pos_RF_BK_U!E$3,BaseCompleta!$C:$C,Pos_RF_BK_U!$B73)</f>
        <v>0</v>
      </c>
      <c r="F73" s="87">
        <f>+SUMIFS(BaseCompleta!$F:$F,BaseCompleta!$B:$B,Pos_RF_BK_U!F$3,BaseCompleta!$C:$C,Pos_RF_BK_U!$B73)</f>
        <v>0</v>
      </c>
      <c r="G73" s="87">
        <f>+SUMIFS(BaseCompleta!$F:$F,BaseCompleta!$B:$B,Pos_RF_BK_U!G$3,BaseCompleta!$C:$C,Pos_RF_BK_U!$B73)</f>
        <v>0</v>
      </c>
      <c r="H73" s="87">
        <f>+SUMIFS(BaseCompleta!$F:$F,BaseCompleta!$B:$B,Pos_RF_BK_U!H$3,BaseCompleta!$C:$C,Pos_RF_BK_U!$B73)</f>
        <v>0</v>
      </c>
      <c r="I73" s="87">
        <f>+SUMIFS(BaseCompleta!$F:$F,BaseCompleta!$B:$B,Pos_RF_BK_U!I$3,BaseCompleta!$C:$C,Pos_RF_BK_U!$B73)</f>
        <v>0</v>
      </c>
      <c r="J73" s="87">
        <f>+SUMIFS(BaseCompleta!$F:$F,BaseCompleta!$B:$B,Pos_RF_BK_U!J$3,BaseCompleta!$C:$C,Pos_RF_BK_U!$B73)</f>
        <v>0</v>
      </c>
      <c r="K73" s="87"/>
      <c r="L73" s="88"/>
      <c r="M73" s="4" t="str">
        <f t="shared" si="3"/>
        <v>ok</v>
      </c>
      <c r="N73" s="74"/>
      <c r="O73" s="149"/>
      <c r="P73" s="149"/>
      <c r="Q73" s="149"/>
      <c r="R73" s="149"/>
      <c r="S73" s="149"/>
      <c r="T73" s="149"/>
    </row>
    <row r="74" spans="1:20">
      <c r="A74" s="127" t="s">
        <v>359</v>
      </c>
      <c r="B74" s="128" t="s">
        <v>227</v>
      </c>
      <c r="C74" s="131">
        <f>+SUMIFS(BaseCompleta!$F:$F,BaseCompleta!$C:$C,Pos_RF_BK_U!$B74)</f>
        <v>8981193825.2958298</v>
      </c>
      <c r="D74" s="131">
        <f>+SUMIFS(BaseCompleta!$F:$F,BaseCompleta!$B:$B,Pos_RF_BK_U!D$3,BaseCompleta!$C:$C,Pos_RF_BK_U!$B74)</f>
        <v>0</v>
      </c>
      <c r="E74" s="131">
        <f>+SUMIFS(BaseCompleta!$F:$F,BaseCompleta!$B:$B,Pos_RF_BK_U!E$3,BaseCompleta!$C:$C,Pos_RF_BK_U!$B74)</f>
        <v>3616193825.2958307</v>
      </c>
      <c r="F74" s="131">
        <f>+SUMIFS(BaseCompleta!$F:$F,BaseCompleta!$B:$B,Pos_RF_BK_U!F$3,BaseCompleta!$C:$C,Pos_RF_BK_U!$B74)</f>
        <v>3970000000</v>
      </c>
      <c r="G74" s="131">
        <f>+SUMIFS(BaseCompleta!$F:$F,BaseCompleta!$B:$B,Pos_RF_BK_U!G$3,BaseCompleta!$C:$C,Pos_RF_BK_U!$B74)</f>
        <v>1055000000</v>
      </c>
      <c r="H74" s="131">
        <f>+SUMIFS(BaseCompleta!$F:$F,BaseCompleta!$B:$B,Pos_RF_BK_U!H$3,BaseCompleta!$C:$C,Pos_RF_BK_U!$B74)</f>
        <v>340000000</v>
      </c>
      <c r="I74" s="131">
        <f>+SUMIFS(BaseCompleta!$F:$F,BaseCompleta!$B:$B,Pos_RF_BK_U!I$3,BaseCompleta!$C:$C,Pos_RF_BK_U!$B74)</f>
        <v>0</v>
      </c>
      <c r="J74" s="131">
        <f>+SUMIFS(BaseCompleta!$F:$F,BaseCompleta!$B:$B,Pos_RF_BK_U!J$3,BaseCompleta!$C:$C,Pos_RF_BK_U!$B74)</f>
        <v>0</v>
      </c>
      <c r="K74" s="131"/>
      <c r="L74" s="132"/>
      <c r="M74" s="4" t="str">
        <f t="shared" si="3"/>
        <v>ok</v>
      </c>
      <c r="N74" s="74"/>
      <c r="O74" s="149"/>
      <c r="P74" s="149"/>
      <c r="Q74" s="149"/>
      <c r="R74" s="149"/>
      <c r="S74" s="149"/>
      <c r="T74" s="149"/>
    </row>
    <row r="75" spans="1:20">
      <c r="A75" s="127" t="s">
        <v>360</v>
      </c>
      <c r="B75" s="128" t="s">
        <v>228</v>
      </c>
      <c r="C75" s="131">
        <f>+SUMIFS(BaseCompleta!$F:$F,BaseCompleta!$C:$C,Pos_RF_BK_U!$B75)</f>
        <v>450000000</v>
      </c>
      <c r="D75" s="131">
        <f>+SUMIFS(BaseCompleta!$F:$F,BaseCompleta!$B:$B,Pos_RF_BK_U!D$3,BaseCompleta!$C:$C,Pos_RF_BK_U!$B75)</f>
        <v>0</v>
      </c>
      <c r="E75" s="131">
        <f>+SUMIFS(BaseCompleta!$F:$F,BaseCompleta!$B:$B,Pos_RF_BK_U!E$3,BaseCompleta!$C:$C,Pos_RF_BK_U!$B75)</f>
        <v>0</v>
      </c>
      <c r="F75" s="131">
        <f>+SUMIFS(BaseCompleta!$F:$F,BaseCompleta!$B:$B,Pos_RF_BK_U!F$3,BaseCompleta!$C:$C,Pos_RF_BK_U!$B75)</f>
        <v>450000000</v>
      </c>
      <c r="G75" s="131">
        <f>+SUMIFS(BaseCompleta!$F:$F,BaseCompleta!$B:$B,Pos_RF_BK_U!G$3,BaseCompleta!$C:$C,Pos_RF_BK_U!$B75)</f>
        <v>0</v>
      </c>
      <c r="H75" s="131">
        <f>+SUMIFS(BaseCompleta!$F:$F,BaseCompleta!$B:$B,Pos_RF_BK_U!H$3,BaseCompleta!$C:$C,Pos_RF_BK_U!$B75)</f>
        <v>0</v>
      </c>
      <c r="I75" s="131">
        <f>+SUMIFS(BaseCompleta!$F:$F,BaseCompleta!$B:$B,Pos_RF_BK_U!I$3,BaseCompleta!$C:$C,Pos_RF_BK_U!$B75)</f>
        <v>0</v>
      </c>
      <c r="J75" s="131">
        <f>+SUMIFS(BaseCompleta!$F:$F,BaseCompleta!$B:$B,Pos_RF_BK_U!J$3,BaseCompleta!$C:$C,Pos_RF_BK_U!$B75)</f>
        <v>0</v>
      </c>
      <c r="K75" s="131"/>
      <c r="L75" s="132"/>
      <c r="M75" s="4" t="str">
        <f t="shared" si="3"/>
        <v>ok</v>
      </c>
      <c r="N75" s="74"/>
      <c r="O75" s="149"/>
      <c r="P75" s="149"/>
      <c r="Q75" s="149"/>
      <c r="R75" s="149"/>
      <c r="S75" s="149"/>
    </row>
    <row r="76" spans="1:20" ht="15.75" thickBot="1">
      <c r="A76" s="65"/>
      <c r="B76" s="89"/>
      <c r="C76" s="67">
        <f>+SUMIFS(BaseCompleta!$F:$F,BaseCompleta!$C:$C,Pos_RF_BK_U!$B76)</f>
        <v>0</v>
      </c>
      <c r="D76" s="67">
        <f>+SUMIFS(BaseCompleta!$F:$F,BaseCompleta!$B:$B,Pos_RF_BK_U!D$3,BaseCompleta!$C:$C,Pos_RF_BK_U!$B76)</f>
        <v>0</v>
      </c>
      <c r="E76" s="67">
        <f>+SUMIFS(BaseCompleta!$F:$F,BaseCompleta!$B:$B,Pos_RF_BK_U!E$3,BaseCompleta!$C:$C,Pos_RF_BK_U!$B76)</f>
        <v>0</v>
      </c>
      <c r="F76" s="67">
        <f>+SUMIFS(BaseCompleta!$F:$F,BaseCompleta!$B:$B,Pos_RF_BK_U!F$3,BaseCompleta!$C:$C,Pos_RF_BK_U!$B76)</f>
        <v>0</v>
      </c>
      <c r="G76" s="67">
        <f>+SUMIFS(BaseCompleta!$F:$F,BaseCompleta!$B:$B,Pos_RF_BK_U!G$3,BaseCompleta!$C:$C,Pos_RF_BK_U!$B76)</f>
        <v>0</v>
      </c>
      <c r="H76" s="67"/>
      <c r="I76" s="67"/>
      <c r="J76" s="67"/>
      <c r="K76" s="67"/>
      <c r="L76" s="90"/>
      <c r="M76" s="4"/>
      <c r="N76" s="74"/>
      <c r="O76" s="149"/>
      <c r="P76" s="149"/>
      <c r="Q76" s="149"/>
      <c r="R76" s="149"/>
      <c r="S76" s="149"/>
    </row>
    <row r="77" spans="1:20">
      <c r="O77" s="149"/>
      <c r="P77" s="149"/>
      <c r="Q77" s="149"/>
      <c r="R77" s="149"/>
      <c r="S77" s="149"/>
    </row>
    <row r="78" spans="1:20">
      <c r="C78" s="92" t="s">
        <v>229</v>
      </c>
      <c r="D78" s="93">
        <f>0.5*4</f>
        <v>2</v>
      </c>
      <c r="E78" s="93">
        <f>1.5*4</f>
        <v>6</v>
      </c>
      <c r="F78" s="93">
        <v>2.5</v>
      </c>
      <c r="G78" s="93">
        <f>3.5</f>
        <v>3.5</v>
      </c>
      <c r="H78" s="93">
        <f>5</f>
        <v>5</v>
      </c>
      <c r="I78" s="93">
        <f>8</f>
        <v>8</v>
      </c>
      <c r="J78" s="93"/>
      <c r="K78" s="93">
        <v>2.5</v>
      </c>
      <c r="L78" s="93">
        <v>2</v>
      </c>
      <c r="O78" s="149"/>
      <c r="P78" s="149"/>
      <c r="Q78" s="149"/>
      <c r="R78" s="149"/>
      <c r="S78" s="149"/>
    </row>
    <row r="79" spans="1:20">
      <c r="C79" s="92" t="s">
        <v>230</v>
      </c>
      <c r="D79" s="94">
        <f t="shared" ref="D79:L79" si="4">D4*D78</f>
        <v>0</v>
      </c>
      <c r="E79" s="94">
        <f t="shared" si="4"/>
        <v>0</v>
      </c>
      <c r="F79" s="94">
        <f t="shared" si="4"/>
        <v>0</v>
      </c>
      <c r="G79" s="94">
        <f t="shared" si="4"/>
        <v>0</v>
      </c>
      <c r="H79" s="94">
        <f t="shared" si="4"/>
        <v>0</v>
      </c>
      <c r="I79" s="94">
        <f t="shared" si="4"/>
        <v>0</v>
      </c>
      <c r="J79" s="94"/>
      <c r="K79" s="94">
        <f t="shared" si="4"/>
        <v>0</v>
      </c>
      <c r="L79" s="94">
        <f t="shared" si="4"/>
        <v>0</v>
      </c>
      <c r="O79" s="149"/>
      <c r="P79" s="149"/>
      <c r="Q79" s="149"/>
      <c r="R79" s="149"/>
      <c r="S79" s="149"/>
    </row>
    <row r="80" spans="1:20">
      <c r="B80" s="227"/>
      <c r="C80" s="95" t="s">
        <v>231</v>
      </c>
      <c r="D80" s="96">
        <v>1</v>
      </c>
      <c r="E80" s="96"/>
      <c r="F80" s="96"/>
      <c r="G80" s="96"/>
      <c r="H80" s="96"/>
      <c r="I80" s="96"/>
      <c r="J80" s="96"/>
      <c r="K80" s="96"/>
      <c r="L80" s="96"/>
      <c r="O80" s="149"/>
      <c r="P80" s="149"/>
      <c r="Q80" s="149"/>
      <c r="R80" s="149"/>
      <c r="S80" s="149"/>
    </row>
    <row r="81" spans="2:19">
      <c r="O81" s="149"/>
      <c r="P81" s="149"/>
      <c r="Q81" s="149"/>
      <c r="R81" s="149"/>
      <c r="S81" s="149"/>
    </row>
    <row r="82" spans="2:19">
      <c r="C82" s="61"/>
      <c r="D82" s="61"/>
      <c r="E82" s="61"/>
      <c r="F82" s="61"/>
      <c r="G82" s="61"/>
      <c r="K82" s="61"/>
      <c r="L82" s="61"/>
      <c r="O82" s="149"/>
      <c r="P82" s="149"/>
      <c r="Q82" s="149"/>
      <c r="R82" s="149"/>
      <c r="S82" s="149"/>
    </row>
    <row r="83" spans="2:19">
      <c r="C83" s="61"/>
      <c r="D83" s="98"/>
      <c r="E83" s="149"/>
      <c r="F83" s="149"/>
      <c r="G83" s="61"/>
      <c r="H83" s="218"/>
      <c r="I83" s="218"/>
      <c r="J83" s="218"/>
      <c r="K83" s="149"/>
      <c r="L83" s="149"/>
      <c r="O83" s="149"/>
      <c r="P83" s="149"/>
      <c r="Q83" s="149"/>
      <c r="R83" s="149"/>
      <c r="S83" s="149"/>
    </row>
    <row r="84" spans="2:19">
      <c r="C84" s="61"/>
      <c r="D84" s="61"/>
      <c r="E84" s="149"/>
      <c r="F84" s="149"/>
      <c r="G84" s="61"/>
      <c r="H84" s="218"/>
      <c r="I84" s="218"/>
      <c r="J84" s="218"/>
      <c r="K84" s="149"/>
      <c r="L84" s="149"/>
      <c r="O84" s="149"/>
      <c r="P84" s="149"/>
      <c r="Q84" s="149"/>
      <c r="R84" s="149"/>
      <c r="S84" s="149"/>
    </row>
    <row r="85" spans="2:19">
      <c r="C85" s="61"/>
      <c r="D85" s="61"/>
      <c r="E85" s="97"/>
      <c r="F85" s="2"/>
      <c r="G85" s="61"/>
      <c r="H85" s="218"/>
      <c r="I85" s="218"/>
      <c r="J85" s="218"/>
      <c r="K85" s="149"/>
      <c r="L85" s="149"/>
      <c r="O85" s="149"/>
      <c r="P85" s="149"/>
      <c r="Q85" s="149"/>
      <c r="R85" s="149"/>
      <c r="S85" s="149"/>
    </row>
    <row r="86" spans="2:19">
      <c r="B86" s="99"/>
      <c r="C86" s="98"/>
      <c r="D86" s="61"/>
      <c r="E86" s="97"/>
      <c r="F86" s="218"/>
      <c r="G86" s="61"/>
      <c r="H86" s="218"/>
      <c r="I86" s="218"/>
      <c r="J86" s="218"/>
      <c r="K86" s="149"/>
      <c r="L86" s="149"/>
      <c r="O86" s="149"/>
      <c r="P86" s="149"/>
      <c r="Q86" s="149"/>
      <c r="R86" s="149"/>
      <c r="S86" s="149"/>
    </row>
    <row r="87" spans="2:19">
      <c r="C87" s="98"/>
      <c r="D87" s="61"/>
      <c r="E87" s="97"/>
      <c r="F87" s="218"/>
      <c r="G87" s="61"/>
      <c r="H87" s="218"/>
      <c r="I87" s="218"/>
      <c r="J87" s="218"/>
      <c r="K87" s="149"/>
      <c r="L87" s="149"/>
      <c r="O87" s="149"/>
      <c r="P87" s="149"/>
      <c r="Q87" s="149"/>
      <c r="R87" s="149"/>
      <c r="S87" s="149"/>
    </row>
    <row r="88" spans="2:19">
      <c r="C88" s="61"/>
      <c r="D88" s="61"/>
      <c r="E88" s="149"/>
      <c r="F88" s="218"/>
      <c r="G88" s="61"/>
      <c r="H88" s="218"/>
      <c r="I88" s="218"/>
      <c r="J88" s="218"/>
      <c r="K88" s="149"/>
      <c r="L88" s="149"/>
      <c r="O88" s="149"/>
      <c r="P88" s="149"/>
      <c r="Q88" s="149"/>
      <c r="R88" s="149"/>
      <c r="S88" s="149"/>
    </row>
    <row r="89" spans="2:19">
      <c r="D89" s="61"/>
      <c r="E89" s="149"/>
      <c r="F89" s="149"/>
      <c r="G89" s="61"/>
      <c r="H89" s="218"/>
      <c r="I89" s="218"/>
      <c r="J89" s="218"/>
      <c r="K89" s="149"/>
      <c r="L89" s="149"/>
    </row>
    <row r="90" spans="2:19">
      <c r="E90" s="149"/>
      <c r="F90" s="149"/>
      <c r="G90" s="61"/>
      <c r="H90" s="218"/>
      <c r="I90" s="218"/>
      <c r="J90" s="218"/>
      <c r="K90" s="149"/>
      <c r="L90" s="149"/>
    </row>
    <row r="91" spans="2:19">
      <c r="E91" s="149"/>
      <c r="F91" s="149"/>
      <c r="G91" s="61"/>
      <c r="H91" s="218"/>
      <c r="I91" s="218"/>
      <c r="J91" s="218"/>
      <c r="K91" s="149"/>
      <c r="L91" s="149"/>
    </row>
    <row r="92" spans="2:19">
      <c r="E92" s="149"/>
      <c r="F92" s="149"/>
      <c r="G92" s="61"/>
      <c r="H92" s="218"/>
      <c r="I92" s="218"/>
      <c r="J92" s="218"/>
      <c r="K92" s="149"/>
      <c r="L92" s="149"/>
    </row>
    <row r="93" spans="2:19">
      <c r="E93" s="149"/>
      <c r="F93" s="149"/>
      <c r="G93" s="61"/>
      <c r="H93" s="218"/>
      <c r="I93" s="218"/>
      <c r="J93" s="218"/>
      <c r="K93" s="149"/>
      <c r="L93" s="149"/>
    </row>
    <row r="94" spans="2:19">
      <c r="E94" s="149"/>
      <c r="F94" s="149"/>
      <c r="G94" s="61"/>
      <c r="H94" s="218"/>
      <c r="I94" s="218"/>
      <c r="J94" s="218"/>
      <c r="K94" s="149"/>
      <c r="L94" s="149"/>
    </row>
    <row r="95" spans="2:19">
      <c r="E95" s="97"/>
      <c r="F95" s="100"/>
      <c r="G95" s="61"/>
      <c r="H95" s="218"/>
      <c r="I95" s="218"/>
      <c r="J95" s="218"/>
    </row>
    <row r="96" spans="2:19">
      <c r="E96" s="97"/>
      <c r="G96" s="61"/>
      <c r="H96" s="218"/>
      <c r="I96" s="218"/>
      <c r="J96" s="218"/>
    </row>
    <row r="97" spans="5:10">
      <c r="E97" s="97"/>
      <c r="G97" s="61"/>
      <c r="H97" s="218"/>
      <c r="I97" s="218"/>
      <c r="J97" s="218"/>
    </row>
    <row r="98" spans="5:10">
      <c r="G98" s="61"/>
      <c r="H98" s="218"/>
      <c r="I98" s="218"/>
      <c r="J98" s="218"/>
    </row>
    <row r="99" spans="5:10">
      <c r="G99" s="61"/>
      <c r="H99" s="218"/>
      <c r="I99" s="218"/>
      <c r="J99" s="218"/>
    </row>
  </sheetData>
  <mergeCells count="2">
    <mergeCell ref="A1:L1"/>
    <mergeCell ref="A2:L2"/>
  </mergeCells>
  <conditionalFormatting sqref="C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{0339C7A1-4F27-47AA-9C13-5119734B87A3}</x14:id>
        </ext>
      </extLst>
    </cfRule>
  </conditionalFormatting>
  <conditionalFormatting sqref="C5:L48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{397D623A-C6C5-4CA5-B229-2527921AC85D}</x14:id>
        </ext>
      </extLst>
    </cfRule>
  </conditionalFormatting>
  <conditionalFormatting sqref="C5:C48">
    <cfRule type="dataBar" priority="4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{7AFE2119-FB9F-473F-BA3B-6F5D5E272BE9}</x14:id>
        </ext>
      </extLst>
    </cfRule>
  </conditionalFormatting>
  <conditionalFormatting sqref="D5:D48 H5:J5 E5:G4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{4B654F0C-85D6-42B9-8B0A-1BE94563F4F6}</x14:id>
        </ext>
      </extLst>
    </cfRule>
  </conditionalFormatting>
  <conditionalFormatting sqref="E5:E48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{64F1B58C-81EA-46B9-A2F9-2079A3CF3DFB}</x14:id>
        </ext>
      </extLst>
    </cfRule>
  </conditionalFormatting>
  <conditionalFormatting sqref="G5:J5 F5:F48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{D9C7CB84-78F7-4AA5-9DE0-045E3FBAF342}</x14:id>
        </ext>
      </extLst>
    </cfRule>
  </conditionalFormatting>
  <conditionalFormatting sqref="G5:G48 H5:J5">
    <cfRule type="dataBar" priority="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{3ABD4A36-684E-4C74-B70D-B4E6FA263EE4}</x14:id>
        </ext>
      </extLst>
    </cfRule>
  </conditionalFormatting>
  <conditionalFormatting sqref="H5:H48 I5:J5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{3D35D3E1-A440-48A2-841C-833A20F87B1B}</x14:id>
        </ext>
      </extLst>
    </cfRule>
  </conditionalFormatting>
  <conditionalFormatting sqref="I5:J48">
    <cfRule type="dataBar" priority="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{8A581F47-D714-4982-9D16-A03BBB3F9693}</x14:id>
        </ext>
      </extLst>
    </cfRule>
  </conditionalFormatting>
  <conditionalFormatting sqref="K5:K48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{5130E860-674D-4DBD-8DF2-0B4D0F250B53}</x14:id>
        </ext>
      </extLst>
    </cfRule>
  </conditionalFormatting>
  <conditionalFormatting sqref="L5:L48">
    <cfRule type="dataBar" priority="5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{1E072309-8CE4-4CDF-A7CA-907B4DBF5B77}</x14:id>
        </ext>
      </extLst>
    </cfRule>
  </conditionalFormatting>
  <conditionalFormatting sqref="D5:D48 H5:J5 E5:G46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{4228609D-1A3E-49E1-BB6B-DF8256951E76}</x14:id>
        </ext>
      </extLst>
    </cfRule>
  </conditionalFormatting>
  <conditionalFormatting sqref="E5:E48">
    <cfRule type="dataBar" priority="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{2804A5BF-A073-449D-8A21-D90F7A467906}</x14:id>
        </ext>
      </extLst>
    </cfRule>
  </conditionalFormatting>
  <conditionalFormatting sqref="E5:E48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{91026DEF-CFFB-46E2-A055-65072AEC487C}</x14:id>
        </ext>
      </extLst>
    </cfRule>
  </conditionalFormatting>
  <conditionalFormatting sqref="G5:G48 H5:J5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{CE3DF35A-AB28-4B31-AB9A-8BE457287368}</x14:id>
        </ext>
      </extLst>
    </cfRule>
  </conditionalFormatting>
  <conditionalFormatting sqref="G5:G48 H5:J49 H76:J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{68910721-ACA1-4997-9EAF-F5C262561277}</x14:id>
        </ext>
      </extLst>
    </cfRule>
  </conditionalFormatting>
  <conditionalFormatting sqref="G5:G48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{1F2888B3-259A-4624-AC28-6A322A3CE2AD}</x14:id>
        </ext>
      </extLst>
    </cfRule>
  </conditionalFormatting>
  <conditionalFormatting sqref="H5:H48 I5:J5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{15BE0B27-0891-4562-B9A7-8A5BBFA34E99}</x14:id>
        </ext>
      </extLst>
    </cfRule>
  </conditionalFormatting>
  <conditionalFormatting sqref="H5:J48">
    <cfRule type="dataBar" priority="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{AE545384-C11F-4C6E-A2F1-7B737494080D}</x14:id>
        </ext>
      </extLst>
    </cfRule>
  </conditionalFormatting>
  <conditionalFormatting sqref="H5:J4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{217EB845-B2DE-4271-9802-020724FB3BB2}</x14:id>
        </ext>
      </extLst>
    </cfRule>
  </conditionalFormatting>
  <conditionalFormatting sqref="H5:J48"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{1C6761F8-2044-4563-82A1-B4ADF5C7A0CF}</x14:id>
        </ext>
      </extLst>
    </cfRule>
  </conditionalFormatting>
  <conditionalFormatting sqref="I5:J4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{A1BBE24F-2F80-4D86-BD97-4625DA75E31B}</x14:id>
        </ext>
      </extLst>
    </cfRule>
  </conditionalFormatting>
  <conditionalFormatting sqref="I5:J48">
    <cfRule type="dataBar" priority="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{6520582E-C06C-4907-8AD6-F604D271AB12}</x14:id>
        </ext>
      </extLst>
    </cfRule>
  </conditionalFormatting>
  <conditionalFormatting sqref="I5:J4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{750308D3-C987-4ADB-B032-B092B907195A}</x14:id>
        </ext>
      </extLst>
    </cfRule>
  </conditionalFormatting>
  <conditionalFormatting sqref="I5:J48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{639D0E06-BEB5-402F-AFFD-7E80B93DD34B}</x14:id>
        </ext>
      </extLst>
    </cfRule>
  </conditionalFormatting>
  <conditionalFormatting sqref="I5:J4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{5FCE81B5-81F1-4535-95A1-21B48D58BE76}</x14:id>
        </ext>
      </extLst>
    </cfRule>
  </conditionalFormatting>
  <conditionalFormatting sqref="L5:L48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{E3D9D028-2B45-4883-8410-779B108EF02F}</x14:id>
        </ext>
      </extLst>
    </cfRule>
  </conditionalFormatting>
  <conditionalFormatting sqref="L5:L4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{ABF95247-02C5-451F-AA1A-8FBDFE1A0AAE}</x14:id>
        </ext>
      </extLst>
    </cfRule>
  </conditionalFormatting>
  <conditionalFormatting sqref="L5:L48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{B55B34D1-862C-4A76-A90C-BE8FE431D96C}</x14:id>
        </ext>
      </extLst>
    </cfRule>
  </conditionalFormatting>
  <conditionalFormatting sqref="L5:L4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{BE46ABB9-0C83-46FC-B2F7-9BDA61C6CF90}</x14:id>
        </ext>
      </extLst>
    </cfRule>
  </conditionalFormatting>
  <conditionalFormatting sqref="L5:L48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{6187BCFA-96C2-4CB5-981F-25B2EE1A1924}</x14:id>
        </ext>
      </extLst>
    </cfRule>
  </conditionalFormatting>
  <conditionalFormatting sqref="L5:L4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{34F086FD-D71D-45B4-9A16-574376F04153}</x14:id>
        </ext>
      </extLst>
    </cfRule>
  </conditionalFormatting>
  <conditionalFormatting sqref="K5:K48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{19C6E7E9-B4F9-4E71-9F08-32B2893722EC}</x14:id>
        </ext>
      </extLst>
    </cfRule>
  </conditionalFormatting>
  <conditionalFormatting sqref="K5:K4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{4D519A1E-EDDA-429F-B00E-034CC283A285}</x14:id>
        </ext>
      </extLst>
    </cfRule>
  </conditionalFormatting>
  <conditionalFormatting sqref="K5:K48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{6516810D-D411-41E8-814A-BE514D145827}</x14:id>
        </ext>
      </extLst>
    </cfRule>
  </conditionalFormatting>
  <conditionalFormatting sqref="K5:K4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{0AE02466-BC5F-4A69-9EFA-E618D2942964}</x14:id>
        </ext>
      </extLst>
    </cfRule>
  </conditionalFormatting>
  <conditionalFormatting sqref="K5:K48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{A9E41323-CD64-4572-AE56-D467E9C7AFD1}</x14:id>
        </ext>
      </extLst>
    </cfRule>
  </conditionalFormatting>
  <conditionalFormatting sqref="K5:K4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{8AE7FC14-43F8-4EF4-959E-8CB1B6662250}</x14:id>
        </ext>
      </extLst>
    </cfRule>
  </conditionalFormatting>
  <conditionalFormatting sqref="K5:K48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{80E114A1-A391-48B5-AD26-475C011EBD52}</x14:id>
        </ext>
      </extLst>
    </cfRule>
  </conditionalFormatting>
  <conditionalFormatting sqref="C49:L49 F50:J50 H51:J75 C50:E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{D105556E-71E0-4DE8-9BDB-03BCAAF46ECC}</x14:id>
        </ext>
      </extLst>
    </cfRule>
  </conditionalFormatting>
  <conditionalFormatting sqref="C50:C7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{56D85D51-4219-44B0-90C5-09A68388FD63}</x14:id>
        </ext>
      </extLst>
    </cfRule>
  </conditionalFormatting>
  <conditionalFormatting sqref="D50:D7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{214DC6B0-50F8-4724-9862-3BF3B2B1C332}</x14:id>
        </ext>
      </extLst>
    </cfRule>
  </conditionalFormatting>
  <conditionalFormatting sqref="F50:J50 E50:E76 H51:J75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{7030C099-AD4D-4E1C-9865-0B5C839CD4D2}</x14:id>
        </ext>
      </extLst>
    </cfRule>
  </conditionalFormatting>
  <conditionalFormatting sqref="F51:F7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{625F8D7B-E7C2-492C-B290-E1B9A08E912D}</x14:id>
        </ext>
      </extLst>
    </cfRule>
  </conditionalFormatting>
  <conditionalFormatting sqref="G51:G7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{3E17CFEC-9E92-4DDE-AC17-6654D6FD389E}</x14:id>
        </ext>
      </extLst>
    </cfRule>
  </conditionalFormatting>
  <conditionalFormatting sqref="H7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{E50E2288-9A20-427C-99CC-AC6D3AA1E6BB}</x14:id>
        </ext>
      </extLst>
    </cfRule>
  </conditionalFormatting>
  <conditionalFormatting sqref="I76:J7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{8BCA1D78-F824-4A98-AC0C-2B384B6C282C}</x14:id>
        </ext>
      </extLst>
    </cfRule>
  </conditionalFormatting>
  <conditionalFormatting sqref="K50:K7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{3A2F7FA3-70DE-4800-B3D4-F7D317586AF5}</x14:id>
        </ext>
      </extLst>
    </cfRule>
  </conditionalFormatting>
  <conditionalFormatting sqref="L50:L76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{C63F10AB-F373-44F9-9720-6A85CA017CC5}</x14:id>
        </ext>
      </extLst>
    </cfRule>
  </conditionalFormatting>
  <conditionalFormatting sqref="F50:J50 E50:E76 H51:J75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{192220E8-418D-4F96-A92B-DCB89A4A9D09}</x14:id>
        </ext>
      </extLst>
    </cfRule>
  </conditionalFormatting>
  <conditionalFormatting sqref="G51:G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{2280878B-4680-4CA5-A8B9-F56C8D346B12}</x14:id>
        </ext>
      </extLst>
    </cfRule>
  </conditionalFormatting>
  <conditionalFormatting sqref="G51:G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{1AC4F111-90CB-4EF4-AB2A-B68C908F7093}</x14:id>
        </ext>
      </extLst>
    </cfRule>
  </conditionalFormatting>
  <pageMargins left="0.25" right="0.25" top="0.75" bottom="0.75" header="0.3" footer="0.3"/>
  <pageSetup scale="33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39C7A1-4F27-47AA-9C13-5119734B87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</xm:sqref>
        </x14:conditionalFormatting>
        <x14:conditionalFormatting xmlns:xm="http://schemas.microsoft.com/office/excel/2006/main">
          <x14:cfRule type="dataBar" id="{397D623A-C6C5-4CA5-B229-2527921AC8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C5:L48</xm:sqref>
        </x14:conditionalFormatting>
        <x14:conditionalFormatting xmlns:xm="http://schemas.microsoft.com/office/excel/2006/main">
          <x14:cfRule type="dataBar" id="{7AFE2119-FB9F-473F-BA3B-6F5D5E272BE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C5:C48</xm:sqref>
        </x14:conditionalFormatting>
        <x14:conditionalFormatting xmlns:xm="http://schemas.microsoft.com/office/excel/2006/main">
          <x14:cfRule type="dataBar" id="{4B654F0C-85D6-42B9-8B0A-1BE94563F4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D5:D48 H5:J5 E5:G46</xm:sqref>
        </x14:conditionalFormatting>
        <x14:conditionalFormatting xmlns:xm="http://schemas.microsoft.com/office/excel/2006/main">
          <x14:cfRule type="dataBar" id="{64F1B58C-81EA-46B9-A2F9-2079A3CF3D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E5:E48</xm:sqref>
        </x14:conditionalFormatting>
        <x14:conditionalFormatting xmlns:xm="http://schemas.microsoft.com/office/excel/2006/main">
          <x14:cfRule type="dataBar" id="{D9C7CB84-78F7-4AA5-9DE0-045E3FBAF3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G5:J5 F5:F48</xm:sqref>
        </x14:conditionalFormatting>
        <x14:conditionalFormatting xmlns:xm="http://schemas.microsoft.com/office/excel/2006/main">
          <x14:cfRule type="dataBar" id="{3ABD4A36-684E-4C74-B70D-B4E6FA263EE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 H5:J5</xm:sqref>
        </x14:conditionalFormatting>
        <x14:conditionalFormatting xmlns:xm="http://schemas.microsoft.com/office/excel/2006/main">
          <x14:cfRule type="dataBar" id="{3D35D3E1-A440-48A2-841C-833A20F87B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H5:H48 I5:J5</xm:sqref>
        </x14:conditionalFormatting>
        <x14:conditionalFormatting xmlns:xm="http://schemas.microsoft.com/office/excel/2006/main">
          <x14:cfRule type="dataBar" id="{8A581F47-D714-4982-9D16-A03BBB3F969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5130E860-674D-4DBD-8DF2-0B4D0F250B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1E072309-8CE4-4CDF-A7CA-907B4DBF5B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4228609D-1A3E-49E1-BB6B-DF8256951E7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D5:D48 H5:J5 E5:G46</xm:sqref>
        </x14:conditionalFormatting>
        <x14:conditionalFormatting xmlns:xm="http://schemas.microsoft.com/office/excel/2006/main">
          <x14:cfRule type="dataBar" id="{2804A5BF-A073-449D-8A21-D90F7A4679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E5:E48</xm:sqref>
        </x14:conditionalFormatting>
        <x14:conditionalFormatting xmlns:xm="http://schemas.microsoft.com/office/excel/2006/main">
          <x14:cfRule type="dataBar" id="{91026DEF-CFFB-46E2-A055-65072AEC48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E5:E48</xm:sqref>
        </x14:conditionalFormatting>
        <x14:conditionalFormatting xmlns:xm="http://schemas.microsoft.com/office/excel/2006/main">
          <x14:cfRule type="dataBar" id="{CE3DF35A-AB28-4B31-AB9A-8BE45728736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 H5:J5</xm:sqref>
        </x14:conditionalFormatting>
        <x14:conditionalFormatting xmlns:xm="http://schemas.microsoft.com/office/excel/2006/main">
          <x14:cfRule type="dataBar" id="{68910721-ACA1-4997-9EAF-F5C2625612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 H5:J49 H76:J76</xm:sqref>
        </x14:conditionalFormatting>
        <x14:conditionalFormatting xmlns:xm="http://schemas.microsoft.com/office/excel/2006/main">
          <x14:cfRule type="dataBar" id="{1F2888B3-259A-4624-AC28-6A322A3CE2A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</xm:sqref>
        </x14:conditionalFormatting>
        <x14:conditionalFormatting xmlns:xm="http://schemas.microsoft.com/office/excel/2006/main">
          <x14:cfRule type="dataBar" id="{15BE0B27-0891-4562-B9A7-8A5BBFA34E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H5:H48 I5:J5</xm:sqref>
        </x14:conditionalFormatting>
        <x14:conditionalFormatting xmlns:xm="http://schemas.microsoft.com/office/excel/2006/main">
          <x14:cfRule type="dataBar" id="{AE545384-C11F-4C6E-A2F1-7B737494080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H5:J48</xm:sqref>
        </x14:conditionalFormatting>
        <x14:conditionalFormatting xmlns:xm="http://schemas.microsoft.com/office/excel/2006/main">
          <x14:cfRule type="dataBar" id="{217EB845-B2DE-4271-9802-020724FB3B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H5:J48</xm:sqref>
        </x14:conditionalFormatting>
        <x14:conditionalFormatting xmlns:xm="http://schemas.microsoft.com/office/excel/2006/main">
          <x14:cfRule type="dataBar" id="{1C6761F8-2044-4563-82A1-B4ADF5C7A0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H5:J48</xm:sqref>
        </x14:conditionalFormatting>
        <x14:conditionalFormatting xmlns:xm="http://schemas.microsoft.com/office/excel/2006/main">
          <x14:cfRule type="dataBar" id="{A1BBE24F-2F80-4D86-BD97-4625DA75E3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6520582E-C06C-4907-8AD6-F604D271AB1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750308D3-C987-4ADB-B032-B092B907195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639D0E06-BEB5-402F-AFFD-7E80B93DD34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5FCE81B5-81F1-4535-95A1-21B48D58BE7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E3D9D028-2B45-4883-8410-779B108EF02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ABF95247-02C5-451F-AA1A-8FBDFE1A0AA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B55B34D1-862C-4A76-A90C-BE8FE431D96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BE46ABB9-0C83-46FC-B2F7-9BDA61C6CF9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6187BCFA-96C2-4CB5-981F-25B2EE1A19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34F086FD-D71D-45B4-9A16-574376F041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19C6E7E9-B4F9-4E71-9F08-32B2893722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4D519A1E-EDDA-429F-B00E-034CC283A28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6516810D-D411-41E8-814A-BE514D1458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0AE02466-BC5F-4A69-9EFA-E618D29429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A9E41323-CD64-4572-AE56-D467E9C7AF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8AE7FC14-43F8-4EF4-959E-8CB1B66622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80E114A1-A391-48B5-AD26-475C011EBD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D105556E-71E0-4DE8-9BDB-03BCAAF46E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C49:L49 F50:J50 H51:J75 C50:E76</xm:sqref>
        </x14:conditionalFormatting>
        <x14:conditionalFormatting xmlns:xm="http://schemas.microsoft.com/office/excel/2006/main">
          <x14:cfRule type="dataBar" id="{56D85D51-4219-44B0-90C5-09A68388F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C50:C76</xm:sqref>
        </x14:conditionalFormatting>
        <x14:conditionalFormatting xmlns:xm="http://schemas.microsoft.com/office/excel/2006/main">
          <x14:cfRule type="dataBar" id="{214DC6B0-50F8-4724-9862-3BF3B2B1C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D50:D76</xm:sqref>
        </x14:conditionalFormatting>
        <x14:conditionalFormatting xmlns:xm="http://schemas.microsoft.com/office/excel/2006/main">
          <x14:cfRule type="dataBar" id="{7030C099-AD4D-4E1C-9865-0B5C839CD4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F50:J50 E50:E76 H51:J75</xm:sqref>
        </x14:conditionalFormatting>
        <x14:conditionalFormatting xmlns:xm="http://schemas.microsoft.com/office/excel/2006/main">
          <x14:cfRule type="dataBar" id="{625F8D7B-E7C2-492C-B290-E1B9A08E91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F51:F76</xm:sqref>
        </x14:conditionalFormatting>
        <x14:conditionalFormatting xmlns:xm="http://schemas.microsoft.com/office/excel/2006/main">
          <x14:cfRule type="dataBar" id="{3E17CFEC-9E92-4DDE-AC17-6654D6FD38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G51:G76</xm:sqref>
        </x14:conditionalFormatting>
        <x14:conditionalFormatting xmlns:xm="http://schemas.microsoft.com/office/excel/2006/main">
          <x14:cfRule type="dataBar" id="{E50E2288-9A20-427C-99CC-AC6D3AA1E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dataBar" id="{8BCA1D78-F824-4A98-AC0C-2B384B6C28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I76:J76</xm:sqref>
        </x14:conditionalFormatting>
        <x14:conditionalFormatting xmlns:xm="http://schemas.microsoft.com/office/excel/2006/main">
          <x14:cfRule type="dataBar" id="{3A2F7FA3-70DE-4800-B3D4-F7D317586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K50:K76</xm:sqref>
        </x14:conditionalFormatting>
        <x14:conditionalFormatting xmlns:xm="http://schemas.microsoft.com/office/excel/2006/main">
          <x14:cfRule type="dataBar" id="{C63F10AB-F373-44F9-9720-6A85CA017C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L50:L76</xm:sqref>
        </x14:conditionalFormatting>
        <x14:conditionalFormatting xmlns:xm="http://schemas.microsoft.com/office/excel/2006/main">
          <x14:cfRule type="dataBar" id="{192220E8-418D-4F96-A92B-DCB89A4A9D0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F50:J50 E50:E76 H51:J75</xm:sqref>
        </x14:conditionalFormatting>
        <x14:conditionalFormatting xmlns:xm="http://schemas.microsoft.com/office/excel/2006/main">
          <x14:cfRule type="dataBar" id="{2280878B-4680-4CA5-A8B9-F56C8D346B1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G51:G76</xm:sqref>
        </x14:conditionalFormatting>
        <x14:conditionalFormatting xmlns:xm="http://schemas.microsoft.com/office/excel/2006/main">
          <x14:cfRule type="dataBar" id="{1AC4F111-90CB-4EF4-AB2A-B68C908F709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G51:G76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T31"/>
  <sheetViews>
    <sheetView showGridLines="0" workbookViewId="0">
      <selection activeCell="G13" sqref="G13"/>
    </sheetView>
  </sheetViews>
  <sheetFormatPr baseColWidth="10" defaultRowHeight="14.25"/>
  <cols>
    <col min="1" max="1" width="11" style="149" customWidth="1"/>
    <col min="2" max="2" width="2.875" customWidth="1"/>
    <col min="3" max="3" width="19" customWidth="1"/>
    <col min="4" max="4" width="7.875" customWidth="1"/>
    <col min="5" max="5" width="9.125" customWidth="1"/>
    <col min="6" max="6" width="15.375" customWidth="1"/>
    <col min="7" max="7" width="12" customWidth="1"/>
    <col min="8" max="8" width="6.5" customWidth="1"/>
    <col min="10" max="10" width="17.25" style="218" bestFit="1" customWidth="1"/>
    <col min="11" max="11" width="12.875" style="149" customWidth="1"/>
    <col min="12" max="12" width="18.125" bestFit="1" customWidth="1"/>
    <col min="13" max="13" width="18.125" style="218" customWidth="1"/>
    <col min="14" max="14" width="18" bestFit="1" customWidth="1"/>
    <col min="15" max="15" width="16.125" bestFit="1" customWidth="1"/>
    <col min="16" max="16" width="16.25" bestFit="1" customWidth="1"/>
    <col min="17" max="17" width="16" bestFit="1" customWidth="1"/>
    <col min="18" max="18" width="14.875" bestFit="1" customWidth="1"/>
    <col min="19" max="19" width="12.625" bestFit="1" customWidth="1"/>
  </cols>
  <sheetData>
    <row r="1" spans="2:20">
      <c r="L1" s="218"/>
      <c r="O1" s="218"/>
      <c r="P1" s="218"/>
    </row>
    <row r="2" spans="2:20" s="149" customFormat="1" ht="15">
      <c r="B2" s="164"/>
      <c r="C2" s="167" t="s">
        <v>1077</v>
      </c>
      <c r="D2" s="165"/>
      <c r="E2" s="165"/>
      <c r="F2" s="165"/>
      <c r="G2" s="165"/>
      <c r="H2" s="166"/>
      <c r="J2" s="218"/>
      <c r="L2" s="218"/>
      <c r="M2" s="218"/>
      <c r="N2" s="218"/>
      <c r="O2" s="218"/>
      <c r="P2" s="218"/>
      <c r="Q2" s="218"/>
      <c r="R2" s="218"/>
      <c r="S2" s="98"/>
      <c r="T2" s="98"/>
    </row>
    <row r="3" spans="2:20">
      <c r="B3" s="152"/>
      <c r="C3" s="153"/>
      <c r="D3" s="153"/>
      <c r="E3" s="153"/>
      <c r="F3" s="153"/>
      <c r="G3" s="153"/>
      <c r="H3" s="154"/>
      <c r="I3" s="125"/>
      <c r="J3" s="125"/>
      <c r="N3" s="218"/>
      <c r="O3" s="218"/>
      <c r="P3" s="218"/>
      <c r="Q3" s="218"/>
      <c r="R3" s="218"/>
      <c r="S3" s="98"/>
      <c r="T3" s="98"/>
    </row>
    <row r="4" spans="2:20">
      <c r="B4" s="152"/>
      <c r="C4" s="155" t="s">
        <v>1075</v>
      </c>
      <c r="D4" s="155"/>
      <c r="E4" s="155"/>
      <c r="F4" s="155"/>
      <c r="G4" s="217">
        <v>10000</v>
      </c>
      <c r="H4" s="154"/>
      <c r="I4" s="125"/>
      <c r="J4" s="125"/>
      <c r="M4" s="61">
        <v>80000</v>
      </c>
      <c r="N4" s="100">
        <v>32500</v>
      </c>
      <c r="O4" s="218"/>
      <c r="P4" s="218"/>
      <c r="Q4" s="218"/>
      <c r="R4" s="218"/>
      <c r="S4" s="98"/>
      <c r="T4" s="98"/>
    </row>
    <row r="5" spans="2:20" ht="15">
      <c r="B5" s="152"/>
      <c r="C5" s="156"/>
      <c r="D5" s="156"/>
      <c r="E5" s="156"/>
      <c r="F5" s="156"/>
      <c r="G5" s="156"/>
      <c r="H5" s="154"/>
      <c r="L5" s="174"/>
      <c r="M5" s="174">
        <v>0.86</v>
      </c>
      <c r="N5" s="174">
        <v>0.72</v>
      </c>
      <c r="O5" s="218"/>
      <c r="P5" s="218"/>
      <c r="Q5" s="218"/>
      <c r="R5" s="218"/>
      <c r="S5" s="98"/>
      <c r="T5" s="98"/>
    </row>
    <row r="6" spans="2:20">
      <c r="B6" s="152"/>
      <c r="C6" s="155" t="s">
        <v>1076</v>
      </c>
      <c r="D6" s="157" t="s">
        <v>1071</v>
      </c>
      <c r="E6" s="157" t="s">
        <v>1072</v>
      </c>
      <c r="F6" s="157" t="s">
        <v>1073</v>
      </c>
      <c r="G6" s="158" t="s">
        <v>1074</v>
      </c>
      <c r="H6" s="154"/>
      <c r="L6" s="174"/>
      <c r="M6" s="221" t="s">
        <v>1531</v>
      </c>
      <c r="N6" s="221" t="s">
        <v>1532</v>
      </c>
      <c r="O6" s="218"/>
      <c r="P6" s="218"/>
      <c r="T6" s="218"/>
    </row>
    <row r="7" spans="2:20" ht="15">
      <c r="B7" s="152"/>
      <c r="C7" s="156" t="s">
        <v>1078</v>
      </c>
      <c r="D7" s="159" t="b">
        <v>1</v>
      </c>
      <c r="E7" s="159">
        <v>3</v>
      </c>
      <c r="F7" s="159" t="e">
        <f ca="1">+Inicio!G8*D7</f>
        <v>#N/A</v>
      </c>
      <c r="G7" s="168" t="e">
        <f ca="1">+$G$4*(F7*E7)/SUMPRODUCT($E$7:$E$10,$F$7:$F$10)</f>
        <v>#N/A</v>
      </c>
      <c r="H7" s="154"/>
      <c r="I7" s="119" t="e">
        <f ca="1">+G7/J7</f>
        <v>#N/A</v>
      </c>
      <c r="J7" s="61" t="e">
        <f ca="1">+Inicio!G8</f>
        <v>#N/A</v>
      </c>
      <c r="K7" s="199">
        <f>+SUMPRODUCT(N7:N7,$N$5:$N$5)/SUM($N$7:$N$7)</f>
        <v>0.72</v>
      </c>
      <c r="L7" s="149" t="s">
        <v>1247</v>
      </c>
      <c r="M7" s="61">
        <v>23500</v>
      </c>
      <c r="N7" s="276">
        <v>25500</v>
      </c>
      <c r="O7" s="100">
        <f>+SUM(M7:N7)</f>
        <v>49000</v>
      </c>
      <c r="P7" s="61"/>
      <c r="T7" s="218"/>
    </row>
    <row r="8" spans="2:20" ht="15">
      <c r="B8" s="152"/>
      <c r="C8" s="156" t="s">
        <v>1080</v>
      </c>
      <c r="D8" s="159" t="b">
        <v>1</v>
      </c>
      <c r="E8" s="159">
        <v>1.5</v>
      </c>
      <c r="F8" s="159" t="e">
        <f ca="1">+Inicio!G9*D8</f>
        <v>#N/A</v>
      </c>
      <c r="G8" s="168" t="e">
        <f ca="1">+$G$4*(F8*E8)/SUMPRODUCT($E$7:$E$10,$F$7:$F$10)</f>
        <v>#N/A</v>
      </c>
      <c r="H8" s="154"/>
      <c r="I8" s="119" t="e">
        <f t="shared" ref="I8:I10" ca="1" si="0">+G8/J8</f>
        <v>#N/A</v>
      </c>
      <c r="J8" s="61" t="e">
        <f ca="1">+Inicio!G9</f>
        <v>#N/A</v>
      </c>
      <c r="K8" s="199">
        <f>+SUMPRODUCT(N8:N8,$N$5:$N$5)/SUM($N$8:$N$8)</f>
        <v>0.72</v>
      </c>
      <c r="L8" s="153" t="s">
        <v>1246</v>
      </c>
      <c r="M8" s="279">
        <v>6500</v>
      </c>
      <c r="N8" s="276">
        <v>7000</v>
      </c>
      <c r="O8" s="100">
        <f>+SUM(M8:N8)</f>
        <v>13500</v>
      </c>
      <c r="P8" s="218"/>
      <c r="T8" s="218"/>
    </row>
    <row r="9" spans="2:20" ht="15">
      <c r="B9" s="152"/>
      <c r="C9" s="156" t="s">
        <v>1079</v>
      </c>
      <c r="D9" s="159" t="b">
        <v>0</v>
      </c>
      <c r="E9" s="159">
        <v>1</v>
      </c>
      <c r="F9" s="159" t="e">
        <f ca="1">+Inicio!G7*D9</f>
        <v>#N/A</v>
      </c>
      <c r="G9" s="168" t="e">
        <f ca="1">+$G$4*(F9*E9)/SUMPRODUCT($E$7:$E$10,$F$7:$F$10)</f>
        <v>#N/A</v>
      </c>
      <c r="H9" s="154"/>
      <c r="I9" s="119" t="e">
        <f t="shared" ca="1" si="0"/>
        <v>#N/A</v>
      </c>
      <c r="J9" s="61" t="e">
        <f ca="1">+Inicio!G7</f>
        <v>#N/A</v>
      </c>
      <c r="K9" s="199" t="e">
        <f>+SUMPRODUCT(N9:N9,$N$5:$N$5)/SUM($N$4:$N$4)</f>
        <v>#VALUE!</v>
      </c>
      <c r="L9" s="153" t="s">
        <v>1245</v>
      </c>
      <c r="M9" s="291">
        <v>31000</v>
      </c>
      <c r="N9" s="276"/>
      <c r="O9" s="218"/>
      <c r="P9" s="218"/>
      <c r="T9" s="218"/>
    </row>
    <row r="10" spans="2:20" ht="15">
      <c r="B10" s="152"/>
      <c r="C10" s="156" t="s">
        <v>1081</v>
      </c>
      <c r="D10" s="159" t="b">
        <v>0</v>
      </c>
      <c r="E10" s="159">
        <v>1</v>
      </c>
      <c r="F10" s="159" t="e">
        <f ca="1">+Inicio!G6*D10</f>
        <v>#N/A</v>
      </c>
      <c r="G10" s="168" t="e">
        <f ca="1">+$G$4*(F10*E10)/SUMPRODUCT($E$7:$E$10,$F$7:$F$10)</f>
        <v>#N/A</v>
      </c>
      <c r="H10" s="154"/>
      <c r="I10" s="119" t="e">
        <f t="shared" ca="1" si="0"/>
        <v>#N/A</v>
      </c>
      <c r="J10" s="61" t="e">
        <f ca="1">+Inicio!G6</f>
        <v>#N/A</v>
      </c>
      <c r="K10" s="199" t="e">
        <f>+SUMPRODUCT(N10:N10,$N$5:$N$5)/SUM($N$4:$N$4)</f>
        <v>#VALUE!</v>
      </c>
      <c r="L10" s="174" t="s">
        <v>1301</v>
      </c>
      <c r="M10" s="292">
        <v>19000</v>
      </c>
      <c r="N10" s="277"/>
      <c r="O10" s="218"/>
      <c r="P10" s="218"/>
      <c r="T10" s="218"/>
    </row>
    <row r="11" spans="2:20">
      <c r="B11" s="160"/>
      <c r="C11" s="161"/>
      <c r="D11" s="162"/>
      <c r="E11" s="162"/>
      <c r="F11" s="162"/>
      <c r="G11" s="162"/>
      <c r="H11" s="163"/>
      <c r="I11" s="199"/>
      <c r="J11" s="199"/>
      <c r="K11" s="218"/>
      <c r="M11" s="61">
        <f>+SUM(M7:M10)</f>
        <v>80000</v>
      </c>
      <c r="N11" s="100">
        <f>+SUM(N7:N10)</f>
        <v>32500</v>
      </c>
      <c r="O11" s="218"/>
      <c r="P11" s="218"/>
    </row>
    <row r="12" spans="2:20">
      <c r="D12" s="17"/>
      <c r="E12" s="17"/>
      <c r="F12" s="17"/>
      <c r="G12" s="17"/>
      <c r="I12" s="199"/>
      <c r="J12" s="199"/>
      <c r="K12" s="218"/>
      <c r="N12" s="218"/>
      <c r="O12" s="218"/>
      <c r="P12" s="218"/>
    </row>
    <row r="13" spans="2:20">
      <c r="F13" t="s">
        <v>1078</v>
      </c>
      <c r="I13" s="199"/>
      <c r="J13" s="199"/>
      <c r="K13" s="218"/>
      <c r="L13" s="218"/>
      <c r="N13" s="218"/>
      <c r="O13" s="218"/>
      <c r="P13" s="218"/>
    </row>
    <row r="14" spans="2:20">
      <c r="F14" t="s">
        <v>1080</v>
      </c>
      <c r="I14" s="199"/>
      <c r="J14" s="199"/>
      <c r="K14" s="218"/>
      <c r="L14" s="218"/>
      <c r="N14" s="218"/>
      <c r="O14" s="218"/>
      <c r="P14" s="218"/>
    </row>
    <row r="15" spans="2:20">
      <c r="C15" s="180"/>
      <c r="D15" s="180"/>
      <c r="E15" s="180"/>
      <c r="F15" s="180" t="s">
        <v>1079</v>
      </c>
      <c r="G15" s="180"/>
      <c r="I15" s="199"/>
      <c r="J15" s="199"/>
      <c r="K15" s="218"/>
      <c r="L15" s="218"/>
      <c r="N15" s="218"/>
      <c r="O15" s="218"/>
      <c r="P15" s="218"/>
    </row>
    <row r="16" spans="2:20">
      <c r="C16" s="180"/>
      <c r="D16" s="180"/>
      <c r="E16" s="180"/>
      <c r="F16" s="180" t="s">
        <v>1081</v>
      </c>
      <c r="G16" s="180"/>
      <c r="I16" s="199"/>
      <c r="J16" s="199">
        <v>27500</v>
      </c>
      <c r="K16" s="218"/>
      <c r="L16" s="218"/>
      <c r="N16" s="218"/>
      <c r="O16" s="218"/>
      <c r="P16" s="218"/>
    </row>
    <row r="17" spans="3:16">
      <c r="C17" s="180"/>
      <c r="D17" s="180"/>
      <c r="E17" s="180"/>
      <c r="F17" s="180"/>
      <c r="G17" s="180"/>
      <c r="I17" s="199"/>
      <c r="J17" s="199">
        <v>9000</v>
      </c>
      <c r="K17" s="218"/>
      <c r="L17" s="218"/>
      <c r="N17" s="218"/>
      <c r="O17" s="218"/>
      <c r="P17" s="218"/>
    </row>
    <row r="18" spans="3:16">
      <c r="C18" s="180"/>
      <c r="D18" s="180"/>
      <c r="E18" s="180"/>
      <c r="F18" s="180"/>
      <c r="G18" s="180"/>
      <c r="I18" s="199"/>
      <c r="J18" s="199">
        <v>8000</v>
      </c>
      <c r="K18" s="218" t="s">
        <v>1558</v>
      </c>
      <c r="L18" s="218">
        <v>18500</v>
      </c>
      <c r="M18" s="199">
        <f>+L18+J18</f>
        <v>26500</v>
      </c>
      <c r="N18" s="218"/>
      <c r="O18" s="180"/>
      <c r="P18" s="180"/>
    </row>
    <row r="19" spans="3:16">
      <c r="C19" s="180"/>
      <c r="D19" s="180"/>
      <c r="E19" s="180"/>
      <c r="F19" s="180"/>
      <c r="G19" s="180"/>
      <c r="I19" s="199"/>
      <c r="J19" s="199">
        <v>5500</v>
      </c>
      <c r="K19" s="218" t="s">
        <v>1559</v>
      </c>
      <c r="L19" s="218">
        <v>11500</v>
      </c>
      <c r="M19" s="199">
        <f>+L19+J19</f>
        <v>17000</v>
      </c>
      <c r="N19" s="218"/>
      <c r="O19" s="180"/>
      <c r="P19" s="180"/>
    </row>
    <row r="20" spans="3:16">
      <c r="C20" s="180"/>
      <c r="D20" s="180"/>
      <c r="E20" s="180"/>
      <c r="F20" s="180"/>
      <c r="G20" s="180"/>
      <c r="I20" s="199"/>
      <c r="J20" s="199"/>
      <c r="K20" s="218"/>
      <c r="L20" s="218"/>
      <c r="N20" s="218"/>
      <c r="O20" s="180"/>
      <c r="P20" s="180"/>
    </row>
    <row r="21" spans="3:16">
      <c r="I21" s="199"/>
      <c r="J21" s="199"/>
      <c r="K21" s="218"/>
      <c r="L21" s="218"/>
      <c r="N21" s="218"/>
      <c r="O21" s="180"/>
      <c r="P21" s="180"/>
    </row>
    <row r="22" spans="3:16">
      <c r="I22" s="199"/>
      <c r="J22" s="199"/>
      <c r="K22" s="218"/>
      <c r="L22" s="218"/>
      <c r="N22" s="218"/>
      <c r="O22" s="149"/>
    </row>
    <row r="23" spans="3:16">
      <c r="I23" s="199"/>
      <c r="J23" s="199"/>
      <c r="K23" s="218"/>
      <c r="L23" s="218"/>
      <c r="N23" s="218"/>
      <c r="O23" s="149"/>
    </row>
    <row r="24" spans="3:16">
      <c r="I24" s="199"/>
      <c r="J24" s="199"/>
      <c r="K24" s="218"/>
      <c r="L24" s="218"/>
      <c r="N24" s="218"/>
      <c r="O24" s="149"/>
    </row>
    <row r="25" spans="3:16">
      <c r="I25" s="199"/>
      <c r="J25" s="199"/>
      <c r="K25" s="218"/>
      <c r="L25" s="218"/>
      <c r="N25" s="218"/>
      <c r="O25" s="149"/>
    </row>
    <row r="26" spans="3:16">
      <c r="I26" s="199"/>
      <c r="J26" s="199"/>
      <c r="K26" s="218"/>
      <c r="L26" s="218"/>
      <c r="N26" s="218"/>
      <c r="O26" s="149"/>
    </row>
    <row r="27" spans="3:16">
      <c r="I27" s="199"/>
      <c r="J27" s="199"/>
      <c r="K27" s="218"/>
      <c r="L27" s="218"/>
      <c r="N27" s="218"/>
      <c r="O27" s="149"/>
    </row>
    <row r="28" spans="3:16">
      <c r="I28" s="199"/>
      <c r="J28" s="199"/>
      <c r="K28" s="218"/>
      <c r="L28" s="218"/>
      <c r="N28" s="218"/>
      <c r="O28" s="149"/>
    </row>
    <row r="29" spans="3:16">
      <c r="I29" s="199"/>
      <c r="J29" s="199"/>
      <c r="K29" s="218"/>
      <c r="L29" s="218"/>
      <c r="N29" s="218"/>
      <c r="O29" s="149"/>
    </row>
    <row r="30" spans="3:16">
      <c r="I30" s="199"/>
      <c r="J30" s="199"/>
      <c r="K30" s="218"/>
      <c r="L30" s="218"/>
      <c r="N30" s="218"/>
      <c r="O30" s="149"/>
    </row>
    <row r="31" spans="3:16">
      <c r="I31" s="199"/>
      <c r="J31" s="199"/>
      <c r="K31" s="218"/>
      <c r="L31" s="218"/>
      <c r="N31" s="218"/>
      <c r="O31" s="14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6</xdr:row>
                    <xdr:rowOff>0</xdr:rowOff>
                  </from>
                  <to>
                    <xdr:col>2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5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2</xdr:col>
                    <xdr:colOff>609600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6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8</xdr:row>
                    <xdr:rowOff>9525</xdr:rowOff>
                  </from>
                  <to>
                    <xdr:col>2</xdr:col>
                    <xdr:colOff>609600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7" name="Check Box 6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2</xdr:col>
                    <xdr:colOff>609600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K47"/>
  <sheetViews>
    <sheetView workbookViewId="0">
      <selection activeCell="A3" sqref="A3:G36"/>
    </sheetView>
  </sheetViews>
  <sheetFormatPr baseColWidth="10" defaultRowHeight="14.25"/>
  <cols>
    <col min="1" max="1" width="14" bestFit="1" customWidth="1"/>
    <col min="2" max="2" width="14.375" customWidth="1"/>
    <col min="3" max="3" width="17" customWidth="1"/>
    <col min="4" max="4" width="15.25" customWidth="1"/>
    <col min="5" max="7" width="18" customWidth="1"/>
    <col min="8" max="8" width="14.5" customWidth="1"/>
    <col min="9" max="9" width="6.25" customWidth="1"/>
    <col min="10" max="10" width="18.625" customWidth="1"/>
    <col min="11" max="12" width="16.625" customWidth="1"/>
  </cols>
  <sheetData>
    <row r="1" spans="1:11" ht="15">
      <c r="A1" s="4" t="s">
        <v>283</v>
      </c>
    </row>
    <row r="2" spans="1:11" ht="13.5" customHeight="1">
      <c r="A2" s="147" t="s">
        <v>364</v>
      </c>
      <c r="B2" s="147" t="s">
        <v>1022</v>
      </c>
      <c r="C2" s="147" t="s">
        <v>1023</v>
      </c>
      <c r="D2" s="147" t="s">
        <v>1024</v>
      </c>
      <c r="E2" s="147" t="s">
        <v>318</v>
      </c>
      <c r="F2" s="147" t="s">
        <v>318</v>
      </c>
      <c r="G2" s="147" t="s">
        <v>318</v>
      </c>
      <c r="J2" s="1"/>
      <c r="K2" s="1"/>
    </row>
    <row r="3" spans="1:11">
      <c r="A3" s="148" t="s">
        <v>234</v>
      </c>
      <c r="B3" s="177">
        <v>43147</v>
      </c>
      <c r="C3" s="148" t="s">
        <v>104</v>
      </c>
      <c r="D3" s="148" t="s">
        <v>105</v>
      </c>
      <c r="E3" s="148">
        <v>524040000</v>
      </c>
      <c r="F3" s="148">
        <v>800000</v>
      </c>
      <c r="G3" s="148">
        <v>655.04999999999995</v>
      </c>
    </row>
    <row r="4" spans="1:11">
      <c r="A4" s="148" t="s">
        <v>234</v>
      </c>
      <c r="B4" s="177">
        <v>43188</v>
      </c>
      <c r="C4" s="148" t="s">
        <v>104</v>
      </c>
      <c r="D4" s="148" t="s">
        <v>105</v>
      </c>
      <c r="E4" s="148">
        <v>404070016</v>
      </c>
      <c r="F4" s="148">
        <v>600000</v>
      </c>
      <c r="G4" s="148">
        <v>673.45001220703125</v>
      </c>
    </row>
    <row r="5" spans="1:11">
      <c r="A5" s="148" t="s">
        <v>234</v>
      </c>
      <c r="B5" s="177">
        <v>43315</v>
      </c>
      <c r="C5" s="148" t="s">
        <v>104</v>
      </c>
      <c r="D5" s="148" t="s">
        <v>105</v>
      </c>
      <c r="E5" s="148">
        <v>131476000</v>
      </c>
      <c r="F5" s="148">
        <v>200000</v>
      </c>
      <c r="G5" s="148">
        <v>657.3800048828125</v>
      </c>
    </row>
    <row r="6" spans="1:11">
      <c r="A6" s="148" t="s">
        <v>234</v>
      </c>
      <c r="B6" s="177">
        <v>43315</v>
      </c>
      <c r="C6" s="148" t="s">
        <v>105</v>
      </c>
      <c r="D6" s="148" t="s">
        <v>104</v>
      </c>
      <c r="E6" s="148">
        <v>200000</v>
      </c>
      <c r="F6" s="148">
        <v>125850000</v>
      </c>
      <c r="G6" s="148">
        <v>629.25</v>
      </c>
    </row>
    <row r="7" spans="1:11">
      <c r="A7" s="148" t="s">
        <v>4</v>
      </c>
      <c r="B7" s="177">
        <v>43068</v>
      </c>
      <c r="C7" s="148" t="s">
        <v>104</v>
      </c>
      <c r="D7" s="148" t="s">
        <v>105</v>
      </c>
      <c r="E7" s="148">
        <v>631649984</v>
      </c>
      <c r="F7" s="148">
        <v>1000000</v>
      </c>
      <c r="G7" s="148">
        <v>631.6500244140625</v>
      </c>
    </row>
    <row r="8" spans="1:11">
      <c r="A8" s="148" t="s">
        <v>300</v>
      </c>
      <c r="B8" s="177">
        <v>43069</v>
      </c>
      <c r="C8" s="148" t="s">
        <v>105</v>
      </c>
      <c r="D8" s="148" t="s">
        <v>104</v>
      </c>
      <c r="E8" s="148">
        <v>1411144.875</v>
      </c>
      <c r="F8" s="148">
        <v>900000000</v>
      </c>
      <c r="G8" s="148">
        <v>637.780029296875</v>
      </c>
      <c r="J8" s="149"/>
    </row>
    <row r="9" spans="1:11">
      <c r="A9" s="148" t="s">
        <v>300</v>
      </c>
      <c r="B9" s="177">
        <v>43070</v>
      </c>
      <c r="C9" s="148" t="s">
        <v>105</v>
      </c>
      <c r="D9" s="148" t="s">
        <v>104</v>
      </c>
      <c r="E9" s="148">
        <v>3947888</v>
      </c>
      <c r="F9" s="148">
        <v>2500000000</v>
      </c>
      <c r="G9" s="148">
        <v>633.25</v>
      </c>
      <c r="J9" s="149"/>
    </row>
    <row r="10" spans="1:11">
      <c r="A10" s="148" t="s">
        <v>300</v>
      </c>
      <c r="B10" s="177">
        <v>43073</v>
      </c>
      <c r="C10" s="148" t="s">
        <v>105</v>
      </c>
      <c r="D10" s="148" t="s">
        <v>104</v>
      </c>
      <c r="E10" s="148">
        <v>1141850</v>
      </c>
      <c r="F10" s="148">
        <v>727472640</v>
      </c>
      <c r="G10" s="148">
        <v>637.0999755859375</v>
      </c>
    </row>
    <row r="11" spans="1:11">
      <c r="A11" s="148" t="s">
        <v>300</v>
      </c>
      <c r="B11" s="177">
        <v>43075</v>
      </c>
      <c r="C11" s="148" t="s">
        <v>105</v>
      </c>
      <c r="D11" s="148" t="s">
        <v>104</v>
      </c>
      <c r="E11" s="148">
        <v>868480.5</v>
      </c>
      <c r="F11" s="148">
        <v>550000000</v>
      </c>
      <c r="G11" s="148">
        <v>633.28997802734375</v>
      </c>
    </row>
    <row r="12" spans="1:11">
      <c r="A12" s="148" t="s">
        <v>300</v>
      </c>
      <c r="B12" s="177">
        <v>43084</v>
      </c>
      <c r="C12" s="148" t="s">
        <v>105</v>
      </c>
      <c r="D12" s="148" t="s">
        <v>104</v>
      </c>
      <c r="E12" s="148">
        <v>1907081.25</v>
      </c>
      <c r="F12" s="148">
        <v>1206000000</v>
      </c>
      <c r="G12" s="148">
        <v>632.3800048828125</v>
      </c>
    </row>
    <row r="13" spans="1:11">
      <c r="A13" s="148" t="s">
        <v>300</v>
      </c>
      <c r="B13" s="177">
        <v>43102</v>
      </c>
      <c r="C13" s="148" t="s">
        <v>105</v>
      </c>
      <c r="D13" s="148" t="s">
        <v>104</v>
      </c>
      <c r="E13" s="148">
        <v>5367919.625</v>
      </c>
      <c r="F13" s="148">
        <v>3400000000</v>
      </c>
      <c r="G13" s="148">
        <v>631.586669921875</v>
      </c>
    </row>
    <row r="14" spans="1:11">
      <c r="A14" s="148" t="s">
        <v>300</v>
      </c>
      <c r="B14" s="177">
        <v>43103</v>
      </c>
      <c r="C14" s="148" t="s">
        <v>105</v>
      </c>
      <c r="D14" s="148" t="s">
        <v>104</v>
      </c>
      <c r="E14" s="148">
        <v>3160706</v>
      </c>
      <c r="F14" s="148">
        <v>2000000000</v>
      </c>
      <c r="G14" s="148">
        <v>632.77001953125</v>
      </c>
    </row>
    <row r="15" spans="1:11">
      <c r="A15" s="148" t="s">
        <v>300</v>
      </c>
      <c r="B15" s="177">
        <v>43108</v>
      </c>
      <c r="C15" s="148" t="s">
        <v>105</v>
      </c>
      <c r="D15" s="148" t="s">
        <v>104</v>
      </c>
      <c r="E15" s="148">
        <v>1263204.375</v>
      </c>
      <c r="F15" s="148">
        <v>800000000</v>
      </c>
      <c r="G15" s="148">
        <v>633.30999755859375</v>
      </c>
    </row>
    <row r="16" spans="1:11">
      <c r="A16" s="148" t="s">
        <v>300</v>
      </c>
      <c r="B16" s="177">
        <v>43116</v>
      </c>
      <c r="C16" s="148" t="s">
        <v>105</v>
      </c>
      <c r="D16" s="148" t="s">
        <v>104</v>
      </c>
      <c r="E16" s="148">
        <v>795481.6875</v>
      </c>
      <c r="F16" s="148">
        <v>500000000</v>
      </c>
      <c r="G16" s="148">
        <v>628.54998779296875</v>
      </c>
    </row>
    <row r="17" spans="1:7">
      <c r="A17" s="148" t="s">
        <v>297</v>
      </c>
      <c r="B17" s="177">
        <v>43081</v>
      </c>
      <c r="C17" s="148" t="s">
        <v>104</v>
      </c>
      <c r="D17" s="148" t="s">
        <v>105</v>
      </c>
      <c r="E17" s="148">
        <v>50582400</v>
      </c>
      <c r="F17" s="148">
        <v>80000</v>
      </c>
      <c r="G17" s="148">
        <v>632.280029296875</v>
      </c>
    </row>
    <row r="18" spans="1:7">
      <c r="A18" s="148" t="s">
        <v>297</v>
      </c>
      <c r="B18" s="177">
        <v>43236</v>
      </c>
      <c r="C18" s="148" t="s">
        <v>104</v>
      </c>
      <c r="D18" s="148" t="s">
        <v>105</v>
      </c>
      <c r="E18" s="148">
        <v>652950000</v>
      </c>
      <c r="F18" s="148">
        <v>1000000</v>
      </c>
      <c r="G18" s="148">
        <v>652.95000000000005</v>
      </c>
    </row>
    <row r="19" spans="1:7">
      <c r="A19" s="148" t="s">
        <v>297</v>
      </c>
      <c r="B19" s="177">
        <v>43237</v>
      </c>
      <c r="C19" s="148" t="s">
        <v>104</v>
      </c>
      <c r="D19" s="148" t="s">
        <v>105</v>
      </c>
      <c r="E19" s="148">
        <v>645000000</v>
      </c>
      <c r="F19" s="148">
        <v>1000000</v>
      </c>
      <c r="G19" s="148">
        <v>649.3499755859375</v>
      </c>
    </row>
    <row r="20" spans="1:7">
      <c r="A20" s="148" t="s">
        <v>297</v>
      </c>
      <c r="B20" s="177">
        <v>43236</v>
      </c>
      <c r="C20" s="148" t="s">
        <v>105</v>
      </c>
      <c r="D20" s="148" t="s">
        <v>104</v>
      </c>
      <c r="E20" s="148">
        <v>1000000</v>
      </c>
      <c r="F20" s="148">
        <v>644350016</v>
      </c>
      <c r="G20" s="148">
        <v>64435</v>
      </c>
    </row>
    <row r="21" spans="1:7">
      <c r="A21" s="148" t="s">
        <v>297</v>
      </c>
      <c r="B21" s="177">
        <v>43237</v>
      </c>
      <c r="C21" s="148" t="s">
        <v>105</v>
      </c>
      <c r="D21" s="148" t="s">
        <v>104</v>
      </c>
      <c r="E21" s="148">
        <v>1000000</v>
      </c>
      <c r="F21" s="148">
        <v>641539968</v>
      </c>
      <c r="G21" s="148">
        <v>64154</v>
      </c>
    </row>
    <row r="22" spans="1:7">
      <c r="A22" s="148" t="s">
        <v>353</v>
      </c>
      <c r="B22" s="177">
        <v>43081</v>
      </c>
      <c r="C22" s="148" t="s">
        <v>104</v>
      </c>
      <c r="D22" s="148" t="s">
        <v>105</v>
      </c>
      <c r="E22" s="148">
        <v>202329600</v>
      </c>
      <c r="F22" s="148">
        <v>240000</v>
      </c>
      <c r="G22" s="148">
        <v>632.280029296875</v>
      </c>
    </row>
    <row r="23" spans="1:7">
      <c r="A23" s="148" t="s">
        <v>353</v>
      </c>
      <c r="B23" s="177">
        <v>43236</v>
      </c>
      <c r="C23" s="148" t="s">
        <v>104</v>
      </c>
      <c r="D23" s="148" t="s">
        <v>105</v>
      </c>
      <c r="E23" s="148">
        <v>1958850048</v>
      </c>
      <c r="F23" s="148">
        <v>3000000</v>
      </c>
      <c r="G23" s="148">
        <v>652.95000000000005</v>
      </c>
    </row>
    <row r="24" spans="1:7">
      <c r="A24" s="148" t="s">
        <v>353</v>
      </c>
      <c r="B24" s="177">
        <v>43237</v>
      </c>
      <c r="C24" s="148" t="s">
        <v>104</v>
      </c>
      <c r="D24" s="148" t="s">
        <v>105</v>
      </c>
      <c r="E24" s="148">
        <v>1948050048</v>
      </c>
      <c r="F24" s="148">
        <v>3000000</v>
      </c>
      <c r="G24" s="148">
        <v>649.3499755859375</v>
      </c>
    </row>
    <row r="25" spans="1:7">
      <c r="A25" s="148" t="s">
        <v>353</v>
      </c>
      <c r="B25" s="177">
        <v>43236</v>
      </c>
      <c r="C25" s="148" t="s">
        <v>105</v>
      </c>
      <c r="D25" s="148" t="s">
        <v>104</v>
      </c>
      <c r="E25" s="148">
        <v>3000000</v>
      </c>
      <c r="F25" s="148">
        <v>1933049984</v>
      </c>
      <c r="G25" s="148">
        <v>64435</v>
      </c>
    </row>
    <row r="26" spans="1:7">
      <c r="A26" s="148" t="s">
        <v>353</v>
      </c>
      <c r="B26" s="177">
        <v>43237</v>
      </c>
      <c r="C26" s="148" t="s">
        <v>105</v>
      </c>
      <c r="D26" s="148" t="s">
        <v>104</v>
      </c>
      <c r="E26" s="148">
        <v>3000000</v>
      </c>
      <c r="F26" s="148">
        <v>1924620032</v>
      </c>
      <c r="G26" s="148">
        <v>64154</v>
      </c>
    </row>
    <row r="27" spans="1:7">
      <c r="A27" s="107" t="s">
        <v>161</v>
      </c>
      <c r="B27" s="216">
        <v>43084</v>
      </c>
      <c r="C27" s="107" t="s">
        <v>104</v>
      </c>
      <c r="D27" s="107" t="s">
        <v>105</v>
      </c>
      <c r="E27" s="107">
        <v>735844992</v>
      </c>
      <c r="F27" s="107">
        <v>1100000</v>
      </c>
      <c r="G27" s="107">
        <v>668.95</v>
      </c>
    </row>
    <row r="28" spans="1:7">
      <c r="A28" s="107" t="s">
        <v>161</v>
      </c>
      <c r="B28" s="216">
        <v>43088</v>
      </c>
      <c r="C28" s="107" t="s">
        <v>104</v>
      </c>
      <c r="D28" s="107" t="s">
        <v>105</v>
      </c>
      <c r="E28" s="107">
        <v>440936992</v>
      </c>
      <c r="F28" s="107">
        <v>700000</v>
      </c>
      <c r="G28" s="107">
        <v>629.90997314453125</v>
      </c>
    </row>
    <row r="29" spans="1:7">
      <c r="A29" s="107" t="s">
        <v>161</v>
      </c>
      <c r="B29" s="216">
        <v>43201</v>
      </c>
      <c r="C29" s="107" t="s">
        <v>104</v>
      </c>
      <c r="D29" s="107" t="s">
        <v>105</v>
      </c>
      <c r="E29" s="107">
        <v>1329700000</v>
      </c>
      <c r="F29" s="107">
        <v>2000000</v>
      </c>
      <c r="G29" s="107">
        <v>664.85</v>
      </c>
    </row>
    <row r="30" spans="1:7">
      <c r="A30" s="107" t="s">
        <v>161</v>
      </c>
      <c r="B30" s="216">
        <v>43217</v>
      </c>
      <c r="C30" s="107" t="s">
        <v>104</v>
      </c>
      <c r="D30" s="107" t="s">
        <v>105</v>
      </c>
      <c r="E30" s="107">
        <v>1015980000</v>
      </c>
      <c r="F30" s="107">
        <v>1500000</v>
      </c>
      <c r="G30" s="107">
        <v>676.64</v>
      </c>
    </row>
    <row r="31" spans="1:7">
      <c r="A31" s="107" t="s">
        <v>161</v>
      </c>
      <c r="B31" s="216">
        <v>43264</v>
      </c>
      <c r="C31" s="107" t="s">
        <v>104</v>
      </c>
      <c r="D31" s="107" t="s">
        <v>105</v>
      </c>
      <c r="E31" s="107">
        <v>1208249984</v>
      </c>
      <c r="F31" s="107">
        <v>1800000</v>
      </c>
      <c r="G31" s="107">
        <v>671.25</v>
      </c>
    </row>
    <row r="32" spans="1:7">
      <c r="A32" s="107" t="s">
        <v>161</v>
      </c>
      <c r="B32" s="216">
        <v>43280</v>
      </c>
      <c r="C32" s="107" t="s">
        <v>104</v>
      </c>
      <c r="D32" s="107" t="s">
        <v>105</v>
      </c>
      <c r="E32" s="107">
        <v>671699968</v>
      </c>
      <c r="F32" s="107">
        <v>1000000</v>
      </c>
      <c r="G32" s="107">
        <v>671.70001220703125</v>
      </c>
    </row>
    <row r="33" spans="1:7">
      <c r="A33" s="107" t="s">
        <v>161</v>
      </c>
      <c r="B33" s="216">
        <v>43322</v>
      </c>
      <c r="C33" s="107" t="s">
        <v>104</v>
      </c>
      <c r="D33" s="107" t="s">
        <v>105</v>
      </c>
      <c r="E33" s="107">
        <v>549948032</v>
      </c>
      <c r="F33" s="107">
        <v>840000</v>
      </c>
      <c r="G33" s="107">
        <v>654.70001220703125</v>
      </c>
    </row>
    <row r="34" spans="1:7">
      <c r="A34" s="107" t="s">
        <v>161</v>
      </c>
      <c r="B34" s="216">
        <v>43326</v>
      </c>
      <c r="C34" s="107" t="s">
        <v>104</v>
      </c>
      <c r="D34" s="107" t="s">
        <v>105</v>
      </c>
      <c r="E34" s="107">
        <v>346657100</v>
      </c>
      <c r="F34" s="107">
        <v>530000</v>
      </c>
      <c r="G34" s="107">
        <v>654.07000000000005</v>
      </c>
    </row>
    <row r="35" spans="1:7">
      <c r="A35" s="107" t="s">
        <v>161</v>
      </c>
      <c r="B35" s="216">
        <v>43201</v>
      </c>
      <c r="C35" s="107" t="s">
        <v>105</v>
      </c>
      <c r="D35" s="107" t="s">
        <v>104</v>
      </c>
      <c r="E35" s="107">
        <v>1000000</v>
      </c>
      <c r="F35" s="107">
        <v>649430016</v>
      </c>
      <c r="G35" s="107">
        <v>649.42999267578125</v>
      </c>
    </row>
    <row r="36" spans="1:7">
      <c r="A36" s="107" t="s">
        <v>161</v>
      </c>
      <c r="B36" s="216">
        <v>43217</v>
      </c>
      <c r="C36" s="107" t="s">
        <v>105</v>
      </c>
      <c r="D36" s="107" t="s">
        <v>104</v>
      </c>
      <c r="E36" s="107">
        <v>1500000</v>
      </c>
      <c r="F36" s="107">
        <v>943875008</v>
      </c>
      <c r="G36" s="107">
        <v>629.25</v>
      </c>
    </row>
    <row r="37" spans="1:7">
      <c r="A37" s="107"/>
      <c r="B37" s="216"/>
      <c r="C37" s="107"/>
      <c r="D37" s="107"/>
      <c r="E37" s="107"/>
      <c r="F37" s="107"/>
      <c r="G37" s="107"/>
    </row>
    <row r="38" spans="1:7">
      <c r="A38" s="107"/>
      <c r="B38" s="216"/>
      <c r="C38" s="107"/>
      <c r="D38" s="107"/>
      <c r="E38" s="107"/>
      <c r="F38" s="107"/>
      <c r="G38" s="107"/>
    </row>
    <row r="39" spans="1:7">
      <c r="A39" s="107"/>
      <c r="B39" s="216"/>
      <c r="C39" s="107"/>
      <c r="D39" s="107"/>
      <c r="E39" s="107"/>
      <c r="F39" s="107"/>
      <c r="G39" s="107"/>
    </row>
    <row r="40" spans="1:7">
      <c r="B40" s="181"/>
    </row>
    <row r="41" spans="1:7">
      <c r="B41" s="181"/>
    </row>
    <row r="42" spans="1:7">
      <c r="B42" s="181"/>
    </row>
    <row r="43" spans="1:7">
      <c r="B43" s="181"/>
    </row>
    <row r="44" spans="1:7">
      <c r="B44" s="181"/>
    </row>
    <row r="45" spans="1:7">
      <c r="B45" s="181"/>
    </row>
    <row r="46" spans="1:7">
      <c r="B46" s="181"/>
    </row>
    <row r="47" spans="1:7">
      <c r="B47" s="18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B1:Q412"/>
  <sheetViews>
    <sheetView zoomScaleNormal="100" workbookViewId="0">
      <selection activeCell="I2" sqref="I2"/>
    </sheetView>
  </sheetViews>
  <sheetFormatPr baseColWidth="10" defaultRowHeight="14.25"/>
  <cols>
    <col min="1" max="1" width="11.125" bestFit="1" customWidth="1"/>
    <col min="2" max="2" width="12.625" customWidth="1"/>
    <col min="3" max="3" width="4.875" customWidth="1"/>
    <col min="4" max="4" width="12.875" customWidth="1"/>
    <col min="5" max="5" width="44.5" customWidth="1"/>
    <col min="6" max="6" width="2.25" customWidth="1"/>
    <col min="7" max="7" width="6.75" style="102" customWidth="1"/>
    <col min="8" max="8" width="18.25" customWidth="1"/>
    <col min="9" max="9" width="14.75" customWidth="1"/>
    <col min="10" max="10" width="13.875" customWidth="1"/>
    <col min="16" max="16" width="12.875" customWidth="1"/>
  </cols>
  <sheetData>
    <row r="1" spans="2:17">
      <c r="B1" s="122" t="s">
        <v>232</v>
      </c>
      <c r="C1" s="122" t="s">
        <v>235</v>
      </c>
      <c r="D1" s="122" t="s">
        <v>236</v>
      </c>
      <c r="E1" s="122" t="s">
        <v>237</v>
      </c>
      <c r="F1" s="122"/>
      <c r="G1" s="122"/>
      <c r="H1" s="102" t="s">
        <v>107</v>
      </c>
      <c r="I1" t="s">
        <v>1090</v>
      </c>
      <c r="J1" t="s">
        <v>106</v>
      </c>
      <c r="K1" t="s">
        <v>1089</v>
      </c>
      <c r="P1" t="s">
        <v>236</v>
      </c>
      <c r="Q1" t="s">
        <v>106</v>
      </c>
    </row>
    <row r="2" spans="2:17">
      <c r="B2" t="s">
        <v>234</v>
      </c>
      <c r="C2" t="s">
        <v>1169</v>
      </c>
      <c r="D2" t="s">
        <v>238</v>
      </c>
      <c r="E2" t="s">
        <v>239</v>
      </c>
      <c r="F2" t="s">
        <v>25</v>
      </c>
      <c r="G2" s="137">
        <v>999</v>
      </c>
      <c r="H2" s="1">
        <v>0</v>
      </c>
      <c r="I2" s="107" t="str">
        <f>+LEFT(D2,1)</f>
        <v>1</v>
      </c>
      <c r="J2" t="str">
        <f>+IFERROR(VLOOKUP(D2,$P$2:$Q$35,2,0),"")</f>
        <v/>
      </c>
      <c r="K2">
        <f>+IF(LEFT(E2,16)="PACTOS POR PAGAR",1,0)</f>
        <v>0</v>
      </c>
      <c r="P2" s="149" t="s">
        <v>249</v>
      </c>
      <c r="Q2" t="s">
        <v>105</v>
      </c>
    </row>
    <row r="3" spans="2:17">
      <c r="B3" t="s">
        <v>234</v>
      </c>
      <c r="C3" s="149" t="s">
        <v>1169</v>
      </c>
      <c r="D3" t="s">
        <v>240</v>
      </c>
      <c r="E3" t="s">
        <v>241</v>
      </c>
      <c r="F3" t="s">
        <v>25</v>
      </c>
      <c r="G3" s="137">
        <v>999</v>
      </c>
      <c r="H3" s="1">
        <v>368180</v>
      </c>
      <c r="I3" s="107" t="str">
        <f t="shared" ref="I3:I66" si="0">+LEFT(D3,1)</f>
        <v>1</v>
      </c>
      <c r="J3" s="149" t="str">
        <f t="shared" ref="J3:J66" si="1">+IFERROR(VLOOKUP(D3,$P$2:$Q$35,2,0),"")</f>
        <v/>
      </c>
      <c r="K3" s="149">
        <f t="shared" ref="K3:K66" si="2">+IF(LEFT(E3,16)="PACTOS POR PAGAR",1,0)</f>
        <v>0</v>
      </c>
      <c r="P3" s="149" t="s">
        <v>251</v>
      </c>
      <c r="Q3" t="s">
        <v>105</v>
      </c>
    </row>
    <row r="4" spans="2:17">
      <c r="B4" t="s">
        <v>234</v>
      </c>
      <c r="C4" s="149" t="s">
        <v>1169</v>
      </c>
      <c r="D4" t="s">
        <v>242</v>
      </c>
      <c r="E4" t="s">
        <v>362</v>
      </c>
      <c r="F4" t="s">
        <v>25</v>
      </c>
      <c r="G4" s="137">
        <v>999</v>
      </c>
      <c r="H4" s="1">
        <v>47206064</v>
      </c>
      <c r="I4" s="107" t="str">
        <f t="shared" si="0"/>
        <v>1</v>
      </c>
      <c r="J4" s="149" t="str">
        <f t="shared" si="1"/>
        <v/>
      </c>
      <c r="K4" s="149">
        <f t="shared" si="2"/>
        <v>0</v>
      </c>
      <c r="P4" s="149" t="s">
        <v>252</v>
      </c>
      <c r="Q4" t="s">
        <v>121</v>
      </c>
    </row>
    <row r="5" spans="2:17">
      <c r="B5" t="s">
        <v>234</v>
      </c>
      <c r="C5" s="149" t="s">
        <v>1169</v>
      </c>
      <c r="D5" t="s">
        <v>244</v>
      </c>
      <c r="E5" t="s">
        <v>245</v>
      </c>
      <c r="F5" t="s">
        <v>25</v>
      </c>
      <c r="G5" s="137">
        <v>999</v>
      </c>
      <c r="H5" s="1">
        <v>0</v>
      </c>
      <c r="I5" s="107" t="str">
        <f t="shared" si="0"/>
        <v>1</v>
      </c>
      <c r="J5" s="149" t="str">
        <f t="shared" si="1"/>
        <v/>
      </c>
      <c r="K5" s="149">
        <f t="shared" si="2"/>
        <v>0</v>
      </c>
      <c r="P5" s="149" t="s">
        <v>1040</v>
      </c>
      <c r="Q5" s="149" t="s">
        <v>121</v>
      </c>
    </row>
    <row r="6" spans="2:17">
      <c r="B6" t="s">
        <v>234</v>
      </c>
      <c r="C6" s="149" t="s">
        <v>1169</v>
      </c>
      <c r="D6" t="s">
        <v>246</v>
      </c>
      <c r="E6" t="s">
        <v>247</v>
      </c>
      <c r="F6" t="s">
        <v>25</v>
      </c>
      <c r="G6" s="137">
        <v>999</v>
      </c>
      <c r="H6" s="1">
        <v>0</v>
      </c>
      <c r="I6" s="107" t="str">
        <f t="shared" si="0"/>
        <v>1</v>
      </c>
      <c r="J6" s="149" t="str">
        <f t="shared" si="1"/>
        <v/>
      </c>
      <c r="K6" s="149">
        <f t="shared" si="2"/>
        <v>0</v>
      </c>
    </row>
    <row r="7" spans="2:17" s="101" customFormat="1">
      <c r="B7" s="101" t="s">
        <v>234</v>
      </c>
      <c r="C7" s="149" t="s">
        <v>1169</v>
      </c>
      <c r="D7" s="101" t="s">
        <v>249</v>
      </c>
      <c r="E7" s="101" t="s">
        <v>250</v>
      </c>
      <c r="F7" s="101" t="s">
        <v>25</v>
      </c>
      <c r="G7" s="138">
        <v>999</v>
      </c>
      <c r="H7" s="136">
        <v>0</v>
      </c>
      <c r="I7" s="107" t="str">
        <f t="shared" si="0"/>
        <v>1</v>
      </c>
      <c r="J7" s="149" t="str">
        <f t="shared" si="1"/>
        <v>USD</v>
      </c>
      <c r="K7" s="149">
        <f t="shared" si="2"/>
        <v>0</v>
      </c>
    </row>
    <row r="8" spans="2:17">
      <c r="B8" t="s">
        <v>234</v>
      </c>
      <c r="C8" s="149" t="s">
        <v>1169</v>
      </c>
      <c r="D8" t="s">
        <v>251</v>
      </c>
      <c r="E8" t="s">
        <v>1084</v>
      </c>
      <c r="F8" t="s">
        <v>25</v>
      </c>
      <c r="G8" s="137">
        <v>999</v>
      </c>
      <c r="H8" s="1">
        <v>0</v>
      </c>
      <c r="I8" s="107" t="str">
        <f t="shared" si="0"/>
        <v>1</v>
      </c>
      <c r="J8" s="149" t="str">
        <f t="shared" si="1"/>
        <v>USD</v>
      </c>
      <c r="K8" s="149">
        <f t="shared" si="2"/>
        <v>0</v>
      </c>
    </row>
    <row r="9" spans="2:17">
      <c r="B9" t="s">
        <v>234</v>
      </c>
      <c r="C9" s="149" t="s">
        <v>1169</v>
      </c>
      <c r="D9" t="s">
        <v>252</v>
      </c>
      <c r="E9" t="s">
        <v>253</v>
      </c>
      <c r="F9" t="s">
        <v>25</v>
      </c>
      <c r="G9" s="137">
        <v>999</v>
      </c>
      <c r="H9" s="1">
        <v>0</v>
      </c>
      <c r="I9" s="107" t="str">
        <f t="shared" si="0"/>
        <v>1</v>
      </c>
      <c r="J9" s="149" t="str">
        <f t="shared" si="1"/>
        <v>EUR</v>
      </c>
      <c r="K9" s="149">
        <f t="shared" si="2"/>
        <v>0</v>
      </c>
    </row>
    <row r="10" spans="2:17">
      <c r="B10" t="s">
        <v>234</v>
      </c>
      <c r="C10" s="149" t="s">
        <v>1169</v>
      </c>
      <c r="D10" t="s">
        <v>254</v>
      </c>
      <c r="E10" t="s">
        <v>256</v>
      </c>
      <c r="F10" t="s">
        <v>25</v>
      </c>
      <c r="G10" s="137">
        <v>999</v>
      </c>
      <c r="H10" s="1">
        <v>0</v>
      </c>
      <c r="I10" s="107" t="str">
        <f t="shared" si="0"/>
        <v>1</v>
      </c>
      <c r="J10" s="149" t="str">
        <f t="shared" si="1"/>
        <v/>
      </c>
      <c r="K10" s="149">
        <f t="shared" si="2"/>
        <v>0</v>
      </c>
    </row>
    <row r="11" spans="2:17">
      <c r="B11" t="s">
        <v>234</v>
      </c>
      <c r="C11" s="149" t="s">
        <v>1169</v>
      </c>
      <c r="D11" t="s">
        <v>308</v>
      </c>
      <c r="E11" t="s">
        <v>309</v>
      </c>
      <c r="F11" t="s">
        <v>25</v>
      </c>
      <c r="G11" s="137">
        <v>999</v>
      </c>
      <c r="H11" s="1">
        <v>0</v>
      </c>
      <c r="I11" s="107" t="str">
        <f t="shared" si="0"/>
        <v>1</v>
      </c>
      <c r="J11" s="149" t="str">
        <f t="shared" si="1"/>
        <v/>
      </c>
      <c r="K11" s="149">
        <f t="shared" si="2"/>
        <v>0</v>
      </c>
    </row>
    <row r="12" spans="2:17">
      <c r="B12" t="s">
        <v>234</v>
      </c>
      <c r="C12" s="149" t="s">
        <v>1169</v>
      </c>
      <c r="D12" t="s">
        <v>1043</v>
      </c>
      <c r="E12" t="s">
        <v>1044</v>
      </c>
      <c r="F12" t="s">
        <v>25</v>
      </c>
      <c r="G12" s="137">
        <v>999</v>
      </c>
      <c r="H12" s="1">
        <v>0</v>
      </c>
      <c r="I12" s="107" t="str">
        <f t="shared" si="0"/>
        <v>1</v>
      </c>
      <c r="J12" s="149" t="str">
        <f t="shared" si="1"/>
        <v/>
      </c>
      <c r="K12" s="149">
        <f t="shared" si="2"/>
        <v>0</v>
      </c>
    </row>
    <row r="13" spans="2:17">
      <c r="B13" t="s">
        <v>234</v>
      </c>
      <c r="C13" s="149" t="s">
        <v>1169</v>
      </c>
      <c r="D13" t="s">
        <v>310</v>
      </c>
      <c r="E13" t="s">
        <v>311</v>
      </c>
      <c r="F13" t="s">
        <v>25</v>
      </c>
      <c r="G13" s="137">
        <v>999</v>
      </c>
      <c r="H13" s="1">
        <v>0</v>
      </c>
      <c r="I13" s="107" t="str">
        <f t="shared" si="0"/>
        <v>1</v>
      </c>
      <c r="J13" s="149" t="str">
        <f t="shared" si="1"/>
        <v/>
      </c>
      <c r="K13" s="149">
        <f t="shared" si="2"/>
        <v>0</v>
      </c>
    </row>
    <row r="14" spans="2:17">
      <c r="B14" t="s">
        <v>234</v>
      </c>
      <c r="C14" s="149" t="s">
        <v>1169</v>
      </c>
      <c r="D14" t="s">
        <v>1515</v>
      </c>
      <c r="E14" t="s">
        <v>1556</v>
      </c>
      <c r="F14" t="s">
        <v>25</v>
      </c>
      <c r="G14" s="137">
        <v>999</v>
      </c>
      <c r="H14" s="1">
        <v>0</v>
      </c>
      <c r="I14" s="107" t="str">
        <f t="shared" si="0"/>
        <v>1</v>
      </c>
      <c r="J14" s="149" t="str">
        <f t="shared" si="1"/>
        <v/>
      </c>
      <c r="K14" s="149">
        <f t="shared" si="2"/>
        <v>0</v>
      </c>
    </row>
    <row r="15" spans="2:17">
      <c r="B15" t="s">
        <v>234</v>
      </c>
      <c r="C15" s="149" t="s">
        <v>1169</v>
      </c>
      <c r="D15" t="s">
        <v>1040</v>
      </c>
      <c r="E15" t="s">
        <v>1041</v>
      </c>
      <c r="F15" t="s">
        <v>25</v>
      </c>
      <c r="G15" s="137">
        <v>999</v>
      </c>
      <c r="H15" s="1">
        <v>0</v>
      </c>
      <c r="I15" s="107" t="str">
        <f t="shared" si="0"/>
        <v>2</v>
      </c>
      <c r="J15" s="149" t="str">
        <f t="shared" si="1"/>
        <v>EUR</v>
      </c>
      <c r="K15" s="149">
        <f t="shared" si="2"/>
        <v>0</v>
      </c>
    </row>
    <row r="16" spans="2:17">
      <c r="B16" t="s">
        <v>234</v>
      </c>
      <c r="C16" s="149" t="s">
        <v>1169</v>
      </c>
      <c r="D16" t="s">
        <v>301</v>
      </c>
      <c r="E16" t="s">
        <v>302</v>
      </c>
      <c r="F16" t="s">
        <v>25</v>
      </c>
      <c r="G16" s="137">
        <v>999</v>
      </c>
      <c r="H16" s="1">
        <v>0</v>
      </c>
      <c r="I16" s="107" t="str">
        <f t="shared" si="0"/>
        <v>2</v>
      </c>
      <c r="J16" s="149" t="str">
        <f t="shared" si="1"/>
        <v/>
      </c>
      <c r="K16" s="149">
        <f t="shared" si="2"/>
        <v>0</v>
      </c>
    </row>
    <row r="17" spans="2:11">
      <c r="B17" t="s">
        <v>234</v>
      </c>
      <c r="C17" s="149" t="s">
        <v>1169</v>
      </c>
      <c r="D17" t="s">
        <v>303</v>
      </c>
      <c r="E17" t="s">
        <v>304</v>
      </c>
      <c r="F17" t="s">
        <v>25</v>
      </c>
      <c r="G17" s="137">
        <v>999</v>
      </c>
      <c r="H17" s="1">
        <v>0</v>
      </c>
      <c r="I17" s="107" t="str">
        <f t="shared" si="0"/>
        <v>2</v>
      </c>
      <c r="J17" s="149" t="str">
        <f t="shared" si="1"/>
        <v/>
      </c>
      <c r="K17" s="149">
        <f t="shared" si="2"/>
        <v>0</v>
      </c>
    </row>
    <row r="18" spans="2:11">
      <c r="B18" t="s">
        <v>234</v>
      </c>
      <c r="C18" s="149" t="s">
        <v>1169</v>
      </c>
      <c r="D18" t="s">
        <v>1034</v>
      </c>
      <c r="E18" t="s">
        <v>1437</v>
      </c>
      <c r="F18" t="s">
        <v>25</v>
      </c>
      <c r="G18" s="137">
        <v>999</v>
      </c>
      <c r="H18" s="1">
        <v>0</v>
      </c>
      <c r="I18" s="107" t="str">
        <f t="shared" si="0"/>
        <v>2</v>
      </c>
      <c r="J18" s="149" t="str">
        <f t="shared" si="1"/>
        <v/>
      </c>
      <c r="K18" s="149">
        <f t="shared" si="2"/>
        <v>0</v>
      </c>
    </row>
    <row r="19" spans="2:11">
      <c r="B19" t="s">
        <v>234</v>
      </c>
      <c r="C19" s="149" t="s">
        <v>1169</v>
      </c>
      <c r="D19" t="s">
        <v>1013</v>
      </c>
      <c r="E19" t="s">
        <v>1014</v>
      </c>
      <c r="F19" t="s">
        <v>25</v>
      </c>
      <c r="G19" s="137">
        <v>999</v>
      </c>
      <c r="H19" s="1">
        <v>0</v>
      </c>
      <c r="I19" s="107" t="str">
        <f t="shared" si="0"/>
        <v>2</v>
      </c>
      <c r="J19" s="149" t="str">
        <f t="shared" si="1"/>
        <v/>
      </c>
      <c r="K19" s="149">
        <f t="shared" si="2"/>
        <v>0</v>
      </c>
    </row>
    <row r="20" spans="2:11">
      <c r="B20" t="s">
        <v>234</v>
      </c>
      <c r="C20" s="149" t="s">
        <v>1169</v>
      </c>
      <c r="D20" t="s">
        <v>306</v>
      </c>
      <c r="E20" t="s">
        <v>307</v>
      </c>
      <c r="F20" t="s">
        <v>25</v>
      </c>
      <c r="G20" s="137">
        <v>999</v>
      </c>
      <c r="H20" s="1">
        <v>18558919</v>
      </c>
      <c r="I20" s="107" t="str">
        <f t="shared" si="0"/>
        <v>2</v>
      </c>
      <c r="J20" s="149" t="str">
        <f t="shared" si="1"/>
        <v/>
      </c>
      <c r="K20" s="149">
        <f t="shared" si="2"/>
        <v>0</v>
      </c>
    </row>
    <row r="21" spans="2:11">
      <c r="B21" t="s">
        <v>234</v>
      </c>
      <c r="C21" s="149" t="s">
        <v>1169</v>
      </c>
      <c r="D21" t="s">
        <v>1015</v>
      </c>
      <c r="E21" t="s">
        <v>1016</v>
      </c>
      <c r="F21" t="s">
        <v>25</v>
      </c>
      <c r="G21" s="137">
        <v>999</v>
      </c>
      <c r="H21" s="1">
        <v>2631932</v>
      </c>
      <c r="I21" s="107" t="str">
        <f t="shared" si="0"/>
        <v>2</v>
      </c>
      <c r="J21" s="149" t="str">
        <f t="shared" si="1"/>
        <v/>
      </c>
      <c r="K21" s="149">
        <f t="shared" si="2"/>
        <v>0</v>
      </c>
    </row>
    <row r="22" spans="2:11">
      <c r="B22" t="s">
        <v>234</v>
      </c>
      <c r="C22" s="149" t="s">
        <v>1169</v>
      </c>
      <c r="D22" t="s">
        <v>1506</v>
      </c>
      <c r="E22" t="s">
        <v>1509</v>
      </c>
      <c r="F22" t="s">
        <v>25</v>
      </c>
      <c r="G22" s="137">
        <v>999</v>
      </c>
      <c r="H22" s="1">
        <v>0</v>
      </c>
      <c r="I22" s="107" t="str">
        <f t="shared" si="0"/>
        <v>2</v>
      </c>
      <c r="J22" s="149" t="str">
        <f t="shared" si="1"/>
        <v/>
      </c>
      <c r="K22" s="149">
        <f t="shared" si="2"/>
        <v>1</v>
      </c>
    </row>
    <row r="23" spans="2:11">
      <c r="B23" t="s">
        <v>234</v>
      </c>
      <c r="C23" s="149" t="s">
        <v>1169</v>
      </c>
      <c r="D23" t="s">
        <v>1017</v>
      </c>
      <c r="E23" t="s">
        <v>1018</v>
      </c>
      <c r="F23" t="s">
        <v>25</v>
      </c>
      <c r="G23" s="137">
        <v>999</v>
      </c>
      <c r="H23" s="1">
        <v>0</v>
      </c>
      <c r="I23" s="107" t="str">
        <f t="shared" si="0"/>
        <v>2</v>
      </c>
      <c r="J23" s="149" t="str">
        <f t="shared" si="1"/>
        <v/>
      </c>
      <c r="K23" s="149">
        <f t="shared" si="2"/>
        <v>1</v>
      </c>
    </row>
    <row r="24" spans="2:11">
      <c r="B24" t="s">
        <v>234</v>
      </c>
      <c r="C24" s="149" t="s">
        <v>1169</v>
      </c>
      <c r="D24" t="s">
        <v>1508</v>
      </c>
      <c r="E24" t="s">
        <v>1510</v>
      </c>
      <c r="F24" t="s">
        <v>25</v>
      </c>
      <c r="G24" s="137">
        <v>999</v>
      </c>
      <c r="H24" s="1">
        <v>0</v>
      </c>
      <c r="I24" s="107" t="str">
        <f t="shared" si="0"/>
        <v>2</v>
      </c>
      <c r="J24" s="149" t="str">
        <f t="shared" si="1"/>
        <v/>
      </c>
      <c r="K24" s="149">
        <f t="shared" si="2"/>
        <v>1</v>
      </c>
    </row>
    <row r="25" spans="2:11">
      <c r="B25" t="s">
        <v>234</v>
      </c>
      <c r="C25" s="149" t="s">
        <v>1169</v>
      </c>
      <c r="D25" t="s">
        <v>1511</v>
      </c>
      <c r="E25" t="s">
        <v>1512</v>
      </c>
      <c r="F25" t="s">
        <v>25</v>
      </c>
      <c r="G25" s="137">
        <v>999</v>
      </c>
      <c r="H25" s="1">
        <v>0</v>
      </c>
      <c r="I25" s="107" t="str">
        <f t="shared" si="0"/>
        <v>2</v>
      </c>
      <c r="J25" s="149" t="str">
        <f t="shared" si="1"/>
        <v/>
      </c>
      <c r="K25" s="149">
        <f t="shared" si="2"/>
        <v>1</v>
      </c>
    </row>
    <row r="26" spans="2:11">
      <c r="B26" t="s">
        <v>234</v>
      </c>
      <c r="C26" s="149" t="s">
        <v>1169</v>
      </c>
      <c r="D26" t="s">
        <v>1010</v>
      </c>
      <c r="E26" t="s">
        <v>1011</v>
      </c>
      <c r="F26" t="s">
        <v>25</v>
      </c>
      <c r="G26" s="137">
        <v>999</v>
      </c>
      <c r="H26" s="1">
        <v>0</v>
      </c>
      <c r="I26" s="107" t="str">
        <f t="shared" si="0"/>
        <v>2</v>
      </c>
      <c r="J26" s="149" t="str">
        <f t="shared" si="1"/>
        <v/>
      </c>
      <c r="K26" s="149">
        <f t="shared" si="2"/>
        <v>1</v>
      </c>
    </row>
    <row r="27" spans="2:11">
      <c r="B27" t="s">
        <v>4</v>
      </c>
      <c r="C27" s="149" t="s">
        <v>1169</v>
      </c>
      <c r="D27" t="s">
        <v>238</v>
      </c>
      <c r="E27" t="s">
        <v>239</v>
      </c>
      <c r="F27" t="s">
        <v>25</v>
      </c>
      <c r="G27" s="137">
        <v>999</v>
      </c>
      <c r="H27" s="1">
        <v>0</v>
      </c>
      <c r="I27" s="107" t="str">
        <f t="shared" si="0"/>
        <v>1</v>
      </c>
      <c r="J27" s="149" t="str">
        <f t="shared" si="1"/>
        <v/>
      </c>
      <c r="K27" s="149">
        <f t="shared" si="2"/>
        <v>0</v>
      </c>
    </row>
    <row r="28" spans="2:11">
      <c r="B28" t="s">
        <v>4</v>
      </c>
      <c r="C28" s="149" t="s">
        <v>1169</v>
      </c>
      <c r="D28" t="s">
        <v>240</v>
      </c>
      <c r="E28" t="s">
        <v>241</v>
      </c>
      <c r="F28" t="s">
        <v>25</v>
      </c>
      <c r="G28" s="137">
        <v>999</v>
      </c>
      <c r="H28" s="1">
        <v>608357</v>
      </c>
      <c r="I28" s="107" t="str">
        <f t="shared" si="0"/>
        <v>1</v>
      </c>
      <c r="J28" s="149" t="str">
        <f t="shared" si="1"/>
        <v/>
      </c>
      <c r="K28" s="149">
        <f t="shared" si="2"/>
        <v>0</v>
      </c>
    </row>
    <row r="29" spans="2:11">
      <c r="B29" t="s">
        <v>4</v>
      </c>
      <c r="C29" s="149" t="s">
        <v>1169</v>
      </c>
      <c r="D29" t="s">
        <v>242</v>
      </c>
      <c r="E29" t="s">
        <v>250</v>
      </c>
      <c r="F29" t="s">
        <v>25</v>
      </c>
      <c r="G29" s="137">
        <v>999</v>
      </c>
      <c r="H29" s="1">
        <v>24004022</v>
      </c>
      <c r="I29" s="107" t="str">
        <f t="shared" si="0"/>
        <v>1</v>
      </c>
      <c r="J29" s="149" t="str">
        <f t="shared" si="1"/>
        <v/>
      </c>
      <c r="K29" s="149">
        <f t="shared" si="2"/>
        <v>0</v>
      </c>
    </row>
    <row r="30" spans="2:11">
      <c r="B30" t="s">
        <v>4</v>
      </c>
      <c r="C30" s="149" t="s">
        <v>1169</v>
      </c>
      <c r="D30" t="s">
        <v>244</v>
      </c>
      <c r="E30" t="s">
        <v>245</v>
      </c>
      <c r="F30" t="s">
        <v>25</v>
      </c>
      <c r="G30" s="137">
        <v>999</v>
      </c>
      <c r="H30" s="1">
        <v>0</v>
      </c>
      <c r="I30" s="107" t="str">
        <f t="shared" si="0"/>
        <v>1</v>
      </c>
      <c r="J30" s="149" t="str">
        <f t="shared" si="1"/>
        <v/>
      </c>
      <c r="K30" s="149">
        <f t="shared" si="2"/>
        <v>0</v>
      </c>
    </row>
    <row r="31" spans="2:11">
      <c r="B31" t="s">
        <v>4</v>
      </c>
      <c r="C31" s="149" t="s">
        <v>1169</v>
      </c>
      <c r="D31" t="s">
        <v>246</v>
      </c>
      <c r="E31" t="s">
        <v>248</v>
      </c>
      <c r="F31" t="s">
        <v>25</v>
      </c>
      <c r="G31" s="137">
        <v>999</v>
      </c>
      <c r="H31" s="1">
        <v>45270243</v>
      </c>
      <c r="I31" s="107" t="str">
        <f t="shared" si="0"/>
        <v>1</v>
      </c>
      <c r="J31" s="149" t="str">
        <f t="shared" si="1"/>
        <v/>
      </c>
      <c r="K31" s="149">
        <f t="shared" si="2"/>
        <v>0</v>
      </c>
    </row>
    <row r="32" spans="2:11">
      <c r="B32" t="s">
        <v>4</v>
      </c>
      <c r="C32" s="149" t="s">
        <v>1169</v>
      </c>
      <c r="D32" t="s">
        <v>249</v>
      </c>
      <c r="E32" t="s">
        <v>257</v>
      </c>
      <c r="F32" t="s">
        <v>25</v>
      </c>
      <c r="G32" s="137">
        <v>999</v>
      </c>
      <c r="H32" s="1">
        <v>1400905</v>
      </c>
      <c r="I32" s="107" t="str">
        <f t="shared" si="0"/>
        <v>1</v>
      </c>
      <c r="J32" s="149" t="str">
        <f t="shared" si="1"/>
        <v>USD</v>
      </c>
      <c r="K32" s="149">
        <f t="shared" si="2"/>
        <v>0</v>
      </c>
    </row>
    <row r="33" spans="2:11">
      <c r="B33" t="s">
        <v>4</v>
      </c>
      <c r="C33" s="149" t="s">
        <v>1169</v>
      </c>
      <c r="D33" t="s">
        <v>251</v>
      </c>
      <c r="E33" t="s">
        <v>255</v>
      </c>
      <c r="F33" t="s">
        <v>25</v>
      </c>
      <c r="G33" s="137">
        <v>999</v>
      </c>
      <c r="H33" s="1">
        <v>0</v>
      </c>
      <c r="I33" s="107" t="str">
        <f t="shared" si="0"/>
        <v>1</v>
      </c>
      <c r="J33" s="149" t="str">
        <f t="shared" si="1"/>
        <v>USD</v>
      </c>
      <c r="K33" s="149">
        <f t="shared" si="2"/>
        <v>0</v>
      </c>
    </row>
    <row r="34" spans="2:11">
      <c r="B34" t="s">
        <v>4</v>
      </c>
      <c r="C34" s="149" t="s">
        <v>1169</v>
      </c>
      <c r="D34" t="s">
        <v>252</v>
      </c>
      <c r="E34" t="s">
        <v>1085</v>
      </c>
      <c r="F34" t="s">
        <v>25</v>
      </c>
      <c r="G34" s="137">
        <v>999</v>
      </c>
      <c r="H34" s="1">
        <v>0</v>
      </c>
      <c r="I34" s="107" t="str">
        <f t="shared" si="0"/>
        <v>1</v>
      </c>
      <c r="J34" s="149" t="str">
        <f t="shared" si="1"/>
        <v>EUR</v>
      </c>
      <c r="K34" s="149">
        <f t="shared" si="2"/>
        <v>0</v>
      </c>
    </row>
    <row r="35" spans="2:11">
      <c r="B35" t="s">
        <v>4</v>
      </c>
      <c r="C35" s="149" t="s">
        <v>1169</v>
      </c>
      <c r="D35" t="s">
        <v>254</v>
      </c>
      <c r="E35" t="s">
        <v>258</v>
      </c>
      <c r="F35" t="s">
        <v>25</v>
      </c>
      <c r="G35" s="137">
        <v>999</v>
      </c>
      <c r="H35" s="1">
        <v>0</v>
      </c>
      <c r="I35" s="107" t="str">
        <f t="shared" si="0"/>
        <v>1</v>
      </c>
      <c r="J35" s="149" t="str">
        <f t="shared" si="1"/>
        <v/>
      </c>
      <c r="K35" s="149">
        <f t="shared" si="2"/>
        <v>0</v>
      </c>
    </row>
    <row r="36" spans="2:11">
      <c r="B36" t="s">
        <v>4</v>
      </c>
      <c r="C36" s="149" t="s">
        <v>1169</v>
      </c>
      <c r="D36" t="s">
        <v>308</v>
      </c>
      <c r="E36" t="s">
        <v>309</v>
      </c>
      <c r="F36" t="s">
        <v>25</v>
      </c>
      <c r="G36" s="137">
        <v>999</v>
      </c>
      <c r="H36" s="1">
        <v>0</v>
      </c>
      <c r="I36" s="107" t="str">
        <f t="shared" si="0"/>
        <v>1</v>
      </c>
      <c r="J36" s="149" t="str">
        <f t="shared" si="1"/>
        <v/>
      </c>
      <c r="K36" s="149">
        <f t="shared" si="2"/>
        <v>0</v>
      </c>
    </row>
    <row r="37" spans="2:11">
      <c r="B37" t="s">
        <v>4</v>
      </c>
      <c r="C37" s="149" t="s">
        <v>1169</v>
      </c>
      <c r="D37" t="s">
        <v>1043</v>
      </c>
      <c r="E37" t="s">
        <v>1044</v>
      </c>
      <c r="F37" t="s">
        <v>25</v>
      </c>
      <c r="G37" s="137">
        <v>999</v>
      </c>
      <c r="H37" s="1">
        <v>0</v>
      </c>
      <c r="I37" s="107" t="str">
        <f t="shared" si="0"/>
        <v>1</v>
      </c>
      <c r="J37" s="149" t="str">
        <f t="shared" si="1"/>
        <v/>
      </c>
      <c r="K37" s="149">
        <f t="shared" si="2"/>
        <v>0</v>
      </c>
    </row>
    <row r="38" spans="2:11">
      <c r="B38" t="s">
        <v>4</v>
      </c>
      <c r="C38" s="149" t="s">
        <v>1169</v>
      </c>
      <c r="D38" t="s">
        <v>310</v>
      </c>
      <c r="E38" t="s">
        <v>311</v>
      </c>
      <c r="F38" t="s">
        <v>25</v>
      </c>
      <c r="G38" s="137">
        <v>999</v>
      </c>
      <c r="H38" s="1">
        <v>0</v>
      </c>
      <c r="I38" s="107" t="str">
        <f t="shared" si="0"/>
        <v>1</v>
      </c>
      <c r="J38" s="149" t="str">
        <f t="shared" si="1"/>
        <v/>
      </c>
      <c r="K38" s="149">
        <f t="shared" si="2"/>
        <v>0</v>
      </c>
    </row>
    <row r="39" spans="2:11">
      <c r="B39" t="s">
        <v>4</v>
      </c>
      <c r="C39" s="149" t="s">
        <v>1169</v>
      </c>
      <c r="D39" t="s">
        <v>1515</v>
      </c>
      <c r="E39" t="s">
        <v>1516</v>
      </c>
      <c r="F39" t="s">
        <v>25</v>
      </c>
      <c r="G39" s="137">
        <v>999</v>
      </c>
      <c r="H39" s="1">
        <v>16</v>
      </c>
      <c r="I39" s="107" t="str">
        <f t="shared" si="0"/>
        <v>1</v>
      </c>
      <c r="J39" s="149" t="str">
        <f t="shared" si="1"/>
        <v/>
      </c>
      <c r="K39" s="149">
        <f t="shared" si="2"/>
        <v>0</v>
      </c>
    </row>
    <row r="40" spans="2:11">
      <c r="B40" t="s">
        <v>4</v>
      </c>
      <c r="C40" s="149" t="s">
        <v>1169</v>
      </c>
      <c r="D40" t="s">
        <v>1040</v>
      </c>
      <c r="E40" t="s">
        <v>1041</v>
      </c>
      <c r="F40" t="s">
        <v>25</v>
      </c>
      <c r="G40" s="137">
        <v>999</v>
      </c>
      <c r="H40" s="1">
        <v>0</v>
      </c>
      <c r="I40" s="107" t="str">
        <f t="shared" si="0"/>
        <v>2</v>
      </c>
      <c r="J40" s="149" t="str">
        <f t="shared" si="1"/>
        <v>EUR</v>
      </c>
      <c r="K40" s="149">
        <f t="shared" si="2"/>
        <v>0</v>
      </c>
    </row>
    <row r="41" spans="2:11">
      <c r="B41" t="s">
        <v>4</v>
      </c>
      <c r="C41" s="149" t="s">
        <v>1169</v>
      </c>
      <c r="D41" t="s">
        <v>301</v>
      </c>
      <c r="E41" t="s">
        <v>302</v>
      </c>
      <c r="F41" t="s">
        <v>25</v>
      </c>
      <c r="G41" s="137">
        <v>999</v>
      </c>
      <c r="H41" s="1">
        <v>0</v>
      </c>
      <c r="I41" s="107" t="str">
        <f t="shared" si="0"/>
        <v>2</v>
      </c>
      <c r="J41" s="149" t="str">
        <f t="shared" si="1"/>
        <v/>
      </c>
      <c r="K41" s="149">
        <f t="shared" si="2"/>
        <v>0</v>
      </c>
    </row>
    <row r="42" spans="2:11">
      <c r="B42" t="s">
        <v>4</v>
      </c>
      <c r="C42" s="149" t="s">
        <v>1169</v>
      </c>
      <c r="D42" t="s">
        <v>303</v>
      </c>
      <c r="E42" t="s">
        <v>1016</v>
      </c>
      <c r="F42" t="s">
        <v>25</v>
      </c>
      <c r="G42" s="137">
        <v>999</v>
      </c>
      <c r="H42" s="1">
        <v>0</v>
      </c>
      <c r="I42" s="107" t="str">
        <f t="shared" si="0"/>
        <v>2</v>
      </c>
      <c r="J42" s="149" t="str">
        <f t="shared" si="1"/>
        <v/>
      </c>
      <c r="K42" s="149">
        <f t="shared" si="2"/>
        <v>0</v>
      </c>
    </row>
    <row r="43" spans="2:11">
      <c r="B43" t="s">
        <v>4</v>
      </c>
      <c r="C43" s="149" t="s">
        <v>1169</v>
      </c>
      <c r="D43" t="s">
        <v>1034</v>
      </c>
      <c r="E43" t="s">
        <v>1036</v>
      </c>
      <c r="F43" t="s">
        <v>25</v>
      </c>
      <c r="G43" s="137">
        <v>999</v>
      </c>
      <c r="H43" s="1">
        <v>0</v>
      </c>
      <c r="I43" s="107" t="str">
        <f t="shared" si="0"/>
        <v>2</v>
      </c>
      <c r="J43" s="149" t="str">
        <f t="shared" si="1"/>
        <v/>
      </c>
      <c r="K43" s="149">
        <f t="shared" si="2"/>
        <v>0</v>
      </c>
    </row>
    <row r="44" spans="2:11">
      <c r="B44" t="s">
        <v>4</v>
      </c>
      <c r="C44" s="149" t="s">
        <v>1169</v>
      </c>
      <c r="D44" t="s">
        <v>1013</v>
      </c>
      <c r="E44" t="s">
        <v>1014</v>
      </c>
      <c r="F44" t="s">
        <v>25</v>
      </c>
      <c r="G44" s="137">
        <v>999</v>
      </c>
      <c r="H44" s="1">
        <v>0</v>
      </c>
      <c r="I44" s="107" t="str">
        <f t="shared" si="0"/>
        <v>2</v>
      </c>
      <c r="J44" s="149" t="str">
        <f t="shared" si="1"/>
        <v/>
      </c>
      <c r="K44" s="149">
        <f t="shared" si="2"/>
        <v>0</v>
      </c>
    </row>
    <row r="45" spans="2:11">
      <c r="B45" t="s">
        <v>4</v>
      </c>
      <c r="C45" s="149" t="s">
        <v>1169</v>
      </c>
      <c r="D45" t="s">
        <v>306</v>
      </c>
      <c r="E45" t="s">
        <v>307</v>
      </c>
      <c r="F45" t="s">
        <v>25</v>
      </c>
      <c r="G45" s="137">
        <v>999</v>
      </c>
      <c r="H45" s="1">
        <v>0</v>
      </c>
      <c r="I45" s="107" t="str">
        <f t="shared" si="0"/>
        <v>2</v>
      </c>
      <c r="J45" s="149" t="str">
        <f t="shared" si="1"/>
        <v/>
      </c>
      <c r="K45" s="149">
        <f t="shared" si="2"/>
        <v>0</v>
      </c>
    </row>
    <row r="46" spans="2:11">
      <c r="B46" t="s">
        <v>4</v>
      </c>
      <c r="C46" s="149" t="s">
        <v>1169</v>
      </c>
      <c r="D46" t="s">
        <v>1015</v>
      </c>
      <c r="E46" t="s">
        <v>1016</v>
      </c>
      <c r="F46" t="s">
        <v>25</v>
      </c>
      <c r="G46" s="137">
        <v>999</v>
      </c>
      <c r="H46" s="1">
        <v>1704130</v>
      </c>
      <c r="I46" s="107" t="str">
        <f t="shared" si="0"/>
        <v>2</v>
      </c>
      <c r="J46" s="149" t="str">
        <f t="shared" si="1"/>
        <v/>
      </c>
      <c r="K46" s="149">
        <f t="shared" si="2"/>
        <v>0</v>
      </c>
    </row>
    <row r="47" spans="2:11">
      <c r="B47" t="s">
        <v>4</v>
      </c>
      <c r="C47" s="149" t="s">
        <v>1169</v>
      </c>
      <c r="D47" t="s">
        <v>1506</v>
      </c>
      <c r="E47" t="s">
        <v>1507</v>
      </c>
      <c r="F47" t="s">
        <v>25</v>
      </c>
      <c r="G47" s="137">
        <v>999</v>
      </c>
      <c r="H47" s="1">
        <v>6933020883</v>
      </c>
      <c r="I47" s="107" t="str">
        <f t="shared" si="0"/>
        <v>2</v>
      </c>
      <c r="J47" s="149" t="str">
        <f t="shared" si="1"/>
        <v/>
      </c>
      <c r="K47" s="149">
        <f t="shared" si="2"/>
        <v>0</v>
      </c>
    </row>
    <row r="48" spans="2:11">
      <c r="B48" t="s">
        <v>4</v>
      </c>
      <c r="C48" s="149" t="s">
        <v>1169</v>
      </c>
      <c r="D48" t="s">
        <v>1508</v>
      </c>
      <c r="E48" t="s">
        <v>1036</v>
      </c>
      <c r="F48" t="s">
        <v>25</v>
      </c>
      <c r="G48" s="137">
        <v>999</v>
      </c>
      <c r="H48" s="1">
        <v>0</v>
      </c>
      <c r="I48" s="107" t="str">
        <f t="shared" si="0"/>
        <v>2</v>
      </c>
      <c r="J48" s="149" t="str">
        <f t="shared" si="1"/>
        <v/>
      </c>
      <c r="K48" s="149">
        <f t="shared" si="2"/>
        <v>0</v>
      </c>
    </row>
    <row r="49" spans="2:11">
      <c r="B49" t="s">
        <v>353</v>
      </c>
      <c r="C49" s="149" t="s">
        <v>1169</v>
      </c>
      <c r="D49" t="s">
        <v>238</v>
      </c>
      <c r="E49" t="s">
        <v>239</v>
      </c>
      <c r="F49" t="s">
        <v>25</v>
      </c>
      <c r="G49" s="137">
        <v>999</v>
      </c>
      <c r="H49" s="1">
        <v>0</v>
      </c>
      <c r="I49" s="107" t="str">
        <f t="shared" si="0"/>
        <v>1</v>
      </c>
      <c r="J49" s="149" t="str">
        <f t="shared" si="1"/>
        <v/>
      </c>
      <c r="K49" s="149">
        <f t="shared" si="2"/>
        <v>0</v>
      </c>
    </row>
    <row r="50" spans="2:11">
      <c r="B50" t="s">
        <v>353</v>
      </c>
      <c r="C50" s="149" t="s">
        <v>1169</v>
      </c>
      <c r="D50" t="s">
        <v>240</v>
      </c>
      <c r="E50" t="s">
        <v>241</v>
      </c>
      <c r="F50" t="s">
        <v>25</v>
      </c>
      <c r="G50" s="137">
        <v>999</v>
      </c>
      <c r="H50" s="1">
        <v>1649639</v>
      </c>
      <c r="I50" s="107" t="str">
        <f t="shared" si="0"/>
        <v>1</v>
      </c>
      <c r="J50" s="149" t="str">
        <f t="shared" si="1"/>
        <v/>
      </c>
      <c r="K50" s="149">
        <f t="shared" si="2"/>
        <v>0</v>
      </c>
    </row>
    <row r="51" spans="2:11">
      <c r="B51" t="s">
        <v>353</v>
      </c>
      <c r="C51" s="149" t="s">
        <v>1169</v>
      </c>
      <c r="D51" t="s">
        <v>242</v>
      </c>
      <c r="E51" t="s">
        <v>243</v>
      </c>
      <c r="F51" t="s">
        <v>25</v>
      </c>
      <c r="G51" s="137">
        <v>999</v>
      </c>
      <c r="H51" s="1">
        <v>315033</v>
      </c>
      <c r="I51" s="107" t="str">
        <f t="shared" si="0"/>
        <v>1</v>
      </c>
      <c r="J51" s="149" t="str">
        <f t="shared" si="1"/>
        <v/>
      </c>
      <c r="K51" s="149">
        <f t="shared" si="2"/>
        <v>0</v>
      </c>
    </row>
    <row r="52" spans="2:11">
      <c r="B52" t="s">
        <v>353</v>
      </c>
      <c r="C52" s="149" t="s">
        <v>1169</v>
      </c>
      <c r="D52" t="s">
        <v>244</v>
      </c>
      <c r="E52" t="s">
        <v>245</v>
      </c>
      <c r="F52" t="s">
        <v>25</v>
      </c>
      <c r="G52" s="137">
        <v>999</v>
      </c>
      <c r="H52" s="1">
        <v>0</v>
      </c>
      <c r="I52" s="107" t="str">
        <f t="shared" si="0"/>
        <v>1</v>
      </c>
      <c r="J52" s="149" t="str">
        <f t="shared" si="1"/>
        <v/>
      </c>
      <c r="K52" s="149">
        <f t="shared" si="2"/>
        <v>0</v>
      </c>
    </row>
    <row r="53" spans="2:11">
      <c r="B53" t="s">
        <v>353</v>
      </c>
      <c r="C53" s="149" t="s">
        <v>1169</v>
      </c>
      <c r="D53" t="s">
        <v>246</v>
      </c>
      <c r="E53" t="s">
        <v>259</v>
      </c>
      <c r="F53" t="s">
        <v>25</v>
      </c>
      <c r="G53" s="137">
        <v>999</v>
      </c>
      <c r="H53" s="1">
        <v>0</v>
      </c>
      <c r="I53" s="107" t="str">
        <f t="shared" si="0"/>
        <v>1</v>
      </c>
      <c r="J53" s="149" t="str">
        <f t="shared" si="1"/>
        <v/>
      </c>
      <c r="K53" s="149">
        <f t="shared" si="2"/>
        <v>0</v>
      </c>
    </row>
    <row r="54" spans="2:11">
      <c r="B54" t="s">
        <v>353</v>
      </c>
      <c r="C54" s="149" t="s">
        <v>1169</v>
      </c>
      <c r="D54" t="s">
        <v>312</v>
      </c>
      <c r="E54" t="s">
        <v>248</v>
      </c>
      <c r="F54" t="s">
        <v>25</v>
      </c>
      <c r="G54" s="137">
        <v>999</v>
      </c>
      <c r="H54" s="1">
        <v>12704395</v>
      </c>
      <c r="I54" s="107" t="str">
        <f t="shared" si="0"/>
        <v>1</v>
      </c>
      <c r="J54" s="149" t="str">
        <f t="shared" si="1"/>
        <v/>
      </c>
      <c r="K54" s="149">
        <f t="shared" si="2"/>
        <v>0</v>
      </c>
    </row>
    <row r="55" spans="2:11">
      <c r="B55" t="s">
        <v>353</v>
      </c>
      <c r="C55" s="149" t="s">
        <v>1169</v>
      </c>
      <c r="D55" t="s">
        <v>249</v>
      </c>
      <c r="E55" t="s">
        <v>250</v>
      </c>
      <c r="F55" t="s">
        <v>25</v>
      </c>
      <c r="G55" s="137">
        <v>999</v>
      </c>
      <c r="H55" s="1">
        <v>14159948</v>
      </c>
      <c r="I55" s="107" t="str">
        <f t="shared" si="0"/>
        <v>1</v>
      </c>
      <c r="J55" s="149" t="str">
        <f t="shared" si="1"/>
        <v>USD</v>
      </c>
      <c r="K55" s="149">
        <f t="shared" si="2"/>
        <v>0</v>
      </c>
    </row>
    <row r="56" spans="2:11">
      <c r="B56" t="s">
        <v>353</v>
      </c>
      <c r="C56" s="149" t="s">
        <v>1169</v>
      </c>
      <c r="D56" t="s">
        <v>251</v>
      </c>
      <c r="E56" t="s">
        <v>1085</v>
      </c>
      <c r="F56" t="s">
        <v>25</v>
      </c>
      <c r="G56" s="137">
        <v>999</v>
      </c>
      <c r="H56" s="1">
        <v>9147794</v>
      </c>
      <c r="I56" s="107" t="str">
        <f t="shared" si="0"/>
        <v>1</v>
      </c>
      <c r="J56" s="149" t="str">
        <f t="shared" si="1"/>
        <v>USD</v>
      </c>
      <c r="K56" s="149">
        <f t="shared" si="2"/>
        <v>0</v>
      </c>
    </row>
    <row r="57" spans="2:11">
      <c r="B57" t="s">
        <v>353</v>
      </c>
      <c r="C57" s="149" t="s">
        <v>1169</v>
      </c>
      <c r="D57" t="s">
        <v>252</v>
      </c>
      <c r="E57" t="s">
        <v>372</v>
      </c>
      <c r="F57" t="s">
        <v>25</v>
      </c>
      <c r="G57" s="137">
        <v>999</v>
      </c>
      <c r="H57" s="1">
        <v>1563681</v>
      </c>
      <c r="I57" s="107" t="str">
        <f t="shared" si="0"/>
        <v>1</v>
      </c>
      <c r="J57" s="149" t="str">
        <f t="shared" si="1"/>
        <v>EUR</v>
      </c>
      <c r="K57" s="149">
        <f t="shared" si="2"/>
        <v>0</v>
      </c>
    </row>
    <row r="58" spans="2:11">
      <c r="B58" t="s">
        <v>353</v>
      </c>
      <c r="C58" s="149" t="s">
        <v>1169</v>
      </c>
      <c r="D58" t="s">
        <v>254</v>
      </c>
      <c r="E58" t="s">
        <v>255</v>
      </c>
      <c r="F58" t="s">
        <v>25</v>
      </c>
      <c r="G58" s="137">
        <v>999</v>
      </c>
      <c r="H58" s="1">
        <v>0</v>
      </c>
      <c r="I58" s="107" t="str">
        <f t="shared" si="0"/>
        <v>1</v>
      </c>
      <c r="J58" s="149" t="str">
        <f t="shared" si="1"/>
        <v/>
      </c>
      <c r="K58" s="149">
        <f t="shared" si="2"/>
        <v>0</v>
      </c>
    </row>
    <row r="59" spans="2:11">
      <c r="B59" t="s">
        <v>353</v>
      </c>
      <c r="C59" s="149" t="s">
        <v>1169</v>
      </c>
      <c r="D59" t="s">
        <v>308</v>
      </c>
      <c r="E59" t="s">
        <v>309</v>
      </c>
      <c r="F59" t="s">
        <v>25</v>
      </c>
      <c r="G59" s="137">
        <v>999</v>
      </c>
      <c r="H59" s="1">
        <v>0</v>
      </c>
      <c r="I59" s="107" t="str">
        <f t="shared" si="0"/>
        <v>1</v>
      </c>
      <c r="J59" s="149" t="str">
        <f t="shared" si="1"/>
        <v/>
      </c>
      <c r="K59" s="149">
        <f t="shared" si="2"/>
        <v>0</v>
      </c>
    </row>
    <row r="60" spans="2:11">
      <c r="B60" t="s">
        <v>353</v>
      </c>
      <c r="C60" s="149" t="s">
        <v>1169</v>
      </c>
      <c r="D60" t="s">
        <v>1043</v>
      </c>
      <c r="E60" t="s">
        <v>1044</v>
      </c>
      <c r="F60" t="s">
        <v>25</v>
      </c>
      <c r="G60" s="137">
        <v>999</v>
      </c>
      <c r="H60" s="1">
        <v>0</v>
      </c>
      <c r="I60" s="107" t="str">
        <f t="shared" si="0"/>
        <v>1</v>
      </c>
      <c r="J60" s="149" t="str">
        <f t="shared" si="1"/>
        <v/>
      </c>
      <c r="K60" s="149">
        <f t="shared" si="2"/>
        <v>0</v>
      </c>
    </row>
    <row r="61" spans="2:11">
      <c r="B61" t="s">
        <v>353</v>
      </c>
      <c r="C61" s="149" t="s">
        <v>1169</v>
      </c>
      <c r="D61" t="s">
        <v>310</v>
      </c>
      <c r="E61" t="s">
        <v>311</v>
      </c>
      <c r="F61" t="s">
        <v>25</v>
      </c>
      <c r="G61" s="137">
        <v>999</v>
      </c>
      <c r="H61" s="1">
        <v>0</v>
      </c>
      <c r="I61" s="107" t="str">
        <f t="shared" si="0"/>
        <v>1</v>
      </c>
      <c r="J61" s="149" t="str">
        <f t="shared" si="1"/>
        <v/>
      </c>
      <c r="K61" s="149">
        <f t="shared" si="2"/>
        <v>0</v>
      </c>
    </row>
    <row r="62" spans="2:11">
      <c r="B62" t="s">
        <v>353</v>
      </c>
      <c r="C62" s="149" t="s">
        <v>1169</v>
      </c>
      <c r="D62" t="s">
        <v>1515</v>
      </c>
      <c r="E62" t="s">
        <v>1517</v>
      </c>
      <c r="F62" t="s">
        <v>25</v>
      </c>
      <c r="G62" s="137">
        <v>999</v>
      </c>
      <c r="H62" s="1">
        <v>0</v>
      </c>
      <c r="I62" s="107" t="str">
        <f t="shared" si="0"/>
        <v>1</v>
      </c>
      <c r="J62" s="149" t="str">
        <f t="shared" si="1"/>
        <v/>
      </c>
      <c r="K62" s="149">
        <f t="shared" si="2"/>
        <v>0</v>
      </c>
    </row>
    <row r="63" spans="2:11">
      <c r="B63" t="s">
        <v>353</v>
      </c>
      <c r="C63" s="149" t="s">
        <v>1169</v>
      </c>
      <c r="D63" t="s">
        <v>1040</v>
      </c>
      <c r="E63" t="s">
        <v>1042</v>
      </c>
      <c r="F63" t="s">
        <v>25</v>
      </c>
      <c r="G63" s="137">
        <v>999</v>
      </c>
      <c r="H63" s="1">
        <v>0</v>
      </c>
      <c r="I63" s="107" t="str">
        <f t="shared" si="0"/>
        <v>2</v>
      </c>
      <c r="J63" s="149" t="str">
        <f t="shared" si="1"/>
        <v>EUR</v>
      </c>
      <c r="K63" s="149">
        <f t="shared" si="2"/>
        <v>0</v>
      </c>
    </row>
    <row r="64" spans="2:11">
      <c r="B64" t="s">
        <v>353</v>
      </c>
      <c r="C64" s="149" t="s">
        <v>1169</v>
      </c>
      <c r="D64" t="s">
        <v>301</v>
      </c>
      <c r="E64" t="s">
        <v>302</v>
      </c>
      <c r="F64" t="s">
        <v>25</v>
      </c>
      <c r="G64" s="137">
        <v>999</v>
      </c>
      <c r="H64" s="1">
        <v>0</v>
      </c>
      <c r="I64" s="107" t="str">
        <f t="shared" si="0"/>
        <v>2</v>
      </c>
      <c r="J64" s="149" t="str">
        <f t="shared" si="1"/>
        <v/>
      </c>
      <c r="K64" s="149">
        <f t="shared" si="2"/>
        <v>0</v>
      </c>
    </row>
    <row r="65" spans="2:11">
      <c r="B65" t="s">
        <v>353</v>
      </c>
      <c r="C65" s="149" t="s">
        <v>1169</v>
      </c>
      <c r="D65" t="s">
        <v>303</v>
      </c>
      <c r="E65" t="s">
        <v>304</v>
      </c>
      <c r="F65" t="s">
        <v>25</v>
      </c>
      <c r="G65" s="137">
        <v>999</v>
      </c>
      <c r="H65" s="1">
        <v>0</v>
      </c>
      <c r="I65" s="107" t="str">
        <f t="shared" si="0"/>
        <v>2</v>
      </c>
      <c r="J65" s="149" t="str">
        <f t="shared" si="1"/>
        <v/>
      </c>
      <c r="K65" s="149">
        <f t="shared" si="2"/>
        <v>0</v>
      </c>
    </row>
    <row r="66" spans="2:11">
      <c r="B66" t="s">
        <v>353</v>
      </c>
      <c r="C66" s="149" t="s">
        <v>1169</v>
      </c>
      <c r="D66" t="s">
        <v>1034</v>
      </c>
      <c r="E66" t="s">
        <v>1037</v>
      </c>
      <c r="F66" t="s">
        <v>25</v>
      </c>
      <c r="G66" s="137">
        <v>999</v>
      </c>
      <c r="H66" s="1">
        <v>0</v>
      </c>
      <c r="I66" s="107" t="str">
        <f t="shared" si="0"/>
        <v>2</v>
      </c>
      <c r="J66" s="149" t="str">
        <f t="shared" si="1"/>
        <v/>
      </c>
      <c r="K66" s="149">
        <f t="shared" si="2"/>
        <v>0</v>
      </c>
    </row>
    <row r="67" spans="2:11">
      <c r="B67" t="s">
        <v>353</v>
      </c>
      <c r="C67" s="149" t="s">
        <v>1169</v>
      </c>
      <c r="D67" t="s">
        <v>1013</v>
      </c>
      <c r="E67" t="s">
        <v>1014</v>
      </c>
      <c r="F67" t="s">
        <v>25</v>
      </c>
      <c r="G67" s="137">
        <v>999</v>
      </c>
      <c r="H67" s="1">
        <v>0</v>
      </c>
      <c r="I67" s="107" t="str">
        <f t="shared" ref="I67:I130" si="3">+LEFT(D67,1)</f>
        <v>2</v>
      </c>
      <c r="J67" s="149" t="str">
        <f t="shared" ref="J67:J130" si="4">+IFERROR(VLOOKUP(D67,$P$2:$Q$35,2,0),"")</f>
        <v/>
      </c>
      <c r="K67" s="149">
        <f t="shared" ref="K67:K130" si="5">+IF(LEFT(E67,16)="PACTOS POR PAGAR",1,0)</f>
        <v>0</v>
      </c>
    </row>
    <row r="68" spans="2:11">
      <c r="B68" t="s">
        <v>353</v>
      </c>
      <c r="C68" s="149" t="s">
        <v>1169</v>
      </c>
      <c r="D68" t="s">
        <v>306</v>
      </c>
      <c r="E68" t="s">
        <v>307</v>
      </c>
      <c r="F68" t="s">
        <v>25</v>
      </c>
      <c r="G68" s="137">
        <v>999</v>
      </c>
      <c r="H68" s="1">
        <v>0</v>
      </c>
      <c r="I68" s="107" t="str">
        <f t="shared" si="3"/>
        <v>2</v>
      </c>
      <c r="J68" s="149" t="str">
        <f t="shared" si="4"/>
        <v/>
      </c>
      <c r="K68" s="149">
        <f t="shared" si="5"/>
        <v>0</v>
      </c>
    </row>
    <row r="69" spans="2:11">
      <c r="B69" t="s">
        <v>353</v>
      </c>
      <c r="C69" s="149" t="s">
        <v>1169</v>
      </c>
      <c r="D69" t="s">
        <v>1015</v>
      </c>
      <c r="E69" t="s">
        <v>1016</v>
      </c>
      <c r="F69" t="s">
        <v>25</v>
      </c>
      <c r="G69" s="137">
        <v>999</v>
      </c>
      <c r="H69" s="1">
        <v>0</v>
      </c>
      <c r="I69" s="107" t="str">
        <f t="shared" si="3"/>
        <v>2</v>
      </c>
      <c r="J69" s="149" t="str">
        <f t="shared" si="4"/>
        <v/>
      </c>
      <c r="K69" s="149">
        <f t="shared" si="5"/>
        <v>0</v>
      </c>
    </row>
    <row r="70" spans="2:11">
      <c r="B70" t="s">
        <v>353</v>
      </c>
      <c r="C70" s="149" t="s">
        <v>1169</v>
      </c>
      <c r="D70" t="s">
        <v>1506</v>
      </c>
      <c r="E70" t="s">
        <v>1509</v>
      </c>
      <c r="F70" t="s">
        <v>25</v>
      </c>
      <c r="G70" s="137">
        <v>999</v>
      </c>
      <c r="H70" s="1">
        <v>0</v>
      </c>
      <c r="I70" s="107" t="str">
        <f t="shared" si="3"/>
        <v>2</v>
      </c>
      <c r="J70" s="149" t="str">
        <f t="shared" si="4"/>
        <v/>
      </c>
      <c r="K70" s="149">
        <f t="shared" si="5"/>
        <v>1</v>
      </c>
    </row>
    <row r="71" spans="2:11">
      <c r="B71" t="s">
        <v>353</v>
      </c>
      <c r="C71" s="149" t="s">
        <v>1169</v>
      </c>
      <c r="D71" t="s">
        <v>1017</v>
      </c>
      <c r="E71" t="s">
        <v>363</v>
      </c>
      <c r="F71" t="s">
        <v>25</v>
      </c>
      <c r="G71" s="137">
        <v>999</v>
      </c>
      <c r="H71" s="1">
        <v>0</v>
      </c>
      <c r="I71" s="107" t="str">
        <f t="shared" si="3"/>
        <v>2</v>
      </c>
      <c r="J71" s="149" t="str">
        <f t="shared" si="4"/>
        <v/>
      </c>
      <c r="K71" s="149">
        <f t="shared" si="5"/>
        <v>0</v>
      </c>
    </row>
    <row r="72" spans="2:11">
      <c r="B72" t="s">
        <v>353</v>
      </c>
      <c r="C72" s="149" t="s">
        <v>1169</v>
      </c>
      <c r="D72" t="s">
        <v>1508</v>
      </c>
      <c r="E72" t="s">
        <v>1510</v>
      </c>
      <c r="F72" t="s">
        <v>25</v>
      </c>
      <c r="G72" s="137">
        <v>999</v>
      </c>
      <c r="H72" s="1">
        <v>0</v>
      </c>
      <c r="I72" s="107" t="str">
        <f t="shared" si="3"/>
        <v>2</v>
      </c>
      <c r="J72" s="149" t="str">
        <f t="shared" si="4"/>
        <v/>
      </c>
      <c r="K72" s="149">
        <f t="shared" si="5"/>
        <v>1</v>
      </c>
    </row>
    <row r="73" spans="2:11">
      <c r="B73" t="s">
        <v>353</v>
      </c>
      <c r="C73" s="149" t="s">
        <v>1169</v>
      </c>
      <c r="D73" t="s">
        <v>1511</v>
      </c>
      <c r="E73" t="s">
        <v>1512</v>
      </c>
      <c r="F73" t="s">
        <v>25</v>
      </c>
      <c r="G73" s="137">
        <v>999</v>
      </c>
      <c r="H73" s="1">
        <v>0</v>
      </c>
      <c r="I73" s="107" t="str">
        <f t="shared" si="3"/>
        <v>2</v>
      </c>
      <c r="J73" s="149" t="str">
        <f t="shared" si="4"/>
        <v/>
      </c>
      <c r="K73" s="149">
        <f t="shared" si="5"/>
        <v>1</v>
      </c>
    </row>
    <row r="74" spans="2:11">
      <c r="B74" t="s">
        <v>353</v>
      </c>
      <c r="C74" s="149" t="s">
        <v>1169</v>
      </c>
      <c r="D74" t="s">
        <v>1010</v>
      </c>
      <c r="E74" t="s">
        <v>1012</v>
      </c>
      <c r="F74" t="s">
        <v>25</v>
      </c>
      <c r="G74" s="137">
        <v>999</v>
      </c>
      <c r="H74" s="1">
        <v>6417684115</v>
      </c>
      <c r="I74" s="107" t="str">
        <f t="shared" si="3"/>
        <v>2</v>
      </c>
      <c r="J74" s="149" t="str">
        <f t="shared" si="4"/>
        <v/>
      </c>
      <c r="K74" s="149">
        <f t="shared" si="5"/>
        <v>1</v>
      </c>
    </row>
    <row r="75" spans="2:11">
      <c r="B75" t="s">
        <v>161</v>
      </c>
      <c r="C75" s="149" t="s">
        <v>1169</v>
      </c>
      <c r="D75" t="s">
        <v>238</v>
      </c>
      <c r="E75" t="s">
        <v>239</v>
      </c>
      <c r="F75" t="s">
        <v>25</v>
      </c>
      <c r="G75" s="137">
        <v>999</v>
      </c>
      <c r="H75" s="1">
        <v>0</v>
      </c>
      <c r="I75" s="107" t="str">
        <f t="shared" si="3"/>
        <v>1</v>
      </c>
      <c r="J75" s="149" t="str">
        <f t="shared" si="4"/>
        <v/>
      </c>
      <c r="K75" s="149">
        <f t="shared" si="5"/>
        <v>0</v>
      </c>
    </row>
    <row r="76" spans="2:11">
      <c r="B76" t="s">
        <v>161</v>
      </c>
      <c r="C76" s="149" t="s">
        <v>1169</v>
      </c>
      <c r="D76" t="s">
        <v>240</v>
      </c>
      <c r="E76" t="s">
        <v>241</v>
      </c>
      <c r="F76" t="s">
        <v>25</v>
      </c>
      <c r="G76" s="137">
        <v>999</v>
      </c>
      <c r="H76" s="1">
        <v>1532398</v>
      </c>
      <c r="I76" s="107" t="str">
        <f t="shared" si="3"/>
        <v>1</v>
      </c>
      <c r="J76" s="149" t="str">
        <f t="shared" si="4"/>
        <v/>
      </c>
      <c r="K76" s="149">
        <f t="shared" si="5"/>
        <v>0</v>
      </c>
    </row>
    <row r="77" spans="2:11">
      <c r="B77" t="s">
        <v>161</v>
      </c>
      <c r="C77" s="149" t="s">
        <v>1169</v>
      </c>
      <c r="D77" t="s">
        <v>242</v>
      </c>
      <c r="E77" t="s">
        <v>243</v>
      </c>
      <c r="F77" t="s">
        <v>25</v>
      </c>
      <c r="G77" s="137">
        <v>999</v>
      </c>
      <c r="H77" s="1">
        <v>0</v>
      </c>
      <c r="I77" s="107" t="str">
        <f t="shared" si="3"/>
        <v>1</v>
      </c>
      <c r="J77" s="149" t="str">
        <f t="shared" si="4"/>
        <v/>
      </c>
      <c r="K77" s="149">
        <f t="shared" si="5"/>
        <v>0</v>
      </c>
    </row>
    <row r="78" spans="2:11">
      <c r="B78" t="s">
        <v>161</v>
      </c>
      <c r="C78" s="149" t="s">
        <v>1169</v>
      </c>
      <c r="D78" t="s">
        <v>244</v>
      </c>
      <c r="E78" t="s">
        <v>245</v>
      </c>
      <c r="F78" t="s">
        <v>25</v>
      </c>
      <c r="G78" s="137">
        <v>999</v>
      </c>
      <c r="H78" s="1">
        <v>0</v>
      </c>
      <c r="I78" s="107" t="str">
        <f t="shared" si="3"/>
        <v>1</v>
      </c>
      <c r="J78" s="149" t="str">
        <f t="shared" si="4"/>
        <v/>
      </c>
      <c r="K78" s="149">
        <f t="shared" si="5"/>
        <v>0</v>
      </c>
    </row>
    <row r="79" spans="2:11">
      <c r="B79" t="s">
        <v>161</v>
      </c>
      <c r="C79" s="149" t="s">
        <v>1169</v>
      </c>
      <c r="D79" t="s">
        <v>246</v>
      </c>
      <c r="E79" t="s">
        <v>247</v>
      </c>
      <c r="F79" t="s">
        <v>25</v>
      </c>
      <c r="G79" s="137">
        <v>999</v>
      </c>
      <c r="H79" s="1">
        <v>11268497</v>
      </c>
      <c r="I79" s="107" t="str">
        <f t="shared" si="3"/>
        <v>1</v>
      </c>
      <c r="J79" s="149" t="str">
        <f t="shared" si="4"/>
        <v/>
      </c>
      <c r="K79" s="149">
        <f t="shared" si="5"/>
        <v>0</v>
      </c>
    </row>
    <row r="80" spans="2:11">
      <c r="B80" t="s">
        <v>161</v>
      </c>
      <c r="C80" s="149" t="s">
        <v>1169</v>
      </c>
      <c r="D80" t="s">
        <v>249</v>
      </c>
      <c r="E80" t="s">
        <v>250</v>
      </c>
      <c r="F80" t="s">
        <v>25</v>
      </c>
      <c r="G80" s="137">
        <v>999</v>
      </c>
      <c r="H80" s="1">
        <v>0</v>
      </c>
      <c r="I80" s="107" t="str">
        <f t="shared" si="3"/>
        <v>1</v>
      </c>
      <c r="J80" s="149" t="str">
        <f t="shared" si="4"/>
        <v>USD</v>
      </c>
      <c r="K80" s="149">
        <f t="shared" si="5"/>
        <v>0</v>
      </c>
    </row>
    <row r="81" spans="2:11">
      <c r="B81" t="s">
        <v>161</v>
      </c>
      <c r="C81" s="149" t="s">
        <v>1169</v>
      </c>
      <c r="D81" t="s">
        <v>251</v>
      </c>
      <c r="E81" t="s">
        <v>1084</v>
      </c>
      <c r="F81" t="s">
        <v>25</v>
      </c>
      <c r="G81" s="137">
        <v>999</v>
      </c>
      <c r="H81" s="1">
        <v>0</v>
      </c>
      <c r="I81" s="107" t="str">
        <f t="shared" si="3"/>
        <v>1</v>
      </c>
      <c r="J81" s="149" t="str">
        <f t="shared" si="4"/>
        <v>USD</v>
      </c>
      <c r="K81" s="149">
        <f t="shared" si="5"/>
        <v>0</v>
      </c>
    </row>
    <row r="82" spans="2:11">
      <c r="B82" t="s">
        <v>161</v>
      </c>
      <c r="C82" s="149" t="s">
        <v>1169</v>
      </c>
      <c r="D82" t="s">
        <v>252</v>
      </c>
      <c r="E82" t="s">
        <v>1544</v>
      </c>
      <c r="F82" t="s">
        <v>25</v>
      </c>
      <c r="G82" s="137">
        <v>999</v>
      </c>
      <c r="H82" s="1">
        <v>0</v>
      </c>
      <c r="I82" s="107" t="str">
        <f t="shared" si="3"/>
        <v>1</v>
      </c>
      <c r="J82" s="149" t="str">
        <f t="shared" si="4"/>
        <v>EUR</v>
      </c>
      <c r="K82" s="149">
        <f t="shared" si="5"/>
        <v>0</v>
      </c>
    </row>
    <row r="83" spans="2:11">
      <c r="B83" t="s">
        <v>161</v>
      </c>
      <c r="C83" s="149" t="s">
        <v>1169</v>
      </c>
      <c r="D83" t="s">
        <v>254</v>
      </c>
      <c r="E83" t="s">
        <v>255</v>
      </c>
      <c r="F83" t="s">
        <v>25</v>
      </c>
      <c r="G83" s="137">
        <v>999</v>
      </c>
      <c r="H83" s="1">
        <v>0</v>
      </c>
      <c r="I83" s="107" t="str">
        <f t="shared" si="3"/>
        <v>1</v>
      </c>
      <c r="J83" s="149" t="str">
        <f t="shared" si="4"/>
        <v/>
      </c>
      <c r="K83" s="149">
        <f t="shared" si="5"/>
        <v>0</v>
      </c>
    </row>
    <row r="84" spans="2:11">
      <c r="B84" t="s">
        <v>161</v>
      </c>
      <c r="C84" s="149" t="s">
        <v>1169</v>
      </c>
      <c r="D84" t="s">
        <v>308</v>
      </c>
      <c r="E84" t="s">
        <v>309</v>
      </c>
      <c r="F84" t="s">
        <v>25</v>
      </c>
      <c r="G84" s="137">
        <v>999</v>
      </c>
      <c r="H84" s="1">
        <v>0</v>
      </c>
      <c r="I84" s="107" t="str">
        <f t="shared" si="3"/>
        <v>1</v>
      </c>
      <c r="J84" s="149" t="str">
        <f t="shared" si="4"/>
        <v/>
      </c>
      <c r="K84" s="149">
        <f t="shared" si="5"/>
        <v>0</v>
      </c>
    </row>
    <row r="85" spans="2:11">
      <c r="B85" t="s">
        <v>161</v>
      </c>
      <c r="C85" s="149" t="s">
        <v>1169</v>
      </c>
      <c r="D85" t="s">
        <v>1043</v>
      </c>
      <c r="E85" t="s">
        <v>1044</v>
      </c>
      <c r="F85" t="s">
        <v>25</v>
      </c>
      <c r="G85" s="137">
        <v>999</v>
      </c>
      <c r="H85" s="1">
        <v>0</v>
      </c>
      <c r="I85" s="107" t="str">
        <f t="shared" si="3"/>
        <v>1</v>
      </c>
      <c r="J85" s="149" t="str">
        <f t="shared" si="4"/>
        <v/>
      </c>
      <c r="K85" s="149">
        <f t="shared" si="5"/>
        <v>0</v>
      </c>
    </row>
    <row r="86" spans="2:11">
      <c r="B86" t="s">
        <v>161</v>
      </c>
      <c r="C86" s="149" t="s">
        <v>1169</v>
      </c>
      <c r="D86" t="s">
        <v>310</v>
      </c>
      <c r="E86" t="s">
        <v>311</v>
      </c>
      <c r="F86" t="s">
        <v>25</v>
      </c>
      <c r="G86" s="137">
        <v>999</v>
      </c>
      <c r="H86" s="1">
        <v>0</v>
      </c>
      <c r="I86" s="107" t="str">
        <f t="shared" si="3"/>
        <v>1</v>
      </c>
      <c r="J86" s="149" t="str">
        <f t="shared" si="4"/>
        <v/>
      </c>
      <c r="K86" s="149">
        <f t="shared" si="5"/>
        <v>0</v>
      </c>
    </row>
    <row r="87" spans="2:11">
      <c r="B87" t="s">
        <v>161</v>
      </c>
      <c r="C87" s="149" t="s">
        <v>1169</v>
      </c>
      <c r="D87" t="s">
        <v>1515</v>
      </c>
      <c r="E87" t="s">
        <v>1518</v>
      </c>
      <c r="F87" t="s">
        <v>25</v>
      </c>
      <c r="G87" s="137">
        <v>999</v>
      </c>
      <c r="H87" s="1">
        <v>0</v>
      </c>
      <c r="I87" s="107" t="str">
        <f t="shared" si="3"/>
        <v>1</v>
      </c>
      <c r="J87" s="149" t="str">
        <f t="shared" si="4"/>
        <v/>
      </c>
      <c r="K87" s="149">
        <f t="shared" si="5"/>
        <v>0</v>
      </c>
    </row>
    <row r="88" spans="2:11">
      <c r="B88" t="s">
        <v>161</v>
      </c>
      <c r="C88" s="149" t="s">
        <v>1169</v>
      </c>
      <c r="D88" t="s">
        <v>1040</v>
      </c>
      <c r="E88" t="s">
        <v>1041</v>
      </c>
      <c r="F88" t="s">
        <v>25</v>
      </c>
      <c r="G88" s="137">
        <v>999</v>
      </c>
      <c r="H88" s="1">
        <v>0</v>
      </c>
      <c r="I88" s="107" t="str">
        <f t="shared" si="3"/>
        <v>2</v>
      </c>
      <c r="J88" s="149" t="str">
        <f t="shared" si="4"/>
        <v>EUR</v>
      </c>
      <c r="K88" s="149">
        <f t="shared" si="5"/>
        <v>0</v>
      </c>
    </row>
    <row r="89" spans="2:11">
      <c r="B89" t="s">
        <v>161</v>
      </c>
      <c r="C89" s="149" t="s">
        <v>1169</v>
      </c>
      <c r="D89" t="s">
        <v>301</v>
      </c>
      <c r="E89" t="s">
        <v>302</v>
      </c>
      <c r="F89" t="s">
        <v>25</v>
      </c>
      <c r="G89" s="137">
        <v>999</v>
      </c>
      <c r="H89" s="1">
        <v>0</v>
      </c>
      <c r="I89" s="107" t="str">
        <f t="shared" si="3"/>
        <v>2</v>
      </c>
      <c r="J89" s="149" t="str">
        <f t="shared" si="4"/>
        <v/>
      </c>
      <c r="K89" s="149">
        <f t="shared" si="5"/>
        <v>0</v>
      </c>
    </row>
    <row r="90" spans="2:11">
      <c r="B90" t="s">
        <v>161</v>
      </c>
      <c r="C90" s="149" t="s">
        <v>1169</v>
      </c>
      <c r="D90" t="s">
        <v>303</v>
      </c>
      <c r="E90" t="s">
        <v>1253</v>
      </c>
      <c r="F90" t="s">
        <v>25</v>
      </c>
      <c r="G90" s="137">
        <v>999</v>
      </c>
      <c r="H90" s="1">
        <v>53817</v>
      </c>
      <c r="I90" s="107" t="str">
        <f t="shared" si="3"/>
        <v>2</v>
      </c>
      <c r="J90" s="149" t="str">
        <f t="shared" si="4"/>
        <v/>
      </c>
      <c r="K90" s="149">
        <f t="shared" si="5"/>
        <v>0</v>
      </c>
    </row>
    <row r="91" spans="2:11">
      <c r="B91" t="s">
        <v>161</v>
      </c>
      <c r="C91" s="149" t="s">
        <v>1169</v>
      </c>
      <c r="D91" t="s">
        <v>1034</v>
      </c>
      <c r="E91" t="s">
        <v>1035</v>
      </c>
      <c r="F91" t="s">
        <v>25</v>
      </c>
      <c r="G91" s="137">
        <v>999</v>
      </c>
      <c r="H91" s="1">
        <v>0</v>
      </c>
      <c r="I91" s="107" t="str">
        <f t="shared" si="3"/>
        <v>2</v>
      </c>
      <c r="J91" s="149" t="str">
        <f t="shared" si="4"/>
        <v/>
      </c>
      <c r="K91" s="149">
        <f t="shared" si="5"/>
        <v>0</v>
      </c>
    </row>
    <row r="92" spans="2:11">
      <c r="B92" t="s">
        <v>161</v>
      </c>
      <c r="C92" s="149" t="s">
        <v>1169</v>
      </c>
      <c r="D92" t="s">
        <v>1013</v>
      </c>
      <c r="E92" t="s">
        <v>1014</v>
      </c>
      <c r="F92" t="s">
        <v>25</v>
      </c>
      <c r="G92" s="137">
        <v>999</v>
      </c>
      <c r="H92" s="1">
        <v>31850600</v>
      </c>
      <c r="I92" s="107" t="str">
        <f t="shared" si="3"/>
        <v>2</v>
      </c>
      <c r="J92" s="149" t="str">
        <f t="shared" si="4"/>
        <v/>
      </c>
      <c r="K92" s="149">
        <f t="shared" si="5"/>
        <v>0</v>
      </c>
    </row>
    <row r="93" spans="2:11">
      <c r="B93" t="s">
        <v>161</v>
      </c>
      <c r="C93" s="149" t="s">
        <v>1169</v>
      </c>
      <c r="D93" t="s">
        <v>306</v>
      </c>
      <c r="E93" t="s">
        <v>307</v>
      </c>
      <c r="F93" t="s">
        <v>25</v>
      </c>
      <c r="G93" s="137">
        <v>999</v>
      </c>
      <c r="H93" s="1">
        <v>280585</v>
      </c>
      <c r="I93" s="107" t="str">
        <f t="shared" si="3"/>
        <v>2</v>
      </c>
      <c r="J93" s="149" t="str">
        <f t="shared" si="4"/>
        <v/>
      </c>
      <c r="K93" s="149">
        <f t="shared" si="5"/>
        <v>0</v>
      </c>
    </row>
    <row r="94" spans="2:11">
      <c r="B94" t="s">
        <v>161</v>
      </c>
      <c r="C94" s="149" t="s">
        <v>1169</v>
      </c>
      <c r="D94" t="s">
        <v>1015</v>
      </c>
      <c r="E94" t="s">
        <v>1016</v>
      </c>
      <c r="F94" t="s">
        <v>25</v>
      </c>
      <c r="G94" s="137">
        <v>999</v>
      </c>
      <c r="H94" s="1">
        <v>0</v>
      </c>
      <c r="I94" s="107" t="str">
        <f t="shared" si="3"/>
        <v>2</v>
      </c>
      <c r="J94" s="149" t="str">
        <f t="shared" si="4"/>
        <v/>
      </c>
      <c r="K94" s="149">
        <f t="shared" si="5"/>
        <v>0</v>
      </c>
    </row>
    <row r="95" spans="2:11">
      <c r="B95" t="s">
        <v>161</v>
      </c>
      <c r="C95" s="149" t="s">
        <v>1169</v>
      </c>
      <c r="D95" t="s">
        <v>1506</v>
      </c>
      <c r="E95" t="s">
        <v>1509</v>
      </c>
      <c r="F95" t="s">
        <v>25</v>
      </c>
      <c r="G95" s="137">
        <v>999</v>
      </c>
      <c r="H95" s="1">
        <v>0</v>
      </c>
      <c r="I95" s="107" t="str">
        <f t="shared" si="3"/>
        <v>2</v>
      </c>
      <c r="J95" s="149" t="str">
        <f t="shared" si="4"/>
        <v/>
      </c>
      <c r="K95" s="149">
        <f t="shared" si="5"/>
        <v>1</v>
      </c>
    </row>
    <row r="96" spans="2:11">
      <c r="B96" t="s">
        <v>161</v>
      </c>
      <c r="C96" s="149" t="s">
        <v>1169</v>
      </c>
      <c r="D96" t="s">
        <v>1017</v>
      </c>
      <c r="E96" t="s">
        <v>1018</v>
      </c>
      <c r="F96" t="s">
        <v>25</v>
      </c>
      <c r="G96" s="137">
        <v>999</v>
      </c>
      <c r="H96" s="1">
        <v>0</v>
      </c>
      <c r="I96" s="107" t="str">
        <f t="shared" si="3"/>
        <v>2</v>
      </c>
      <c r="J96" s="149" t="str">
        <f t="shared" si="4"/>
        <v/>
      </c>
      <c r="K96" s="149">
        <f t="shared" si="5"/>
        <v>1</v>
      </c>
    </row>
    <row r="97" spans="2:11">
      <c r="B97" t="s">
        <v>161</v>
      </c>
      <c r="C97" s="149" t="s">
        <v>1169</v>
      </c>
      <c r="D97" t="s">
        <v>1508</v>
      </c>
      <c r="E97" t="s">
        <v>1510</v>
      </c>
      <c r="F97" t="s">
        <v>25</v>
      </c>
      <c r="G97" s="137">
        <v>999</v>
      </c>
      <c r="H97" s="1">
        <v>0</v>
      </c>
      <c r="I97" s="107" t="str">
        <f t="shared" si="3"/>
        <v>2</v>
      </c>
      <c r="J97" s="149" t="str">
        <f t="shared" si="4"/>
        <v/>
      </c>
      <c r="K97" s="149">
        <f t="shared" si="5"/>
        <v>1</v>
      </c>
    </row>
    <row r="98" spans="2:11">
      <c r="B98" t="s">
        <v>161</v>
      </c>
      <c r="C98" s="149" t="s">
        <v>1169</v>
      </c>
      <c r="D98" t="s">
        <v>1511</v>
      </c>
      <c r="E98" t="s">
        <v>1512</v>
      </c>
      <c r="F98" t="s">
        <v>25</v>
      </c>
      <c r="G98" s="137">
        <v>999</v>
      </c>
      <c r="H98" s="1">
        <v>0</v>
      </c>
      <c r="I98" s="107" t="str">
        <f t="shared" si="3"/>
        <v>2</v>
      </c>
      <c r="J98" s="149" t="str">
        <f t="shared" si="4"/>
        <v/>
      </c>
      <c r="K98" s="149">
        <f t="shared" si="5"/>
        <v>1</v>
      </c>
    </row>
    <row r="99" spans="2:11">
      <c r="B99" t="s">
        <v>161</v>
      </c>
      <c r="C99" s="149" t="s">
        <v>1169</v>
      </c>
      <c r="D99" t="s">
        <v>1010</v>
      </c>
      <c r="E99" t="s">
        <v>1011</v>
      </c>
      <c r="F99" t="s">
        <v>25</v>
      </c>
      <c r="G99" s="137">
        <v>999</v>
      </c>
      <c r="H99" s="1">
        <v>0</v>
      </c>
      <c r="I99" s="107" t="str">
        <f t="shared" si="3"/>
        <v>2</v>
      </c>
      <c r="J99" s="149" t="str">
        <f t="shared" si="4"/>
        <v/>
      </c>
      <c r="K99" s="149">
        <f t="shared" si="5"/>
        <v>1</v>
      </c>
    </row>
    <row r="100" spans="2:11">
      <c r="B100" t="s">
        <v>260</v>
      </c>
      <c r="C100" s="149" t="s">
        <v>1169</v>
      </c>
      <c r="D100" t="s">
        <v>238</v>
      </c>
      <c r="E100" t="s">
        <v>239</v>
      </c>
      <c r="F100" t="s">
        <v>25</v>
      </c>
      <c r="G100" s="137">
        <v>999</v>
      </c>
      <c r="H100" s="1">
        <v>0</v>
      </c>
      <c r="I100" s="107" t="str">
        <f t="shared" si="3"/>
        <v>1</v>
      </c>
      <c r="J100" s="149" t="str">
        <f t="shared" si="4"/>
        <v/>
      </c>
      <c r="K100" s="149">
        <f t="shared" si="5"/>
        <v>0</v>
      </c>
    </row>
    <row r="101" spans="2:11">
      <c r="B101" t="s">
        <v>260</v>
      </c>
      <c r="C101" s="149" t="s">
        <v>1169</v>
      </c>
      <c r="D101" t="s">
        <v>240</v>
      </c>
      <c r="E101" t="s">
        <v>248</v>
      </c>
      <c r="F101" t="s">
        <v>25</v>
      </c>
      <c r="G101" s="137">
        <v>999</v>
      </c>
      <c r="H101" s="1">
        <v>50618556</v>
      </c>
      <c r="I101" s="107" t="str">
        <f t="shared" si="3"/>
        <v>1</v>
      </c>
      <c r="J101" s="149" t="str">
        <f t="shared" si="4"/>
        <v/>
      </c>
      <c r="K101" s="149">
        <f t="shared" si="5"/>
        <v>0</v>
      </c>
    </row>
    <row r="102" spans="2:11">
      <c r="B102" t="s">
        <v>260</v>
      </c>
      <c r="C102" s="149" t="s">
        <v>1169</v>
      </c>
      <c r="D102" t="s">
        <v>242</v>
      </c>
      <c r="E102" t="s">
        <v>1278</v>
      </c>
      <c r="F102" t="s">
        <v>25</v>
      </c>
      <c r="G102" s="137">
        <v>999</v>
      </c>
      <c r="H102" s="1">
        <v>0</v>
      </c>
      <c r="I102" s="107" t="str">
        <f t="shared" si="3"/>
        <v>1</v>
      </c>
      <c r="J102" s="149" t="str">
        <f t="shared" si="4"/>
        <v/>
      </c>
      <c r="K102" s="149">
        <f t="shared" si="5"/>
        <v>0</v>
      </c>
    </row>
    <row r="103" spans="2:11">
      <c r="B103" t="s">
        <v>260</v>
      </c>
      <c r="C103" s="149" t="s">
        <v>1169</v>
      </c>
      <c r="D103" t="s">
        <v>244</v>
      </c>
      <c r="E103" t="s">
        <v>1279</v>
      </c>
      <c r="F103" t="s">
        <v>25</v>
      </c>
      <c r="G103" s="137">
        <v>999</v>
      </c>
      <c r="H103" s="1">
        <v>0</v>
      </c>
      <c r="I103" s="107" t="str">
        <f t="shared" si="3"/>
        <v>1</v>
      </c>
      <c r="J103" s="149" t="str">
        <f t="shared" si="4"/>
        <v/>
      </c>
      <c r="K103" s="149">
        <f t="shared" si="5"/>
        <v>0</v>
      </c>
    </row>
    <row r="104" spans="2:11">
      <c r="B104" t="s">
        <v>260</v>
      </c>
      <c r="C104" s="149" t="s">
        <v>1169</v>
      </c>
      <c r="D104" t="s">
        <v>249</v>
      </c>
      <c r="E104" t="s">
        <v>1280</v>
      </c>
      <c r="F104" t="s">
        <v>25</v>
      </c>
      <c r="G104" s="137">
        <v>999</v>
      </c>
      <c r="H104" s="1">
        <v>0</v>
      </c>
      <c r="I104" s="107" t="str">
        <f t="shared" si="3"/>
        <v>1</v>
      </c>
      <c r="J104" s="149" t="str">
        <f t="shared" si="4"/>
        <v>USD</v>
      </c>
      <c r="K104" s="149">
        <f t="shared" si="5"/>
        <v>0</v>
      </c>
    </row>
    <row r="105" spans="2:11">
      <c r="B105" t="s">
        <v>260</v>
      </c>
      <c r="C105" s="149" t="s">
        <v>1169</v>
      </c>
      <c r="D105" t="s">
        <v>251</v>
      </c>
      <c r="E105" t="s">
        <v>1281</v>
      </c>
      <c r="F105" t="s">
        <v>25</v>
      </c>
      <c r="G105" s="137">
        <v>999</v>
      </c>
      <c r="H105" s="1">
        <v>0</v>
      </c>
      <c r="I105" s="107" t="str">
        <f t="shared" si="3"/>
        <v>1</v>
      </c>
      <c r="J105" s="149" t="str">
        <f t="shared" si="4"/>
        <v>USD</v>
      </c>
      <c r="K105" s="149">
        <f t="shared" si="5"/>
        <v>0</v>
      </c>
    </row>
    <row r="106" spans="2:11">
      <c r="B106" t="s">
        <v>260</v>
      </c>
      <c r="C106" s="149" t="s">
        <v>1169</v>
      </c>
      <c r="D106" t="s">
        <v>252</v>
      </c>
      <c r="E106" t="s">
        <v>253</v>
      </c>
      <c r="F106" t="s">
        <v>25</v>
      </c>
      <c r="G106" s="137">
        <v>999</v>
      </c>
      <c r="H106" s="1">
        <v>0</v>
      </c>
      <c r="I106" s="107" t="str">
        <f t="shared" si="3"/>
        <v>1</v>
      </c>
      <c r="J106" s="149" t="str">
        <f t="shared" si="4"/>
        <v>EUR</v>
      </c>
      <c r="K106" s="149">
        <f t="shared" si="5"/>
        <v>0</v>
      </c>
    </row>
    <row r="107" spans="2:11">
      <c r="B107" t="s">
        <v>260</v>
      </c>
      <c r="C107" s="149" t="s">
        <v>1169</v>
      </c>
      <c r="D107" t="s">
        <v>254</v>
      </c>
      <c r="E107" t="s">
        <v>1282</v>
      </c>
      <c r="F107" t="s">
        <v>25</v>
      </c>
      <c r="G107" s="137">
        <v>999</v>
      </c>
      <c r="H107" s="1">
        <v>0</v>
      </c>
      <c r="I107" s="107" t="str">
        <f t="shared" si="3"/>
        <v>1</v>
      </c>
      <c r="J107" s="149" t="str">
        <f t="shared" si="4"/>
        <v/>
      </c>
      <c r="K107" s="149">
        <f t="shared" si="5"/>
        <v>0</v>
      </c>
    </row>
    <row r="108" spans="2:11">
      <c r="B108" t="s">
        <v>260</v>
      </c>
      <c r="C108" s="149" t="s">
        <v>1169</v>
      </c>
      <c r="D108" t="s">
        <v>308</v>
      </c>
      <c r="E108" t="s">
        <v>309</v>
      </c>
      <c r="F108" t="s">
        <v>25</v>
      </c>
      <c r="G108" s="137">
        <v>999</v>
      </c>
      <c r="H108" s="1">
        <v>0</v>
      </c>
      <c r="I108" s="107" t="str">
        <f t="shared" si="3"/>
        <v>1</v>
      </c>
      <c r="J108" s="149" t="str">
        <f t="shared" si="4"/>
        <v/>
      </c>
      <c r="K108" s="149">
        <f t="shared" si="5"/>
        <v>0</v>
      </c>
    </row>
    <row r="109" spans="2:11">
      <c r="B109" t="s">
        <v>260</v>
      </c>
      <c r="C109" s="149" t="s">
        <v>1169</v>
      </c>
      <c r="D109" t="s">
        <v>310</v>
      </c>
      <c r="E109" t="s">
        <v>1283</v>
      </c>
      <c r="F109" t="s">
        <v>25</v>
      </c>
      <c r="G109" s="137">
        <v>999</v>
      </c>
      <c r="H109" s="1">
        <v>0</v>
      </c>
      <c r="I109" s="107" t="str">
        <f t="shared" si="3"/>
        <v>1</v>
      </c>
      <c r="J109" s="149" t="str">
        <f t="shared" si="4"/>
        <v/>
      </c>
      <c r="K109" s="149">
        <f t="shared" si="5"/>
        <v>0</v>
      </c>
    </row>
    <row r="110" spans="2:11">
      <c r="B110" t="s">
        <v>260</v>
      </c>
      <c r="C110" s="149" t="s">
        <v>1169</v>
      </c>
      <c r="D110" t="s">
        <v>1515</v>
      </c>
      <c r="E110" t="s">
        <v>1519</v>
      </c>
      <c r="F110" t="s">
        <v>25</v>
      </c>
      <c r="G110" s="137">
        <v>999</v>
      </c>
      <c r="H110" s="1">
        <v>0</v>
      </c>
      <c r="I110" s="107" t="str">
        <f t="shared" si="3"/>
        <v>1</v>
      </c>
      <c r="J110" s="149" t="str">
        <f t="shared" si="4"/>
        <v/>
      </c>
      <c r="K110" s="149">
        <f t="shared" si="5"/>
        <v>0</v>
      </c>
    </row>
    <row r="111" spans="2:11">
      <c r="B111" t="s">
        <v>260</v>
      </c>
      <c r="C111" s="149" t="s">
        <v>1169</v>
      </c>
      <c r="D111" t="s">
        <v>301</v>
      </c>
      <c r="E111" t="s">
        <v>1284</v>
      </c>
      <c r="F111" t="s">
        <v>25</v>
      </c>
      <c r="G111" s="137">
        <v>999</v>
      </c>
      <c r="H111" s="1">
        <v>1167816</v>
      </c>
      <c r="I111" s="107" t="str">
        <f t="shared" si="3"/>
        <v>2</v>
      </c>
      <c r="J111" s="149" t="str">
        <f t="shared" si="4"/>
        <v/>
      </c>
      <c r="K111" s="149">
        <f t="shared" si="5"/>
        <v>0</v>
      </c>
    </row>
    <row r="112" spans="2:11">
      <c r="B112" t="s">
        <v>260</v>
      </c>
      <c r="C112" s="149" t="s">
        <v>1169</v>
      </c>
      <c r="D112" t="s">
        <v>303</v>
      </c>
      <c r="E112" t="s">
        <v>1285</v>
      </c>
      <c r="F112" t="s">
        <v>25</v>
      </c>
      <c r="G112" s="137">
        <v>999</v>
      </c>
      <c r="H112" s="1">
        <v>0</v>
      </c>
      <c r="I112" s="107" t="str">
        <f t="shared" si="3"/>
        <v>2</v>
      </c>
      <c r="J112" s="149" t="str">
        <f t="shared" si="4"/>
        <v/>
      </c>
      <c r="K112" s="149">
        <f t="shared" si="5"/>
        <v>0</v>
      </c>
    </row>
    <row r="113" spans="2:11">
      <c r="B113" t="s">
        <v>260</v>
      </c>
      <c r="C113" s="149" t="s">
        <v>1169</v>
      </c>
      <c r="D113" t="s">
        <v>1506</v>
      </c>
      <c r="E113" t="s">
        <v>1507</v>
      </c>
      <c r="F113" t="s">
        <v>25</v>
      </c>
      <c r="G113" s="137">
        <v>999</v>
      </c>
      <c r="H113" s="1">
        <v>0</v>
      </c>
      <c r="I113" s="107" t="str">
        <f t="shared" si="3"/>
        <v>2</v>
      </c>
      <c r="J113" s="149" t="str">
        <f t="shared" si="4"/>
        <v/>
      </c>
      <c r="K113" s="149">
        <f t="shared" si="5"/>
        <v>0</v>
      </c>
    </row>
    <row r="114" spans="2:11">
      <c r="B114" t="s">
        <v>260</v>
      </c>
      <c r="C114" s="149" t="s">
        <v>1169</v>
      </c>
      <c r="D114" t="s">
        <v>1508</v>
      </c>
      <c r="E114" t="s">
        <v>1036</v>
      </c>
      <c r="F114" t="s">
        <v>25</v>
      </c>
      <c r="G114" s="137">
        <v>999</v>
      </c>
      <c r="H114" s="1">
        <v>0</v>
      </c>
      <c r="I114" s="107" t="str">
        <f t="shared" si="3"/>
        <v>2</v>
      </c>
      <c r="J114" s="149" t="str">
        <f t="shared" si="4"/>
        <v/>
      </c>
      <c r="K114" s="149">
        <f t="shared" si="5"/>
        <v>0</v>
      </c>
    </row>
    <row r="115" spans="2:11">
      <c r="B115" t="s">
        <v>299</v>
      </c>
      <c r="C115" s="149" t="s">
        <v>1169</v>
      </c>
      <c r="D115" t="s">
        <v>238</v>
      </c>
      <c r="E115" t="s">
        <v>239</v>
      </c>
      <c r="F115" t="s">
        <v>25</v>
      </c>
      <c r="G115" s="137">
        <v>999</v>
      </c>
      <c r="H115" s="1">
        <v>0</v>
      </c>
      <c r="I115" s="107" t="str">
        <f t="shared" si="3"/>
        <v>1</v>
      </c>
      <c r="J115" s="149" t="str">
        <f t="shared" si="4"/>
        <v/>
      </c>
      <c r="K115" s="149">
        <f t="shared" si="5"/>
        <v>0</v>
      </c>
    </row>
    <row r="116" spans="2:11">
      <c r="B116" t="s">
        <v>299</v>
      </c>
      <c r="C116" s="149" t="s">
        <v>1169</v>
      </c>
      <c r="D116" t="s">
        <v>240</v>
      </c>
      <c r="E116" t="s">
        <v>248</v>
      </c>
      <c r="F116" t="s">
        <v>25</v>
      </c>
      <c r="G116" s="137">
        <v>999</v>
      </c>
      <c r="H116" s="1">
        <v>34226057</v>
      </c>
      <c r="I116" s="107" t="str">
        <f t="shared" si="3"/>
        <v>1</v>
      </c>
      <c r="J116" s="149" t="str">
        <f t="shared" si="4"/>
        <v/>
      </c>
      <c r="K116" s="149">
        <f t="shared" si="5"/>
        <v>0</v>
      </c>
    </row>
    <row r="117" spans="2:11">
      <c r="B117" t="s">
        <v>299</v>
      </c>
      <c r="C117" s="149" t="s">
        <v>1169</v>
      </c>
      <c r="D117" t="s">
        <v>242</v>
      </c>
      <c r="E117" t="s">
        <v>1278</v>
      </c>
      <c r="F117" t="s">
        <v>25</v>
      </c>
      <c r="G117" s="137">
        <v>999</v>
      </c>
      <c r="H117" s="1">
        <v>0</v>
      </c>
      <c r="I117" s="107" t="str">
        <f t="shared" si="3"/>
        <v>1</v>
      </c>
      <c r="J117" s="149" t="str">
        <f t="shared" si="4"/>
        <v/>
      </c>
      <c r="K117" s="149">
        <f t="shared" si="5"/>
        <v>0</v>
      </c>
    </row>
    <row r="118" spans="2:11">
      <c r="B118" t="s">
        <v>299</v>
      </c>
      <c r="C118" s="149" t="s">
        <v>1169</v>
      </c>
      <c r="D118" t="s">
        <v>244</v>
      </c>
      <c r="E118" t="s">
        <v>1279</v>
      </c>
      <c r="F118" t="s">
        <v>25</v>
      </c>
      <c r="G118" s="137">
        <v>999</v>
      </c>
      <c r="H118" s="1">
        <v>0</v>
      </c>
      <c r="I118" s="107" t="str">
        <f t="shared" si="3"/>
        <v>1</v>
      </c>
      <c r="J118" s="149" t="str">
        <f t="shared" si="4"/>
        <v/>
      </c>
      <c r="K118" s="149">
        <f t="shared" si="5"/>
        <v>0</v>
      </c>
    </row>
    <row r="119" spans="2:11">
      <c r="B119" t="s">
        <v>299</v>
      </c>
      <c r="C119" s="149" t="s">
        <v>1169</v>
      </c>
      <c r="D119" t="s">
        <v>249</v>
      </c>
      <c r="E119" t="s">
        <v>1280</v>
      </c>
      <c r="F119" t="s">
        <v>25</v>
      </c>
      <c r="G119" s="137">
        <v>999</v>
      </c>
      <c r="H119" s="1">
        <v>0</v>
      </c>
      <c r="I119" s="107" t="str">
        <f t="shared" si="3"/>
        <v>1</v>
      </c>
      <c r="J119" s="149" t="str">
        <f t="shared" si="4"/>
        <v>USD</v>
      </c>
      <c r="K119" s="149">
        <f t="shared" si="5"/>
        <v>0</v>
      </c>
    </row>
    <row r="120" spans="2:11">
      <c r="B120" t="s">
        <v>299</v>
      </c>
      <c r="C120" s="149" t="s">
        <v>1169</v>
      </c>
      <c r="D120" t="s">
        <v>251</v>
      </c>
      <c r="E120" t="s">
        <v>1281</v>
      </c>
      <c r="F120" t="s">
        <v>25</v>
      </c>
      <c r="G120" s="137">
        <v>999</v>
      </c>
      <c r="H120" s="1">
        <v>0</v>
      </c>
      <c r="I120" s="107" t="str">
        <f t="shared" si="3"/>
        <v>1</v>
      </c>
      <c r="J120" s="149" t="str">
        <f t="shared" si="4"/>
        <v>USD</v>
      </c>
      <c r="K120" s="149">
        <f t="shared" si="5"/>
        <v>0</v>
      </c>
    </row>
    <row r="121" spans="2:11">
      <c r="B121" t="s">
        <v>299</v>
      </c>
      <c r="C121" s="149" t="s">
        <v>1169</v>
      </c>
      <c r="D121" t="s">
        <v>252</v>
      </c>
      <c r="E121" t="s">
        <v>253</v>
      </c>
      <c r="F121" t="s">
        <v>25</v>
      </c>
      <c r="G121" s="137">
        <v>999</v>
      </c>
      <c r="H121" s="1">
        <v>0</v>
      </c>
      <c r="I121" s="107" t="str">
        <f t="shared" si="3"/>
        <v>1</v>
      </c>
      <c r="J121" s="149" t="str">
        <f t="shared" si="4"/>
        <v>EUR</v>
      </c>
      <c r="K121" s="149">
        <f t="shared" si="5"/>
        <v>0</v>
      </c>
    </row>
    <row r="122" spans="2:11">
      <c r="B122" t="s">
        <v>299</v>
      </c>
      <c r="C122" s="149" t="s">
        <v>1169</v>
      </c>
      <c r="D122" t="s">
        <v>254</v>
      </c>
      <c r="E122" t="s">
        <v>1282</v>
      </c>
      <c r="F122" t="s">
        <v>25</v>
      </c>
      <c r="G122" s="137">
        <v>999</v>
      </c>
      <c r="H122" s="1">
        <v>0</v>
      </c>
      <c r="I122" s="107" t="str">
        <f t="shared" si="3"/>
        <v>1</v>
      </c>
      <c r="J122" s="149" t="str">
        <f t="shared" si="4"/>
        <v/>
      </c>
      <c r="K122" s="149">
        <f t="shared" si="5"/>
        <v>0</v>
      </c>
    </row>
    <row r="123" spans="2:11">
      <c r="B123" t="s">
        <v>299</v>
      </c>
      <c r="C123" s="149" t="s">
        <v>1169</v>
      </c>
      <c r="D123" t="s">
        <v>308</v>
      </c>
      <c r="E123" t="s">
        <v>309</v>
      </c>
      <c r="F123" t="s">
        <v>25</v>
      </c>
      <c r="G123" s="137">
        <v>999</v>
      </c>
      <c r="H123" s="1">
        <v>0</v>
      </c>
      <c r="I123" s="107" t="str">
        <f t="shared" si="3"/>
        <v>1</v>
      </c>
      <c r="J123" s="149" t="str">
        <f t="shared" si="4"/>
        <v/>
      </c>
      <c r="K123" s="149">
        <f t="shared" si="5"/>
        <v>0</v>
      </c>
    </row>
    <row r="124" spans="2:11">
      <c r="B124" t="s">
        <v>299</v>
      </c>
      <c r="C124" s="149" t="s">
        <v>1169</v>
      </c>
      <c r="D124" t="s">
        <v>310</v>
      </c>
      <c r="E124" t="s">
        <v>1283</v>
      </c>
      <c r="F124" t="s">
        <v>25</v>
      </c>
      <c r="G124" s="137">
        <v>999</v>
      </c>
      <c r="H124" s="1">
        <v>0</v>
      </c>
      <c r="I124" s="107" t="str">
        <f t="shared" si="3"/>
        <v>1</v>
      </c>
      <c r="J124" s="149" t="str">
        <f t="shared" si="4"/>
        <v/>
      </c>
      <c r="K124" s="149">
        <f t="shared" si="5"/>
        <v>0</v>
      </c>
    </row>
    <row r="125" spans="2:11">
      <c r="B125" t="s">
        <v>299</v>
      </c>
      <c r="C125" s="149" t="s">
        <v>1169</v>
      </c>
      <c r="D125" t="s">
        <v>1515</v>
      </c>
      <c r="E125" t="s">
        <v>1520</v>
      </c>
      <c r="F125" t="s">
        <v>25</v>
      </c>
      <c r="G125" s="137">
        <v>999</v>
      </c>
      <c r="H125" s="1">
        <v>0</v>
      </c>
      <c r="I125" s="107" t="str">
        <f t="shared" si="3"/>
        <v>1</v>
      </c>
      <c r="J125" s="149" t="str">
        <f t="shared" si="4"/>
        <v/>
      </c>
      <c r="K125" s="149">
        <f t="shared" si="5"/>
        <v>0</v>
      </c>
    </row>
    <row r="126" spans="2:11">
      <c r="B126" t="s">
        <v>299</v>
      </c>
      <c r="C126" s="149" t="s">
        <v>1169</v>
      </c>
      <c r="D126" t="s">
        <v>301</v>
      </c>
      <c r="E126" t="s">
        <v>1284</v>
      </c>
      <c r="F126" t="s">
        <v>25</v>
      </c>
      <c r="G126" s="137">
        <v>999</v>
      </c>
      <c r="H126" s="1">
        <v>3346923346</v>
      </c>
      <c r="I126" s="107" t="str">
        <f t="shared" si="3"/>
        <v>2</v>
      </c>
      <c r="J126" s="149" t="str">
        <f t="shared" si="4"/>
        <v/>
      </c>
      <c r="K126" s="149">
        <f t="shared" si="5"/>
        <v>0</v>
      </c>
    </row>
    <row r="127" spans="2:11">
      <c r="B127" t="s">
        <v>299</v>
      </c>
      <c r="C127" s="149" t="s">
        <v>1169</v>
      </c>
      <c r="D127" t="s">
        <v>303</v>
      </c>
      <c r="E127" t="s">
        <v>1285</v>
      </c>
      <c r="F127" t="s">
        <v>25</v>
      </c>
      <c r="G127" s="137">
        <v>999</v>
      </c>
      <c r="H127" s="1">
        <v>0</v>
      </c>
      <c r="I127" s="107" t="str">
        <f t="shared" si="3"/>
        <v>2</v>
      </c>
      <c r="J127" s="149" t="str">
        <f t="shared" si="4"/>
        <v/>
      </c>
      <c r="K127" s="149">
        <f t="shared" si="5"/>
        <v>0</v>
      </c>
    </row>
    <row r="128" spans="2:11">
      <c r="B128" t="s">
        <v>299</v>
      </c>
      <c r="C128" s="149" t="s">
        <v>1169</v>
      </c>
      <c r="D128" t="s">
        <v>1506</v>
      </c>
      <c r="E128" t="s">
        <v>1507</v>
      </c>
      <c r="F128" t="s">
        <v>25</v>
      </c>
      <c r="G128" s="102">
        <v>999</v>
      </c>
      <c r="H128">
        <v>0</v>
      </c>
      <c r="I128" s="107" t="str">
        <f t="shared" si="3"/>
        <v>2</v>
      </c>
      <c r="J128" s="149" t="str">
        <f t="shared" si="4"/>
        <v/>
      </c>
      <c r="K128" s="149">
        <f t="shared" si="5"/>
        <v>0</v>
      </c>
    </row>
    <row r="129" spans="2:11">
      <c r="B129" t="s">
        <v>299</v>
      </c>
      <c r="C129" s="149" t="s">
        <v>1169</v>
      </c>
      <c r="D129" t="s">
        <v>1508</v>
      </c>
      <c r="E129" t="s">
        <v>1036</v>
      </c>
      <c r="F129" t="s">
        <v>25</v>
      </c>
      <c r="G129" s="102">
        <v>999</v>
      </c>
      <c r="H129">
        <v>0</v>
      </c>
      <c r="I129" s="107" t="str">
        <f t="shared" si="3"/>
        <v>2</v>
      </c>
      <c r="J129" s="149" t="str">
        <f t="shared" si="4"/>
        <v/>
      </c>
      <c r="K129" s="149">
        <f t="shared" si="5"/>
        <v>0</v>
      </c>
    </row>
    <row r="130" spans="2:11">
      <c r="B130" t="s">
        <v>300</v>
      </c>
      <c r="C130" s="149" t="s">
        <v>1169</v>
      </c>
      <c r="D130" t="s">
        <v>238</v>
      </c>
      <c r="E130" t="s">
        <v>239</v>
      </c>
      <c r="F130" t="s">
        <v>25</v>
      </c>
      <c r="G130" s="102">
        <v>13</v>
      </c>
      <c r="H130">
        <v>0</v>
      </c>
      <c r="I130" s="107" t="str">
        <f t="shared" si="3"/>
        <v>1</v>
      </c>
      <c r="J130" s="149" t="str">
        <f t="shared" si="4"/>
        <v/>
      </c>
      <c r="K130" s="149">
        <f t="shared" si="5"/>
        <v>0</v>
      </c>
    </row>
    <row r="131" spans="2:11">
      <c r="B131" t="s">
        <v>300</v>
      </c>
      <c r="C131" s="149" t="s">
        <v>1169</v>
      </c>
      <c r="D131" t="s">
        <v>240</v>
      </c>
      <c r="E131" t="s">
        <v>248</v>
      </c>
      <c r="F131" t="s">
        <v>25</v>
      </c>
      <c r="G131" s="102">
        <v>13</v>
      </c>
      <c r="H131" s="1">
        <v>9374.1425999999992</v>
      </c>
      <c r="I131" s="107" t="str">
        <f t="shared" ref="I131:I175" si="6">+LEFT(D131,1)</f>
        <v>1</v>
      </c>
      <c r="J131" s="149" t="str">
        <f t="shared" ref="J131:J157" si="7">+IFERROR(VLOOKUP(D131,$P$2:$Q$35,2,0),"")</f>
        <v/>
      </c>
      <c r="K131" s="149">
        <f t="shared" ref="K131:K157" si="8">+IF(LEFT(E131,16)="PACTOS POR PAGAR",1,0)</f>
        <v>0</v>
      </c>
    </row>
    <row r="132" spans="2:11">
      <c r="B132" t="s">
        <v>300</v>
      </c>
      <c r="C132" s="149" t="s">
        <v>1169</v>
      </c>
      <c r="D132" t="s">
        <v>242</v>
      </c>
      <c r="E132" t="s">
        <v>1278</v>
      </c>
      <c r="F132" t="s">
        <v>25</v>
      </c>
      <c r="G132" s="102">
        <v>13</v>
      </c>
      <c r="H132">
        <v>163915.8561</v>
      </c>
      <c r="I132" s="107" t="str">
        <f t="shared" si="6"/>
        <v>1</v>
      </c>
      <c r="J132" s="149" t="str">
        <f t="shared" si="7"/>
        <v/>
      </c>
      <c r="K132" s="149">
        <f t="shared" si="8"/>
        <v>0</v>
      </c>
    </row>
    <row r="133" spans="2:11">
      <c r="B133" t="s">
        <v>300</v>
      </c>
      <c r="C133" s="149" t="s">
        <v>1169</v>
      </c>
      <c r="D133" t="s">
        <v>244</v>
      </c>
      <c r="E133" t="s">
        <v>1279</v>
      </c>
      <c r="F133" t="s">
        <v>25</v>
      </c>
      <c r="G133" s="102">
        <v>13</v>
      </c>
      <c r="H133" s="1">
        <v>0</v>
      </c>
      <c r="I133" s="107" t="str">
        <f t="shared" si="6"/>
        <v>1</v>
      </c>
      <c r="J133" s="149" t="str">
        <f t="shared" si="7"/>
        <v/>
      </c>
      <c r="K133" s="149">
        <f t="shared" si="8"/>
        <v>0</v>
      </c>
    </row>
    <row r="134" spans="2:11">
      <c r="B134" t="s">
        <v>300</v>
      </c>
      <c r="C134" s="149" t="s">
        <v>1169</v>
      </c>
      <c r="D134" t="s">
        <v>246</v>
      </c>
      <c r="E134" t="s">
        <v>1286</v>
      </c>
      <c r="F134" t="s">
        <v>25</v>
      </c>
      <c r="G134" s="102">
        <v>13</v>
      </c>
      <c r="H134">
        <v>55801.090100000001</v>
      </c>
      <c r="I134" s="107" t="str">
        <f t="shared" si="6"/>
        <v>1</v>
      </c>
      <c r="J134" s="149" t="str">
        <f t="shared" si="7"/>
        <v/>
      </c>
      <c r="K134" s="149">
        <f t="shared" si="8"/>
        <v>0</v>
      </c>
    </row>
    <row r="135" spans="2:11">
      <c r="B135" t="s">
        <v>300</v>
      </c>
      <c r="C135" s="149" t="s">
        <v>1169</v>
      </c>
      <c r="D135" t="s">
        <v>249</v>
      </c>
      <c r="E135" t="s">
        <v>1280</v>
      </c>
      <c r="F135" t="s">
        <v>25</v>
      </c>
      <c r="G135" s="102">
        <v>13</v>
      </c>
      <c r="H135">
        <v>0</v>
      </c>
      <c r="I135" s="107" t="str">
        <f t="shared" si="6"/>
        <v>1</v>
      </c>
      <c r="J135" s="149" t="str">
        <f t="shared" si="7"/>
        <v>USD</v>
      </c>
      <c r="K135" s="149">
        <f t="shared" si="8"/>
        <v>0</v>
      </c>
    </row>
    <row r="136" spans="2:11">
      <c r="B136" t="s">
        <v>300</v>
      </c>
      <c r="C136" s="149" t="s">
        <v>1169</v>
      </c>
      <c r="D136" t="s">
        <v>251</v>
      </c>
      <c r="E136" t="s">
        <v>1287</v>
      </c>
      <c r="F136" t="s">
        <v>25</v>
      </c>
      <c r="G136" s="102">
        <v>13</v>
      </c>
      <c r="H136">
        <v>0</v>
      </c>
      <c r="I136" s="107" t="str">
        <f t="shared" si="6"/>
        <v>1</v>
      </c>
      <c r="J136" s="149" t="str">
        <f t="shared" si="7"/>
        <v>USD</v>
      </c>
      <c r="K136" s="149">
        <f t="shared" si="8"/>
        <v>0</v>
      </c>
    </row>
    <row r="137" spans="2:11">
      <c r="B137" t="s">
        <v>300</v>
      </c>
      <c r="C137" s="149" t="s">
        <v>1169</v>
      </c>
      <c r="D137" t="s">
        <v>252</v>
      </c>
      <c r="E137" t="s">
        <v>1288</v>
      </c>
      <c r="F137" t="s">
        <v>25</v>
      </c>
      <c r="G137" s="102">
        <v>13</v>
      </c>
      <c r="H137">
        <v>0</v>
      </c>
      <c r="I137" s="107" t="str">
        <f t="shared" si="6"/>
        <v>1</v>
      </c>
      <c r="J137" s="149" t="str">
        <f t="shared" si="7"/>
        <v>EUR</v>
      </c>
      <c r="K137" s="149">
        <f t="shared" si="8"/>
        <v>0</v>
      </c>
    </row>
    <row r="138" spans="2:11">
      <c r="B138" t="s">
        <v>300</v>
      </c>
      <c r="C138" s="149" t="s">
        <v>1169</v>
      </c>
      <c r="D138" t="s">
        <v>254</v>
      </c>
      <c r="E138" t="s">
        <v>1282</v>
      </c>
      <c r="F138" t="s">
        <v>25</v>
      </c>
      <c r="G138" s="102">
        <v>13</v>
      </c>
      <c r="H138">
        <v>0</v>
      </c>
      <c r="I138" s="107" t="str">
        <f t="shared" si="6"/>
        <v>1</v>
      </c>
      <c r="J138" s="149" t="str">
        <f t="shared" si="7"/>
        <v/>
      </c>
      <c r="K138" s="149">
        <f t="shared" si="8"/>
        <v>0</v>
      </c>
    </row>
    <row r="139" spans="2:11">
      <c r="B139" t="s">
        <v>300</v>
      </c>
      <c r="C139" s="149" t="s">
        <v>1169</v>
      </c>
      <c r="D139" t="s">
        <v>308</v>
      </c>
      <c r="E139" t="s">
        <v>309</v>
      </c>
      <c r="F139" t="s">
        <v>25</v>
      </c>
      <c r="G139" s="102">
        <v>13</v>
      </c>
      <c r="H139">
        <v>0</v>
      </c>
      <c r="I139" s="107" t="str">
        <f t="shared" si="6"/>
        <v>1</v>
      </c>
      <c r="J139" s="149" t="str">
        <f t="shared" si="7"/>
        <v/>
      </c>
      <c r="K139" s="149">
        <f t="shared" si="8"/>
        <v>0</v>
      </c>
    </row>
    <row r="140" spans="2:11">
      <c r="B140" t="s">
        <v>300</v>
      </c>
      <c r="C140" s="149" t="s">
        <v>1169</v>
      </c>
      <c r="D140" t="s">
        <v>310</v>
      </c>
      <c r="E140" t="s">
        <v>1283</v>
      </c>
      <c r="F140" t="s">
        <v>25</v>
      </c>
      <c r="G140" s="102">
        <v>13</v>
      </c>
      <c r="H140">
        <v>0</v>
      </c>
      <c r="I140" s="107" t="str">
        <f t="shared" si="6"/>
        <v>1</v>
      </c>
      <c r="J140" s="149" t="str">
        <f t="shared" si="7"/>
        <v/>
      </c>
      <c r="K140" s="149">
        <f t="shared" si="8"/>
        <v>0</v>
      </c>
    </row>
    <row r="141" spans="2:11">
      <c r="B141" t="s">
        <v>300</v>
      </c>
      <c r="C141" s="149" t="s">
        <v>1169</v>
      </c>
      <c r="D141" t="s">
        <v>1515</v>
      </c>
      <c r="E141" t="s">
        <v>311</v>
      </c>
      <c r="F141" t="s">
        <v>25</v>
      </c>
      <c r="G141" s="102">
        <v>13</v>
      </c>
      <c r="H141">
        <v>0</v>
      </c>
      <c r="I141" s="107" t="str">
        <f t="shared" si="6"/>
        <v>1</v>
      </c>
      <c r="J141" s="149" t="str">
        <f t="shared" si="7"/>
        <v/>
      </c>
      <c r="K141" s="149">
        <f t="shared" si="8"/>
        <v>0</v>
      </c>
    </row>
    <row r="142" spans="2:11">
      <c r="B142" t="s">
        <v>300</v>
      </c>
      <c r="C142" s="149" t="s">
        <v>1169</v>
      </c>
      <c r="D142" t="s">
        <v>301</v>
      </c>
      <c r="E142" t="s">
        <v>1284</v>
      </c>
      <c r="F142" t="s">
        <v>25</v>
      </c>
      <c r="G142" s="102">
        <v>13</v>
      </c>
      <c r="H142">
        <v>28823.568500000001</v>
      </c>
      <c r="I142" s="107" t="str">
        <f t="shared" si="6"/>
        <v>2</v>
      </c>
      <c r="J142" s="149" t="str">
        <f t="shared" si="7"/>
        <v/>
      </c>
      <c r="K142" s="149">
        <f t="shared" si="8"/>
        <v>0</v>
      </c>
    </row>
    <row r="143" spans="2:11">
      <c r="B143" t="s">
        <v>300</v>
      </c>
      <c r="C143" s="149" t="s">
        <v>1169</v>
      </c>
      <c r="D143" t="s">
        <v>303</v>
      </c>
      <c r="E143" t="s">
        <v>1285</v>
      </c>
      <c r="F143" t="s">
        <v>25</v>
      </c>
      <c r="G143" s="102">
        <v>13</v>
      </c>
      <c r="H143">
        <v>0</v>
      </c>
      <c r="I143" s="107" t="str">
        <f t="shared" si="6"/>
        <v>2</v>
      </c>
      <c r="J143" s="149" t="str">
        <f t="shared" si="7"/>
        <v/>
      </c>
      <c r="K143" s="149">
        <f t="shared" si="8"/>
        <v>0</v>
      </c>
    </row>
    <row r="144" spans="2:11">
      <c r="B144" t="s">
        <v>300</v>
      </c>
      <c r="C144" s="149" t="s">
        <v>1169</v>
      </c>
      <c r="D144" t="s">
        <v>1506</v>
      </c>
      <c r="E144" t="s">
        <v>1507</v>
      </c>
      <c r="F144" t="s">
        <v>25</v>
      </c>
      <c r="G144" s="102">
        <v>13</v>
      </c>
      <c r="H144">
        <v>0</v>
      </c>
      <c r="I144" s="107" t="str">
        <f t="shared" si="6"/>
        <v>2</v>
      </c>
      <c r="J144" s="149" t="str">
        <f t="shared" si="7"/>
        <v/>
      </c>
      <c r="K144" s="149">
        <f t="shared" si="8"/>
        <v>0</v>
      </c>
    </row>
    <row r="145" spans="2:11">
      <c r="B145" t="s">
        <v>300</v>
      </c>
      <c r="C145" s="149" t="s">
        <v>1169</v>
      </c>
      <c r="D145" t="s">
        <v>1508</v>
      </c>
      <c r="E145" t="s">
        <v>1036</v>
      </c>
      <c r="F145" t="s">
        <v>25</v>
      </c>
      <c r="G145" s="102">
        <v>13</v>
      </c>
      <c r="H145">
        <v>0</v>
      </c>
      <c r="I145" s="107" t="str">
        <f t="shared" si="6"/>
        <v>2</v>
      </c>
      <c r="J145" s="149" t="str">
        <f t="shared" si="7"/>
        <v/>
      </c>
      <c r="K145" s="149">
        <f t="shared" si="8"/>
        <v>0</v>
      </c>
    </row>
    <row r="146" spans="2:11">
      <c r="B146" t="s">
        <v>297</v>
      </c>
      <c r="C146" s="149" t="s">
        <v>1169</v>
      </c>
      <c r="D146" t="s">
        <v>238</v>
      </c>
      <c r="E146" t="s">
        <v>239</v>
      </c>
      <c r="F146" t="s">
        <v>25</v>
      </c>
      <c r="G146" s="102">
        <v>999</v>
      </c>
      <c r="H146">
        <v>0</v>
      </c>
      <c r="I146" s="107" t="str">
        <f t="shared" si="6"/>
        <v>1</v>
      </c>
      <c r="J146" s="149" t="str">
        <f t="shared" si="7"/>
        <v/>
      </c>
      <c r="K146" s="149">
        <f t="shared" si="8"/>
        <v>0</v>
      </c>
    </row>
    <row r="147" spans="2:11">
      <c r="B147" t="s">
        <v>297</v>
      </c>
      <c r="C147" s="149" t="s">
        <v>1169</v>
      </c>
      <c r="D147" t="s">
        <v>240</v>
      </c>
      <c r="E147" t="s">
        <v>248</v>
      </c>
      <c r="F147" t="s">
        <v>25</v>
      </c>
      <c r="G147" s="102">
        <v>999</v>
      </c>
      <c r="H147">
        <v>7240530</v>
      </c>
      <c r="I147" s="107" t="str">
        <f t="shared" si="6"/>
        <v>1</v>
      </c>
      <c r="J147" s="149" t="str">
        <f t="shared" si="7"/>
        <v/>
      </c>
      <c r="K147" s="149">
        <f t="shared" si="8"/>
        <v>0</v>
      </c>
    </row>
    <row r="148" spans="2:11">
      <c r="B148" t="s">
        <v>297</v>
      </c>
      <c r="C148" s="149" t="s">
        <v>1169</v>
      </c>
      <c r="D148" t="s">
        <v>242</v>
      </c>
      <c r="E148" t="s">
        <v>1278</v>
      </c>
      <c r="F148" t="s">
        <v>25</v>
      </c>
      <c r="G148" s="102">
        <v>999</v>
      </c>
      <c r="H148">
        <v>0</v>
      </c>
      <c r="I148" s="107" t="str">
        <f t="shared" si="6"/>
        <v>1</v>
      </c>
      <c r="J148" s="149" t="str">
        <f t="shared" si="7"/>
        <v/>
      </c>
      <c r="K148" s="149">
        <f t="shared" si="8"/>
        <v>0</v>
      </c>
    </row>
    <row r="149" spans="2:11">
      <c r="B149" t="s">
        <v>297</v>
      </c>
      <c r="C149" s="149" t="s">
        <v>1169</v>
      </c>
      <c r="D149" t="s">
        <v>244</v>
      </c>
      <c r="E149" t="s">
        <v>1279</v>
      </c>
      <c r="F149" t="s">
        <v>25</v>
      </c>
      <c r="G149" s="102">
        <v>999</v>
      </c>
      <c r="H149">
        <v>0</v>
      </c>
      <c r="I149" s="107" t="str">
        <f t="shared" si="6"/>
        <v>1</v>
      </c>
      <c r="J149" s="149" t="str">
        <f t="shared" si="7"/>
        <v/>
      </c>
      <c r="K149" s="149">
        <f t="shared" si="8"/>
        <v>0</v>
      </c>
    </row>
    <row r="150" spans="2:11">
      <c r="B150" t="s">
        <v>297</v>
      </c>
      <c r="C150" s="149" t="s">
        <v>1169</v>
      </c>
      <c r="D150" t="s">
        <v>249</v>
      </c>
      <c r="E150" t="s">
        <v>1280</v>
      </c>
      <c r="F150" t="s">
        <v>25</v>
      </c>
      <c r="G150" s="102">
        <v>999</v>
      </c>
      <c r="H150">
        <v>0</v>
      </c>
      <c r="I150" s="107" t="str">
        <f t="shared" si="6"/>
        <v>1</v>
      </c>
      <c r="J150" s="149" t="str">
        <f t="shared" si="7"/>
        <v>USD</v>
      </c>
      <c r="K150" s="149">
        <f t="shared" si="8"/>
        <v>0</v>
      </c>
    </row>
    <row r="151" spans="2:11">
      <c r="B151" t="s">
        <v>297</v>
      </c>
      <c r="C151" s="149" t="s">
        <v>1169</v>
      </c>
      <c r="D151" t="s">
        <v>251</v>
      </c>
      <c r="E151" t="s">
        <v>1281</v>
      </c>
      <c r="F151" t="s">
        <v>25</v>
      </c>
      <c r="G151" s="102">
        <v>999</v>
      </c>
      <c r="H151">
        <v>0</v>
      </c>
      <c r="I151" s="107" t="str">
        <f t="shared" si="6"/>
        <v>1</v>
      </c>
      <c r="J151" s="149" t="str">
        <f t="shared" si="7"/>
        <v>USD</v>
      </c>
      <c r="K151" s="149">
        <f t="shared" si="8"/>
        <v>0</v>
      </c>
    </row>
    <row r="152" spans="2:11">
      <c r="B152" t="s">
        <v>297</v>
      </c>
      <c r="C152" s="149" t="s">
        <v>1169</v>
      </c>
      <c r="D152" t="s">
        <v>252</v>
      </c>
      <c r="E152" t="s">
        <v>253</v>
      </c>
      <c r="F152" t="s">
        <v>25</v>
      </c>
      <c r="G152" s="102">
        <v>999</v>
      </c>
      <c r="H152">
        <v>0</v>
      </c>
      <c r="I152" s="107" t="str">
        <f t="shared" si="6"/>
        <v>1</v>
      </c>
      <c r="J152" s="149" t="str">
        <f t="shared" si="7"/>
        <v>EUR</v>
      </c>
      <c r="K152" s="149">
        <f t="shared" si="8"/>
        <v>0</v>
      </c>
    </row>
    <row r="153" spans="2:11">
      <c r="B153" t="s">
        <v>297</v>
      </c>
      <c r="C153" s="149" t="s">
        <v>1169</v>
      </c>
      <c r="D153" t="s">
        <v>254</v>
      </c>
      <c r="E153" t="s">
        <v>1282</v>
      </c>
      <c r="F153" t="s">
        <v>25</v>
      </c>
      <c r="G153" s="102">
        <v>999</v>
      </c>
      <c r="H153">
        <v>0</v>
      </c>
      <c r="I153" s="107" t="str">
        <f t="shared" si="6"/>
        <v>1</v>
      </c>
      <c r="J153" s="149" t="str">
        <f t="shared" si="7"/>
        <v/>
      </c>
      <c r="K153" s="149">
        <f t="shared" si="8"/>
        <v>0</v>
      </c>
    </row>
    <row r="154" spans="2:11">
      <c r="B154" t="s">
        <v>297</v>
      </c>
      <c r="C154" s="149" t="s">
        <v>1169</v>
      </c>
      <c r="D154" t="s">
        <v>308</v>
      </c>
      <c r="E154" t="s">
        <v>309</v>
      </c>
      <c r="F154" t="s">
        <v>25</v>
      </c>
      <c r="G154" s="102">
        <v>999</v>
      </c>
      <c r="H154">
        <v>0</v>
      </c>
      <c r="I154" s="107" t="str">
        <f t="shared" si="6"/>
        <v>1</v>
      </c>
      <c r="J154" s="149" t="str">
        <f t="shared" si="7"/>
        <v/>
      </c>
      <c r="K154" s="149">
        <f t="shared" si="8"/>
        <v>0</v>
      </c>
    </row>
    <row r="155" spans="2:11">
      <c r="B155" t="s">
        <v>297</v>
      </c>
      <c r="C155" s="149" t="s">
        <v>1169</v>
      </c>
      <c r="D155" t="s">
        <v>310</v>
      </c>
      <c r="E155" t="s">
        <v>1283</v>
      </c>
      <c r="F155" t="s">
        <v>25</v>
      </c>
      <c r="G155" s="102">
        <v>999</v>
      </c>
      <c r="H155">
        <v>0</v>
      </c>
      <c r="I155" s="107" t="str">
        <f t="shared" si="6"/>
        <v>1</v>
      </c>
      <c r="J155" s="149" t="str">
        <f t="shared" si="7"/>
        <v/>
      </c>
      <c r="K155" s="149">
        <f t="shared" si="8"/>
        <v>0</v>
      </c>
    </row>
    <row r="156" spans="2:11">
      <c r="B156" t="s">
        <v>297</v>
      </c>
      <c r="C156" s="149" t="s">
        <v>1169</v>
      </c>
      <c r="D156" t="s">
        <v>1515</v>
      </c>
      <c r="E156" t="s">
        <v>311</v>
      </c>
      <c r="F156" t="s">
        <v>25</v>
      </c>
      <c r="G156" s="102">
        <v>999</v>
      </c>
      <c r="H156">
        <v>0</v>
      </c>
      <c r="I156" s="107" t="str">
        <f t="shared" si="6"/>
        <v>1</v>
      </c>
      <c r="J156" s="149" t="str">
        <f t="shared" si="7"/>
        <v/>
      </c>
      <c r="K156" s="149">
        <f t="shared" si="8"/>
        <v>0</v>
      </c>
    </row>
    <row r="157" spans="2:11">
      <c r="B157" t="s">
        <v>297</v>
      </c>
      <c r="C157" s="149" t="s">
        <v>1169</v>
      </c>
      <c r="D157" t="s">
        <v>301</v>
      </c>
      <c r="E157" t="s">
        <v>1284</v>
      </c>
      <c r="F157" t="s">
        <v>25</v>
      </c>
      <c r="G157" s="102">
        <v>999</v>
      </c>
      <c r="H157">
        <v>0</v>
      </c>
      <c r="I157" s="107" t="str">
        <f t="shared" si="6"/>
        <v>2</v>
      </c>
      <c r="J157" s="149" t="str">
        <f t="shared" si="7"/>
        <v/>
      </c>
      <c r="K157" s="149">
        <f t="shared" si="8"/>
        <v>0</v>
      </c>
    </row>
    <row r="158" spans="2:11">
      <c r="B158" t="s">
        <v>297</v>
      </c>
      <c r="C158" t="s">
        <v>1169</v>
      </c>
      <c r="D158" t="s">
        <v>303</v>
      </c>
      <c r="E158" t="s">
        <v>1285</v>
      </c>
      <c r="F158" t="s">
        <v>25</v>
      </c>
      <c r="G158" s="102">
        <v>999</v>
      </c>
      <c r="H158">
        <v>0</v>
      </c>
      <c r="I158" s="107" t="str">
        <f t="shared" si="6"/>
        <v>2</v>
      </c>
    </row>
    <row r="159" spans="2:11">
      <c r="B159" t="s">
        <v>297</v>
      </c>
      <c r="C159" t="s">
        <v>1169</v>
      </c>
      <c r="D159" t="s">
        <v>1506</v>
      </c>
      <c r="E159" t="s">
        <v>1507</v>
      </c>
      <c r="F159" t="s">
        <v>25</v>
      </c>
      <c r="G159" s="102">
        <v>999</v>
      </c>
      <c r="H159">
        <v>0</v>
      </c>
      <c r="I159" s="107" t="str">
        <f t="shared" si="6"/>
        <v>2</v>
      </c>
    </row>
    <row r="160" spans="2:11">
      <c r="B160" t="s">
        <v>297</v>
      </c>
      <c r="C160" t="s">
        <v>1169</v>
      </c>
      <c r="D160" t="s">
        <v>1508</v>
      </c>
      <c r="E160" t="s">
        <v>1036</v>
      </c>
      <c r="F160" t="s">
        <v>25</v>
      </c>
      <c r="G160" s="102">
        <v>999</v>
      </c>
      <c r="H160">
        <v>0</v>
      </c>
      <c r="I160" s="107" t="str">
        <f t="shared" si="6"/>
        <v>2</v>
      </c>
    </row>
    <row r="161" spans="2:9">
      <c r="B161" t="s">
        <v>298</v>
      </c>
      <c r="C161" t="s">
        <v>1169</v>
      </c>
      <c r="D161" t="s">
        <v>238</v>
      </c>
      <c r="E161" t="s">
        <v>239</v>
      </c>
      <c r="F161" t="s">
        <v>25</v>
      </c>
      <c r="G161" s="102">
        <v>999</v>
      </c>
      <c r="H161">
        <v>0</v>
      </c>
      <c r="I161" s="107" t="str">
        <f t="shared" si="6"/>
        <v>1</v>
      </c>
    </row>
    <row r="162" spans="2:9">
      <c r="B162" t="s">
        <v>298</v>
      </c>
      <c r="C162" t="s">
        <v>1169</v>
      </c>
      <c r="D162" t="s">
        <v>240</v>
      </c>
      <c r="E162" t="s">
        <v>248</v>
      </c>
      <c r="F162" t="s">
        <v>25</v>
      </c>
      <c r="G162" s="102">
        <v>999</v>
      </c>
      <c r="H162">
        <v>50422031</v>
      </c>
      <c r="I162" s="107" t="str">
        <f t="shared" si="6"/>
        <v>1</v>
      </c>
    </row>
    <row r="163" spans="2:9">
      <c r="B163" t="s">
        <v>298</v>
      </c>
      <c r="C163" t="s">
        <v>1169</v>
      </c>
      <c r="D163" t="s">
        <v>242</v>
      </c>
      <c r="E163" t="s">
        <v>1278</v>
      </c>
      <c r="F163" t="s">
        <v>25</v>
      </c>
      <c r="G163" s="102">
        <v>999</v>
      </c>
      <c r="H163">
        <v>0</v>
      </c>
      <c r="I163" s="107" t="str">
        <f t="shared" si="6"/>
        <v>1</v>
      </c>
    </row>
    <row r="164" spans="2:9">
      <c r="B164" t="s">
        <v>298</v>
      </c>
      <c r="C164" t="s">
        <v>1169</v>
      </c>
      <c r="D164" t="s">
        <v>244</v>
      </c>
      <c r="E164" t="s">
        <v>1279</v>
      </c>
      <c r="F164" t="s">
        <v>25</v>
      </c>
      <c r="G164" s="102">
        <v>999</v>
      </c>
      <c r="H164">
        <v>0</v>
      </c>
      <c r="I164" s="107" t="str">
        <f t="shared" si="6"/>
        <v>1</v>
      </c>
    </row>
    <row r="165" spans="2:9">
      <c r="B165" t="s">
        <v>298</v>
      </c>
      <c r="C165" t="s">
        <v>1169</v>
      </c>
      <c r="D165" t="s">
        <v>249</v>
      </c>
      <c r="E165" t="s">
        <v>1280</v>
      </c>
      <c r="F165" t="s">
        <v>25</v>
      </c>
      <c r="G165" s="102">
        <v>999</v>
      </c>
      <c r="H165">
        <v>0</v>
      </c>
      <c r="I165" s="107" t="str">
        <f t="shared" si="6"/>
        <v>1</v>
      </c>
    </row>
    <row r="166" spans="2:9">
      <c r="B166" t="s">
        <v>298</v>
      </c>
      <c r="C166" t="s">
        <v>1169</v>
      </c>
      <c r="D166" t="s">
        <v>251</v>
      </c>
      <c r="E166" t="s">
        <v>1281</v>
      </c>
      <c r="F166" t="s">
        <v>25</v>
      </c>
      <c r="G166" s="102">
        <v>999</v>
      </c>
      <c r="H166">
        <v>0</v>
      </c>
      <c r="I166" s="107" t="str">
        <f t="shared" si="6"/>
        <v>1</v>
      </c>
    </row>
    <row r="167" spans="2:9">
      <c r="B167" t="s">
        <v>298</v>
      </c>
      <c r="C167" t="s">
        <v>1169</v>
      </c>
      <c r="D167" t="s">
        <v>252</v>
      </c>
      <c r="E167" t="s">
        <v>253</v>
      </c>
      <c r="F167" t="s">
        <v>25</v>
      </c>
      <c r="G167" s="102">
        <v>999</v>
      </c>
      <c r="H167">
        <v>0</v>
      </c>
      <c r="I167" s="107" t="str">
        <f t="shared" si="6"/>
        <v>1</v>
      </c>
    </row>
    <row r="168" spans="2:9">
      <c r="B168" t="s">
        <v>298</v>
      </c>
      <c r="C168" t="s">
        <v>1169</v>
      </c>
      <c r="D168" t="s">
        <v>254</v>
      </c>
      <c r="E168" t="s">
        <v>1282</v>
      </c>
      <c r="F168" t="s">
        <v>25</v>
      </c>
      <c r="G168" s="102">
        <v>999</v>
      </c>
      <c r="H168">
        <v>0</v>
      </c>
      <c r="I168" s="107" t="str">
        <f t="shared" si="6"/>
        <v>1</v>
      </c>
    </row>
    <row r="169" spans="2:9">
      <c r="B169" t="s">
        <v>298</v>
      </c>
      <c r="C169" t="s">
        <v>1169</v>
      </c>
      <c r="D169" t="s">
        <v>308</v>
      </c>
      <c r="E169" t="s">
        <v>309</v>
      </c>
      <c r="F169" t="s">
        <v>25</v>
      </c>
      <c r="G169" s="102">
        <v>999</v>
      </c>
      <c r="H169">
        <v>0</v>
      </c>
      <c r="I169" s="107" t="str">
        <f t="shared" si="6"/>
        <v>1</v>
      </c>
    </row>
    <row r="170" spans="2:9">
      <c r="B170" t="s">
        <v>298</v>
      </c>
      <c r="C170" t="s">
        <v>1169</v>
      </c>
      <c r="D170" t="s">
        <v>310</v>
      </c>
      <c r="E170" t="s">
        <v>1283</v>
      </c>
      <c r="F170" t="s">
        <v>25</v>
      </c>
      <c r="G170" s="102">
        <v>999</v>
      </c>
      <c r="H170">
        <v>0</v>
      </c>
      <c r="I170" s="107" t="str">
        <f t="shared" si="6"/>
        <v>1</v>
      </c>
    </row>
    <row r="171" spans="2:9">
      <c r="B171" t="s">
        <v>298</v>
      </c>
      <c r="C171" t="s">
        <v>1169</v>
      </c>
      <c r="D171" t="s">
        <v>1515</v>
      </c>
      <c r="E171" t="s">
        <v>311</v>
      </c>
      <c r="F171" t="s">
        <v>25</v>
      </c>
      <c r="G171" s="102">
        <v>999</v>
      </c>
      <c r="H171">
        <v>23</v>
      </c>
      <c r="I171" s="107" t="str">
        <f t="shared" si="6"/>
        <v>1</v>
      </c>
    </row>
    <row r="172" spans="2:9">
      <c r="B172" t="s">
        <v>298</v>
      </c>
      <c r="C172" t="s">
        <v>1169</v>
      </c>
      <c r="D172" t="s">
        <v>301</v>
      </c>
      <c r="E172" t="s">
        <v>1284</v>
      </c>
      <c r="F172" t="s">
        <v>25</v>
      </c>
      <c r="G172" s="102">
        <v>999</v>
      </c>
      <c r="H172">
        <v>0</v>
      </c>
      <c r="I172" s="107" t="str">
        <f t="shared" si="6"/>
        <v>2</v>
      </c>
    </row>
    <row r="173" spans="2:9">
      <c r="B173" t="s">
        <v>298</v>
      </c>
      <c r="C173" t="s">
        <v>1169</v>
      </c>
      <c r="D173" t="s">
        <v>303</v>
      </c>
      <c r="E173" t="s">
        <v>1285</v>
      </c>
      <c r="F173" t="s">
        <v>25</v>
      </c>
      <c r="G173" s="102">
        <v>999</v>
      </c>
      <c r="H173">
        <v>0</v>
      </c>
      <c r="I173" s="107" t="str">
        <f t="shared" si="6"/>
        <v>2</v>
      </c>
    </row>
    <row r="174" spans="2:9">
      <c r="B174" t="s">
        <v>298</v>
      </c>
      <c r="C174" t="s">
        <v>1169</v>
      </c>
      <c r="D174" t="s">
        <v>1506</v>
      </c>
      <c r="E174" t="s">
        <v>1507</v>
      </c>
      <c r="F174" t="s">
        <v>25</v>
      </c>
      <c r="G174" s="102">
        <v>999</v>
      </c>
      <c r="H174">
        <v>0</v>
      </c>
      <c r="I174" s="107" t="str">
        <f t="shared" si="6"/>
        <v>2</v>
      </c>
    </row>
    <row r="175" spans="2:9">
      <c r="B175" t="s">
        <v>298</v>
      </c>
      <c r="C175" t="s">
        <v>1169</v>
      </c>
      <c r="D175" t="s">
        <v>1508</v>
      </c>
      <c r="E175" t="s">
        <v>1036</v>
      </c>
      <c r="F175" t="s">
        <v>25</v>
      </c>
      <c r="G175" s="102">
        <v>999</v>
      </c>
      <c r="H175">
        <v>0</v>
      </c>
      <c r="I175" s="107" t="str">
        <f t="shared" si="6"/>
        <v>2</v>
      </c>
    </row>
    <row r="197" spans="8:8">
      <c r="H197" s="110"/>
    </row>
    <row r="207" spans="8:8">
      <c r="H207" s="110"/>
    </row>
    <row r="210" spans="8:9">
      <c r="I210" s="110"/>
    </row>
    <row r="213" spans="8:9">
      <c r="H213" s="110"/>
    </row>
    <row r="412" spans="8:8">
      <c r="H412" s="1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B1299"/>
  <sheetViews>
    <sheetView topLeftCell="A649" workbookViewId="0">
      <selection activeCell="A651" sqref="A651:B1299"/>
    </sheetView>
  </sheetViews>
  <sheetFormatPr baseColWidth="10" defaultRowHeight="14.25"/>
  <cols>
    <col min="1" max="1" width="11.75" customWidth="1"/>
  </cols>
  <sheetData>
    <row r="1" spans="1:2" ht="42.75">
      <c r="A1" s="111" t="s">
        <v>313</v>
      </c>
      <c r="B1" s="112" t="s">
        <v>314</v>
      </c>
    </row>
    <row r="2" spans="1:2">
      <c r="A2" s="114">
        <v>42370</v>
      </c>
      <c r="B2" s="113">
        <v>25629.09</v>
      </c>
    </row>
    <row r="3" spans="1:2">
      <c r="A3" s="114">
        <v>42371</v>
      </c>
      <c r="B3" s="113">
        <v>25629.09</v>
      </c>
    </row>
    <row r="4" spans="1:2">
      <c r="A4" s="114">
        <v>42372</v>
      </c>
      <c r="B4" s="113">
        <v>25629.09</v>
      </c>
    </row>
    <row r="5" spans="1:2">
      <c r="A5" s="114">
        <v>42373</v>
      </c>
      <c r="B5" s="113">
        <v>25629.09</v>
      </c>
    </row>
    <row r="6" spans="1:2">
      <c r="A6" s="114">
        <v>42374</v>
      </c>
      <c r="B6" s="113">
        <v>25629.09</v>
      </c>
    </row>
    <row r="7" spans="1:2">
      <c r="A7" s="114">
        <v>42375</v>
      </c>
      <c r="B7" s="113">
        <v>25629.09</v>
      </c>
    </row>
    <row r="8" spans="1:2">
      <c r="A8" s="114">
        <v>42376</v>
      </c>
      <c r="B8" s="113">
        <v>25629.09</v>
      </c>
    </row>
    <row r="9" spans="1:2">
      <c r="A9" s="114">
        <v>42377</v>
      </c>
      <c r="B9" s="113">
        <v>25629.09</v>
      </c>
    </row>
    <row r="10" spans="1:2">
      <c r="A10" s="114">
        <v>42378</v>
      </c>
      <c r="B10" s="113">
        <v>25629.09</v>
      </c>
    </row>
    <row r="11" spans="1:2">
      <c r="A11" s="114">
        <v>42379</v>
      </c>
      <c r="B11" s="113">
        <v>25629.09</v>
      </c>
    </row>
    <row r="12" spans="1:2">
      <c r="A12" s="114">
        <v>42380</v>
      </c>
      <c r="B12" s="113">
        <v>25629.09</v>
      </c>
    </row>
    <row r="13" spans="1:2">
      <c r="A13" s="114">
        <v>42381</v>
      </c>
      <c r="B13" s="113">
        <v>25629.09</v>
      </c>
    </row>
    <row r="14" spans="1:2">
      <c r="A14" s="114">
        <v>42382</v>
      </c>
      <c r="B14" s="113">
        <v>25629.09</v>
      </c>
    </row>
    <row r="15" spans="1:2">
      <c r="A15" s="114">
        <v>42383</v>
      </c>
      <c r="B15" s="113">
        <v>25629.09</v>
      </c>
    </row>
    <row r="16" spans="1:2">
      <c r="A16" s="114">
        <v>42384</v>
      </c>
      <c r="B16" s="113">
        <v>25629.09</v>
      </c>
    </row>
    <row r="17" spans="1:2">
      <c r="A17" s="114">
        <v>42385</v>
      </c>
      <c r="B17" s="113">
        <v>25629.09</v>
      </c>
    </row>
    <row r="18" spans="1:2">
      <c r="A18" s="114">
        <v>42386</v>
      </c>
      <c r="B18" s="113">
        <v>25629.09</v>
      </c>
    </row>
    <row r="19" spans="1:2">
      <c r="A19" s="114">
        <v>42387</v>
      </c>
      <c r="B19" s="113">
        <v>25629.09</v>
      </c>
    </row>
    <row r="20" spans="1:2">
      <c r="A20" s="114">
        <v>42388</v>
      </c>
      <c r="B20" s="113">
        <v>25629.09</v>
      </c>
    </row>
    <row r="21" spans="1:2">
      <c r="A21" s="114">
        <v>42389</v>
      </c>
      <c r="B21" s="113">
        <v>25629.09</v>
      </c>
    </row>
    <row r="22" spans="1:2">
      <c r="A22" s="114">
        <v>42390</v>
      </c>
      <c r="B22" s="113">
        <v>25629.09</v>
      </c>
    </row>
    <row r="23" spans="1:2">
      <c r="A23" s="114">
        <v>42391</v>
      </c>
      <c r="B23" s="113">
        <v>25629.09</v>
      </c>
    </row>
    <row r="24" spans="1:2">
      <c r="A24" s="114">
        <v>42392</v>
      </c>
      <c r="B24" s="113">
        <v>25629.09</v>
      </c>
    </row>
    <row r="25" spans="1:2">
      <c r="A25" s="114">
        <v>42393</v>
      </c>
      <c r="B25" s="113">
        <v>25629.09</v>
      </c>
    </row>
    <row r="26" spans="1:2">
      <c r="A26" s="114">
        <v>42394</v>
      </c>
      <c r="B26" s="113">
        <v>25629.09</v>
      </c>
    </row>
    <row r="27" spans="1:2">
      <c r="A27" s="114">
        <v>42395</v>
      </c>
      <c r="B27" s="113">
        <v>25629.09</v>
      </c>
    </row>
    <row r="28" spans="1:2">
      <c r="A28" s="114">
        <v>42396</v>
      </c>
      <c r="B28" s="113">
        <v>25629.09</v>
      </c>
    </row>
    <row r="29" spans="1:2">
      <c r="A29" s="114">
        <v>42397</v>
      </c>
      <c r="B29" s="113">
        <v>25629.09</v>
      </c>
    </row>
    <row r="30" spans="1:2">
      <c r="A30" s="114">
        <v>42398</v>
      </c>
      <c r="B30" s="113">
        <v>25629.09</v>
      </c>
    </row>
    <row r="31" spans="1:2">
      <c r="A31" s="114">
        <v>42399</v>
      </c>
      <c r="B31" s="113">
        <v>25629.09</v>
      </c>
    </row>
    <row r="32" spans="1:2">
      <c r="A32" s="114">
        <v>42400</v>
      </c>
      <c r="B32" s="113">
        <v>25629.09</v>
      </c>
    </row>
    <row r="33" spans="1:2">
      <c r="A33" s="114">
        <v>42401</v>
      </c>
      <c r="B33" s="113">
        <v>25629.09</v>
      </c>
    </row>
    <row r="34" spans="1:2">
      <c r="A34" s="114">
        <v>42402</v>
      </c>
      <c r="B34" s="113">
        <v>25629.09</v>
      </c>
    </row>
    <row r="35" spans="1:2">
      <c r="A35" s="114">
        <v>42403</v>
      </c>
      <c r="B35" s="113">
        <v>25629.09</v>
      </c>
    </row>
    <row r="36" spans="1:2">
      <c r="A36" s="114">
        <v>42404</v>
      </c>
      <c r="B36" s="113">
        <v>25629.09</v>
      </c>
    </row>
    <row r="37" spans="1:2">
      <c r="A37" s="114">
        <v>42405</v>
      </c>
      <c r="B37" s="113">
        <v>25629.09</v>
      </c>
    </row>
    <row r="38" spans="1:2">
      <c r="A38" s="114">
        <v>42406</v>
      </c>
      <c r="B38" s="113">
        <v>25629.09</v>
      </c>
    </row>
    <row r="39" spans="1:2">
      <c r="A39" s="114">
        <v>42407</v>
      </c>
      <c r="B39" s="113">
        <v>25629.09</v>
      </c>
    </row>
    <row r="40" spans="1:2">
      <c r="A40" s="114">
        <v>42408</v>
      </c>
      <c r="B40" s="113">
        <v>25629.09</v>
      </c>
    </row>
    <row r="41" spans="1:2">
      <c r="A41" s="114">
        <v>42409</v>
      </c>
      <c r="B41" s="113">
        <v>25629.09</v>
      </c>
    </row>
    <row r="42" spans="1:2">
      <c r="A42" s="114">
        <v>42410</v>
      </c>
      <c r="B42" s="113">
        <v>25633.5</v>
      </c>
    </row>
    <row r="43" spans="1:2">
      <c r="A43" s="114">
        <v>42411</v>
      </c>
      <c r="B43" s="113">
        <v>25637.91</v>
      </c>
    </row>
    <row r="44" spans="1:2">
      <c r="A44" s="114">
        <v>42412</v>
      </c>
      <c r="B44" s="113">
        <v>25642.32</v>
      </c>
    </row>
    <row r="45" spans="1:2">
      <c r="A45" s="114">
        <v>42413</v>
      </c>
      <c r="B45" s="113">
        <v>25646.73</v>
      </c>
    </row>
    <row r="46" spans="1:2">
      <c r="A46" s="114">
        <v>42414</v>
      </c>
      <c r="B46" s="113">
        <v>25651.14</v>
      </c>
    </row>
    <row r="47" spans="1:2">
      <c r="A47" s="114">
        <v>42415</v>
      </c>
      <c r="B47" s="113">
        <v>25655.55</v>
      </c>
    </row>
    <row r="48" spans="1:2">
      <c r="A48" s="114">
        <v>42416</v>
      </c>
      <c r="B48" s="113">
        <v>25659.96</v>
      </c>
    </row>
    <row r="49" spans="1:2">
      <c r="A49" s="114">
        <v>42417</v>
      </c>
      <c r="B49" s="113">
        <v>25664.38</v>
      </c>
    </row>
    <row r="50" spans="1:2">
      <c r="A50" s="114">
        <v>42418</v>
      </c>
      <c r="B50" s="113">
        <v>25668.79</v>
      </c>
    </row>
    <row r="51" spans="1:2">
      <c r="A51" s="114">
        <v>42419</v>
      </c>
      <c r="B51" s="113">
        <v>25673.21</v>
      </c>
    </row>
    <row r="52" spans="1:2">
      <c r="A52" s="114">
        <v>42420</v>
      </c>
      <c r="B52" s="113">
        <v>25677.62</v>
      </c>
    </row>
    <row r="53" spans="1:2">
      <c r="A53" s="114">
        <v>42421</v>
      </c>
      <c r="B53" s="113">
        <v>25682.04</v>
      </c>
    </row>
    <row r="54" spans="1:2">
      <c r="A54" s="114">
        <v>42422</v>
      </c>
      <c r="B54" s="113">
        <v>25686.46</v>
      </c>
    </row>
    <row r="55" spans="1:2">
      <c r="A55" s="114">
        <v>42423</v>
      </c>
      <c r="B55" s="113">
        <v>25690.87</v>
      </c>
    </row>
    <row r="56" spans="1:2">
      <c r="A56" s="114">
        <v>42424</v>
      </c>
      <c r="B56" s="113">
        <v>25695.29</v>
      </c>
    </row>
    <row r="57" spans="1:2">
      <c r="A57" s="114">
        <v>42425</v>
      </c>
      <c r="B57" s="113">
        <v>25699.71</v>
      </c>
    </row>
    <row r="58" spans="1:2">
      <c r="A58" s="114">
        <v>42426</v>
      </c>
      <c r="B58" s="113">
        <v>25704.13</v>
      </c>
    </row>
    <row r="59" spans="1:2">
      <c r="A59" s="114">
        <v>42427</v>
      </c>
      <c r="B59" s="113">
        <v>25708.55</v>
      </c>
    </row>
    <row r="60" spans="1:2">
      <c r="A60" s="114">
        <v>42428</v>
      </c>
      <c r="B60" s="113">
        <v>25712.98</v>
      </c>
    </row>
    <row r="61" spans="1:2">
      <c r="A61" s="114">
        <v>42429</v>
      </c>
      <c r="B61" s="113">
        <v>25717.4</v>
      </c>
    </row>
    <row r="62" spans="1:2">
      <c r="A62" s="114">
        <v>42430</v>
      </c>
      <c r="B62" s="113">
        <v>25721.82</v>
      </c>
    </row>
    <row r="63" spans="1:2">
      <c r="A63" s="114">
        <v>42431</v>
      </c>
      <c r="B63" s="113">
        <v>25726.25</v>
      </c>
    </row>
    <row r="64" spans="1:2">
      <c r="A64" s="114">
        <v>42432</v>
      </c>
      <c r="B64" s="113">
        <v>25730.67</v>
      </c>
    </row>
    <row r="65" spans="1:2">
      <c r="A65" s="114">
        <v>42433</v>
      </c>
      <c r="B65" s="113">
        <v>25735.1</v>
      </c>
    </row>
    <row r="66" spans="1:2">
      <c r="A66" s="114">
        <v>42434</v>
      </c>
      <c r="B66" s="113">
        <v>25739.52</v>
      </c>
    </row>
    <row r="67" spans="1:2">
      <c r="A67" s="114">
        <v>42435</v>
      </c>
      <c r="B67" s="113">
        <v>25743.95</v>
      </c>
    </row>
    <row r="68" spans="1:2">
      <c r="A68" s="114">
        <v>42436</v>
      </c>
      <c r="B68" s="113">
        <v>25748.38</v>
      </c>
    </row>
    <row r="69" spans="1:2">
      <c r="A69" s="114">
        <v>42437</v>
      </c>
      <c r="B69" s="113">
        <v>25752.81</v>
      </c>
    </row>
    <row r="70" spans="1:2">
      <c r="A70" s="114">
        <v>42438</v>
      </c>
      <c r="B70" s="113">
        <v>25757.24</v>
      </c>
    </row>
    <row r="71" spans="1:2">
      <c r="A71" s="114">
        <v>42439</v>
      </c>
      <c r="B71" s="113">
        <v>25759.73</v>
      </c>
    </row>
    <row r="72" spans="1:2">
      <c r="A72" s="114">
        <v>42440</v>
      </c>
      <c r="B72" s="113">
        <v>25762.22</v>
      </c>
    </row>
    <row r="73" spans="1:2">
      <c r="A73" s="114">
        <v>42441</v>
      </c>
      <c r="B73" s="113">
        <v>25764.71</v>
      </c>
    </row>
    <row r="74" spans="1:2">
      <c r="A74" s="114">
        <v>42442</v>
      </c>
      <c r="B74" s="113">
        <v>25767.200000000001</v>
      </c>
    </row>
    <row r="75" spans="1:2">
      <c r="A75" s="114">
        <v>42443</v>
      </c>
      <c r="B75" s="113">
        <v>25769.69</v>
      </c>
    </row>
    <row r="76" spans="1:2">
      <c r="A76" s="114">
        <v>42444</v>
      </c>
      <c r="B76" s="113">
        <v>25772.18</v>
      </c>
    </row>
    <row r="77" spans="1:2">
      <c r="A77" s="114">
        <v>42445</v>
      </c>
      <c r="B77" s="113">
        <v>25774.67</v>
      </c>
    </row>
    <row r="78" spans="1:2">
      <c r="A78" s="114">
        <v>42446</v>
      </c>
      <c r="B78" s="113">
        <v>25777.16</v>
      </c>
    </row>
    <row r="79" spans="1:2">
      <c r="A79" s="114">
        <v>42447</v>
      </c>
      <c r="B79" s="113">
        <v>25779.65</v>
      </c>
    </row>
    <row r="80" spans="1:2">
      <c r="A80" s="114">
        <v>42448</v>
      </c>
      <c r="B80" s="113">
        <v>25782.14</v>
      </c>
    </row>
    <row r="81" spans="1:2">
      <c r="A81" s="114">
        <v>42449</v>
      </c>
      <c r="B81" s="113">
        <v>25784.63</v>
      </c>
    </row>
    <row r="82" spans="1:2">
      <c r="A82" s="114">
        <v>42450</v>
      </c>
      <c r="B82" s="113">
        <v>25787.119999999999</v>
      </c>
    </row>
    <row r="83" spans="1:2">
      <c r="A83" s="114">
        <v>42451</v>
      </c>
      <c r="B83" s="113">
        <v>25789.62</v>
      </c>
    </row>
    <row r="84" spans="1:2">
      <c r="A84" s="114">
        <v>42452</v>
      </c>
      <c r="B84" s="113">
        <v>25792.11</v>
      </c>
    </row>
    <row r="85" spans="1:2">
      <c r="A85" s="114">
        <v>42453</v>
      </c>
      <c r="B85" s="113">
        <v>25794.6</v>
      </c>
    </row>
    <row r="86" spans="1:2">
      <c r="A86" s="114">
        <v>42454</v>
      </c>
      <c r="B86" s="113">
        <v>25797.09</v>
      </c>
    </row>
    <row r="87" spans="1:2">
      <c r="A87" s="114">
        <v>42455</v>
      </c>
      <c r="B87" s="113">
        <v>25799.59</v>
      </c>
    </row>
    <row r="88" spans="1:2">
      <c r="A88" s="114">
        <v>42456</v>
      </c>
      <c r="B88" s="113">
        <v>25802.080000000002</v>
      </c>
    </row>
    <row r="89" spans="1:2">
      <c r="A89" s="114">
        <v>42457</v>
      </c>
      <c r="B89" s="113">
        <v>25804.57</v>
      </c>
    </row>
    <row r="90" spans="1:2">
      <c r="A90" s="114">
        <v>42458</v>
      </c>
      <c r="B90" s="113">
        <v>25807.07</v>
      </c>
    </row>
    <row r="91" spans="1:2">
      <c r="A91" s="114">
        <v>42459</v>
      </c>
      <c r="B91" s="113">
        <v>25809.56</v>
      </c>
    </row>
    <row r="92" spans="1:2">
      <c r="A92" s="114">
        <v>42460</v>
      </c>
      <c r="B92" s="113">
        <v>25812.05</v>
      </c>
    </row>
    <row r="93" spans="1:2">
      <c r="A93" s="114">
        <v>42461</v>
      </c>
      <c r="B93" s="113">
        <v>25814.55</v>
      </c>
    </row>
    <row r="94" spans="1:2">
      <c r="A94" s="114">
        <v>42462</v>
      </c>
      <c r="B94" s="113">
        <v>25817.040000000001</v>
      </c>
    </row>
    <row r="95" spans="1:2">
      <c r="A95" s="114">
        <v>42463</v>
      </c>
      <c r="B95" s="113">
        <v>25819.54</v>
      </c>
    </row>
    <row r="96" spans="1:2">
      <c r="A96" s="114">
        <v>42464</v>
      </c>
      <c r="B96" s="113">
        <v>25822.03</v>
      </c>
    </row>
    <row r="97" spans="1:2">
      <c r="A97" s="114">
        <v>42465</v>
      </c>
      <c r="B97" s="113">
        <v>25824.53</v>
      </c>
    </row>
    <row r="98" spans="1:2">
      <c r="A98" s="114">
        <v>42466</v>
      </c>
      <c r="B98" s="113">
        <v>25827.02</v>
      </c>
    </row>
    <row r="99" spans="1:2">
      <c r="A99" s="114">
        <v>42467</v>
      </c>
      <c r="B99" s="113">
        <v>25829.52</v>
      </c>
    </row>
    <row r="100" spans="1:2">
      <c r="A100" s="114">
        <v>42468</v>
      </c>
      <c r="B100" s="113">
        <v>25832.02</v>
      </c>
    </row>
    <row r="101" spans="1:2">
      <c r="A101" s="114">
        <v>42469</v>
      </c>
      <c r="B101" s="113">
        <v>25834.51</v>
      </c>
    </row>
    <row r="102" spans="1:2">
      <c r="A102" s="114">
        <v>42470</v>
      </c>
      <c r="B102" s="113">
        <v>25837.95</v>
      </c>
    </row>
    <row r="103" spans="1:2">
      <c r="A103" s="114">
        <v>42471</v>
      </c>
      <c r="B103" s="113">
        <v>25841.39</v>
      </c>
    </row>
    <row r="104" spans="1:2">
      <c r="A104" s="114">
        <v>42472</v>
      </c>
      <c r="B104" s="113">
        <v>25844.83</v>
      </c>
    </row>
    <row r="105" spans="1:2">
      <c r="A105" s="114">
        <v>42473</v>
      </c>
      <c r="B105" s="113">
        <v>25848.26</v>
      </c>
    </row>
    <row r="106" spans="1:2">
      <c r="A106" s="114">
        <v>42474</v>
      </c>
      <c r="B106" s="113">
        <v>25851.7</v>
      </c>
    </row>
    <row r="107" spans="1:2">
      <c r="A107" s="114">
        <v>42475</v>
      </c>
      <c r="B107" s="113">
        <v>25855.14</v>
      </c>
    </row>
    <row r="108" spans="1:2">
      <c r="A108" s="114">
        <v>42476</v>
      </c>
      <c r="B108" s="113">
        <v>25858.59</v>
      </c>
    </row>
    <row r="109" spans="1:2">
      <c r="A109" s="114">
        <v>42477</v>
      </c>
      <c r="B109" s="113">
        <v>25862.03</v>
      </c>
    </row>
    <row r="110" spans="1:2">
      <c r="A110" s="114">
        <v>42478</v>
      </c>
      <c r="B110" s="113">
        <v>25865.47</v>
      </c>
    </row>
    <row r="111" spans="1:2">
      <c r="A111" s="114">
        <v>42479</v>
      </c>
      <c r="B111" s="113">
        <v>25868.91</v>
      </c>
    </row>
    <row r="112" spans="1:2">
      <c r="A112" s="114">
        <v>42480</v>
      </c>
      <c r="B112" s="113">
        <v>25872.35</v>
      </c>
    </row>
    <row r="113" spans="1:2">
      <c r="A113" s="114">
        <v>42481</v>
      </c>
      <c r="B113" s="113">
        <v>25875.8</v>
      </c>
    </row>
    <row r="114" spans="1:2">
      <c r="A114" s="114">
        <v>42482</v>
      </c>
      <c r="B114" s="113">
        <v>25879.24</v>
      </c>
    </row>
    <row r="115" spans="1:2">
      <c r="A115" s="114">
        <v>42483</v>
      </c>
      <c r="B115" s="113">
        <v>25882.68</v>
      </c>
    </row>
    <row r="116" spans="1:2">
      <c r="A116" s="114">
        <v>42484</v>
      </c>
      <c r="B116" s="113">
        <v>25886.13</v>
      </c>
    </row>
    <row r="117" spans="1:2">
      <c r="A117" s="114">
        <v>42485</v>
      </c>
      <c r="B117" s="113">
        <v>25889.57</v>
      </c>
    </row>
    <row r="118" spans="1:2">
      <c r="A118" s="114">
        <v>42486</v>
      </c>
      <c r="B118" s="113">
        <v>25893.02</v>
      </c>
    </row>
    <row r="119" spans="1:2">
      <c r="A119" s="114">
        <v>42487</v>
      </c>
      <c r="B119" s="113">
        <v>25896.46</v>
      </c>
    </row>
    <row r="120" spans="1:2">
      <c r="A120" s="114">
        <v>42488</v>
      </c>
      <c r="B120" s="113">
        <v>25899.91</v>
      </c>
    </row>
    <row r="121" spans="1:2">
      <c r="A121" s="114">
        <v>42489</v>
      </c>
      <c r="B121" s="113">
        <v>25903.360000000001</v>
      </c>
    </row>
    <row r="122" spans="1:2">
      <c r="A122" s="114">
        <v>42490</v>
      </c>
      <c r="B122" s="113">
        <v>25906.799999999999</v>
      </c>
    </row>
    <row r="123" spans="1:2">
      <c r="A123" s="114">
        <v>42491</v>
      </c>
      <c r="B123" s="113">
        <v>25910.25</v>
      </c>
    </row>
    <row r="124" spans="1:2">
      <c r="A124" s="114">
        <v>42492</v>
      </c>
      <c r="B124" s="113">
        <v>25913.7</v>
      </c>
    </row>
    <row r="125" spans="1:2">
      <c r="A125" s="114">
        <v>42493</v>
      </c>
      <c r="B125" s="113">
        <v>25917.15</v>
      </c>
    </row>
    <row r="126" spans="1:2">
      <c r="A126" s="114">
        <v>42494</v>
      </c>
      <c r="B126" s="113">
        <v>25920.6</v>
      </c>
    </row>
    <row r="127" spans="1:2">
      <c r="A127" s="114">
        <v>42495</v>
      </c>
      <c r="B127" s="113">
        <v>25924.05</v>
      </c>
    </row>
    <row r="128" spans="1:2">
      <c r="A128" s="114">
        <v>42496</v>
      </c>
      <c r="B128" s="113">
        <v>25927.5</v>
      </c>
    </row>
    <row r="129" spans="1:2">
      <c r="A129" s="114">
        <v>42497</v>
      </c>
      <c r="B129" s="113">
        <v>25930.95</v>
      </c>
    </row>
    <row r="130" spans="1:2">
      <c r="A130" s="114">
        <v>42498</v>
      </c>
      <c r="B130" s="113">
        <v>25934.400000000001</v>
      </c>
    </row>
    <row r="131" spans="1:2">
      <c r="A131" s="114">
        <v>42499</v>
      </c>
      <c r="B131" s="113">
        <v>25937.85</v>
      </c>
    </row>
    <row r="132" spans="1:2">
      <c r="A132" s="114">
        <v>42500</v>
      </c>
      <c r="B132" s="113">
        <v>25940.36</v>
      </c>
    </row>
    <row r="133" spans="1:2">
      <c r="A133" s="114">
        <v>42501</v>
      </c>
      <c r="B133" s="113">
        <v>25942.86</v>
      </c>
    </row>
    <row r="134" spans="1:2">
      <c r="A134" s="114">
        <v>42502</v>
      </c>
      <c r="B134" s="113">
        <v>25945.37</v>
      </c>
    </row>
    <row r="135" spans="1:2">
      <c r="A135" s="114">
        <v>42503</v>
      </c>
      <c r="B135" s="113">
        <v>25947.88</v>
      </c>
    </row>
    <row r="136" spans="1:2">
      <c r="A136" s="114">
        <v>42504</v>
      </c>
      <c r="B136" s="113">
        <v>25950.38</v>
      </c>
    </row>
    <row r="137" spans="1:2">
      <c r="A137" s="114">
        <v>42505</v>
      </c>
      <c r="B137" s="113">
        <v>25952.89</v>
      </c>
    </row>
    <row r="138" spans="1:2">
      <c r="A138" s="114">
        <v>42506</v>
      </c>
      <c r="B138" s="113">
        <v>25955.4</v>
      </c>
    </row>
    <row r="139" spans="1:2">
      <c r="A139" s="114">
        <v>42507</v>
      </c>
      <c r="B139" s="113">
        <v>25957.91</v>
      </c>
    </row>
    <row r="140" spans="1:2">
      <c r="A140" s="114">
        <v>42508</v>
      </c>
      <c r="B140" s="113">
        <v>25960.42</v>
      </c>
    </row>
    <row r="141" spans="1:2">
      <c r="A141" s="114">
        <v>42509</v>
      </c>
      <c r="B141" s="113">
        <v>25962.93</v>
      </c>
    </row>
    <row r="142" spans="1:2">
      <c r="A142" s="114">
        <v>42510</v>
      </c>
      <c r="B142" s="113">
        <v>25965.43</v>
      </c>
    </row>
    <row r="143" spans="1:2">
      <c r="A143" s="114">
        <v>42511</v>
      </c>
      <c r="B143" s="113">
        <v>25967.94</v>
      </c>
    </row>
    <row r="144" spans="1:2">
      <c r="A144" s="114">
        <v>42512</v>
      </c>
      <c r="B144" s="113">
        <v>25970.45</v>
      </c>
    </row>
    <row r="145" spans="1:2">
      <c r="A145" s="114">
        <v>42513</v>
      </c>
      <c r="B145" s="113">
        <v>25972.959999999999</v>
      </c>
    </row>
    <row r="146" spans="1:2">
      <c r="A146" s="114">
        <v>42514</v>
      </c>
      <c r="B146" s="113">
        <v>25975.47</v>
      </c>
    </row>
    <row r="147" spans="1:2">
      <c r="A147" s="114">
        <v>42515</v>
      </c>
      <c r="B147" s="113">
        <v>25977.98</v>
      </c>
    </row>
    <row r="148" spans="1:2">
      <c r="A148" s="114">
        <v>42516</v>
      </c>
      <c r="B148" s="113">
        <v>25980.49</v>
      </c>
    </row>
    <row r="149" spans="1:2">
      <c r="A149" s="114">
        <v>42517</v>
      </c>
      <c r="B149" s="113">
        <v>25983</v>
      </c>
    </row>
    <row r="150" spans="1:2">
      <c r="A150" s="114">
        <v>42518</v>
      </c>
      <c r="B150" s="113">
        <v>25985.51</v>
      </c>
    </row>
    <row r="151" spans="1:2">
      <c r="A151" s="114">
        <v>42519</v>
      </c>
      <c r="B151" s="113">
        <v>25988.03</v>
      </c>
    </row>
    <row r="152" spans="1:2">
      <c r="A152" s="114">
        <v>42520</v>
      </c>
      <c r="B152" s="113">
        <v>25990.54</v>
      </c>
    </row>
    <row r="153" spans="1:2">
      <c r="A153" s="114">
        <v>42521</v>
      </c>
      <c r="B153" s="113">
        <v>25993.05</v>
      </c>
    </row>
    <row r="154" spans="1:2">
      <c r="A154" s="114">
        <v>42522</v>
      </c>
      <c r="B154" s="113">
        <v>25995.56</v>
      </c>
    </row>
    <row r="155" spans="1:2">
      <c r="A155" s="114">
        <v>42523</v>
      </c>
      <c r="B155" s="113">
        <v>25998.07</v>
      </c>
    </row>
    <row r="156" spans="1:2">
      <c r="A156" s="114">
        <v>42524</v>
      </c>
      <c r="B156" s="113">
        <v>26000.58</v>
      </c>
    </row>
    <row r="157" spans="1:2">
      <c r="A157" s="114">
        <v>42525</v>
      </c>
      <c r="B157" s="113">
        <v>26003.1</v>
      </c>
    </row>
    <row r="158" spans="1:2">
      <c r="A158" s="114">
        <v>42526</v>
      </c>
      <c r="B158" s="113">
        <v>26005.61</v>
      </c>
    </row>
    <row r="159" spans="1:2">
      <c r="A159" s="114">
        <v>42527</v>
      </c>
      <c r="B159" s="113">
        <v>26008.12</v>
      </c>
    </row>
    <row r="160" spans="1:2">
      <c r="A160" s="114">
        <v>42528</v>
      </c>
      <c r="B160" s="113">
        <v>26010.639999999999</v>
      </c>
    </row>
    <row r="161" spans="1:2">
      <c r="A161" s="114">
        <v>42529</v>
      </c>
      <c r="B161" s="113">
        <v>26013.15</v>
      </c>
    </row>
    <row r="162" spans="1:2">
      <c r="A162" s="124">
        <v>42530</v>
      </c>
      <c r="B162" s="123">
        <v>26015.66</v>
      </c>
    </row>
    <row r="163" spans="1:2">
      <c r="A163" s="124">
        <v>42531</v>
      </c>
      <c r="B163" s="123">
        <v>26017.39</v>
      </c>
    </row>
    <row r="164" spans="1:2">
      <c r="A164" s="124">
        <v>42532</v>
      </c>
      <c r="B164" s="123">
        <v>26019.13</v>
      </c>
    </row>
    <row r="165" spans="1:2">
      <c r="A165" s="124">
        <v>42533</v>
      </c>
      <c r="B165" s="123">
        <v>26020.86</v>
      </c>
    </row>
    <row r="166" spans="1:2">
      <c r="A166" s="124">
        <v>42534</v>
      </c>
      <c r="B166" s="123">
        <v>26022.59</v>
      </c>
    </row>
    <row r="167" spans="1:2">
      <c r="A167" s="124">
        <v>42535</v>
      </c>
      <c r="B167" s="123">
        <v>26024.32</v>
      </c>
    </row>
    <row r="168" spans="1:2">
      <c r="A168" s="124">
        <v>42536</v>
      </c>
      <c r="B168" s="123">
        <v>26026.06</v>
      </c>
    </row>
    <row r="169" spans="1:2">
      <c r="A169" s="124">
        <v>42537</v>
      </c>
      <c r="B169" s="123">
        <v>26027.79</v>
      </c>
    </row>
    <row r="170" spans="1:2">
      <c r="A170" s="124">
        <v>42538</v>
      </c>
      <c r="B170" s="123">
        <v>26029.52</v>
      </c>
    </row>
    <row r="171" spans="1:2">
      <c r="A171" s="124">
        <v>42539</v>
      </c>
      <c r="B171" s="123">
        <v>26031.26</v>
      </c>
    </row>
    <row r="172" spans="1:2">
      <c r="A172" s="124">
        <v>42540</v>
      </c>
      <c r="B172" s="123">
        <v>26032.99</v>
      </c>
    </row>
    <row r="173" spans="1:2">
      <c r="A173" s="124">
        <v>42541</v>
      </c>
      <c r="B173" s="123">
        <v>26034.73</v>
      </c>
    </row>
    <row r="174" spans="1:2">
      <c r="A174" s="124">
        <v>42542</v>
      </c>
      <c r="B174" s="123">
        <v>26036.46</v>
      </c>
    </row>
    <row r="175" spans="1:2">
      <c r="A175" s="124">
        <v>42543</v>
      </c>
      <c r="B175" s="123">
        <v>26038.19</v>
      </c>
    </row>
    <row r="176" spans="1:2">
      <c r="A176" s="124">
        <v>42544</v>
      </c>
      <c r="B176" s="123">
        <v>26039.93</v>
      </c>
    </row>
    <row r="177" spans="1:2">
      <c r="A177" s="124">
        <v>42545</v>
      </c>
      <c r="B177" s="123">
        <v>26041.66</v>
      </c>
    </row>
    <row r="178" spans="1:2">
      <c r="A178" s="124">
        <v>42546</v>
      </c>
      <c r="B178" s="123">
        <v>26043.4</v>
      </c>
    </row>
    <row r="179" spans="1:2">
      <c r="A179" s="124">
        <v>42547</v>
      </c>
      <c r="B179" s="123">
        <v>26045.13</v>
      </c>
    </row>
    <row r="180" spans="1:2">
      <c r="A180" s="124">
        <v>42548</v>
      </c>
      <c r="B180" s="123">
        <v>26046.87</v>
      </c>
    </row>
    <row r="181" spans="1:2">
      <c r="A181" s="124">
        <v>42549</v>
      </c>
      <c r="B181" s="123">
        <v>26048.6</v>
      </c>
    </row>
    <row r="182" spans="1:2">
      <c r="A182" s="124">
        <v>42550</v>
      </c>
      <c r="B182" s="123">
        <v>26050.34</v>
      </c>
    </row>
    <row r="183" spans="1:2">
      <c r="A183" s="124">
        <v>42551</v>
      </c>
      <c r="B183" s="123">
        <v>26052.07</v>
      </c>
    </row>
    <row r="184" spans="1:2">
      <c r="A184" s="124">
        <v>42552</v>
      </c>
      <c r="B184" s="123">
        <v>26053.81</v>
      </c>
    </row>
    <row r="185" spans="1:2">
      <c r="A185" s="124">
        <v>42553</v>
      </c>
      <c r="B185" s="123">
        <v>26055.54</v>
      </c>
    </row>
    <row r="186" spans="1:2">
      <c r="A186" s="124">
        <v>42554</v>
      </c>
      <c r="B186" s="123">
        <v>26057.279999999999</v>
      </c>
    </row>
    <row r="187" spans="1:2">
      <c r="A187" s="124">
        <v>42555</v>
      </c>
      <c r="B187" s="123">
        <v>26059.01</v>
      </c>
    </row>
    <row r="188" spans="1:2">
      <c r="A188" s="124">
        <v>42556</v>
      </c>
      <c r="B188" s="123">
        <v>26060.75</v>
      </c>
    </row>
    <row r="189" spans="1:2">
      <c r="A189" s="124">
        <v>42557</v>
      </c>
      <c r="B189" s="123">
        <v>26062.48</v>
      </c>
    </row>
    <row r="190" spans="1:2">
      <c r="A190" s="124">
        <v>42558</v>
      </c>
      <c r="B190" s="123">
        <v>26064.22</v>
      </c>
    </row>
    <row r="191" spans="1:2">
      <c r="A191" s="124">
        <v>42559</v>
      </c>
      <c r="B191" s="123">
        <v>26065.96</v>
      </c>
    </row>
    <row r="192" spans="1:2">
      <c r="A192" s="135">
        <v>42560</v>
      </c>
      <c r="B192" s="134">
        <v>26067.69</v>
      </c>
    </row>
    <row r="193" spans="1:2">
      <c r="A193" s="135">
        <v>42561</v>
      </c>
      <c r="B193" s="134">
        <v>26071.05</v>
      </c>
    </row>
    <row r="194" spans="1:2">
      <c r="A194" s="135">
        <v>42562</v>
      </c>
      <c r="B194" s="134">
        <v>26074.400000000001</v>
      </c>
    </row>
    <row r="195" spans="1:2">
      <c r="A195" s="135">
        <v>42563</v>
      </c>
      <c r="B195" s="134">
        <v>26077.759999999998</v>
      </c>
    </row>
    <row r="196" spans="1:2">
      <c r="A196" s="135">
        <v>42564</v>
      </c>
      <c r="B196" s="134">
        <v>26081.119999999999</v>
      </c>
    </row>
    <row r="197" spans="1:2">
      <c r="A197" s="135">
        <v>42565</v>
      </c>
      <c r="B197" s="134">
        <v>26084.48</v>
      </c>
    </row>
    <row r="198" spans="1:2">
      <c r="A198" s="135">
        <v>42566</v>
      </c>
      <c r="B198" s="134">
        <v>26087.84</v>
      </c>
    </row>
    <row r="199" spans="1:2">
      <c r="A199" s="135">
        <v>42567</v>
      </c>
      <c r="B199" s="134">
        <v>26091.200000000001</v>
      </c>
    </row>
    <row r="200" spans="1:2">
      <c r="A200" s="135">
        <v>42568</v>
      </c>
      <c r="B200" s="134">
        <v>26094.560000000001</v>
      </c>
    </row>
    <row r="201" spans="1:2">
      <c r="A201" s="135">
        <v>42569</v>
      </c>
      <c r="B201" s="134">
        <v>26097.919999999998</v>
      </c>
    </row>
    <row r="202" spans="1:2">
      <c r="A202" s="135">
        <v>42570</v>
      </c>
      <c r="B202" s="134">
        <v>26101.279999999999</v>
      </c>
    </row>
    <row r="203" spans="1:2">
      <c r="A203" s="135">
        <v>42571</v>
      </c>
      <c r="B203" s="134">
        <v>26104.639999999999</v>
      </c>
    </row>
    <row r="204" spans="1:2">
      <c r="A204" s="135">
        <v>42572</v>
      </c>
      <c r="B204" s="134">
        <v>26108</v>
      </c>
    </row>
    <row r="205" spans="1:2">
      <c r="A205" s="135">
        <v>42573</v>
      </c>
      <c r="B205" s="134">
        <v>26111.37</v>
      </c>
    </row>
    <row r="206" spans="1:2">
      <c r="A206" s="135">
        <v>42574</v>
      </c>
      <c r="B206" s="134">
        <v>26114.73</v>
      </c>
    </row>
    <row r="207" spans="1:2">
      <c r="A207" s="135">
        <v>42575</v>
      </c>
      <c r="B207" s="134">
        <v>26118.09</v>
      </c>
    </row>
    <row r="208" spans="1:2">
      <c r="A208" s="135">
        <v>42576</v>
      </c>
      <c r="B208" s="134">
        <v>26121.46</v>
      </c>
    </row>
    <row r="209" spans="1:2">
      <c r="A209" s="135">
        <v>42577</v>
      </c>
      <c r="B209" s="134">
        <v>26124.82</v>
      </c>
    </row>
    <row r="210" spans="1:2">
      <c r="A210" s="135">
        <v>42578</v>
      </c>
      <c r="B210" s="134">
        <v>26128.18</v>
      </c>
    </row>
    <row r="211" spans="1:2">
      <c r="A211" s="135">
        <v>42579</v>
      </c>
      <c r="B211" s="134">
        <v>26131.55</v>
      </c>
    </row>
    <row r="212" spans="1:2">
      <c r="A212" s="135">
        <v>42580</v>
      </c>
      <c r="B212" s="134">
        <v>26134.91</v>
      </c>
    </row>
    <row r="213" spans="1:2">
      <c r="A213" s="135">
        <v>42581</v>
      </c>
      <c r="B213" s="134">
        <v>26138.28</v>
      </c>
    </row>
    <row r="214" spans="1:2">
      <c r="A214" s="135">
        <v>42582</v>
      </c>
      <c r="B214" s="134">
        <v>26141.65</v>
      </c>
    </row>
    <row r="215" spans="1:2">
      <c r="A215" s="135">
        <v>42583</v>
      </c>
      <c r="B215" s="134">
        <v>26145.01</v>
      </c>
    </row>
    <row r="216" spans="1:2">
      <c r="A216" s="135">
        <v>42584</v>
      </c>
      <c r="B216" s="134">
        <v>26148.38</v>
      </c>
    </row>
    <row r="217" spans="1:2">
      <c r="A217" s="135">
        <v>42585</v>
      </c>
      <c r="B217" s="134">
        <v>26151.75</v>
      </c>
    </row>
    <row r="218" spans="1:2">
      <c r="A218" s="135">
        <v>42586</v>
      </c>
      <c r="B218" s="134">
        <v>26155.11</v>
      </c>
    </row>
    <row r="219" spans="1:2">
      <c r="A219" s="135">
        <v>42587</v>
      </c>
      <c r="B219" s="134">
        <v>26158.48</v>
      </c>
    </row>
    <row r="220" spans="1:2">
      <c r="A220" s="140">
        <v>42588</v>
      </c>
      <c r="B220" s="139">
        <v>26161.85</v>
      </c>
    </row>
    <row r="221" spans="1:2">
      <c r="A221" s="140">
        <v>42589</v>
      </c>
      <c r="B221" s="139">
        <v>26165.22</v>
      </c>
    </row>
    <row r="222" spans="1:2">
      <c r="A222" s="140">
        <v>42590</v>
      </c>
      <c r="B222" s="139">
        <v>26168.59</v>
      </c>
    </row>
    <row r="223" spans="1:2">
      <c r="A223" s="140">
        <v>42591</v>
      </c>
      <c r="B223" s="139">
        <v>26171.96</v>
      </c>
    </row>
    <row r="224" spans="1:2">
      <c r="A224" s="140">
        <v>42592</v>
      </c>
      <c r="B224" s="139">
        <v>26173.65</v>
      </c>
    </row>
    <row r="225" spans="1:2">
      <c r="A225" s="140">
        <v>42593</v>
      </c>
      <c r="B225" s="139">
        <v>26175.33</v>
      </c>
    </row>
    <row r="226" spans="1:2">
      <c r="A226" s="140">
        <v>42594</v>
      </c>
      <c r="B226" s="139">
        <v>26177.02</v>
      </c>
    </row>
    <row r="227" spans="1:2">
      <c r="A227" s="140">
        <v>42595</v>
      </c>
      <c r="B227" s="139">
        <v>26178.71</v>
      </c>
    </row>
    <row r="228" spans="1:2">
      <c r="A228" s="140">
        <v>42596</v>
      </c>
      <c r="B228" s="139">
        <v>26180.400000000001</v>
      </c>
    </row>
    <row r="229" spans="1:2">
      <c r="A229" s="140">
        <v>42597</v>
      </c>
      <c r="B229" s="139">
        <v>26182.080000000002</v>
      </c>
    </row>
    <row r="230" spans="1:2">
      <c r="A230" s="140">
        <v>42598</v>
      </c>
      <c r="B230" s="139">
        <v>26183.77</v>
      </c>
    </row>
    <row r="231" spans="1:2">
      <c r="A231" s="140">
        <v>42599</v>
      </c>
      <c r="B231" s="139">
        <v>26185.46</v>
      </c>
    </row>
    <row r="232" spans="1:2">
      <c r="A232" s="140">
        <v>42600</v>
      </c>
      <c r="B232" s="139">
        <v>26187.15</v>
      </c>
    </row>
    <row r="233" spans="1:2">
      <c r="A233" s="140">
        <v>42601</v>
      </c>
      <c r="B233" s="139">
        <v>26188.83</v>
      </c>
    </row>
    <row r="234" spans="1:2">
      <c r="A234" s="140">
        <v>42602</v>
      </c>
      <c r="B234" s="139">
        <v>26190.52</v>
      </c>
    </row>
    <row r="235" spans="1:2">
      <c r="A235" s="140">
        <v>42603</v>
      </c>
      <c r="B235" s="139">
        <v>26192.21</v>
      </c>
    </row>
    <row r="236" spans="1:2">
      <c r="A236" s="140">
        <v>42604</v>
      </c>
      <c r="B236" s="139">
        <v>26193.9</v>
      </c>
    </row>
    <row r="237" spans="1:2">
      <c r="A237" s="140">
        <v>42605</v>
      </c>
      <c r="B237" s="139">
        <v>26195.59</v>
      </c>
    </row>
    <row r="238" spans="1:2">
      <c r="A238" s="140">
        <v>42606</v>
      </c>
      <c r="B238" s="139">
        <v>26197.27</v>
      </c>
    </row>
    <row r="239" spans="1:2">
      <c r="A239" s="140">
        <v>42607</v>
      </c>
      <c r="B239" s="139">
        <v>26198.959999999999</v>
      </c>
    </row>
    <row r="240" spans="1:2">
      <c r="A240" s="140">
        <v>42608</v>
      </c>
      <c r="B240" s="139">
        <v>26200.65</v>
      </c>
    </row>
    <row r="241" spans="1:2">
      <c r="A241" s="140">
        <v>42609</v>
      </c>
      <c r="B241" s="139">
        <v>26202.34</v>
      </c>
    </row>
    <row r="242" spans="1:2">
      <c r="A242" s="140">
        <v>42610</v>
      </c>
      <c r="B242" s="139">
        <v>26204.03</v>
      </c>
    </row>
    <row r="243" spans="1:2">
      <c r="A243" s="140">
        <v>42611</v>
      </c>
      <c r="B243" s="139">
        <v>26205.72</v>
      </c>
    </row>
    <row r="244" spans="1:2">
      <c r="A244" s="140">
        <v>42612</v>
      </c>
      <c r="B244" s="139">
        <v>26207.41</v>
      </c>
    </row>
    <row r="245" spans="1:2">
      <c r="A245" s="140">
        <v>42613</v>
      </c>
      <c r="B245" s="139">
        <v>26209.1</v>
      </c>
    </row>
    <row r="246" spans="1:2">
      <c r="A246" s="140">
        <v>42614</v>
      </c>
      <c r="B246" s="139">
        <v>26210.79</v>
      </c>
    </row>
    <row r="247" spans="1:2">
      <c r="A247" s="140">
        <v>42615</v>
      </c>
      <c r="B247" s="139">
        <v>26212.48</v>
      </c>
    </row>
    <row r="248" spans="1:2">
      <c r="A248" s="140">
        <v>42616</v>
      </c>
      <c r="B248" s="139">
        <v>26214.16</v>
      </c>
    </row>
    <row r="249" spans="1:2">
      <c r="A249" s="140">
        <v>42617</v>
      </c>
      <c r="B249" s="139">
        <v>26215.85</v>
      </c>
    </row>
    <row r="250" spans="1:2">
      <c r="A250" s="140">
        <v>42618</v>
      </c>
      <c r="B250" s="139">
        <v>26217.54</v>
      </c>
    </row>
    <row r="251" spans="1:2">
      <c r="A251" s="140">
        <v>42619</v>
      </c>
      <c r="B251" s="139">
        <v>26219.23</v>
      </c>
    </row>
    <row r="252" spans="1:2">
      <c r="A252" s="140">
        <v>42620</v>
      </c>
      <c r="B252" s="139">
        <v>26220.92</v>
      </c>
    </row>
    <row r="253" spans="1:2">
      <c r="A253" s="140">
        <v>42621</v>
      </c>
      <c r="B253" s="139">
        <v>26222.61</v>
      </c>
    </row>
    <row r="254" spans="1:2">
      <c r="A254" s="144">
        <v>42622</v>
      </c>
      <c r="B254" s="143">
        <v>26224.3</v>
      </c>
    </row>
    <row r="255" spans="1:2">
      <c r="A255" s="144">
        <v>42623</v>
      </c>
      <c r="B255" s="143">
        <v>26224.3</v>
      </c>
    </row>
    <row r="256" spans="1:2">
      <c r="A256" s="144">
        <v>42624</v>
      </c>
      <c r="B256" s="143">
        <v>26224.3</v>
      </c>
    </row>
    <row r="257" spans="1:2">
      <c r="A257" s="144">
        <v>42625</v>
      </c>
      <c r="B257" s="143">
        <v>26224.3</v>
      </c>
    </row>
    <row r="258" spans="1:2">
      <c r="A258" s="144">
        <v>42626</v>
      </c>
      <c r="B258" s="143">
        <v>26224.3</v>
      </c>
    </row>
    <row r="259" spans="1:2">
      <c r="A259" s="144">
        <v>42627</v>
      </c>
      <c r="B259" s="143">
        <v>26224.3</v>
      </c>
    </row>
    <row r="260" spans="1:2">
      <c r="A260" s="144">
        <v>42628</v>
      </c>
      <c r="B260" s="143">
        <v>26224.3</v>
      </c>
    </row>
    <row r="261" spans="1:2">
      <c r="A261" s="144">
        <v>42629</v>
      </c>
      <c r="B261" s="143">
        <v>26224.3</v>
      </c>
    </row>
    <row r="262" spans="1:2">
      <c r="A262" s="144">
        <v>42630</v>
      </c>
      <c r="B262" s="143">
        <v>26224.3</v>
      </c>
    </row>
    <row r="263" spans="1:2">
      <c r="A263" s="144">
        <v>42631</v>
      </c>
      <c r="B263" s="143">
        <v>26224.3</v>
      </c>
    </row>
    <row r="264" spans="1:2">
      <c r="A264" s="144">
        <v>42632</v>
      </c>
      <c r="B264" s="143">
        <v>26224.3</v>
      </c>
    </row>
    <row r="265" spans="1:2">
      <c r="A265" s="144">
        <v>42633</v>
      </c>
      <c r="B265" s="143">
        <v>26224.3</v>
      </c>
    </row>
    <row r="266" spans="1:2">
      <c r="A266" s="144">
        <v>42634</v>
      </c>
      <c r="B266" s="143">
        <v>26224.3</v>
      </c>
    </row>
    <row r="267" spans="1:2">
      <c r="A267" s="144">
        <v>42635</v>
      </c>
      <c r="B267" s="143">
        <v>26224.3</v>
      </c>
    </row>
    <row r="268" spans="1:2">
      <c r="A268" s="144">
        <v>42636</v>
      </c>
      <c r="B268" s="143">
        <v>26224.3</v>
      </c>
    </row>
    <row r="269" spans="1:2">
      <c r="A269" s="144">
        <v>42637</v>
      </c>
      <c r="B269" s="143">
        <v>26224.3</v>
      </c>
    </row>
    <row r="270" spans="1:2">
      <c r="A270" s="144">
        <v>42638</v>
      </c>
      <c r="B270" s="143">
        <v>26224.3</v>
      </c>
    </row>
    <row r="271" spans="1:2">
      <c r="A271" s="144">
        <v>42639</v>
      </c>
      <c r="B271" s="143">
        <v>26224.3</v>
      </c>
    </row>
    <row r="272" spans="1:2">
      <c r="A272" s="144">
        <v>42640</v>
      </c>
      <c r="B272" s="143">
        <v>26224.3</v>
      </c>
    </row>
    <row r="273" spans="1:2">
      <c r="A273" s="144">
        <v>42641</v>
      </c>
      <c r="B273" s="143">
        <v>26224.3</v>
      </c>
    </row>
    <row r="274" spans="1:2">
      <c r="A274" s="144">
        <v>42642</v>
      </c>
      <c r="B274" s="143">
        <v>26224.3</v>
      </c>
    </row>
    <row r="275" spans="1:2">
      <c r="A275" s="144">
        <v>42643</v>
      </c>
      <c r="B275" s="143">
        <v>26224.3</v>
      </c>
    </row>
    <row r="276" spans="1:2">
      <c r="A276" s="144">
        <v>42644</v>
      </c>
      <c r="B276" s="143">
        <v>26224.3</v>
      </c>
    </row>
    <row r="277" spans="1:2">
      <c r="A277" s="144">
        <v>42645</v>
      </c>
      <c r="B277" s="143">
        <v>26224.3</v>
      </c>
    </row>
    <row r="278" spans="1:2">
      <c r="A278" s="144">
        <v>42646</v>
      </c>
      <c r="B278" s="143">
        <v>26224.3</v>
      </c>
    </row>
    <row r="279" spans="1:2">
      <c r="A279" s="144">
        <v>42647</v>
      </c>
      <c r="B279" s="143">
        <v>26224.3</v>
      </c>
    </row>
    <row r="280" spans="1:2">
      <c r="A280" s="144">
        <v>42648</v>
      </c>
      <c r="B280" s="143">
        <v>26224.3</v>
      </c>
    </row>
    <row r="281" spans="1:2">
      <c r="A281" s="144">
        <v>42649</v>
      </c>
      <c r="B281" s="143">
        <v>26224.3</v>
      </c>
    </row>
    <row r="282" spans="1:2">
      <c r="A282" s="144">
        <v>42650</v>
      </c>
      <c r="B282" s="143">
        <v>26224.3</v>
      </c>
    </row>
    <row r="283" spans="1:2">
      <c r="A283" s="144">
        <v>42651</v>
      </c>
      <c r="B283" s="143">
        <v>26224.3</v>
      </c>
    </row>
    <row r="284" spans="1:2">
      <c r="A284" s="144">
        <v>42652</v>
      </c>
      <c r="B284" s="143">
        <v>26224.3</v>
      </c>
    </row>
    <row r="285" spans="1:2">
      <c r="A285" s="144">
        <v>42653</v>
      </c>
      <c r="B285" s="143">
        <v>26225.99</v>
      </c>
    </row>
    <row r="286" spans="1:2">
      <c r="A286" s="144">
        <v>42654</v>
      </c>
      <c r="B286" s="143">
        <v>26227.68</v>
      </c>
    </row>
    <row r="287" spans="1:2">
      <c r="A287" s="144">
        <v>42655</v>
      </c>
      <c r="B287" s="143">
        <v>26229.37</v>
      </c>
    </row>
    <row r="288" spans="1:2">
      <c r="A288" s="144">
        <v>42656</v>
      </c>
      <c r="B288" s="143">
        <v>26231.06</v>
      </c>
    </row>
    <row r="289" spans="1:2">
      <c r="A289" s="144">
        <v>42657</v>
      </c>
      <c r="B289" s="143">
        <v>26232.75</v>
      </c>
    </row>
    <row r="290" spans="1:2">
      <c r="A290" s="144">
        <v>42658</v>
      </c>
      <c r="B290" s="143">
        <v>26234.44</v>
      </c>
    </row>
    <row r="291" spans="1:2">
      <c r="A291" s="144">
        <v>42659</v>
      </c>
      <c r="B291" s="143">
        <v>26236.13</v>
      </c>
    </row>
    <row r="292" spans="1:2">
      <c r="A292" s="144">
        <v>42660</v>
      </c>
      <c r="B292" s="143">
        <v>26237.83</v>
      </c>
    </row>
    <row r="293" spans="1:2">
      <c r="A293" s="144">
        <v>42661</v>
      </c>
      <c r="B293" s="143">
        <v>26239.52</v>
      </c>
    </row>
    <row r="294" spans="1:2">
      <c r="A294" s="144">
        <v>42662</v>
      </c>
      <c r="B294" s="143">
        <v>26241.21</v>
      </c>
    </row>
    <row r="295" spans="1:2">
      <c r="A295" s="144">
        <v>42663</v>
      </c>
      <c r="B295" s="143">
        <v>26242.9</v>
      </c>
    </row>
    <row r="296" spans="1:2">
      <c r="A296" s="144">
        <v>42664</v>
      </c>
      <c r="B296" s="143">
        <v>26244.59</v>
      </c>
    </row>
    <row r="297" spans="1:2">
      <c r="A297" s="144">
        <v>42665</v>
      </c>
      <c r="B297" s="143">
        <v>26246.28</v>
      </c>
    </row>
    <row r="298" spans="1:2">
      <c r="A298" s="144">
        <v>42666</v>
      </c>
      <c r="B298" s="143">
        <v>26247.97</v>
      </c>
    </row>
    <row r="299" spans="1:2">
      <c r="A299" s="144">
        <v>42667</v>
      </c>
      <c r="B299" s="143">
        <v>26249.67</v>
      </c>
    </row>
    <row r="300" spans="1:2">
      <c r="A300" s="144">
        <v>42668</v>
      </c>
      <c r="B300" s="143">
        <v>26251.360000000001</v>
      </c>
    </row>
    <row r="301" spans="1:2">
      <c r="A301" s="144">
        <v>42669</v>
      </c>
      <c r="B301" s="143">
        <v>26253.05</v>
      </c>
    </row>
    <row r="302" spans="1:2">
      <c r="A302" s="144">
        <v>42670</v>
      </c>
      <c r="B302" s="143">
        <v>26254.74</v>
      </c>
    </row>
    <row r="303" spans="1:2">
      <c r="A303" s="144">
        <v>42671</v>
      </c>
      <c r="B303" s="143">
        <v>26256.43</v>
      </c>
    </row>
    <row r="304" spans="1:2">
      <c r="A304" s="144">
        <v>42672</v>
      </c>
      <c r="B304" s="143">
        <v>26258.13</v>
      </c>
    </row>
    <row r="305" spans="1:2">
      <c r="A305" s="144">
        <v>42673</v>
      </c>
      <c r="B305" s="143">
        <v>26259.82</v>
      </c>
    </row>
    <row r="306" spans="1:2">
      <c r="A306" s="144">
        <v>42674</v>
      </c>
      <c r="B306" s="143">
        <v>26261.51</v>
      </c>
    </row>
    <row r="307" spans="1:2">
      <c r="A307" s="144">
        <v>42675</v>
      </c>
      <c r="B307" s="143">
        <v>26263.200000000001</v>
      </c>
    </row>
    <row r="308" spans="1:2">
      <c r="A308" s="144">
        <v>42676</v>
      </c>
      <c r="B308" s="143">
        <v>26264.9</v>
      </c>
    </row>
    <row r="309" spans="1:2">
      <c r="A309" s="144">
        <v>42677</v>
      </c>
      <c r="B309" s="143">
        <v>26266.59</v>
      </c>
    </row>
    <row r="310" spans="1:2">
      <c r="A310" s="144">
        <v>42678</v>
      </c>
      <c r="B310" s="143">
        <v>26268.28</v>
      </c>
    </row>
    <row r="311" spans="1:2">
      <c r="A311" s="144">
        <v>42679</v>
      </c>
      <c r="B311" s="143">
        <v>26269.98</v>
      </c>
    </row>
    <row r="312" spans="1:2">
      <c r="A312" s="144">
        <v>42680</v>
      </c>
      <c r="B312" s="143">
        <v>26271.67</v>
      </c>
    </row>
    <row r="313" spans="1:2">
      <c r="A313" s="144">
        <v>42681</v>
      </c>
      <c r="B313" s="143">
        <v>26273.360000000001</v>
      </c>
    </row>
    <row r="314" spans="1:2">
      <c r="A314" s="144">
        <v>42682</v>
      </c>
      <c r="B314" s="143">
        <v>26275.06</v>
      </c>
    </row>
    <row r="315" spans="1:2">
      <c r="A315" s="144">
        <v>42683</v>
      </c>
      <c r="B315" s="143">
        <v>26276.75</v>
      </c>
    </row>
    <row r="316" spans="1:2">
      <c r="A316" s="144">
        <v>42684</v>
      </c>
      <c r="B316" s="143">
        <v>26278.5</v>
      </c>
    </row>
    <row r="317" spans="1:2">
      <c r="A317" s="144">
        <v>42685</v>
      </c>
      <c r="B317" s="143">
        <v>26280.25</v>
      </c>
    </row>
    <row r="318" spans="1:2">
      <c r="A318" s="144">
        <v>42686</v>
      </c>
      <c r="B318" s="143">
        <v>26282</v>
      </c>
    </row>
    <row r="319" spans="1:2">
      <c r="A319" s="144">
        <v>42687</v>
      </c>
      <c r="B319" s="143">
        <v>26283.75</v>
      </c>
    </row>
    <row r="320" spans="1:2">
      <c r="A320" s="144">
        <v>42688</v>
      </c>
      <c r="B320" s="143">
        <v>26285.5</v>
      </c>
    </row>
    <row r="321" spans="1:2">
      <c r="A321" s="144">
        <v>42689</v>
      </c>
      <c r="B321" s="143">
        <v>26287.25</v>
      </c>
    </row>
    <row r="322" spans="1:2">
      <c r="A322" s="144">
        <v>42690</v>
      </c>
      <c r="B322" s="143">
        <v>26289</v>
      </c>
    </row>
    <row r="323" spans="1:2">
      <c r="A323" s="144">
        <v>42691</v>
      </c>
      <c r="B323" s="143">
        <v>26290.75</v>
      </c>
    </row>
    <row r="324" spans="1:2">
      <c r="A324" s="144">
        <v>42692</v>
      </c>
      <c r="B324" s="143">
        <v>26292.51</v>
      </c>
    </row>
    <row r="325" spans="1:2">
      <c r="A325" s="144">
        <v>42693</v>
      </c>
      <c r="B325" s="143">
        <v>26294.26</v>
      </c>
    </row>
    <row r="326" spans="1:2">
      <c r="A326" s="144">
        <v>42694</v>
      </c>
      <c r="B326" s="143">
        <v>26296.01</v>
      </c>
    </row>
    <row r="327" spans="1:2">
      <c r="A327" s="144">
        <v>42695</v>
      </c>
      <c r="B327" s="143">
        <v>26297.759999999998</v>
      </c>
    </row>
    <row r="328" spans="1:2">
      <c r="A328" s="144">
        <v>42696</v>
      </c>
      <c r="B328" s="143">
        <v>26299.51</v>
      </c>
    </row>
    <row r="329" spans="1:2">
      <c r="A329" s="144">
        <v>42697</v>
      </c>
      <c r="B329" s="143">
        <v>26301.26</v>
      </c>
    </row>
    <row r="330" spans="1:2">
      <c r="A330" s="144">
        <v>42698</v>
      </c>
      <c r="B330" s="143">
        <v>26303.01</v>
      </c>
    </row>
    <row r="331" spans="1:2">
      <c r="A331" s="144">
        <v>42699</v>
      </c>
      <c r="B331" s="143">
        <v>26304.77</v>
      </c>
    </row>
    <row r="332" spans="1:2">
      <c r="A332" s="144">
        <v>42700</v>
      </c>
      <c r="B332" s="143">
        <v>26306.52</v>
      </c>
    </row>
    <row r="333" spans="1:2">
      <c r="A333" s="144">
        <v>42701</v>
      </c>
      <c r="B333" s="143">
        <v>26308.27</v>
      </c>
    </row>
    <row r="334" spans="1:2">
      <c r="A334" s="144">
        <v>42702</v>
      </c>
      <c r="B334" s="143">
        <v>26310.02</v>
      </c>
    </row>
    <row r="335" spans="1:2">
      <c r="A335" s="144">
        <v>42703</v>
      </c>
      <c r="B335" s="143">
        <v>26311.77</v>
      </c>
    </row>
    <row r="336" spans="1:2">
      <c r="A336" s="144">
        <v>42704</v>
      </c>
      <c r="B336" s="143">
        <v>26313.53</v>
      </c>
    </row>
    <row r="337" spans="1:2">
      <c r="A337" s="144">
        <v>42705</v>
      </c>
      <c r="B337" s="143">
        <v>26315.279999999999</v>
      </c>
    </row>
    <row r="338" spans="1:2">
      <c r="A338" s="144">
        <v>42706</v>
      </c>
      <c r="B338" s="143">
        <v>26317.03</v>
      </c>
    </row>
    <row r="339" spans="1:2">
      <c r="A339" s="144">
        <v>42707</v>
      </c>
      <c r="B339" s="143">
        <v>26318.78</v>
      </c>
    </row>
    <row r="340" spans="1:2">
      <c r="A340" s="144">
        <v>42708</v>
      </c>
      <c r="B340" s="143">
        <v>26320.54</v>
      </c>
    </row>
    <row r="341" spans="1:2">
      <c r="A341" s="144">
        <v>42709</v>
      </c>
      <c r="B341" s="143">
        <v>26322.29</v>
      </c>
    </row>
    <row r="342" spans="1:2">
      <c r="A342" s="144">
        <v>42710</v>
      </c>
      <c r="B342" s="143">
        <v>26324.04</v>
      </c>
    </row>
    <row r="343" spans="1:2">
      <c r="A343" s="144">
        <v>42711</v>
      </c>
      <c r="B343" s="143">
        <v>26325.8</v>
      </c>
    </row>
    <row r="344" spans="1:2">
      <c r="A344" s="144">
        <v>42712</v>
      </c>
      <c r="B344" s="143">
        <v>26327.55</v>
      </c>
    </row>
    <row r="345" spans="1:2">
      <c r="A345" s="144">
        <v>42713</v>
      </c>
      <c r="B345" s="143">
        <v>26329.3</v>
      </c>
    </row>
    <row r="346" spans="1:2">
      <c r="A346" s="151">
        <v>42714</v>
      </c>
      <c r="B346" s="150">
        <v>26330.15</v>
      </c>
    </row>
    <row r="347" spans="1:2">
      <c r="A347" s="151">
        <v>42715</v>
      </c>
      <c r="B347" s="150">
        <v>26331</v>
      </c>
    </row>
    <row r="348" spans="1:2">
      <c r="A348" s="151">
        <v>42716</v>
      </c>
      <c r="B348" s="150">
        <v>26331.85</v>
      </c>
    </row>
    <row r="349" spans="1:2">
      <c r="A349" s="151">
        <v>42717</v>
      </c>
      <c r="B349" s="150">
        <v>26332.7</v>
      </c>
    </row>
    <row r="350" spans="1:2">
      <c r="A350" s="151">
        <v>42718</v>
      </c>
      <c r="B350" s="150">
        <v>26333.54</v>
      </c>
    </row>
    <row r="351" spans="1:2">
      <c r="A351" s="151">
        <v>42719</v>
      </c>
      <c r="B351" s="150">
        <v>26334.39</v>
      </c>
    </row>
    <row r="352" spans="1:2">
      <c r="A352" s="151">
        <v>42720</v>
      </c>
      <c r="B352" s="150">
        <v>26335.24</v>
      </c>
    </row>
    <row r="353" spans="1:2">
      <c r="A353" s="151">
        <v>42721</v>
      </c>
      <c r="B353" s="150">
        <v>26336.09</v>
      </c>
    </row>
    <row r="354" spans="1:2">
      <c r="A354" s="151">
        <v>42722</v>
      </c>
      <c r="B354" s="150">
        <v>26336.94</v>
      </c>
    </row>
    <row r="355" spans="1:2">
      <c r="A355" s="151">
        <v>42723</v>
      </c>
      <c r="B355" s="150">
        <v>26337.79</v>
      </c>
    </row>
    <row r="356" spans="1:2">
      <c r="A356" s="151">
        <v>42724</v>
      </c>
      <c r="B356" s="150">
        <v>26338.639999999999</v>
      </c>
    </row>
    <row r="357" spans="1:2">
      <c r="A357" s="151">
        <v>42725</v>
      </c>
      <c r="B357" s="150">
        <v>26339.49</v>
      </c>
    </row>
    <row r="358" spans="1:2">
      <c r="A358" s="151">
        <v>42726</v>
      </c>
      <c r="B358" s="150">
        <v>26340.34</v>
      </c>
    </row>
    <row r="359" spans="1:2">
      <c r="A359" s="151">
        <v>42727</v>
      </c>
      <c r="B359" s="150">
        <v>26341.19</v>
      </c>
    </row>
    <row r="360" spans="1:2">
      <c r="A360" s="151">
        <v>42728</v>
      </c>
      <c r="B360" s="150">
        <v>26342.04</v>
      </c>
    </row>
    <row r="361" spans="1:2">
      <c r="A361" s="151">
        <v>42729</v>
      </c>
      <c r="B361" s="150">
        <v>26342.89</v>
      </c>
    </row>
    <row r="362" spans="1:2">
      <c r="A362" s="151">
        <v>42730</v>
      </c>
      <c r="B362" s="150">
        <v>26343.74</v>
      </c>
    </row>
    <row r="363" spans="1:2">
      <c r="A363" s="151">
        <v>42731</v>
      </c>
      <c r="B363" s="150">
        <v>26344.58</v>
      </c>
    </row>
    <row r="364" spans="1:2">
      <c r="A364" s="151">
        <v>42732</v>
      </c>
      <c r="B364" s="150">
        <v>26345.43</v>
      </c>
    </row>
    <row r="365" spans="1:2">
      <c r="A365" s="151">
        <v>42733</v>
      </c>
      <c r="B365" s="150">
        <v>26346.28</v>
      </c>
    </row>
    <row r="366" spans="1:2">
      <c r="A366" s="151">
        <v>42734</v>
      </c>
      <c r="B366" s="150">
        <v>26347.13</v>
      </c>
    </row>
    <row r="367" spans="1:2">
      <c r="A367" s="151">
        <v>42735</v>
      </c>
      <c r="B367" s="150">
        <v>26347.98</v>
      </c>
    </row>
    <row r="368" spans="1:2">
      <c r="A368" s="151">
        <v>42736</v>
      </c>
      <c r="B368" s="150">
        <v>26348.83</v>
      </c>
    </row>
    <row r="369" spans="1:2">
      <c r="A369" s="151">
        <v>42737</v>
      </c>
      <c r="B369" s="150">
        <v>26349.68</v>
      </c>
    </row>
    <row r="370" spans="1:2">
      <c r="A370" s="151">
        <v>42738</v>
      </c>
      <c r="B370" s="150">
        <v>26350.53</v>
      </c>
    </row>
    <row r="371" spans="1:2">
      <c r="A371" s="151">
        <v>42739</v>
      </c>
      <c r="B371" s="150">
        <v>26351.38</v>
      </c>
    </row>
    <row r="372" spans="1:2">
      <c r="A372" s="151">
        <v>42740</v>
      </c>
      <c r="B372" s="150">
        <v>26352.23</v>
      </c>
    </row>
    <row r="373" spans="1:2">
      <c r="A373" s="151">
        <v>42741</v>
      </c>
      <c r="B373" s="150">
        <v>26353.08</v>
      </c>
    </row>
    <row r="374" spans="1:2">
      <c r="A374" s="151">
        <v>42742</v>
      </c>
      <c r="B374" s="150">
        <v>26353.93</v>
      </c>
    </row>
    <row r="375" spans="1:2">
      <c r="A375" s="151">
        <v>42743</v>
      </c>
      <c r="B375" s="150">
        <v>26354.78</v>
      </c>
    </row>
    <row r="376" spans="1:2">
      <c r="A376" s="151">
        <v>42744</v>
      </c>
      <c r="B376" s="150">
        <v>26355.63</v>
      </c>
    </row>
    <row r="377" spans="1:2">
      <c r="A377" s="176">
        <v>42745</v>
      </c>
      <c r="B377" s="175">
        <v>26353.93</v>
      </c>
    </row>
    <row r="378" spans="1:2">
      <c r="A378" s="176">
        <v>42746</v>
      </c>
      <c r="B378" s="175">
        <v>26352.23</v>
      </c>
    </row>
    <row r="379" spans="1:2">
      <c r="A379" s="176">
        <v>42747</v>
      </c>
      <c r="B379" s="175">
        <v>26350.52</v>
      </c>
    </row>
    <row r="380" spans="1:2">
      <c r="A380" s="176">
        <v>42748</v>
      </c>
      <c r="B380" s="175">
        <v>26348.82</v>
      </c>
    </row>
    <row r="381" spans="1:2">
      <c r="A381" s="176">
        <v>42749</v>
      </c>
      <c r="B381" s="175">
        <v>26347.119999999999</v>
      </c>
    </row>
    <row r="382" spans="1:2">
      <c r="A382" s="176">
        <v>42750</v>
      </c>
      <c r="B382" s="175">
        <v>26345.42</v>
      </c>
    </row>
    <row r="383" spans="1:2">
      <c r="A383" s="176">
        <v>42751</v>
      </c>
      <c r="B383" s="175">
        <v>26343.72</v>
      </c>
    </row>
    <row r="384" spans="1:2">
      <c r="A384" s="176">
        <v>42752</v>
      </c>
      <c r="B384" s="175">
        <v>26342.02</v>
      </c>
    </row>
    <row r="385" spans="1:2">
      <c r="A385" s="176">
        <v>42753</v>
      </c>
      <c r="B385" s="175">
        <v>26340.32</v>
      </c>
    </row>
    <row r="386" spans="1:2">
      <c r="A386" s="176">
        <v>42754</v>
      </c>
      <c r="B386" s="175">
        <v>26338.61</v>
      </c>
    </row>
    <row r="387" spans="1:2">
      <c r="A387" s="176">
        <v>42755</v>
      </c>
      <c r="B387" s="175">
        <v>26336.91</v>
      </c>
    </row>
    <row r="388" spans="1:2">
      <c r="A388" s="176">
        <v>42756</v>
      </c>
      <c r="B388" s="175">
        <v>26335.21</v>
      </c>
    </row>
    <row r="389" spans="1:2">
      <c r="A389" s="176">
        <v>42757</v>
      </c>
      <c r="B389" s="175">
        <v>26333.51</v>
      </c>
    </row>
    <row r="390" spans="1:2">
      <c r="A390" s="176">
        <v>42758</v>
      </c>
      <c r="B390" s="175">
        <v>26331.81</v>
      </c>
    </row>
    <row r="391" spans="1:2">
      <c r="A391" s="176">
        <v>42759</v>
      </c>
      <c r="B391" s="175">
        <v>26330.11</v>
      </c>
    </row>
    <row r="392" spans="1:2">
      <c r="A392" s="176">
        <v>42760</v>
      </c>
      <c r="B392" s="175">
        <v>26328.41</v>
      </c>
    </row>
    <row r="393" spans="1:2">
      <c r="A393" s="176">
        <v>42761</v>
      </c>
      <c r="B393" s="175">
        <v>26326.71</v>
      </c>
    </row>
    <row r="394" spans="1:2">
      <c r="A394" s="176">
        <v>42762</v>
      </c>
      <c r="B394" s="175">
        <v>26325.01</v>
      </c>
    </row>
    <row r="395" spans="1:2">
      <c r="A395" s="176">
        <v>42763</v>
      </c>
      <c r="B395" s="175">
        <v>26323.31</v>
      </c>
    </row>
    <row r="396" spans="1:2">
      <c r="A396" s="176">
        <v>42764</v>
      </c>
      <c r="B396" s="175">
        <v>26321.61</v>
      </c>
    </row>
    <row r="397" spans="1:2">
      <c r="A397" s="176">
        <v>42765</v>
      </c>
      <c r="B397" s="175">
        <v>26319.91</v>
      </c>
    </row>
    <row r="398" spans="1:2">
      <c r="A398" s="176">
        <v>42766</v>
      </c>
      <c r="B398" s="175">
        <v>26318.21</v>
      </c>
    </row>
    <row r="399" spans="1:2">
      <c r="A399" s="176">
        <v>42767</v>
      </c>
      <c r="B399" s="175">
        <v>26316.51</v>
      </c>
    </row>
    <row r="400" spans="1:2">
      <c r="A400" s="176">
        <v>42768</v>
      </c>
      <c r="B400" s="175">
        <v>26314.81</v>
      </c>
    </row>
    <row r="401" spans="1:2">
      <c r="A401" s="176">
        <v>42769</v>
      </c>
      <c r="B401" s="175">
        <v>26313.11</v>
      </c>
    </row>
    <row r="402" spans="1:2">
      <c r="A402" s="176">
        <v>42770</v>
      </c>
      <c r="B402" s="175">
        <v>26311.41</v>
      </c>
    </row>
    <row r="403" spans="1:2">
      <c r="A403" s="176">
        <v>42771</v>
      </c>
      <c r="B403" s="175">
        <v>26309.71</v>
      </c>
    </row>
    <row r="404" spans="1:2">
      <c r="A404" s="176">
        <v>42772</v>
      </c>
      <c r="B404" s="175">
        <v>26308.02</v>
      </c>
    </row>
    <row r="405" spans="1:2">
      <c r="A405" s="176">
        <v>42773</v>
      </c>
      <c r="B405" s="175">
        <v>26306.32</v>
      </c>
    </row>
    <row r="406" spans="1:2">
      <c r="A406" s="176">
        <v>42774</v>
      </c>
      <c r="B406" s="175">
        <v>26304.62</v>
      </c>
    </row>
    <row r="407" spans="1:2">
      <c r="A407" s="176">
        <v>42775</v>
      </c>
      <c r="B407" s="175">
        <v>26302.92</v>
      </c>
    </row>
    <row r="408" spans="1:2">
      <c r="A408" s="220">
        <v>42776</v>
      </c>
      <c r="B408" s="219">
        <v>26307.61</v>
      </c>
    </row>
    <row r="409" spans="1:2">
      <c r="A409" s="220">
        <v>42777</v>
      </c>
      <c r="B409" s="219">
        <v>26312.29</v>
      </c>
    </row>
    <row r="410" spans="1:2">
      <c r="A410" s="220">
        <v>42778</v>
      </c>
      <c r="B410" s="219">
        <v>26316.98</v>
      </c>
    </row>
    <row r="411" spans="1:2">
      <c r="A411" s="220">
        <v>42779</v>
      </c>
      <c r="B411" s="219">
        <v>26321.67</v>
      </c>
    </row>
    <row r="412" spans="1:2">
      <c r="A412" s="220">
        <v>42780</v>
      </c>
      <c r="B412" s="219">
        <v>26326.36</v>
      </c>
    </row>
    <row r="413" spans="1:2">
      <c r="A413" s="220">
        <v>42781</v>
      </c>
      <c r="B413" s="219">
        <v>26331.05</v>
      </c>
    </row>
    <row r="414" spans="1:2">
      <c r="A414" s="220">
        <v>42782</v>
      </c>
      <c r="B414" s="219">
        <v>26335.74</v>
      </c>
    </row>
    <row r="415" spans="1:2">
      <c r="A415" s="220">
        <v>42783</v>
      </c>
      <c r="B415" s="219">
        <v>26340.43</v>
      </c>
    </row>
    <row r="416" spans="1:2">
      <c r="A416" s="220">
        <v>42784</v>
      </c>
      <c r="B416" s="219">
        <v>26345.119999999999</v>
      </c>
    </row>
    <row r="417" spans="1:2">
      <c r="A417" s="220">
        <v>42785</v>
      </c>
      <c r="B417" s="219">
        <v>26349.81</v>
      </c>
    </row>
    <row r="418" spans="1:2">
      <c r="A418" s="220">
        <v>42786</v>
      </c>
      <c r="B418" s="219">
        <v>26354.51</v>
      </c>
    </row>
    <row r="419" spans="1:2">
      <c r="A419" s="220">
        <v>42787</v>
      </c>
      <c r="B419" s="219">
        <v>26359.200000000001</v>
      </c>
    </row>
    <row r="420" spans="1:2">
      <c r="A420" s="220">
        <v>42788</v>
      </c>
      <c r="B420" s="219">
        <v>26363.9</v>
      </c>
    </row>
    <row r="421" spans="1:2">
      <c r="A421" s="220">
        <v>42789</v>
      </c>
      <c r="B421" s="219">
        <v>26368.6</v>
      </c>
    </row>
    <row r="422" spans="1:2">
      <c r="A422" s="220">
        <v>42790</v>
      </c>
      <c r="B422" s="219">
        <v>26373.29</v>
      </c>
    </row>
    <row r="423" spans="1:2">
      <c r="A423" s="220">
        <v>42791</v>
      </c>
      <c r="B423" s="219">
        <v>26377.99</v>
      </c>
    </row>
    <row r="424" spans="1:2">
      <c r="A424" s="220">
        <v>42792</v>
      </c>
      <c r="B424" s="219">
        <v>26382.69</v>
      </c>
    </row>
    <row r="425" spans="1:2">
      <c r="A425" s="220">
        <v>42793</v>
      </c>
      <c r="B425" s="219">
        <v>26387.39</v>
      </c>
    </row>
    <row r="426" spans="1:2">
      <c r="A426" s="220">
        <v>42794</v>
      </c>
      <c r="B426" s="219">
        <v>26392.09</v>
      </c>
    </row>
    <row r="427" spans="1:2">
      <c r="A427" s="220">
        <v>42795</v>
      </c>
      <c r="B427" s="219">
        <v>26396.79</v>
      </c>
    </row>
    <row r="428" spans="1:2">
      <c r="A428" s="220">
        <v>42796</v>
      </c>
      <c r="B428" s="219">
        <v>26401.49</v>
      </c>
    </row>
    <row r="429" spans="1:2">
      <c r="A429" s="220">
        <v>42797</v>
      </c>
      <c r="B429" s="219">
        <v>26406.2</v>
      </c>
    </row>
    <row r="430" spans="1:2">
      <c r="A430" s="220">
        <v>42798</v>
      </c>
      <c r="B430" s="219">
        <v>26410.9</v>
      </c>
    </row>
    <row r="431" spans="1:2">
      <c r="A431" s="220">
        <v>42799</v>
      </c>
      <c r="B431" s="219">
        <v>26415.61</v>
      </c>
    </row>
    <row r="432" spans="1:2">
      <c r="A432" s="220">
        <v>42800</v>
      </c>
      <c r="B432" s="219">
        <v>26420.31</v>
      </c>
    </row>
    <row r="433" spans="1:2">
      <c r="A433" s="220">
        <v>42801</v>
      </c>
      <c r="B433" s="219">
        <v>26425.02</v>
      </c>
    </row>
    <row r="434" spans="1:2">
      <c r="A434" s="220">
        <v>42802</v>
      </c>
      <c r="B434" s="219">
        <v>26429.73</v>
      </c>
    </row>
    <row r="435" spans="1:2">
      <c r="A435" s="220">
        <v>42803</v>
      </c>
      <c r="B435" s="219">
        <v>26434.43</v>
      </c>
    </row>
    <row r="436" spans="1:2">
      <c r="A436" s="220">
        <v>42804</v>
      </c>
      <c r="B436" s="219">
        <v>26436.13</v>
      </c>
    </row>
    <row r="437" spans="1:2">
      <c r="A437" s="220">
        <v>42805</v>
      </c>
      <c r="B437" s="219">
        <v>26437.84</v>
      </c>
    </row>
    <row r="438" spans="1:2">
      <c r="A438" s="220">
        <v>42806</v>
      </c>
      <c r="B438" s="219">
        <v>26439.54</v>
      </c>
    </row>
    <row r="439" spans="1:2">
      <c r="A439" s="220">
        <v>42807</v>
      </c>
      <c r="B439" s="219">
        <v>26441.25</v>
      </c>
    </row>
    <row r="440" spans="1:2">
      <c r="A440" s="220">
        <v>42808</v>
      </c>
      <c r="B440" s="219">
        <v>26442.95</v>
      </c>
    </row>
    <row r="441" spans="1:2">
      <c r="A441" s="220">
        <v>42809</v>
      </c>
      <c r="B441" s="219">
        <v>26444.65</v>
      </c>
    </row>
    <row r="442" spans="1:2">
      <c r="A442" s="220">
        <v>42810</v>
      </c>
      <c r="B442" s="219">
        <v>26446.36</v>
      </c>
    </row>
    <row r="443" spans="1:2">
      <c r="A443" s="220">
        <v>42811</v>
      </c>
      <c r="B443" s="219">
        <v>26448.06</v>
      </c>
    </row>
    <row r="444" spans="1:2">
      <c r="A444" s="220">
        <v>42812</v>
      </c>
      <c r="B444" s="219">
        <v>26449.77</v>
      </c>
    </row>
    <row r="445" spans="1:2">
      <c r="A445" s="220">
        <v>42813</v>
      </c>
      <c r="B445" s="219">
        <v>26451.47</v>
      </c>
    </row>
    <row r="446" spans="1:2">
      <c r="A446" s="220">
        <v>42814</v>
      </c>
      <c r="B446" s="219">
        <v>26453.18</v>
      </c>
    </row>
    <row r="447" spans="1:2">
      <c r="A447" s="220">
        <v>42815</v>
      </c>
      <c r="B447" s="219">
        <v>26454.880000000001</v>
      </c>
    </row>
    <row r="448" spans="1:2">
      <c r="A448" s="220">
        <v>42816</v>
      </c>
      <c r="B448" s="219">
        <v>26456.59</v>
      </c>
    </row>
    <row r="449" spans="1:2">
      <c r="A449" s="220">
        <v>42817</v>
      </c>
      <c r="B449" s="219">
        <v>26458.29</v>
      </c>
    </row>
    <row r="450" spans="1:2">
      <c r="A450" s="220">
        <v>42818</v>
      </c>
      <c r="B450" s="219">
        <v>26460</v>
      </c>
    </row>
    <row r="451" spans="1:2">
      <c r="A451" s="220">
        <v>42819</v>
      </c>
      <c r="B451" s="219">
        <v>26461.7</v>
      </c>
    </row>
    <row r="452" spans="1:2">
      <c r="A452" s="220">
        <v>42820</v>
      </c>
      <c r="B452" s="219">
        <v>26463.41</v>
      </c>
    </row>
    <row r="453" spans="1:2">
      <c r="A453" s="220">
        <v>42821</v>
      </c>
      <c r="B453" s="219">
        <v>26465.119999999999</v>
      </c>
    </row>
    <row r="454" spans="1:2">
      <c r="A454" s="220">
        <v>42822</v>
      </c>
      <c r="B454" s="219">
        <v>26466.82</v>
      </c>
    </row>
    <row r="455" spans="1:2">
      <c r="A455" s="220">
        <v>42823</v>
      </c>
      <c r="B455" s="219">
        <v>26468.53</v>
      </c>
    </row>
    <row r="456" spans="1:2">
      <c r="A456" s="220">
        <v>42824</v>
      </c>
      <c r="B456" s="219">
        <v>26470.23</v>
      </c>
    </row>
    <row r="457" spans="1:2">
      <c r="A457" s="220">
        <v>42825</v>
      </c>
      <c r="B457" s="219">
        <v>26471.94</v>
      </c>
    </row>
    <row r="458" spans="1:2">
      <c r="A458" s="220">
        <v>42826</v>
      </c>
      <c r="B458" s="219">
        <v>26473.65</v>
      </c>
    </row>
    <row r="459" spans="1:2">
      <c r="A459" s="220">
        <v>42827</v>
      </c>
      <c r="B459" s="219">
        <v>26475.35</v>
      </c>
    </row>
    <row r="460" spans="1:2">
      <c r="A460" s="220">
        <v>42828</v>
      </c>
      <c r="B460" s="219">
        <v>26477.06</v>
      </c>
    </row>
    <row r="461" spans="1:2">
      <c r="A461" s="220">
        <v>42829</v>
      </c>
      <c r="B461" s="219">
        <v>26478.76</v>
      </c>
    </row>
    <row r="462" spans="1:2">
      <c r="A462" s="220">
        <v>42830</v>
      </c>
      <c r="B462" s="219">
        <v>26480.47</v>
      </c>
    </row>
    <row r="463" spans="1:2">
      <c r="A463" s="220">
        <v>42831</v>
      </c>
      <c r="B463" s="219">
        <v>26482.18</v>
      </c>
    </row>
    <row r="464" spans="1:2">
      <c r="A464" s="220">
        <v>42832</v>
      </c>
      <c r="B464" s="219">
        <v>26483.88</v>
      </c>
    </row>
    <row r="465" spans="1:2">
      <c r="A465" s="220">
        <v>42833</v>
      </c>
      <c r="B465" s="219">
        <v>26485.59</v>
      </c>
    </row>
    <row r="466" spans="1:2">
      <c r="A466" s="220">
        <v>42834</v>
      </c>
      <c r="B466" s="219">
        <v>26487.3</v>
      </c>
    </row>
    <row r="467" spans="1:2">
      <c r="A467" s="220">
        <v>42835</v>
      </c>
      <c r="B467" s="219">
        <v>26490.82</v>
      </c>
    </row>
    <row r="468" spans="1:2">
      <c r="A468" s="220">
        <v>42836</v>
      </c>
      <c r="B468" s="219">
        <v>26494.35</v>
      </c>
    </row>
    <row r="469" spans="1:2">
      <c r="A469" s="220">
        <v>42837</v>
      </c>
      <c r="B469" s="219">
        <v>26497.88</v>
      </c>
    </row>
    <row r="470" spans="1:2">
      <c r="A470" s="220">
        <v>42838</v>
      </c>
      <c r="B470" s="219">
        <v>26501.4</v>
      </c>
    </row>
    <row r="471" spans="1:2">
      <c r="A471" s="220">
        <v>42839</v>
      </c>
      <c r="B471" s="219">
        <v>26504.93</v>
      </c>
    </row>
    <row r="472" spans="1:2">
      <c r="A472" s="220">
        <v>42840</v>
      </c>
      <c r="B472" s="219">
        <v>26508.46</v>
      </c>
    </row>
    <row r="473" spans="1:2">
      <c r="A473" s="220">
        <v>42841</v>
      </c>
      <c r="B473" s="219">
        <v>26511.98</v>
      </c>
    </row>
    <row r="474" spans="1:2">
      <c r="A474" s="220">
        <v>42842</v>
      </c>
      <c r="B474" s="219">
        <v>26515.51</v>
      </c>
    </row>
    <row r="475" spans="1:2">
      <c r="A475" s="220">
        <v>42843</v>
      </c>
      <c r="B475" s="219">
        <v>26519.040000000001</v>
      </c>
    </row>
    <row r="476" spans="1:2">
      <c r="A476" s="220">
        <v>42844</v>
      </c>
      <c r="B476" s="219">
        <v>26522.57</v>
      </c>
    </row>
    <row r="477" spans="1:2">
      <c r="A477" s="220">
        <v>42845</v>
      </c>
      <c r="B477" s="219">
        <v>26526.1</v>
      </c>
    </row>
    <row r="478" spans="1:2">
      <c r="A478" s="220">
        <v>42846</v>
      </c>
      <c r="B478" s="219">
        <v>26529.63</v>
      </c>
    </row>
    <row r="479" spans="1:2">
      <c r="A479" s="220">
        <v>42847</v>
      </c>
      <c r="B479" s="219">
        <v>26533.16</v>
      </c>
    </row>
    <row r="480" spans="1:2">
      <c r="A480" s="220">
        <v>42848</v>
      </c>
      <c r="B480" s="219">
        <v>26536.69</v>
      </c>
    </row>
    <row r="481" spans="1:2">
      <c r="A481" s="220">
        <v>42849</v>
      </c>
      <c r="B481" s="219">
        <v>26540.22</v>
      </c>
    </row>
    <row r="482" spans="1:2">
      <c r="A482" s="220">
        <v>42850</v>
      </c>
      <c r="B482" s="219">
        <v>26543.75</v>
      </c>
    </row>
    <row r="483" spans="1:2">
      <c r="A483" s="220">
        <v>42851</v>
      </c>
      <c r="B483" s="219">
        <v>26547.29</v>
      </c>
    </row>
    <row r="484" spans="1:2">
      <c r="A484" s="220">
        <v>42852</v>
      </c>
      <c r="B484" s="219">
        <v>26550.82</v>
      </c>
    </row>
    <row r="485" spans="1:2">
      <c r="A485" s="220">
        <v>42853</v>
      </c>
      <c r="B485" s="219">
        <v>26554.35</v>
      </c>
    </row>
    <row r="486" spans="1:2">
      <c r="A486" s="220">
        <v>42854</v>
      </c>
      <c r="B486" s="219">
        <v>26557.89</v>
      </c>
    </row>
    <row r="487" spans="1:2">
      <c r="A487" s="220">
        <v>42855</v>
      </c>
      <c r="B487" s="219">
        <v>26561.42</v>
      </c>
    </row>
    <row r="488" spans="1:2">
      <c r="A488" s="220">
        <v>42856</v>
      </c>
      <c r="B488" s="219">
        <v>26564.95</v>
      </c>
    </row>
    <row r="489" spans="1:2">
      <c r="A489" s="220">
        <v>42857</v>
      </c>
      <c r="B489" s="219">
        <v>26568.49</v>
      </c>
    </row>
    <row r="490" spans="1:2">
      <c r="A490" s="220">
        <v>42858</v>
      </c>
      <c r="B490" s="219">
        <v>26572.03</v>
      </c>
    </row>
    <row r="491" spans="1:2">
      <c r="A491" s="220">
        <v>42859</v>
      </c>
      <c r="B491" s="219">
        <v>26575.56</v>
      </c>
    </row>
    <row r="492" spans="1:2">
      <c r="A492" s="220">
        <v>42860</v>
      </c>
      <c r="B492" s="219">
        <v>26579.1</v>
      </c>
    </row>
    <row r="493" spans="1:2">
      <c r="A493" s="220">
        <v>42861</v>
      </c>
      <c r="B493" s="219">
        <v>26582.639999999999</v>
      </c>
    </row>
    <row r="494" spans="1:2">
      <c r="A494" s="220">
        <v>42862</v>
      </c>
      <c r="B494" s="219">
        <v>26586.17</v>
      </c>
    </row>
    <row r="495" spans="1:2">
      <c r="A495" s="220">
        <v>42863</v>
      </c>
      <c r="B495" s="219">
        <v>26589.71</v>
      </c>
    </row>
    <row r="496" spans="1:2">
      <c r="A496" s="220">
        <v>42864</v>
      </c>
      <c r="B496" s="281">
        <v>26593.25</v>
      </c>
    </row>
    <row r="497" spans="1:2">
      <c r="A497" s="280">
        <v>42865</v>
      </c>
      <c r="B497" s="96">
        <v>26594.959999999999</v>
      </c>
    </row>
    <row r="498" spans="1:2">
      <c r="A498" s="280">
        <v>42866</v>
      </c>
      <c r="B498" s="96">
        <v>26596.68</v>
      </c>
    </row>
    <row r="499" spans="1:2">
      <c r="A499" s="280">
        <v>42867</v>
      </c>
      <c r="B499" s="96">
        <v>26598.39</v>
      </c>
    </row>
    <row r="500" spans="1:2">
      <c r="A500" s="280">
        <v>42868</v>
      </c>
      <c r="B500" s="96">
        <v>26600.11</v>
      </c>
    </row>
    <row r="501" spans="1:2">
      <c r="A501" s="280">
        <v>42869</v>
      </c>
      <c r="B501" s="96">
        <v>26601.82</v>
      </c>
    </row>
    <row r="502" spans="1:2">
      <c r="A502" s="280">
        <v>42870</v>
      </c>
      <c r="B502" s="96">
        <v>26603.54</v>
      </c>
    </row>
    <row r="503" spans="1:2">
      <c r="A503" s="280">
        <v>42871</v>
      </c>
      <c r="B503" s="96">
        <v>26605.25</v>
      </c>
    </row>
    <row r="504" spans="1:2">
      <c r="A504" s="280">
        <v>42872</v>
      </c>
      <c r="B504" s="96">
        <v>26606.97</v>
      </c>
    </row>
    <row r="505" spans="1:2">
      <c r="A505" s="280">
        <v>42873</v>
      </c>
      <c r="B505" s="96">
        <v>26608.68</v>
      </c>
    </row>
    <row r="506" spans="1:2">
      <c r="A506" s="280">
        <v>42874</v>
      </c>
      <c r="B506" s="96">
        <v>26610.400000000001</v>
      </c>
    </row>
    <row r="507" spans="1:2">
      <c r="A507" s="280">
        <v>42875</v>
      </c>
      <c r="B507" s="96">
        <v>26612.11</v>
      </c>
    </row>
    <row r="508" spans="1:2">
      <c r="A508" s="280">
        <v>42876</v>
      </c>
      <c r="B508" s="96">
        <v>26613.83</v>
      </c>
    </row>
    <row r="509" spans="1:2">
      <c r="A509" s="280">
        <v>42877</v>
      </c>
      <c r="B509" s="96">
        <v>26615.54</v>
      </c>
    </row>
    <row r="510" spans="1:2">
      <c r="A510" s="280">
        <v>42878</v>
      </c>
      <c r="B510" s="96">
        <v>26617.26</v>
      </c>
    </row>
    <row r="511" spans="1:2">
      <c r="A511" s="280">
        <v>42879</v>
      </c>
      <c r="B511" s="96">
        <v>26618.97</v>
      </c>
    </row>
    <row r="512" spans="1:2">
      <c r="A512" s="280">
        <v>42880</v>
      </c>
      <c r="B512" s="96">
        <v>26620.69</v>
      </c>
    </row>
    <row r="513" spans="1:2">
      <c r="A513" s="280">
        <v>42881</v>
      </c>
      <c r="B513" s="96">
        <v>26622.400000000001</v>
      </c>
    </row>
    <row r="514" spans="1:2">
      <c r="A514" s="280">
        <v>42882</v>
      </c>
      <c r="B514" s="96">
        <v>26624.12</v>
      </c>
    </row>
    <row r="515" spans="1:2">
      <c r="A515" s="280">
        <v>42883</v>
      </c>
      <c r="B515" s="96">
        <v>26625.84</v>
      </c>
    </row>
    <row r="516" spans="1:2">
      <c r="A516" s="280">
        <v>42884</v>
      </c>
      <c r="B516" s="96">
        <v>26627.55</v>
      </c>
    </row>
    <row r="517" spans="1:2">
      <c r="A517" s="280">
        <v>42885</v>
      </c>
      <c r="B517" s="96">
        <v>26629.27</v>
      </c>
    </row>
    <row r="518" spans="1:2">
      <c r="A518" s="280">
        <v>42886</v>
      </c>
      <c r="B518" s="96">
        <v>26630.98</v>
      </c>
    </row>
    <row r="519" spans="1:2">
      <c r="A519" s="280">
        <v>42887</v>
      </c>
      <c r="B519" s="96">
        <v>26632.7</v>
      </c>
    </row>
    <row r="520" spans="1:2">
      <c r="A520" s="280">
        <v>42888</v>
      </c>
      <c r="B520" s="96">
        <v>26634.42</v>
      </c>
    </row>
    <row r="521" spans="1:2">
      <c r="A521" s="280">
        <v>42889</v>
      </c>
      <c r="B521" s="96">
        <v>26636.13</v>
      </c>
    </row>
    <row r="522" spans="1:2">
      <c r="A522" s="280">
        <v>42890</v>
      </c>
      <c r="B522" s="96">
        <v>26637.85</v>
      </c>
    </row>
    <row r="523" spans="1:2">
      <c r="A523" s="280">
        <v>42891</v>
      </c>
      <c r="B523" s="96">
        <v>26639.57</v>
      </c>
    </row>
    <row r="524" spans="1:2">
      <c r="A524" s="280">
        <v>42892</v>
      </c>
      <c r="B524" s="96">
        <v>26641.279999999999</v>
      </c>
    </row>
    <row r="525" spans="1:2">
      <c r="A525" s="280">
        <v>42893</v>
      </c>
      <c r="B525" s="96">
        <v>26643</v>
      </c>
    </row>
    <row r="526" spans="1:2">
      <c r="A526" s="280">
        <v>42894</v>
      </c>
      <c r="B526" s="96">
        <v>26644.720000000001</v>
      </c>
    </row>
    <row r="527" spans="1:2">
      <c r="A527" s="280">
        <v>42895</v>
      </c>
      <c r="B527" s="96">
        <v>26646.44</v>
      </c>
    </row>
    <row r="528" spans="1:2">
      <c r="A528" s="220">
        <v>42896</v>
      </c>
      <c r="B528" s="219">
        <v>26647.33</v>
      </c>
    </row>
    <row r="529" spans="1:2">
      <c r="A529" s="220">
        <v>42897</v>
      </c>
      <c r="B529" s="219">
        <v>26648.22</v>
      </c>
    </row>
    <row r="530" spans="1:2">
      <c r="A530" s="220">
        <v>42898</v>
      </c>
      <c r="B530" s="219">
        <v>26649.1</v>
      </c>
    </row>
    <row r="531" spans="1:2">
      <c r="A531" s="220">
        <v>42899</v>
      </c>
      <c r="B531" s="219">
        <v>26649.99</v>
      </c>
    </row>
    <row r="532" spans="1:2">
      <c r="A532" s="220">
        <v>42900</v>
      </c>
      <c r="B532" s="219">
        <v>26650.880000000001</v>
      </c>
    </row>
    <row r="533" spans="1:2">
      <c r="A533" s="220">
        <v>42901</v>
      </c>
      <c r="B533" s="219">
        <v>26651.77</v>
      </c>
    </row>
    <row r="534" spans="1:2">
      <c r="A534" s="220">
        <v>42902</v>
      </c>
      <c r="B534" s="219">
        <v>26652.66</v>
      </c>
    </row>
    <row r="535" spans="1:2">
      <c r="A535" s="220">
        <v>42903</v>
      </c>
      <c r="B535" s="219">
        <v>26653.54</v>
      </c>
    </row>
    <row r="536" spans="1:2">
      <c r="A536" s="220">
        <v>42904</v>
      </c>
      <c r="B536" s="219">
        <v>26654.43</v>
      </c>
    </row>
    <row r="537" spans="1:2">
      <c r="A537" s="220">
        <v>42905</v>
      </c>
      <c r="B537" s="219">
        <v>26655.32</v>
      </c>
    </row>
    <row r="538" spans="1:2">
      <c r="A538" s="220">
        <v>42906</v>
      </c>
      <c r="B538" s="219">
        <v>26656.21</v>
      </c>
    </row>
    <row r="539" spans="1:2">
      <c r="A539" s="220">
        <v>42907</v>
      </c>
      <c r="B539" s="219">
        <v>26657.1</v>
      </c>
    </row>
    <row r="540" spans="1:2">
      <c r="A540" s="220">
        <v>42908</v>
      </c>
      <c r="B540" s="219">
        <v>26657.98</v>
      </c>
    </row>
    <row r="541" spans="1:2">
      <c r="A541" s="220">
        <v>42909</v>
      </c>
      <c r="B541" s="219">
        <v>26658.87</v>
      </c>
    </row>
    <row r="542" spans="1:2">
      <c r="A542" s="220">
        <v>42910</v>
      </c>
      <c r="B542" s="219">
        <v>26659.759999999998</v>
      </c>
    </row>
    <row r="543" spans="1:2">
      <c r="A543" s="220">
        <v>42911</v>
      </c>
      <c r="B543" s="219">
        <v>26660.65</v>
      </c>
    </row>
    <row r="544" spans="1:2">
      <c r="A544" s="220">
        <v>42912</v>
      </c>
      <c r="B544" s="219">
        <v>26661.54</v>
      </c>
    </row>
    <row r="545" spans="1:2">
      <c r="A545" s="220">
        <v>42913</v>
      </c>
      <c r="B545" s="219">
        <v>26662.42</v>
      </c>
    </row>
    <row r="546" spans="1:2">
      <c r="A546" s="220">
        <v>42914</v>
      </c>
      <c r="B546" s="219">
        <v>26663.31</v>
      </c>
    </row>
    <row r="547" spans="1:2">
      <c r="A547" s="220">
        <v>42915</v>
      </c>
      <c r="B547" s="219">
        <v>26664.2</v>
      </c>
    </row>
    <row r="548" spans="1:2">
      <c r="A548" s="220">
        <v>42916</v>
      </c>
      <c r="B548" s="219">
        <v>26665.09</v>
      </c>
    </row>
    <row r="549" spans="1:2">
      <c r="A549" s="220">
        <v>42917</v>
      </c>
      <c r="B549" s="219">
        <v>26665.98</v>
      </c>
    </row>
    <row r="550" spans="1:2">
      <c r="A550" s="220">
        <v>42918</v>
      </c>
      <c r="B550" s="219">
        <v>26666.87</v>
      </c>
    </row>
    <row r="551" spans="1:2">
      <c r="A551" s="220">
        <v>42919</v>
      </c>
      <c r="B551" s="219">
        <v>26667.759999999998</v>
      </c>
    </row>
    <row r="552" spans="1:2">
      <c r="A552" s="220">
        <v>42920</v>
      </c>
      <c r="B552" s="219">
        <v>26668.639999999999</v>
      </c>
    </row>
    <row r="553" spans="1:2">
      <c r="A553" s="220">
        <v>42921</v>
      </c>
      <c r="B553" s="281">
        <v>26669.53</v>
      </c>
    </row>
    <row r="554" spans="1:2">
      <c r="A554" s="280">
        <v>42922</v>
      </c>
      <c r="B554" s="96">
        <v>26670.42</v>
      </c>
    </row>
    <row r="555" spans="1:2">
      <c r="A555" s="280">
        <v>42923</v>
      </c>
      <c r="B555" s="96">
        <v>26671.31</v>
      </c>
    </row>
    <row r="556" spans="1:2">
      <c r="A556" s="280">
        <v>42924</v>
      </c>
      <c r="B556" s="96">
        <v>26672.2</v>
      </c>
    </row>
    <row r="557" spans="1:2">
      <c r="A557" s="280">
        <v>42925</v>
      </c>
      <c r="B557" s="96">
        <v>26673.09</v>
      </c>
    </row>
    <row r="558" spans="1:2">
      <c r="A558" s="295">
        <v>42926</v>
      </c>
      <c r="B558" s="294">
        <v>26669.64</v>
      </c>
    </row>
    <row r="559" spans="1:2">
      <c r="A559" s="295">
        <v>42927</v>
      </c>
      <c r="B559" s="294">
        <v>26666.19</v>
      </c>
    </row>
    <row r="560" spans="1:2">
      <c r="A560" s="295">
        <v>42928</v>
      </c>
      <c r="B560" s="294">
        <v>26662.75</v>
      </c>
    </row>
    <row r="561" spans="1:2">
      <c r="A561" s="295">
        <v>42929</v>
      </c>
      <c r="B561" s="294">
        <v>26659.3</v>
      </c>
    </row>
    <row r="562" spans="1:2">
      <c r="A562" s="295">
        <v>42930</v>
      </c>
      <c r="B562" s="294">
        <v>26655.85</v>
      </c>
    </row>
    <row r="563" spans="1:2">
      <c r="A563" s="295">
        <v>42931</v>
      </c>
      <c r="B563" s="294">
        <v>26652.41</v>
      </c>
    </row>
    <row r="564" spans="1:2">
      <c r="A564" s="295">
        <v>42932</v>
      </c>
      <c r="B564" s="294">
        <v>26648.959999999999</v>
      </c>
    </row>
    <row r="565" spans="1:2">
      <c r="A565" s="295">
        <v>42933</v>
      </c>
      <c r="B565" s="294">
        <v>26645.52</v>
      </c>
    </row>
    <row r="566" spans="1:2">
      <c r="A566" s="295">
        <v>42934</v>
      </c>
      <c r="B566" s="294">
        <v>26642.07</v>
      </c>
    </row>
    <row r="567" spans="1:2">
      <c r="A567" s="295">
        <v>42935</v>
      </c>
      <c r="B567" s="294">
        <v>26638.63</v>
      </c>
    </row>
    <row r="568" spans="1:2">
      <c r="A568" s="295">
        <v>42936</v>
      </c>
      <c r="B568" s="294">
        <v>26635.18</v>
      </c>
    </row>
    <row r="569" spans="1:2">
      <c r="A569" s="295">
        <v>42937</v>
      </c>
      <c r="B569" s="294">
        <v>26631.74</v>
      </c>
    </row>
    <row r="570" spans="1:2">
      <c r="A570" s="295">
        <v>42938</v>
      </c>
      <c r="B570" s="294">
        <v>26628.3</v>
      </c>
    </row>
    <row r="571" spans="1:2">
      <c r="A571" s="295">
        <v>42939</v>
      </c>
      <c r="B571" s="294">
        <v>26624.85</v>
      </c>
    </row>
    <row r="572" spans="1:2">
      <c r="A572" s="295">
        <v>42940</v>
      </c>
      <c r="B572" s="294">
        <v>26621.41</v>
      </c>
    </row>
    <row r="573" spans="1:2">
      <c r="A573" s="295">
        <v>42941</v>
      </c>
      <c r="B573" s="294">
        <v>26617.97</v>
      </c>
    </row>
    <row r="574" spans="1:2">
      <c r="A574" s="295">
        <v>42942</v>
      </c>
      <c r="B574" s="294">
        <v>26614.53</v>
      </c>
    </row>
    <row r="575" spans="1:2">
      <c r="A575" s="295">
        <v>42943</v>
      </c>
      <c r="B575" s="294">
        <v>26611.09</v>
      </c>
    </row>
    <row r="576" spans="1:2">
      <c r="A576" s="295">
        <v>42944</v>
      </c>
      <c r="B576" s="294">
        <v>26607.65</v>
      </c>
    </row>
    <row r="577" spans="1:2">
      <c r="A577" s="295">
        <v>42945</v>
      </c>
      <c r="B577" s="294">
        <v>26604.21</v>
      </c>
    </row>
    <row r="578" spans="1:2">
      <c r="A578" s="295">
        <v>42946</v>
      </c>
      <c r="B578" s="294">
        <v>26600.77</v>
      </c>
    </row>
    <row r="579" spans="1:2">
      <c r="A579" s="295">
        <v>42947</v>
      </c>
      <c r="B579" s="294">
        <v>26597.33</v>
      </c>
    </row>
    <row r="580" spans="1:2">
      <c r="A580" s="295">
        <v>42948</v>
      </c>
      <c r="B580" s="294">
        <v>26593.89</v>
      </c>
    </row>
    <row r="581" spans="1:2">
      <c r="A581" s="295">
        <v>42949</v>
      </c>
      <c r="B581" s="294">
        <v>26590.45</v>
      </c>
    </row>
    <row r="582" spans="1:2">
      <c r="A582" s="295">
        <v>42950</v>
      </c>
      <c r="B582" s="294">
        <v>26587.01</v>
      </c>
    </row>
    <row r="583" spans="1:2">
      <c r="A583" s="295">
        <v>42951</v>
      </c>
      <c r="B583" s="294">
        <v>26583.58</v>
      </c>
    </row>
    <row r="584" spans="1:2">
      <c r="A584" s="295">
        <v>42952</v>
      </c>
      <c r="B584" s="294">
        <v>26580.14</v>
      </c>
    </row>
    <row r="585" spans="1:2">
      <c r="A585" s="295">
        <v>42953</v>
      </c>
      <c r="B585" s="294">
        <v>26576.7</v>
      </c>
    </row>
    <row r="586" spans="1:2">
      <c r="A586" s="295">
        <v>42954</v>
      </c>
      <c r="B586" s="294">
        <v>26573.27</v>
      </c>
    </row>
    <row r="587" spans="1:2">
      <c r="A587" s="295">
        <v>42955</v>
      </c>
      <c r="B587" s="294">
        <v>26569.83</v>
      </c>
    </row>
    <row r="588" spans="1:2">
      <c r="A588" s="295">
        <v>42956</v>
      </c>
      <c r="B588" s="294">
        <v>26566.400000000001</v>
      </c>
    </row>
    <row r="589" spans="1:2">
      <c r="A589" s="295">
        <v>42957</v>
      </c>
      <c r="B589" s="294">
        <v>26568.11</v>
      </c>
    </row>
    <row r="590" spans="1:2">
      <c r="A590" s="295">
        <v>42958</v>
      </c>
      <c r="B590" s="294">
        <v>26569.82</v>
      </c>
    </row>
    <row r="591" spans="1:2">
      <c r="A591" s="295">
        <v>42959</v>
      </c>
      <c r="B591" s="294">
        <v>26571.54</v>
      </c>
    </row>
    <row r="592" spans="1:2">
      <c r="A592" s="295">
        <v>42960</v>
      </c>
      <c r="B592" s="294">
        <v>26573.25</v>
      </c>
    </row>
    <row r="593" spans="1:2">
      <c r="A593" s="295">
        <v>42961</v>
      </c>
      <c r="B593" s="294">
        <v>26574.959999999999</v>
      </c>
    </row>
    <row r="594" spans="1:2">
      <c r="A594" s="295">
        <v>42962</v>
      </c>
      <c r="B594" s="294">
        <v>26576.68</v>
      </c>
    </row>
    <row r="595" spans="1:2">
      <c r="A595" s="295">
        <v>42963</v>
      </c>
      <c r="B595" s="294">
        <v>26578.39</v>
      </c>
    </row>
    <row r="596" spans="1:2">
      <c r="A596" s="295">
        <v>42964</v>
      </c>
      <c r="B596" s="294">
        <v>26580.1</v>
      </c>
    </row>
    <row r="597" spans="1:2">
      <c r="A597" s="295">
        <v>42965</v>
      </c>
      <c r="B597" s="294">
        <v>26581.81</v>
      </c>
    </row>
    <row r="598" spans="1:2">
      <c r="A598" s="295">
        <v>42966</v>
      </c>
      <c r="B598" s="294">
        <v>26583.53</v>
      </c>
    </row>
    <row r="599" spans="1:2">
      <c r="A599" s="295">
        <v>42967</v>
      </c>
      <c r="B599" s="294">
        <v>26585.24</v>
      </c>
    </row>
    <row r="600" spans="1:2">
      <c r="A600" s="295">
        <v>42968</v>
      </c>
      <c r="B600" s="294">
        <v>26586.95</v>
      </c>
    </row>
    <row r="601" spans="1:2">
      <c r="A601" s="295">
        <v>42969</v>
      </c>
      <c r="B601" s="294">
        <v>26588.67</v>
      </c>
    </row>
    <row r="602" spans="1:2">
      <c r="A602" s="295">
        <v>42970</v>
      </c>
      <c r="B602" s="294">
        <v>26590.38</v>
      </c>
    </row>
    <row r="603" spans="1:2">
      <c r="A603" s="295">
        <v>42971</v>
      </c>
      <c r="B603" s="294">
        <v>26592.1</v>
      </c>
    </row>
    <row r="604" spans="1:2">
      <c r="A604" s="295">
        <v>42972</v>
      </c>
      <c r="B604" s="294">
        <v>26593.81</v>
      </c>
    </row>
    <row r="605" spans="1:2">
      <c r="A605" s="295">
        <v>42973</v>
      </c>
      <c r="B605" s="294">
        <v>26595.52</v>
      </c>
    </row>
    <row r="606" spans="1:2">
      <c r="A606" s="295">
        <v>42974</v>
      </c>
      <c r="B606" s="294">
        <v>26597.24</v>
      </c>
    </row>
    <row r="607" spans="1:2">
      <c r="A607" s="295">
        <v>42975</v>
      </c>
      <c r="B607" s="294">
        <v>26598.95</v>
      </c>
    </row>
    <row r="608" spans="1:2">
      <c r="A608" s="295">
        <v>42976</v>
      </c>
      <c r="B608" s="294">
        <v>26600.67</v>
      </c>
    </row>
    <row r="609" spans="1:2">
      <c r="A609" s="295">
        <v>42977</v>
      </c>
      <c r="B609" s="294">
        <v>26602.38</v>
      </c>
    </row>
    <row r="610" spans="1:2">
      <c r="A610" s="295">
        <v>42978</v>
      </c>
      <c r="B610" s="294">
        <v>26604.1</v>
      </c>
    </row>
    <row r="611" spans="1:2">
      <c r="A611" s="295">
        <v>42979</v>
      </c>
      <c r="B611" s="294">
        <v>26605.81</v>
      </c>
    </row>
    <row r="612" spans="1:2">
      <c r="A612" s="295">
        <v>42980</v>
      </c>
      <c r="B612" s="294">
        <v>26607.53</v>
      </c>
    </row>
    <row r="613" spans="1:2">
      <c r="A613" s="295">
        <v>42981</v>
      </c>
      <c r="B613" s="294">
        <v>26609.24</v>
      </c>
    </row>
    <row r="614" spans="1:2">
      <c r="A614" s="295">
        <v>42982</v>
      </c>
      <c r="B614" s="294">
        <v>26610.959999999999</v>
      </c>
    </row>
    <row r="615" spans="1:2">
      <c r="A615" s="295">
        <v>42983</v>
      </c>
      <c r="B615" s="294">
        <v>26612.67</v>
      </c>
    </row>
    <row r="616" spans="1:2">
      <c r="A616" s="295">
        <v>42984</v>
      </c>
      <c r="B616" s="294">
        <v>26614.39</v>
      </c>
    </row>
    <row r="617" spans="1:2">
      <c r="A617" s="295">
        <v>42985</v>
      </c>
      <c r="B617" s="294">
        <v>26616.1</v>
      </c>
    </row>
    <row r="618" spans="1:2">
      <c r="A618" s="295">
        <v>42986</v>
      </c>
      <c r="B618" s="294">
        <v>26617.82</v>
      </c>
    </row>
    <row r="619" spans="1:2">
      <c r="A619" s="295">
        <v>42987</v>
      </c>
      <c r="B619" s="294">
        <v>26619.53</v>
      </c>
    </row>
    <row r="620" spans="1:2">
      <c r="A620" s="301">
        <v>42988</v>
      </c>
      <c r="B620" s="300">
        <v>26621.3</v>
      </c>
    </row>
    <row r="621" spans="1:2">
      <c r="A621" s="301">
        <v>42989</v>
      </c>
      <c r="B621" s="300">
        <v>26623.08</v>
      </c>
    </row>
    <row r="622" spans="1:2">
      <c r="A622" s="301">
        <v>42990</v>
      </c>
      <c r="B622" s="300">
        <v>26624.85</v>
      </c>
    </row>
    <row r="623" spans="1:2">
      <c r="A623" s="301">
        <v>42991</v>
      </c>
      <c r="B623" s="300">
        <v>26626.62</v>
      </c>
    </row>
    <row r="624" spans="1:2">
      <c r="A624" s="301">
        <v>42992</v>
      </c>
      <c r="B624" s="300">
        <v>26628.400000000001</v>
      </c>
    </row>
    <row r="625" spans="1:2">
      <c r="A625" s="301">
        <v>42993</v>
      </c>
      <c r="B625" s="300">
        <v>26630.17</v>
      </c>
    </row>
    <row r="626" spans="1:2">
      <c r="A626" s="301">
        <v>42994</v>
      </c>
      <c r="B626" s="300">
        <v>26631.94</v>
      </c>
    </row>
    <row r="627" spans="1:2">
      <c r="A627" s="301">
        <v>42995</v>
      </c>
      <c r="B627" s="300">
        <v>26633.72</v>
      </c>
    </row>
    <row r="628" spans="1:2">
      <c r="A628" s="301">
        <v>42996</v>
      </c>
      <c r="B628" s="300">
        <v>26635.49</v>
      </c>
    </row>
    <row r="629" spans="1:2">
      <c r="A629" s="301">
        <v>42997</v>
      </c>
      <c r="B629" s="300">
        <v>26637.26</v>
      </c>
    </row>
    <row r="630" spans="1:2">
      <c r="A630" s="301">
        <v>42998</v>
      </c>
      <c r="B630" s="300">
        <v>26639.040000000001</v>
      </c>
    </row>
    <row r="631" spans="1:2">
      <c r="A631" s="301">
        <v>42999</v>
      </c>
      <c r="B631" s="300">
        <v>26640.81</v>
      </c>
    </row>
    <row r="632" spans="1:2">
      <c r="A632" s="301">
        <v>43000</v>
      </c>
      <c r="B632" s="300">
        <v>26642.59</v>
      </c>
    </row>
    <row r="633" spans="1:2">
      <c r="A633" s="301">
        <v>43001</v>
      </c>
      <c r="B633" s="300">
        <v>26644.36</v>
      </c>
    </row>
    <row r="634" spans="1:2">
      <c r="A634" s="301">
        <v>43002</v>
      </c>
      <c r="B634" s="300">
        <v>26646.14</v>
      </c>
    </row>
    <row r="635" spans="1:2">
      <c r="A635" s="301">
        <v>43003</v>
      </c>
      <c r="B635" s="300">
        <v>26647.91</v>
      </c>
    </row>
    <row r="636" spans="1:2">
      <c r="A636" s="301">
        <v>43004</v>
      </c>
      <c r="B636" s="300">
        <v>26649.69</v>
      </c>
    </row>
    <row r="637" spans="1:2">
      <c r="A637" s="301">
        <v>43005</v>
      </c>
      <c r="B637" s="300">
        <v>26651.46</v>
      </c>
    </row>
    <row r="638" spans="1:2">
      <c r="A638" s="301">
        <v>43006</v>
      </c>
      <c r="B638" s="300">
        <v>26653.24</v>
      </c>
    </row>
    <row r="639" spans="1:2">
      <c r="A639" s="301">
        <v>43007</v>
      </c>
      <c r="B639" s="300">
        <v>26655.01</v>
      </c>
    </row>
    <row r="640" spans="1:2">
      <c r="A640" s="301">
        <v>43008</v>
      </c>
      <c r="B640" s="300">
        <v>26656.79</v>
      </c>
    </row>
    <row r="641" spans="1:2">
      <c r="A641" s="301">
        <v>43009</v>
      </c>
      <c r="B641" s="300">
        <v>26658.560000000001</v>
      </c>
    </row>
    <row r="642" spans="1:2">
      <c r="A642" s="301">
        <v>43010</v>
      </c>
      <c r="B642" s="300">
        <v>26660.34</v>
      </c>
    </row>
    <row r="643" spans="1:2">
      <c r="A643" s="301">
        <v>43011</v>
      </c>
      <c r="B643" s="300">
        <v>26662.11</v>
      </c>
    </row>
    <row r="644" spans="1:2">
      <c r="A644" s="301">
        <v>43012</v>
      </c>
      <c r="B644" s="300">
        <v>26663.89</v>
      </c>
    </row>
    <row r="645" spans="1:2">
      <c r="A645" s="301">
        <v>43013</v>
      </c>
      <c r="B645" s="300">
        <v>26665.66</v>
      </c>
    </row>
    <row r="646" spans="1:2">
      <c r="A646" s="301">
        <v>43014</v>
      </c>
      <c r="B646" s="300">
        <v>26667.439999999999</v>
      </c>
    </row>
    <row r="647" spans="1:2">
      <c r="A647" s="301">
        <v>43015</v>
      </c>
      <c r="B647" s="300">
        <v>26669.22</v>
      </c>
    </row>
    <row r="648" spans="1:2">
      <c r="A648" s="301">
        <v>43016</v>
      </c>
      <c r="B648" s="300">
        <v>26670.99</v>
      </c>
    </row>
    <row r="649" spans="1:2">
      <c r="A649" s="301">
        <v>43017</v>
      </c>
      <c r="B649" s="300">
        <v>26672.77</v>
      </c>
    </row>
    <row r="650" spans="1:2">
      <c r="A650" s="301">
        <v>43018</v>
      </c>
      <c r="B650" s="300">
        <v>26671.05</v>
      </c>
    </row>
    <row r="651" spans="1:2">
      <c r="A651" s="301">
        <v>43019</v>
      </c>
      <c r="B651" s="372">
        <v>26669.33</v>
      </c>
    </row>
    <row r="652" spans="1:2">
      <c r="A652" s="301">
        <v>43020</v>
      </c>
      <c r="B652" s="372">
        <v>26667.599999999999</v>
      </c>
    </row>
    <row r="653" spans="1:2">
      <c r="A653" s="301">
        <v>43021</v>
      </c>
      <c r="B653" s="372">
        <v>26665.88</v>
      </c>
    </row>
    <row r="654" spans="1:2">
      <c r="A654" s="301">
        <v>43022</v>
      </c>
      <c r="B654" s="372">
        <v>26664.16</v>
      </c>
    </row>
    <row r="655" spans="1:2">
      <c r="A655" s="301">
        <v>43023</v>
      </c>
      <c r="B655" s="372">
        <v>26662.44</v>
      </c>
    </row>
    <row r="656" spans="1:2">
      <c r="A656" s="301">
        <v>43024</v>
      </c>
      <c r="B656" s="372">
        <v>26660.71</v>
      </c>
    </row>
    <row r="657" spans="1:2">
      <c r="A657" s="301">
        <v>43025</v>
      </c>
      <c r="B657" s="372">
        <v>26658.99</v>
      </c>
    </row>
    <row r="658" spans="1:2">
      <c r="A658" s="301">
        <v>43026</v>
      </c>
      <c r="B658" s="372">
        <v>26657.27</v>
      </c>
    </row>
    <row r="659" spans="1:2">
      <c r="A659" s="301">
        <v>43027</v>
      </c>
      <c r="B659" s="372">
        <v>26655.55</v>
      </c>
    </row>
    <row r="660" spans="1:2">
      <c r="A660" s="301">
        <v>43028</v>
      </c>
      <c r="B660" s="372">
        <v>26653.83</v>
      </c>
    </row>
    <row r="661" spans="1:2">
      <c r="A661" s="301">
        <v>43029</v>
      </c>
      <c r="B661" s="372">
        <v>26652.11</v>
      </c>
    </row>
    <row r="662" spans="1:2">
      <c r="A662" s="301">
        <v>43030</v>
      </c>
      <c r="B662" s="372">
        <v>26650.39</v>
      </c>
    </row>
    <row r="663" spans="1:2">
      <c r="A663" s="301">
        <v>43031</v>
      </c>
      <c r="B663" s="372">
        <v>26648.67</v>
      </c>
    </row>
    <row r="664" spans="1:2">
      <c r="A664" s="301">
        <v>43032</v>
      </c>
      <c r="B664" s="372">
        <v>26646.94</v>
      </c>
    </row>
    <row r="665" spans="1:2">
      <c r="A665" s="301">
        <v>43033</v>
      </c>
      <c r="B665" s="372">
        <v>26645.22</v>
      </c>
    </row>
    <row r="666" spans="1:2">
      <c r="A666" s="301">
        <v>43034</v>
      </c>
      <c r="B666" s="372">
        <v>26643.5</v>
      </c>
    </row>
    <row r="667" spans="1:2">
      <c r="A667" s="301">
        <v>43035</v>
      </c>
      <c r="B667" s="372">
        <v>26641.78</v>
      </c>
    </row>
    <row r="668" spans="1:2">
      <c r="A668" s="301">
        <v>43036</v>
      </c>
      <c r="B668" s="372">
        <v>26640.06</v>
      </c>
    </row>
    <row r="669" spans="1:2">
      <c r="A669" s="301">
        <v>43037</v>
      </c>
      <c r="B669" s="372">
        <v>26638.34</v>
      </c>
    </row>
    <row r="670" spans="1:2">
      <c r="A670" s="301">
        <v>43038</v>
      </c>
      <c r="B670" s="372">
        <v>26636.62</v>
      </c>
    </row>
    <row r="671" spans="1:2">
      <c r="A671" s="301">
        <v>43039</v>
      </c>
      <c r="B671" s="372">
        <v>26634.9</v>
      </c>
    </row>
    <row r="672" spans="1:2">
      <c r="A672" s="301">
        <v>43040</v>
      </c>
      <c r="B672" s="372">
        <v>26633.18</v>
      </c>
    </row>
    <row r="673" spans="1:2">
      <c r="A673" s="301">
        <v>43041</v>
      </c>
      <c r="B673" s="372">
        <v>26631.46</v>
      </c>
    </row>
    <row r="674" spans="1:2">
      <c r="A674" s="301">
        <v>43042</v>
      </c>
      <c r="B674" s="372">
        <v>26629.74</v>
      </c>
    </row>
    <row r="675" spans="1:2">
      <c r="A675" s="301">
        <v>43043</v>
      </c>
      <c r="B675" s="372">
        <v>26628.02</v>
      </c>
    </row>
    <row r="676" spans="1:2">
      <c r="A676" s="301">
        <v>43044</v>
      </c>
      <c r="B676" s="372">
        <v>26626.3</v>
      </c>
    </row>
    <row r="677" spans="1:2">
      <c r="A677" s="301">
        <v>43045</v>
      </c>
      <c r="B677" s="372">
        <v>26624.58</v>
      </c>
    </row>
    <row r="678" spans="1:2">
      <c r="A678" s="301">
        <v>43046</v>
      </c>
      <c r="B678" s="372">
        <v>26622.86</v>
      </c>
    </row>
    <row r="679" spans="1:2">
      <c r="A679" s="301">
        <v>43047</v>
      </c>
      <c r="B679" s="372">
        <v>26621.14</v>
      </c>
    </row>
    <row r="680" spans="1:2">
      <c r="A680" s="301">
        <v>43048</v>
      </c>
      <c r="B680" s="372">
        <v>26619.42</v>
      </c>
    </row>
    <row r="681" spans="1:2">
      <c r="A681" s="301"/>
      <c r="B681" s="372"/>
    </row>
    <row r="682" spans="1:2">
      <c r="A682" s="301"/>
      <c r="B682" s="372"/>
    </row>
    <row r="683" spans="1:2">
      <c r="A683" s="301"/>
      <c r="B683" s="372"/>
    </row>
    <row r="684" spans="1:2">
      <c r="A684" s="301"/>
      <c r="B684" s="372"/>
    </row>
    <row r="685" spans="1:2">
      <c r="A685" s="301"/>
      <c r="B685" s="372"/>
    </row>
    <row r="686" spans="1:2">
      <c r="A686" s="301"/>
      <c r="B686" s="372"/>
    </row>
    <row r="687" spans="1:2">
      <c r="A687" s="301"/>
      <c r="B687" s="372"/>
    </row>
    <row r="688" spans="1:2">
      <c r="A688" s="301"/>
      <c r="B688" s="372"/>
    </row>
    <row r="689" spans="1:2">
      <c r="A689" s="301"/>
      <c r="B689" s="372"/>
    </row>
    <row r="690" spans="1:2">
      <c r="A690" s="301"/>
      <c r="B690" s="372"/>
    </row>
    <row r="691" spans="1:2">
      <c r="A691" s="301"/>
      <c r="B691" s="372"/>
    </row>
    <row r="692" spans="1:2">
      <c r="A692" s="301"/>
      <c r="B692" s="372"/>
    </row>
    <row r="693" spans="1:2">
      <c r="A693" s="301"/>
      <c r="B693" s="372"/>
    </row>
    <row r="694" spans="1:2">
      <c r="A694" s="301"/>
      <c r="B694" s="372"/>
    </row>
    <row r="695" spans="1:2">
      <c r="A695" s="301"/>
      <c r="B695" s="372"/>
    </row>
    <row r="696" spans="1:2">
      <c r="A696" s="301"/>
      <c r="B696" s="372"/>
    </row>
    <row r="697" spans="1:2">
      <c r="A697" s="301"/>
      <c r="B697" s="372"/>
    </row>
    <row r="698" spans="1:2">
      <c r="A698" s="301"/>
      <c r="B698" s="372"/>
    </row>
    <row r="699" spans="1:2">
      <c r="A699" s="301"/>
      <c r="B699" s="372"/>
    </row>
    <row r="700" spans="1:2">
      <c r="A700" s="301"/>
      <c r="B700" s="372"/>
    </row>
    <row r="701" spans="1:2">
      <c r="A701" s="301"/>
      <c r="B701" s="372"/>
    </row>
    <row r="702" spans="1:2">
      <c r="A702" s="301"/>
      <c r="B702" s="372"/>
    </row>
    <row r="703" spans="1:2">
      <c r="A703" s="301"/>
      <c r="B703" s="372"/>
    </row>
    <row r="704" spans="1:2">
      <c r="A704" s="301"/>
      <c r="B704" s="372"/>
    </row>
    <row r="705" spans="1:2">
      <c r="A705" s="301"/>
      <c r="B705" s="372"/>
    </row>
    <row r="706" spans="1:2">
      <c r="A706" s="301"/>
      <c r="B706" s="372"/>
    </row>
    <row r="707" spans="1:2">
      <c r="A707" s="301"/>
      <c r="B707" s="372"/>
    </row>
    <row r="708" spans="1:2">
      <c r="A708" s="301"/>
      <c r="B708" s="372"/>
    </row>
    <row r="709" spans="1:2">
      <c r="A709" s="301"/>
      <c r="B709" s="372"/>
    </row>
    <row r="710" spans="1:2">
      <c r="A710" s="301"/>
      <c r="B710" s="372"/>
    </row>
    <row r="711" spans="1:2">
      <c r="A711" s="301"/>
      <c r="B711" s="372"/>
    </row>
    <row r="712" spans="1:2">
      <c r="A712" s="301"/>
      <c r="B712" s="372"/>
    </row>
    <row r="713" spans="1:2">
      <c r="A713" s="301"/>
      <c r="B713" s="372"/>
    </row>
    <row r="714" spans="1:2">
      <c r="A714" s="301"/>
      <c r="B714" s="372"/>
    </row>
    <row r="715" spans="1:2">
      <c r="A715" s="301"/>
      <c r="B715" s="372"/>
    </row>
    <row r="716" spans="1:2">
      <c r="A716" s="301"/>
      <c r="B716" s="372"/>
    </row>
    <row r="717" spans="1:2">
      <c r="A717" s="301"/>
      <c r="B717" s="372"/>
    </row>
    <row r="718" spans="1:2">
      <c r="A718" s="301"/>
      <c r="B718" s="372"/>
    </row>
    <row r="719" spans="1:2">
      <c r="A719" s="301"/>
      <c r="B719" s="372"/>
    </row>
    <row r="720" spans="1:2">
      <c r="A720" s="301"/>
      <c r="B720" s="372"/>
    </row>
    <row r="721" spans="1:2">
      <c r="A721" s="301"/>
      <c r="B721" s="372"/>
    </row>
    <row r="722" spans="1:2">
      <c r="A722" s="301"/>
      <c r="B722" s="372"/>
    </row>
    <row r="723" spans="1:2">
      <c r="A723" s="301"/>
      <c r="B723" s="372"/>
    </row>
    <row r="724" spans="1:2">
      <c r="A724" s="301"/>
      <c r="B724" s="372"/>
    </row>
    <row r="725" spans="1:2">
      <c r="A725" s="301"/>
      <c r="B725" s="372"/>
    </row>
    <row r="726" spans="1:2">
      <c r="A726" s="301"/>
      <c r="B726" s="372"/>
    </row>
    <row r="727" spans="1:2">
      <c r="A727" s="301"/>
      <c r="B727" s="372"/>
    </row>
    <row r="728" spans="1:2">
      <c r="A728" s="301"/>
      <c r="B728" s="372"/>
    </row>
    <row r="729" spans="1:2">
      <c r="A729" s="301"/>
      <c r="B729" s="372"/>
    </row>
    <row r="730" spans="1:2">
      <c r="A730" s="301"/>
      <c r="B730" s="372"/>
    </row>
    <row r="731" spans="1:2">
      <c r="A731" s="301"/>
      <c r="B731" s="372"/>
    </row>
    <row r="732" spans="1:2">
      <c r="A732" s="301"/>
      <c r="B732" s="372"/>
    </row>
    <row r="733" spans="1:2">
      <c r="A733" s="301"/>
      <c r="B733" s="372"/>
    </row>
    <row r="734" spans="1:2">
      <c r="A734" s="301"/>
      <c r="B734" s="372"/>
    </row>
    <row r="735" spans="1:2">
      <c r="A735" s="301"/>
      <c r="B735" s="372"/>
    </row>
    <row r="736" spans="1:2">
      <c r="A736" s="301"/>
      <c r="B736" s="372"/>
    </row>
    <row r="737" spans="1:2">
      <c r="A737" s="301"/>
      <c r="B737" s="372"/>
    </row>
    <row r="738" spans="1:2">
      <c r="A738" s="301"/>
      <c r="B738" s="372"/>
    </row>
    <row r="739" spans="1:2">
      <c r="A739" s="301"/>
      <c r="B739" s="372"/>
    </row>
    <row r="740" spans="1:2">
      <c r="A740" s="301"/>
      <c r="B740" s="372"/>
    </row>
    <row r="741" spans="1:2">
      <c r="A741" s="301"/>
      <c r="B741" s="372"/>
    </row>
    <row r="742" spans="1:2">
      <c r="A742" s="301"/>
      <c r="B742" s="372"/>
    </row>
    <row r="743" spans="1:2">
      <c r="A743" s="301"/>
      <c r="B743" s="372"/>
    </row>
    <row r="744" spans="1:2">
      <c r="A744" s="301"/>
      <c r="B744" s="372"/>
    </row>
    <row r="745" spans="1:2">
      <c r="A745" s="301"/>
      <c r="B745" s="372"/>
    </row>
    <row r="746" spans="1:2">
      <c r="A746" s="301"/>
      <c r="B746" s="372"/>
    </row>
    <row r="747" spans="1:2">
      <c r="A747" s="301"/>
      <c r="B747" s="372"/>
    </row>
    <row r="748" spans="1:2">
      <c r="A748" s="301"/>
      <c r="B748" s="372"/>
    </row>
    <row r="749" spans="1:2">
      <c r="A749" s="301"/>
      <c r="B749" s="372"/>
    </row>
    <row r="750" spans="1:2">
      <c r="A750" s="301"/>
      <c r="B750" s="372"/>
    </row>
    <row r="751" spans="1:2">
      <c r="A751" s="301"/>
      <c r="B751" s="372"/>
    </row>
    <row r="752" spans="1:2">
      <c r="A752" s="301"/>
      <c r="B752" s="372"/>
    </row>
    <row r="753" spans="1:2">
      <c r="A753" s="301"/>
      <c r="B753" s="372"/>
    </row>
    <row r="754" spans="1:2">
      <c r="A754" s="301"/>
      <c r="B754" s="372"/>
    </row>
    <row r="755" spans="1:2">
      <c r="A755" s="301"/>
      <c r="B755" s="372"/>
    </row>
    <row r="756" spans="1:2">
      <c r="A756" s="301"/>
      <c r="B756" s="372"/>
    </row>
    <row r="757" spans="1:2">
      <c r="A757" s="301"/>
      <c r="B757" s="372"/>
    </row>
    <row r="758" spans="1:2">
      <c r="A758" s="301"/>
      <c r="B758" s="372"/>
    </row>
    <row r="759" spans="1:2">
      <c r="A759" s="301"/>
      <c r="B759" s="372"/>
    </row>
    <row r="760" spans="1:2">
      <c r="A760" s="301"/>
      <c r="B760" s="372"/>
    </row>
    <row r="761" spans="1:2">
      <c r="A761" s="301"/>
      <c r="B761" s="372"/>
    </row>
    <row r="762" spans="1:2">
      <c r="A762" s="301"/>
      <c r="B762" s="372"/>
    </row>
    <row r="763" spans="1:2">
      <c r="A763" s="301"/>
      <c r="B763" s="372"/>
    </row>
    <row r="764" spans="1:2">
      <c r="A764" s="301"/>
      <c r="B764" s="372"/>
    </row>
    <row r="765" spans="1:2">
      <c r="A765" s="301"/>
      <c r="B765" s="372"/>
    </row>
    <row r="766" spans="1:2">
      <c r="A766" s="301"/>
      <c r="B766" s="372"/>
    </row>
    <row r="767" spans="1:2">
      <c r="A767" s="301"/>
      <c r="B767" s="372"/>
    </row>
    <row r="768" spans="1:2">
      <c r="A768" s="301"/>
      <c r="B768" s="372"/>
    </row>
    <row r="769" spans="1:2">
      <c r="A769" s="301"/>
      <c r="B769" s="372"/>
    </row>
    <row r="770" spans="1:2">
      <c r="A770" s="301"/>
      <c r="B770" s="372"/>
    </row>
    <row r="771" spans="1:2">
      <c r="A771" s="301"/>
      <c r="B771" s="372"/>
    </row>
    <row r="772" spans="1:2">
      <c r="A772" s="301"/>
      <c r="B772" s="372"/>
    </row>
    <row r="773" spans="1:2">
      <c r="A773" s="301"/>
      <c r="B773" s="372"/>
    </row>
    <row r="774" spans="1:2">
      <c r="A774" s="301"/>
      <c r="B774" s="372"/>
    </row>
    <row r="775" spans="1:2">
      <c r="A775" s="301"/>
      <c r="B775" s="372"/>
    </row>
    <row r="776" spans="1:2">
      <c r="A776" s="301"/>
      <c r="B776" s="372"/>
    </row>
    <row r="777" spans="1:2">
      <c r="A777" s="301"/>
      <c r="B777" s="372"/>
    </row>
    <row r="778" spans="1:2">
      <c r="A778" s="301"/>
      <c r="B778" s="372"/>
    </row>
    <row r="779" spans="1:2">
      <c r="A779" s="301"/>
      <c r="B779" s="372"/>
    </row>
    <row r="780" spans="1:2">
      <c r="A780" s="301"/>
      <c r="B780" s="372"/>
    </row>
    <row r="781" spans="1:2">
      <c r="A781" s="301"/>
      <c r="B781" s="372"/>
    </row>
    <row r="782" spans="1:2">
      <c r="A782" s="301"/>
      <c r="B782" s="372"/>
    </row>
    <row r="783" spans="1:2">
      <c r="A783" s="301"/>
      <c r="B783" s="372"/>
    </row>
    <row r="784" spans="1:2">
      <c r="A784" s="301"/>
      <c r="B784" s="372"/>
    </row>
    <row r="785" spans="1:2">
      <c r="A785" s="301"/>
      <c r="B785" s="372"/>
    </row>
    <row r="786" spans="1:2">
      <c r="A786" s="301"/>
      <c r="B786" s="372"/>
    </row>
    <row r="787" spans="1:2">
      <c r="A787" s="301"/>
      <c r="B787" s="372"/>
    </row>
    <row r="788" spans="1:2">
      <c r="A788" s="301"/>
      <c r="B788" s="372"/>
    </row>
    <row r="789" spans="1:2">
      <c r="A789" s="301"/>
      <c r="B789" s="372"/>
    </row>
    <row r="790" spans="1:2">
      <c r="A790" s="301"/>
      <c r="B790" s="372"/>
    </row>
    <row r="791" spans="1:2">
      <c r="A791" s="301"/>
      <c r="B791" s="372"/>
    </row>
    <row r="792" spans="1:2">
      <c r="A792" s="301"/>
      <c r="B792" s="372"/>
    </row>
    <row r="793" spans="1:2">
      <c r="A793" s="301"/>
      <c r="B793" s="372"/>
    </row>
    <row r="794" spans="1:2">
      <c r="A794" s="301"/>
      <c r="B794" s="372"/>
    </row>
    <row r="795" spans="1:2">
      <c r="A795" s="301"/>
      <c r="B795" s="372"/>
    </row>
    <row r="796" spans="1:2">
      <c r="A796" s="301"/>
      <c r="B796" s="372"/>
    </row>
    <row r="797" spans="1:2">
      <c r="A797" s="301"/>
      <c r="B797" s="372"/>
    </row>
    <row r="798" spans="1:2">
      <c r="A798" s="301"/>
      <c r="B798" s="372"/>
    </row>
    <row r="799" spans="1:2">
      <c r="A799" s="301"/>
      <c r="B799" s="372"/>
    </row>
    <row r="800" spans="1:2">
      <c r="A800" s="301"/>
      <c r="B800" s="372"/>
    </row>
    <row r="801" spans="1:2">
      <c r="A801" s="301"/>
      <c r="B801" s="372"/>
    </row>
    <row r="802" spans="1:2">
      <c r="A802" s="301"/>
      <c r="B802" s="372"/>
    </row>
    <row r="803" spans="1:2">
      <c r="A803" s="301"/>
      <c r="B803" s="372"/>
    </row>
    <row r="804" spans="1:2">
      <c r="A804" s="301"/>
      <c r="B804" s="372"/>
    </row>
    <row r="805" spans="1:2">
      <c r="A805" s="301"/>
      <c r="B805" s="372"/>
    </row>
    <row r="806" spans="1:2">
      <c r="A806" s="301"/>
      <c r="B806" s="372"/>
    </row>
    <row r="807" spans="1:2">
      <c r="A807" s="301"/>
      <c r="B807" s="372"/>
    </row>
    <row r="808" spans="1:2">
      <c r="A808" s="301"/>
      <c r="B808" s="372"/>
    </row>
    <row r="809" spans="1:2">
      <c r="A809" s="301"/>
      <c r="B809" s="372"/>
    </row>
    <row r="810" spans="1:2">
      <c r="A810" s="301"/>
      <c r="B810" s="372"/>
    </row>
    <row r="811" spans="1:2">
      <c r="A811" s="301"/>
      <c r="B811" s="372"/>
    </row>
    <row r="812" spans="1:2">
      <c r="A812" s="301"/>
      <c r="B812" s="372"/>
    </row>
    <row r="813" spans="1:2">
      <c r="A813" s="301"/>
      <c r="B813" s="372"/>
    </row>
    <row r="814" spans="1:2">
      <c r="A814" s="301"/>
      <c r="B814" s="372"/>
    </row>
    <row r="815" spans="1:2">
      <c r="A815" s="301"/>
      <c r="B815" s="372"/>
    </row>
    <row r="816" spans="1:2">
      <c r="A816" s="301"/>
      <c r="B816" s="372"/>
    </row>
    <row r="817" spans="1:2">
      <c r="A817" s="301"/>
      <c r="B817" s="372"/>
    </row>
    <row r="818" spans="1:2">
      <c r="A818" s="301"/>
      <c r="B818" s="372"/>
    </row>
    <row r="819" spans="1:2">
      <c r="A819" s="301"/>
      <c r="B819" s="372"/>
    </row>
    <row r="820" spans="1:2">
      <c r="A820" s="301"/>
      <c r="B820" s="372"/>
    </row>
    <row r="821" spans="1:2">
      <c r="A821" s="301"/>
      <c r="B821" s="372"/>
    </row>
    <row r="822" spans="1:2">
      <c r="A822" s="301"/>
      <c r="B822" s="372"/>
    </row>
    <row r="823" spans="1:2">
      <c r="A823" s="301"/>
      <c r="B823" s="372"/>
    </row>
    <row r="824" spans="1:2">
      <c r="A824" s="301"/>
      <c r="B824" s="372"/>
    </row>
    <row r="825" spans="1:2">
      <c r="A825" s="301"/>
      <c r="B825" s="372"/>
    </row>
    <row r="826" spans="1:2">
      <c r="A826" s="301"/>
      <c r="B826" s="372"/>
    </row>
    <row r="827" spans="1:2">
      <c r="A827" s="301"/>
      <c r="B827" s="372"/>
    </row>
    <row r="828" spans="1:2">
      <c r="A828" s="301"/>
      <c r="B828" s="372"/>
    </row>
    <row r="829" spans="1:2">
      <c r="A829" s="301"/>
      <c r="B829" s="372"/>
    </row>
    <row r="830" spans="1:2">
      <c r="A830" s="301"/>
      <c r="B830" s="372"/>
    </row>
    <row r="831" spans="1:2">
      <c r="A831" s="301"/>
      <c r="B831" s="372"/>
    </row>
    <row r="832" spans="1:2">
      <c r="A832" s="301"/>
      <c r="B832" s="372"/>
    </row>
    <row r="833" spans="1:2">
      <c r="A833" s="301"/>
      <c r="B833" s="372"/>
    </row>
    <row r="834" spans="1:2">
      <c r="A834" s="301"/>
      <c r="B834" s="372"/>
    </row>
    <row r="835" spans="1:2">
      <c r="A835" s="301"/>
      <c r="B835" s="372"/>
    </row>
    <row r="836" spans="1:2">
      <c r="A836" s="301"/>
      <c r="B836" s="372"/>
    </row>
    <row r="837" spans="1:2">
      <c r="A837" s="301"/>
      <c r="B837" s="372"/>
    </row>
    <row r="838" spans="1:2">
      <c r="A838" s="301"/>
      <c r="B838" s="372"/>
    </row>
    <row r="839" spans="1:2">
      <c r="A839" s="301"/>
      <c r="B839" s="372"/>
    </row>
    <row r="840" spans="1:2">
      <c r="A840" s="301"/>
      <c r="B840" s="372"/>
    </row>
    <row r="841" spans="1:2">
      <c r="A841" s="301"/>
      <c r="B841" s="372"/>
    </row>
    <row r="842" spans="1:2">
      <c r="A842" s="301"/>
      <c r="B842" s="372"/>
    </row>
    <row r="843" spans="1:2">
      <c r="A843" s="301"/>
      <c r="B843" s="372"/>
    </row>
    <row r="844" spans="1:2">
      <c r="A844" s="301"/>
      <c r="B844" s="372"/>
    </row>
    <row r="845" spans="1:2">
      <c r="A845" s="301"/>
      <c r="B845" s="372"/>
    </row>
    <row r="846" spans="1:2">
      <c r="A846" s="301"/>
      <c r="B846" s="372"/>
    </row>
    <row r="847" spans="1:2">
      <c r="A847" s="301"/>
      <c r="B847" s="372"/>
    </row>
    <row r="848" spans="1:2">
      <c r="A848" s="301"/>
      <c r="B848" s="372"/>
    </row>
    <row r="849" spans="1:2">
      <c r="A849" s="301"/>
      <c r="B849" s="372"/>
    </row>
    <row r="850" spans="1:2">
      <c r="A850" s="301"/>
      <c r="B850" s="372"/>
    </row>
    <row r="851" spans="1:2">
      <c r="A851" s="301"/>
      <c r="B851" s="372"/>
    </row>
    <row r="852" spans="1:2">
      <c r="A852" s="301"/>
      <c r="B852" s="372"/>
    </row>
    <row r="853" spans="1:2">
      <c r="A853" s="301"/>
      <c r="B853" s="372"/>
    </row>
    <row r="854" spans="1:2">
      <c r="A854" s="301"/>
      <c r="B854" s="372"/>
    </row>
    <row r="855" spans="1:2">
      <c r="A855" s="301"/>
      <c r="B855" s="372"/>
    </row>
    <row r="856" spans="1:2">
      <c r="A856" s="301"/>
      <c r="B856" s="372"/>
    </row>
    <row r="857" spans="1:2">
      <c r="A857" s="301"/>
      <c r="B857" s="372"/>
    </row>
    <row r="858" spans="1:2">
      <c r="A858" s="301"/>
      <c r="B858" s="372"/>
    </row>
    <row r="859" spans="1:2">
      <c r="A859" s="301"/>
      <c r="B859" s="372"/>
    </row>
    <row r="860" spans="1:2">
      <c r="A860" s="301"/>
      <c r="B860" s="372"/>
    </row>
    <row r="861" spans="1:2">
      <c r="A861" s="301"/>
      <c r="B861" s="372"/>
    </row>
    <row r="862" spans="1:2">
      <c r="A862" s="301"/>
      <c r="B862" s="372"/>
    </row>
    <row r="863" spans="1:2">
      <c r="A863" s="301"/>
      <c r="B863" s="372"/>
    </row>
    <row r="864" spans="1:2">
      <c r="A864" s="301"/>
      <c r="B864" s="372"/>
    </row>
    <row r="865" spans="1:2">
      <c r="A865" s="301"/>
      <c r="B865" s="372"/>
    </row>
    <row r="866" spans="1:2">
      <c r="A866" s="301"/>
      <c r="B866" s="372"/>
    </row>
    <row r="867" spans="1:2">
      <c r="A867" s="301"/>
      <c r="B867" s="372"/>
    </row>
    <row r="868" spans="1:2">
      <c r="A868" s="301"/>
      <c r="B868" s="372"/>
    </row>
    <row r="869" spans="1:2">
      <c r="A869" s="301"/>
      <c r="B869" s="372"/>
    </row>
    <row r="870" spans="1:2">
      <c r="A870" s="301"/>
      <c r="B870" s="372"/>
    </row>
    <row r="871" spans="1:2">
      <c r="A871" s="301"/>
      <c r="B871" s="372"/>
    </row>
    <row r="872" spans="1:2">
      <c r="A872" s="301"/>
      <c r="B872" s="372"/>
    </row>
    <row r="873" spans="1:2">
      <c r="A873" s="301"/>
      <c r="B873" s="372"/>
    </row>
    <row r="874" spans="1:2">
      <c r="A874" s="301"/>
      <c r="B874" s="372"/>
    </row>
    <row r="875" spans="1:2">
      <c r="A875" s="301"/>
      <c r="B875" s="372"/>
    </row>
    <row r="876" spans="1:2">
      <c r="A876" s="301"/>
      <c r="B876" s="372"/>
    </row>
    <row r="877" spans="1:2">
      <c r="A877" s="301"/>
      <c r="B877" s="372"/>
    </row>
    <row r="878" spans="1:2">
      <c r="A878" s="301"/>
      <c r="B878" s="372"/>
    </row>
    <row r="879" spans="1:2">
      <c r="A879" s="301"/>
      <c r="B879" s="372"/>
    </row>
    <row r="880" spans="1:2">
      <c r="A880" s="301"/>
      <c r="B880" s="372"/>
    </row>
    <row r="881" spans="1:2">
      <c r="A881" s="301"/>
      <c r="B881" s="372"/>
    </row>
    <row r="882" spans="1:2">
      <c r="A882" s="301"/>
      <c r="B882" s="372"/>
    </row>
    <row r="883" spans="1:2">
      <c r="A883" s="301"/>
      <c r="B883" s="372"/>
    </row>
    <row r="884" spans="1:2">
      <c r="A884" s="301"/>
      <c r="B884" s="372"/>
    </row>
    <row r="885" spans="1:2">
      <c r="A885" s="301"/>
      <c r="B885" s="372"/>
    </row>
    <row r="886" spans="1:2">
      <c r="A886" s="301"/>
      <c r="B886" s="372"/>
    </row>
    <row r="887" spans="1:2">
      <c r="A887" s="301"/>
      <c r="B887" s="372"/>
    </row>
    <row r="888" spans="1:2">
      <c r="A888" s="301"/>
      <c r="B888" s="372"/>
    </row>
    <row r="889" spans="1:2">
      <c r="A889" s="301"/>
      <c r="B889" s="372"/>
    </row>
    <row r="890" spans="1:2">
      <c r="A890" s="301"/>
      <c r="B890" s="372"/>
    </row>
    <row r="891" spans="1:2">
      <c r="A891" s="301"/>
      <c r="B891" s="372"/>
    </row>
    <row r="892" spans="1:2">
      <c r="A892" s="301"/>
      <c r="B892" s="372"/>
    </row>
    <row r="893" spans="1:2">
      <c r="A893" s="301"/>
      <c r="B893" s="372"/>
    </row>
    <row r="894" spans="1:2">
      <c r="A894" s="301"/>
      <c r="B894" s="372"/>
    </row>
    <row r="895" spans="1:2">
      <c r="A895" s="301"/>
      <c r="B895" s="372"/>
    </row>
    <row r="896" spans="1:2">
      <c r="A896" s="301"/>
      <c r="B896" s="372"/>
    </row>
    <row r="897" spans="1:2">
      <c r="A897" s="301"/>
      <c r="B897" s="372"/>
    </row>
    <row r="898" spans="1:2">
      <c r="A898" s="301"/>
      <c r="B898" s="372"/>
    </row>
    <row r="899" spans="1:2">
      <c r="A899" s="301"/>
      <c r="B899" s="372"/>
    </row>
    <row r="900" spans="1:2">
      <c r="A900" s="301"/>
      <c r="B900" s="372"/>
    </row>
    <row r="901" spans="1:2">
      <c r="A901" s="301"/>
      <c r="B901" s="372"/>
    </row>
    <row r="902" spans="1:2">
      <c r="A902" s="301"/>
      <c r="B902" s="372"/>
    </row>
    <row r="903" spans="1:2">
      <c r="A903" s="301"/>
      <c r="B903" s="372"/>
    </row>
    <row r="904" spans="1:2">
      <c r="A904" s="301"/>
      <c r="B904" s="372"/>
    </row>
    <row r="905" spans="1:2">
      <c r="A905" s="301"/>
      <c r="B905" s="372"/>
    </row>
    <row r="906" spans="1:2">
      <c r="A906" s="301"/>
      <c r="B906" s="372"/>
    </row>
    <row r="907" spans="1:2">
      <c r="A907" s="301"/>
      <c r="B907" s="372"/>
    </row>
    <row r="908" spans="1:2">
      <c r="A908" s="301"/>
      <c r="B908" s="372"/>
    </row>
    <row r="909" spans="1:2">
      <c r="A909" s="301"/>
      <c r="B909" s="372"/>
    </row>
    <row r="910" spans="1:2">
      <c r="A910" s="301"/>
      <c r="B910" s="372"/>
    </row>
    <row r="911" spans="1:2">
      <c r="A911" s="301"/>
      <c r="B911" s="372"/>
    </row>
    <row r="912" spans="1:2">
      <c r="A912" s="301"/>
      <c r="B912" s="372"/>
    </row>
    <row r="913" spans="1:2">
      <c r="A913" s="301"/>
      <c r="B913" s="372"/>
    </row>
    <row r="914" spans="1:2">
      <c r="A914" s="301"/>
      <c r="B914" s="372"/>
    </row>
    <row r="915" spans="1:2">
      <c r="A915" s="301"/>
      <c r="B915" s="372"/>
    </row>
    <row r="916" spans="1:2">
      <c r="A916" s="301"/>
      <c r="B916" s="372"/>
    </row>
    <row r="917" spans="1:2">
      <c r="A917" s="301"/>
      <c r="B917" s="372"/>
    </row>
    <row r="918" spans="1:2">
      <c r="A918" s="301"/>
      <c r="B918" s="372"/>
    </row>
    <row r="919" spans="1:2">
      <c r="A919" s="301"/>
      <c r="B919" s="372"/>
    </row>
    <row r="920" spans="1:2">
      <c r="A920" s="301"/>
      <c r="B920" s="372"/>
    </row>
    <row r="921" spans="1:2">
      <c r="A921" s="301"/>
      <c r="B921" s="372"/>
    </row>
    <row r="922" spans="1:2">
      <c r="A922" s="301"/>
      <c r="B922" s="372"/>
    </row>
    <row r="923" spans="1:2">
      <c r="A923" s="301"/>
      <c r="B923" s="372"/>
    </row>
    <row r="924" spans="1:2">
      <c r="A924" s="301"/>
      <c r="B924" s="372"/>
    </row>
    <row r="925" spans="1:2">
      <c r="A925" s="301"/>
      <c r="B925" s="372"/>
    </row>
    <row r="926" spans="1:2">
      <c r="A926" s="301"/>
      <c r="B926" s="372"/>
    </row>
    <row r="927" spans="1:2">
      <c r="A927" s="301"/>
      <c r="B927" s="372"/>
    </row>
    <row r="928" spans="1:2">
      <c r="A928" s="301"/>
      <c r="B928" s="372"/>
    </row>
    <row r="929" spans="1:2">
      <c r="A929" s="301"/>
      <c r="B929" s="372"/>
    </row>
    <row r="930" spans="1:2">
      <c r="A930" s="301"/>
      <c r="B930" s="372"/>
    </row>
    <row r="931" spans="1:2">
      <c r="A931" s="301"/>
      <c r="B931" s="372"/>
    </row>
    <row r="932" spans="1:2">
      <c r="A932" s="301"/>
      <c r="B932" s="372"/>
    </row>
    <row r="933" spans="1:2">
      <c r="A933" s="301"/>
      <c r="B933" s="372"/>
    </row>
    <row r="934" spans="1:2">
      <c r="A934" s="301"/>
      <c r="B934" s="372"/>
    </row>
    <row r="935" spans="1:2">
      <c r="A935" s="301"/>
      <c r="B935" s="372"/>
    </row>
    <row r="936" spans="1:2">
      <c r="A936" s="301"/>
      <c r="B936" s="372"/>
    </row>
    <row r="937" spans="1:2">
      <c r="A937" s="301"/>
      <c r="B937" s="372"/>
    </row>
    <row r="938" spans="1:2">
      <c r="A938" s="301"/>
      <c r="B938" s="372"/>
    </row>
    <row r="939" spans="1:2">
      <c r="A939" s="301"/>
      <c r="B939" s="372"/>
    </row>
    <row r="940" spans="1:2">
      <c r="A940" s="301"/>
      <c r="B940" s="372"/>
    </row>
    <row r="941" spans="1:2">
      <c r="A941" s="301"/>
      <c r="B941" s="372"/>
    </row>
    <row r="942" spans="1:2">
      <c r="A942" s="301"/>
      <c r="B942" s="372"/>
    </row>
    <row r="943" spans="1:2">
      <c r="A943" s="301"/>
      <c r="B943" s="372"/>
    </row>
    <row r="944" spans="1:2">
      <c r="A944" s="301"/>
      <c r="B944" s="372"/>
    </row>
    <row r="945" spans="1:2">
      <c r="A945" s="301"/>
      <c r="B945" s="372"/>
    </row>
    <row r="946" spans="1:2">
      <c r="A946" s="301"/>
      <c r="B946" s="372"/>
    </row>
    <row r="947" spans="1:2">
      <c r="A947" s="301"/>
      <c r="B947" s="372"/>
    </row>
    <row r="948" spans="1:2">
      <c r="A948" s="301"/>
      <c r="B948" s="372"/>
    </row>
    <row r="949" spans="1:2">
      <c r="A949" s="301"/>
      <c r="B949" s="372"/>
    </row>
    <row r="950" spans="1:2">
      <c r="A950" s="301"/>
      <c r="B950" s="372"/>
    </row>
    <row r="951" spans="1:2">
      <c r="A951" s="301"/>
      <c r="B951" s="372"/>
    </row>
    <row r="952" spans="1:2">
      <c r="A952" s="301"/>
      <c r="B952" s="372"/>
    </row>
    <row r="953" spans="1:2">
      <c r="A953" s="301"/>
      <c r="B953" s="372"/>
    </row>
    <row r="954" spans="1:2">
      <c r="A954" s="301"/>
      <c r="B954" s="372"/>
    </row>
    <row r="955" spans="1:2">
      <c r="A955" s="301"/>
      <c r="B955" s="372"/>
    </row>
    <row r="956" spans="1:2">
      <c r="A956" s="301"/>
      <c r="B956" s="372"/>
    </row>
    <row r="957" spans="1:2">
      <c r="A957" s="301"/>
      <c r="B957" s="372"/>
    </row>
    <row r="958" spans="1:2">
      <c r="A958" s="301"/>
      <c r="B958" s="372"/>
    </row>
    <row r="959" spans="1:2">
      <c r="A959" s="301"/>
      <c r="B959" s="372"/>
    </row>
    <row r="960" spans="1:2">
      <c r="A960" s="301"/>
      <c r="B960" s="372"/>
    </row>
    <row r="961" spans="1:2">
      <c r="A961" s="301"/>
      <c r="B961" s="372"/>
    </row>
    <row r="962" spans="1:2">
      <c r="A962" s="301"/>
      <c r="B962" s="372"/>
    </row>
    <row r="963" spans="1:2">
      <c r="A963" s="301"/>
      <c r="B963" s="372"/>
    </row>
    <row r="964" spans="1:2">
      <c r="A964" s="301"/>
      <c r="B964" s="372"/>
    </row>
    <row r="965" spans="1:2">
      <c r="A965" s="301"/>
      <c r="B965" s="372"/>
    </row>
    <row r="966" spans="1:2">
      <c r="A966" s="301"/>
      <c r="B966" s="372"/>
    </row>
    <row r="967" spans="1:2">
      <c r="A967" s="301"/>
      <c r="B967" s="372"/>
    </row>
    <row r="968" spans="1:2">
      <c r="A968" s="301"/>
      <c r="B968" s="372"/>
    </row>
    <row r="969" spans="1:2">
      <c r="A969" s="301"/>
      <c r="B969" s="372"/>
    </row>
    <row r="970" spans="1:2">
      <c r="A970" s="301"/>
      <c r="B970" s="372"/>
    </row>
    <row r="971" spans="1:2">
      <c r="A971" s="301"/>
      <c r="B971" s="372"/>
    </row>
    <row r="972" spans="1:2">
      <c r="A972" s="301"/>
      <c r="B972" s="372"/>
    </row>
    <row r="973" spans="1:2">
      <c r="A973" s="301"/>
      <c r="B973" s="372"/>
    </row>
    <row r="974" spans="1:2">
      <c r="A974" s="301"/>
      <c r="B974" s="372"/>
    </row>
    <row r="975" spans="1:2">
      <c r="A975" s="301"/>
      <c r="B975" s="372"/>
    </row>
    <row r="976" spans="1:2">
      <c r="A976" s="301"/>
      <c r="B976" s="372"/>
    </row>
    <row r="977" spans="1:2">
      <c r="A977" s="301"/>
      <c r="B977" s="372"/>
    </row>
    <row r="978" spans="1:2">
      <c r="A978" s="301"/>
      <c r="B978" s="372"/>
    </row>
    <row r="979" spans="1:2">
      <c r="A979" s="301"/>
      <c r="B979" s="372"/>
    </row>
    <row r="980" spans="1:2">
      <c r="A980" s="301"/>
      <c r="B980" s="372"/>
    </row>
    <row r="981" spans="1:2">
      <c r="A981" s="301"/>
      <c r="B981" s="372"/>
    </row>
    <row r="982" spans="1:2">
      <c r="A982" s="301"/>
      <c r="B982" s="372"/>
    </row>
    <row r="983" spans="1:2">
      <c r="A983" s="301"/>
      <c r="B983" s="372"/>
    </row>
    <row r="984" spans="1:2">
      <c r="A984" s="301"/>
      <c r="B984" s="372"/>
    </row>
    <row r="985" spans="1:2">
      <c r="A985" s="301"/>
      <c r="B985" s="372"/>
    </row>
    <row r="986" spans="1:2">
      <c r="A986" s="301"/>
      <c r="B986" s="372"/>
    </row>
    <row r="987" spans="1:2">
      <c r="A987" s="301"/>
      <c r="B987" s="372"/>
    </row>
    <row r="988" spans="1:2">
      <c r="A988" s="301"/>
      <c r="B988" s="372"/>
    </row>
    <row r="989" spans="1:2">
      <c r="A989" s="301"/>
      <c r="B989" s="372"/>
    </row>
    <row r="990" spans="1:2">
      <c r="A990" s="301"/>
      <c r="B990" s="372"/>
    </row>
    <row r="991" spans="1:2">
      <c r="A991" s="301"/>
      <c r="B991" s="372"/>
    </row>
    <row r="992" spans="1:2">
      <c r="A992" s="301"/>
      <c r="B992" s="372"/>
    </row>
    <row r="993" spans="1:2">
      <c r="A993" s="301"/>
      <c r="B993" s="372"/>
    </row>
    <row r="994" spans="1:2">
      <c r="A994" s="301"/>
      <c r="B994" s="372"/>
    </row>
    <row r="995" spans="1:2">
      <c r="A995" s="301"/>
      <c r="B995" s="372"/>
    </row>
    <row r="996" spans="1:2">
      <c r="A996" s="301"/>
      <c r="B996" s="372"/>
    </row>
    <row r="997" spans="1:2">
      <c r="A997" s="301"/>
      <c r="B997" s="372"/>
    </row>
    <row r="998" spans="1:2">
      <c r="A998" s="301"/>
      <c r="B998" s="372"/>
    </row>
    <row r="999" spans="1:2">
      <c r="A999" s="301"/>
      <c r="B999" s="372"/>
    </row>
    <row r="1000" spans="1:2">
      <c r="A1000" s="301"/>
      <c r="B1000" s="372"/>
    </row>
    <row r="1001" spans="1:2">
      <c r="A1001" s="301"/>
      <c r="B1001" s="372"/>
    </row>
    <row r="1002" spans="1:2">
      <c r="A1002" s="301"/>
      <c r="B1002" s="372"/>
    </row>
    <row r="1003" spans="1:2">
      <c r="A1003" s="301"/>
      <c r="B1003" s="372"/>
    </row>
    <row r="1004" spans="1:2">
      <c r="A1004" s="301"/>
      <c r="B1004" s="372"/>
    </row>
    <row r="1005" spans="1:2">
      <c r="A1005" s="301"/>
      <c r="B1005" s="372"/>
    </row>
    <row r="1006" spans="1:2">
      <c r="A1006" s="301"/>
      <c r="B1006" s="372"/>
    </row>
    <row r="1007" spans="1:2">
      <c r="A1007" s="301"/>
      <c r="B1007" s="372"/>
    </row>
    <row r="1008" spans="1:2">
      <c r="A1008" s="301"/>
      <c r="B1008" s="372"/>
    </row>
    <row r="1009" spans="1:2">
      <c r="A1009" s="301"/>
      <c r="B1009" s="372"/>
    </row>
    <row r="1010" spans="1:2">
      <c r="A1010" s="301"/>
      <c r="B1010" s="372"/>
    </row>
    <row r="1011" spans="1:2">
      <c r="A1011" s="301"/>
      <c r="B1011" s="372"/>
    </row>
    <row r="1012" spans="1:2">
      <c r="A1012" s="301"/>
      <c r="B1012" s="372"/>
    </row>
    <row r="1013" spans="1:2">
      <c r="A1013" s="301"/>
      <c r="B1013" s="372"/>
    </row>
    <row r="1014" spans="1:2">
      <c r="A1014" s="301"/>
      <c r="B1014" s="372"/>
    </row>
    <row r="1015" spans="1:2">
      <c r="A1015" s="301"/>
      <c r="B1015" s="372"/>
    </row>
    <row r="1016" spans="1:2">
      <c r="A1016" s="301"/>
      <c r="B1016" s="372"/>
    </row>
    <row r="1017" spans="1:2">
      <c r="A1017" s="301"/>
      <c r="B1017" s="372"/>
    </row>
    <row r="1018" spans="1:2">
      <c r="A1018" s="301"/>
      <c r="B1018" s="372"/>
    </row>
    <row r="1019" spans="1:2">
      <c r="A1019" s="301"/>
      <c r="B1019" s="372"/>
    </row>
    <row r="1020" spans="1:2">
      <c r="A1020" s="301"/>
      <c r="B1020" s="372"/>
    </row>
    <row r="1021" spans="1:2">
      <c r="A1021" s="301"/>
      <c r="B1021" s="372"/>
    </row>
    <row r="1022" spans="1:2">
      <c r="A1022" s="301"/>
      <c r="B1022" s="372"/>
    </row>
    <row r="1023" spans="1:2">
      <c r="A1023" s="301"/>
      <c r="B1023" s="372"/>
    </row>
    <row r="1024" spans="1:2">
      <c r="A1024" s="301"/>
      <c r="B1024" s="372"/>
    </row>
    <row r="1025" spans="1:2">
      <c r="A1025" s="301"/>
      <c r="B1025" s="372"/>
    </row>
    <row r="1026" spans="1:2">
      <c r="A1026" s="301"/>
      <c r="B1026" s="372"/>
    </row>
    <row r="1027" spans="1:2">
      <c r="A1027" s="301"/>
      <c r="B1027" s="372"/>
    </row>
    <row r="1028" spans="1:2">
      <c r="A1028" s="301"/>
      <c r="B1028" s="372"/>
    </row>
    <row r="1029" spans="1:2">
      <c r="A1029" s="301"/>
      <c r="B1029" s="372"/>
    </row>
    <row r="1030" spans="1:2">
      <c r="A1030" s="301"/>
      <c r="B1030" s="372"/>
    </row>
    <row r="1031" spans="1:2">
      <c r="A1031" s="301"/>
      <c r="B1031" s="372"/>
    </row>
    <row r="1032" spans="1:2">
      <c r="A1032" s="301"/>
      <c r="B1032" s="372"/>
    </row>
    <row r="1033" spans="1:2">
      <c r="A1033" s="301"/>
      <c r="B1033" s="372"/>
    </row>
    <row r="1034" spans="1:2">
      <c r="A1034" s="301"/>
      <c r="B1034" s="372"/>
    </row>
    <row r="1035" spans="1:2">
      <c r="A1035" s="301"/>
      <c r="B1035" s="372"/>
    </row>
    <row r="1036" spans="1:2">
      <c r="A1036" s="301"/>
      <c r="B1036" s="372"/>
    </row>
    <row r="1037" spans="1:2">
      <c r="A1037" s="301"/>
      <c r="B1037" s="372"/>
    </row>
    <row r="1038" spans="1:2">
      <c r="A1038" s="301"/>
      <c r="B1038" s="372"/>
    </row>
    <row r="1039" spans="1:2">
      <c r="A1039" s="301"/>
      <c r="B1039" s="372"/>
    </row>
    <row r="1040" spans="1:2">
      <c r="A1040" s="301"/>
      <c r="B1040" s="372"/>
    </row>
    <row r="1041" spans="1:2">
      <c r="A1041" s="301"/>
      <c r="B1041" s="372"/>
    </row>
    <row r="1042" spans="1:2">
      <c r="A1042" s="301"/>
      <c r="B1042" s="372"/>
    </row>
    <row r="1043" spans="1:2">
      <c r="A1043" s="301"/>
      <c r="B1043" s="372"/>
    </row>
    <row r="1044" spans="1:2">
      <c r="A1044" s="301"/>
      <c r="B1044" s="372"/>
    </row>
    <row r="1045" spans="1:2">
      <c r="A1045" s="301"/>
      <c r="B1045" s="372"/>
    </row>
    <row r="1046" spans="1:2">
      <c r="A1046" s="301"/>
      <c r="B1046" s="372"/>
    </row>
    <row r="1047" spans="1:2">
      <c r="A1047" s="301"/>
      <c r="B1047" s="372"/>
    </row>
    <row r="1048" spans="1:2">
      <c r="A1048" s="301"/>
      <c r="B1048" s="372"/>
    </row>
    <row r="1049" spans="1:2">
      <c r="A1049" s="301"/>
      <c r="B1049" s="372"/>
    </row>
    <row r="1050" spans="1:2">
      <c r="A1050" s="301"/>
      <c r="B1050" s="372"/>
    </row>
    <row r="1051" spans="1:2">
      <c r="A1051" s="301"/>
      <c r="B1051" s="372"/>
    </row>
    <row r="1052" spans="1:2">
      <c r="A1052" s="301"/>
      <c r="B1052" s="372"/>
    </row>
    <row r="1053" spans="1:2">
      <c r="A1053" s="301"/>
      <c r="B1053" s="372"/>
    </row>
    <row r="1054" spans="1:2">
      <c r="A1054" s="301"/>
      <c r="B1054" s="372"/>
    </row>
    <row r="1055" spans="1:2">
      <c r="A1055" s="301"/>
      <c r="B1055" s="372"/>
    </row>
    <row r="1056" spans="1:2">
      <c r="A1056" s="301"/>
      <c r="B1056" s="372"/>
    </row>
    <row r="1057" spans="1:2">
      <c r="A1057" s="301"/>
      <c r="B1057" s="372"/>
    </row>
    <row r="1058" spans="1:2">
      <c r="A1058" s="301"/>
      <c r="B1058" s="372"/>
    </row>
    <row r="1059" spans="1:2">
      <c r="A1059" s="301"/>
      <c r="B1059" s="372"/>
    </row>
    <row r="1060" spans="1:2">
      <c r="A1060" s="301"/>
      <c r="B1060" s="372"/>
    </row>
    <row r="1061" spans="1:2">
      <c r="A1061" s="301"/>
      <c r="B1061" s="372"/>
    </row>
    <row r="1062" spans="1:2">
      <c r="A1062" s="301"/>
      <c r="B1062" s="372"/>
    </row>
    <row r="1063" spans="1:2">
      <c r="A1063" s="301"/>
      <c r="B1063" s="372"/>
    </row>
    <row r="1064" spans="1:2">
      <c r="A1064" s="301"/>
      <c r="B1064" s="372"/>
    </row>
    <row r="1065" spans="1:2">
      <c r="A1065" s="301"/>
      <c r="B1065" s="372"/>
    </row>
    <row r="1066" spans="1:2">
      <c r="A1066" s="301"/>
      <c r="B1066" s="372"/>
    </row>
    <row r="1067" spans="1:2">
      <c r="A1067" s="301"/>
      <c r="B1067" s="372"/>
    </row>
    <row r="1068" spans="1:2">
      <c r="A1068" s="301"/>
      <c r="B1068" s="372"/>
    </row>
    <row r="1069" spans="1:2">
      <c r="A1069" s="301"/>
      <c r="B1069" s="372"/>
    </row>
    <row r="1070" spans="1:2">
      <c r="A1070" s="301"/>
      <c r="B1070" s="372"/>
    </row>
    <row r="1071" spans="1:2">
      <c r="A1071" s="301"/>
      <c r="B1071" s="372"/>
    </row>
    <row r="1072" spans="1:2">
      <c r="A1072" s="301"/>
      <c r="B1072" s="372"/>
    </row>
    <row r="1073" spans="1:2">
      <c r="A1073" s="301"/>
      <c r="B1073" s="372"/>
    </row>
    <row r="1074" spans="1:2">
      <c r="A1074" s="301"/>
      <c r="B1074" s="372"/>
    </row>
    <row r="1075" spans="1:2">
      <c r="A1075" s="301"/>
      <c r="B1075" s="372"/>
    </row>
    <row r="1076" spans="1:2">
      <c r="A1076" s="301"/>
      <c r="B1076" s="372"/>
    </row>
    <row r="1077" spans="1:2">
      <c r="A1077" s="301"/>
      <c r="B1077" s="372"/>
    </row>
    <row r="1078" spans="1:2">
      <c r="A1078" s="301"/>
      <c r="B1078" s="372"/>
    </row>
    <row r="1079" spans="1:2">
      <c r="A1079" s="301"/>
      <c r="B1079" s="372"/>
    </row>
    <row r="1080" spans="1:2">
      <c r="A1080" s="301"/>
      <c r="B1080" s="372"/>
    </row>
    <row r="1081" spans="1:2">
      <c r="A1081" s="301"/>
      <c r="B1081" s="372"/>
    </row>
    <row r="1082" spans="1:2">
      <c r="A1082" s="301"/>
      <c r="B1082" s="372"/>
    </row>
    <row r="1083" spans="1:2">
      <c r="A1083" s="301"/>
      <c r="B1083" s="372"/>
    </row>
    <row r="1084" spans="1:2">
      <c r="A1084" s="301"/>
      <c r="B1084" s="372"/>
    </row>
    <row r="1085" spans="1:2">
      <c r="A1085" s="301"/>
      <c r="B1085" s="372"/>
    </row>
    <row r="1086" spans="1:2">
      <c r="A1086" s="301"/>
      <c r="B1086" s="372"/>
    </row>
    <row r="1087" spans="1:2">
      <c r="A1087" s="301"/>
      <c r="B1087" s="372"/>
    </row>
    <row r="1088" spans="1:2">
      <c r="A1088" s="301"/>
      <c r="B1088" s="372"/>
    </row>
    <row r="1089" spans="1:2">
      <c r="A1089" s="301"/>
      <c r="B1089" s="372"/>
    </row>
    <row r="1090" spans="1:2">
      <c r="A1090" s="301"/>
      <c r="B1090" s="372"/>
    </row>
    <row r="1091" spans="1:2">
      <c r="A1091" s="301"/>
      <c r="B1091" s="372"/>
    </row>
    <row r="1092" spans="1:2">
      <c r="A1092" s="301"/>
      <c r="B1092" s="372"/>
    </row>
    <row r="1093" spans="1:2">
      <c r="A1093" s="301"/>
      <c r="B1093" s="372"/>
    </row>
    <row r="1094" spans="1:2">
      <c r="A1094" s="301"/>
      <c r="B1094" s="372"/>
    </row>
    <row r="1095" spans="1:2">
      <c r="A1095" s="301"/>
      <c r="B1095" s="372"/>
    </row>
    <row r="1096" spans="1:2">
      <c r="A1096" s="301"/>
      <c r="B1096" s="372"/>
    </row>
    <row r="1097" spans="1:2">
      <c r="A1097" s="301"/>
      <c r="B1097" s="372"/>
    </row>
    <row r="1098" spans="1:2">
      <c r="A1098" s="301"/>
      <c r="B1098" s="372"/>
    </row>
    <row r="1099" spans="1:2">
      <c r="A1099" s="301"/>
      <c r="B1099" s="372"/>
    </row>
    <row r="1100" spans="1:2">
      <c r="A1100" s="301"/>
      <c r="B1100" s="372"/>
    </row>
    <row r="1101" spans="1:2">
      <c r="A1101" s="301"/>
      <c r="B1101" s="372"/>
    </row>
    <row r="1102" spans="1:2">
      <c r="A1102" s="301"/>
      <c r="B1102" s="372"/>
    </row>
    <row r="1103" spans="1:2">
      <c r="A1103" s="301"/>
      <c r="B1103" s="372"/>
    </row>
    <row r="1104" spans="1:2">
      <c r="A1104" s="301"/>
      <c r="B1104" s="372"/>
    </row>
    <row r="1105" spans="1:2">
      <c r="A1105" s="301"/>
      <c r="B1105" s="372"/>
    </row>
    <row r="1106" spans="1:2">
      <c r="A1106" s="301"/>
      <c r="B1106" s="372"/>
    </row>
    <row r="1107" spans="1:2">
      <c r="A1107" s="301"/>
      <c r="B1107" s="372"/>
    </row>
    <row r="1108" spans="1:2">
      <c r="A1108" s="301"/>
      <c r="B1108" s="372"/>
    </row>
    <row r="1109" spans="1:2">
      <c r="A1109" s="301"/>
      <c r="B1109" s="372"/>
    </row>
    <row r="1110" spans="1:2">
      <c r="A1110" s="301"/>
      <c r="B1110" s="372"/>
    </row>
    <row r="1111" spans="1:2">
      <c r="A1111" s="301"/>
      <c r="B1111" s="372"/>
    </row>
    <row r="1112" spans="1:2">
      <c r="A1112" s="301"/>
      <c r="B1112" s="372"/>
    </row>
    <row r="1113" spans="1:2">
      <c r="A1113" s="301"/>
      <c r="B1113" s="372"/>
    </row>
    <row r="1114" spans="1:2">
      <c r="A1114" s="301"/>
      <c r="B1114" s="372"/>
    </row>
    <row r="1115" spans="1:2">
      <c r="A1115" s="301"/>
      <c r="B1115" s="372"/>
    </row>
    <row r="1116" spans="1:2">
      <c r="A1116" s="301"/>
      <c r="B1116" s="372"/>
    </row>
    <row r="1117" spans="1:2">
      <c r="A1117" s="301"/>
      <c r="B1117" s="372"/>
    </row>
    <row r="1118" spans="1:2">
      <c r="A1118" s="301"/>
      <c r="B1118" s="372"/>
    </row>
    <row r="1119" spans="1:2">
      <c r="A1119" s="301"/>
      <c r="B1119" s="372"/>
    </row>
    <row r="1120" spans="1:2">
      <c r="A1120" s="301"/>
      <c r="B1120" s="372"/>
    </row>
    <row r="1121" spans="1:2">
      <c r="A1121" s="301"/>
      <c r="B1121" s="372"/>
    </row>
    <row r="1122" spans="1:2">
      <c r="A1122" s="301"/>
      <c r="B1122" s="372"/>
    </row>
    <row r="1123" spans="1:2">
      <c r="A1123" s="301"/>
      <c r="B1123" s="372"/>
    </row>
    <row r="1124" spans="1:2">
      <c r="A1124" s="301"/>
      <c r="B1124" s="372"/>
    </row>
    <row r="1125" spans="1:2">
      <c r="A1125" s="301"/>
      <c r="B1125" s="372"/>
    </row>
    <row r="1126" spans="1:2">
      <c r="A1126" s="301"/>
      <c r="B1126" s="372"/>
    </row>
    <row r="1127" spans="1:2">
      <c r="A1127" s="301"/>
      <c r="B1127" s="372"/>
    </row>
    <row r="1128" spans="1:2">
      <c r="A1128" s="301"/>
      <c r="B1128" s="372"/>
    </row>
    <row r="1129" spans="1:2">
      <c r="A1129" s="301"/>
      <c r="B1129" s="372"/>
    </row>
    <row r="1130" spans="1:2">
      <c r="A1130" s="301"/>
      <c r="B1130" s="372"/>
    </row>
    <row r="1131" spans="1:2">
      <c r="A1131" s="301"/>
      <c r="B1131" s="372"/>
    </row>
    <row r="1132" spans="1:2">
      <c r="A1132" s="301"/>
      <c r="B1132" s="372"/>
    </row>
    <row r="1133" spans="1:2">
      <c r="A1133" s="301"/>
      <c r="B1133" s="372"/>
    </row>
    <row r="1134" spans="1:2">
      <c r="A1134" s="301"/>
      <c r="B1134" s="372"/>
    </row>
    <row r="1135" spans="1:2">
      <c r="A1135" s="301"/>
      <c r="B1135" s="372"/>
    </row>
    <row r="1136" spans="1:2">
      <c r="A1136" s="301"/>
      <c r="B1136" s="372"/>
    </row>
    <row r="1137" spans="1:2">
      <c r="A1137" s="301"/>
      <c r="B1137" s="372"/>
    </row>
    <row r="1138" spans="1:2">
      <c r="A1138" s="301"/>
      <c r="B1138" s="372"/>
    </row>
    <row r="1139" spans="1:2">
      <c r="A1139" s="301"/>
      <c r="B1139" s="372"/>
    </row>
    <row r="1140" spans="1:2">
      <c r="A1140" s="301"/>
      <c r="B1140" s="372"/>
    </row>
    <row r="1141" spans="1:2">
      <c r="A1141" s="301"/>
      <c r="B1141" s="372"/>
    </row>
    <row r="1142" spans="1:2">
      <c r="A1142" s="301"/>
      <c r="B1142" s="372"/>
    </row>
    <row r="1143" spans="1:2">
      <c r="A1143" s="301"/>
      <c r="B1143" s="372"/>
    </row>
    <row r="1144" spans="1:2">
      <c r="A1144" s="301"/>
      <c r="B1144" s="372"/>
    </row>
    <row r="1145" spans="1:2">
      <c r="A1145" s="301"/>
      <c r="B1145" s="281"/>
    </row>
    <row r="1146" spans="1:2">
      <c r="A1146" s="280"/>
      <c r="B1146" s="96"/>
    </row>
    <row r="1147" spans="1:2">
      <c r="A1147" s="280"/>
      <c r="B1147" s="96"/>
    </row>
    <row r="1148" spans="1:2">
      <c r="A1148" s="280"/>
      <c r="B1148" s="96"/>
    </row>
    <row r="1149" spans="1:2">
      <c r="A1149" s="280"/>
      <c r="B1149" s="96"/>
    </row>
    <row r="1150" spans="1:2">
      <c r="A1150" s="280"/>
      <c r="B1150" s="96"/>
    </row>
    <row r="1151" spans="1:2">
      <c r="A1151" s="280"/>
      <c r="B1151" s="96"/>
    </row>
    <row r="1152" spans="1:2">
      <c r="A1152" s="280"/>
      <c r="B1152" s="96"/>
    </row>
    <row r="1153" spans="1:2">
      <c r="A1153" s="280"/>
      <c r="B1153" s="96"/>
    </row>
    <row r="1154" spans="1:2">
      <c r="A1154" s="280"/>
      <c r="B1154" s="96"/>
    </row>
    <row r="1155" spans="1:2">
      <c r="A1155" s="280"/>
      <c r="B1155" s="96"/>
    </row>
    <row r="1156" spans="1:2">
      <c r="A1156" s="280"/>
      <c r="B1156" s="96"/>
    </row>
    <row r="1157" spans="1:2">
      <c r="A1157" s="280"/>
      <c r="B1157" s="96"/>
    </row>
    <row r="1158" spans="1:2">
      <c r="A1158" s="280"/>
      <c r="B1158" s="96"/>
    </row>
    <row r="1159" spans="1:2">
      <c r="A1159" s="280"/>
      <c r="B1159" s="96"/>
    </row>
    <row r="1160" spans="1:2">
      <c r="A1160" s="280"/>
      <c r="B1160" s="96"/>
    </row>
    <row r="1161" spans="1:2">
      <c r="A1161" s="280"/>
      <c r="B1161" s="96"/>
    </row>
    <row r="1162" spans="1:2">
      <c r="A1162" s="280"/>
      <c r="B1162" s="96"/>
    </row>
    <row r="1163" spans="1:2">
      <c r="A1163" s="280"/>
      <c r="B1163" s="96"/>
    </row>
    <row r="1164" spans="1:2">
      <c r="A1164" s="280"/>
      <c r="B1164" s="96"/>
    </row>
    <row r="1165" spans="1:2">
      <c r="A1165" s="280"/>
      <c r="B1165" s="96"/>
    </row>
    <row r="1166" spans="1:2">
      <c r="A1166" s="280"/>
      <c r="B1166" s="96"/>
    </row>
    <row r="1167" spans="1:2">
      <c r="A1167" s="280"/>
      <c r="B1167" s="96"/>
    </row>
    <row r="1168" spans="1:2">
      <c r="A1168" s="280"/>
      <c r="B1168" s="96"/>
    </row>
    <row r="1169" spans="1:2">
      <c r="A1169" s="280"/>
      <c r="B1169" s="96"/>
    </row>
    <row r="1170" spans="1:2">
      <c r="A1170" s="280"/>
      <c r="B1170" s="96"/>
    </row>
    <row r="1171" spans="1:2">
      <c r="A1171" s="280"/>
      <c r="B1171" s="96"/>
    </row>
    <row r="1172" spans="1:2">
      <c r="A1172" s="280"/>
      <c r="B1172" s="96"/>
    </row>
    <row r="1173" spans="1:2">
      <c r="A1173" s="280"/>
      <c r="B1173" s="96"/>
    </row>
    <row r="1174" spans="1:2">
      <c r="A1174" s="280"/>
      <c r="B1174" s="96"/>
    </row>
    <row r="1175" spans="1:2">
      <c r="A1175" s="280"/>
      <c r="B1175" s="96"/>
    </row>
    <row r="1176" spans="1:2">
      <c r="A1176" s="280"/>
      <c r="B1176" s="96"/>
    </row>
    <row r="1177" spans="1:2">
      <c r="A1177" s="301"/>
      <c r="B1177" s="372"/>
    </row>
    <row r="1178" spans="1:2">
      <c r="A1178" s="301"/>
      <c r="B1178" s="372"/>
    </row>
    <row r="1179" spans="1:2">
      <c r="A1179" s="301"/>
      <c r="B1179" s="372"/>
    </row>
    <row r="1180" spans="1:2">
      <c r="A1180" s="301"/>
      <c r="B1180" s="372"/>
    </row>
    <row r="1181" spans="1:2">
      <c r="A1181" s="301"/>
      <c r="B1181" s="372"/>
    </row>
    <row r="1182" spans="1:2">
      <c r="A1182" s="301"/>
      <c r="B1182" s="372"/>
    </row>
    <row r="1183" spans="1:2">
      <c r="A1183" s="301"/>
      <c r="B1183" s="372"/>
    </row>
    <row r="1184" spans="1:2">
      <c r="A1184" s="301"/>
      <c r="B1184" s="372"/>
    </row>
    <row r="1185" spans="1:2">
      <c r="A1185" s="301"/>
      <c r="B1185" s="372"/>
    </row>
    <row r="1186" spans="1:2">
      <c r="A1186" s="301"/>
      <c r="B1186" s="372"/>
    </row>
    <row r="1187" spans="1:2">
      <c r="A1187" s="301"/>
      <c r="B1187" s="372"/>
    </row>
    <row r="1188" spans="1:2">
      <c r="A1188" s="301"/>
      <c r="B1188" s="372"/>
    </row>
    <row r="1189" spans="1:2">
      <c r="A1189" s="301"/>
      <c r="B1189" s="372"/>
    </row>
    <row r="1190" spans="1:2">
      <c r="A1190" s="301"/>
      <c r="B1190" s="372"/>
    </row>
    <row r="1191" spans="1:2">
      <c r="A1191" s="301"/>
      <c r="B1191" s="372"/>
    </row>
    <row r="1192" spans="1:2">
      <c r="A1192" s="301"/>
      <c r="B1192" s="372"/>
    </row>
    <row r="1193" spans="1:2">
      <c r="A1193" s="301"/>
      <c r="B1193" s="372"/>
    </row>
    <row r="1194" spans="1:2">
      <c r="A1194" s="301"/>
      <c r="B1194" s="372"/>
    </row>
    <row r="1195" spans="1:2">
      <c r="A1195" s="301"/>
      <c r="B1195" s="372"/>
    </row>
    <row r="1196" spans="1:2">
      <c r="A1196" s="301"/>
      <c r="B1196" s="372"/>
    </row>
    <row r="1197" spans="1:2">
      <c r="A1197" s="301"/>
      <c r="B1197" s="372"/>
    </row>
    <row r="1198" spans="1:2">
      <c r="A1198" s="301"/>
      <c r="B1198" s="372"/>
    </row>
    <row r="1199" spans="1:2">
      <c r="A1199" s="301"/>
      <c r="B1199" s="372"/>
    </row>
    <row r="1200" spans="1:2">
      <c r="A1200" s="301"/>
      <c r="B1200" s="372"/>
    </row>
    <row r="1201" spans="1:2">
      <c r="A1201" s="301"/>
      <c r="B1201" s="372"/>
    </row>
    <row r="1202" spans="1:2">
      <c r="A1202" s="301"/>
      <c r="B1202" s="281"/>
    </row>
    <row r="1203" spans="1:2">
      <c r="A1203" s="280"/>
      <c r="B1203" s="96"/>
    </row>
    <row r="1204" spans="1:2">
      <c r="A1204" s="280"/>
      <c r="B1204" s="96"/>
    </row>
    <row r="1205" spans="1:2">
      <c r="A1205" s="280"/>
      <c r="B1205" s="96"/>
    </row>
    <row r="1206" spans="1:2">
      <c r="A1206" s="280"/>
      <c r="B1206" s="96"/>
    </row>
    <row r="1207" spans="1:2">
      <c r="A1207" s="301"/>
      <c r="B1207" s="372"/>
    </row>
    <row r="1208" spans="1:2">
      <c r="A1208" s="301"/>
      <c r="B1208" s="372"/>
    </row>
    <row r="1209" spans="1:2">
      <c r="A1209" s="301"/>
      <c r="B1209" s="372"/>
    </row>
    <row r="1210" spans="1:2">
      <c r="A1210" s="301"/>
      <c r="B1210" s="372"/>
    </row>
    <row r="1211" spans="1:2">
      <c r="A1211" s="301"/>
      <c r="B1211" s="372"/>
    </row>
    <row r="1212" spans="1:2">
      <c r="A1212" s="301"/>
      <c r="B1212" s="372"/>
    </row>
    <row r="1213" spans="1:2">
      <c r="A1213" s="301"/>
      <c r="B1213" s="372"/>
    </row>
    <row r="1214" spans="1:2">
      <c r="A1214" s="301"/>
      <c r="B1214" s="372"/>
    </row>
    <row r="1215" spans="1:2">
      <c r="A1215" s="301"/>
      <c r="B1215" s="372"/>
    </row>
    <row r="1216" spans="1:2">
      <c r="A1216" s="301"/>
      <c r="B1216" s="372"/>
    </row>
    <row r="1217" spans="1:2">
      <c r="A1217" s="301"/>
      <c r="B1217" s="372"/>
    </row>
    <row r="1218" spans="1:2">
      <c r="A1218" s="301"/>
      <c r="B1218" s="372"/>
    </row>
    <row r="1219" spans="1:2">
      <c r="A1219" s="301"/>
      <c r="B1219" s="372"/>
    </row>
    <row r="1220" spans="1:2">
      <c r="A1220" s="301"/>
      <c r="B1220" s="372"/>
    </row>
    <row r="1221" spans="1:2">
      <c r="A1221" s="301"/>
      <c r="B1221" s="372"/>
    </row>
    <row r="1222" spans="1:2">
      <c r="A1222" s="301"/>
      <c r="B1222" s="372"/>
    </row>
    <row r="1223" spans="1:2">
      <c r="A1223" s="301"/>
      <c r="B1223" s="372"/>
    </row>
    <row r="1224" spans="1:2">
      <c r="A1224" s="301"/>
      <c r="B1224" s="372"/>
    </row>
    <row r="1225" spans="1:2">
      <c r="A1225" s="301"/>
      <c r="B1225" s="372"/>
    </row>
    <row r="1226" spans="1:2">
      <c r="A1226" s="301"/>
      <c r="B1226" s="372"/>
    </row>
    <row r="1227" spans="1:2">
      <c r="A1227" s="301"/>
      <c r="B1227" s="372"/>
    </row>
    <row r="1228" spans="1:2">
      <c r="A1228" s="301"/>
      <c r="B1228" s="372"/>
    </row>
    <row r="1229" spans="1:2">
      <c r="A1229" s="301"/>
      <c r="B1229" s="372"/>
    </row>
    <row r="1230" spans="1:2">
      <c r="A1230" s="301"/>
      <c r="B1230" s="372"/>
    </row>
    <row r="1231" spans="1:2">
      <c r="A1231" s="301"/>
      <c r="B1231" s="372"/>
    </row>
    <row r="1232" spans="1:2">
      <c r="A1232" s="301"/>
      <c r="B1232" s="372"/>
    </row>
    <row r="1233" spans="1:2">
      <c r="A1233" s="301"/>
      <c r="B1233" s="372"/>
    </row>
    <row r="1234" spans="1:2">
      <c r="A1234" s="301"/>
      <c r="B1234" s="372"/>
    </row>
    <row r="1235" spans="1:2">
      <c r="A1235" s="301"/>
      <c r="B1235" s="372"/>
    </row>
    <row r="1236" spans="1:2">
      <c r="A1236" s="301"/>
      <c r="B1236" s="372"/>
    </row>
    <row r="1237" spans="1:2">
      <c r="A1237" s="301"/>
      <c r="B1237" s="372"/>
    </row>
    <row r="1238" spans="1:2">
      <c r="A1238" s="301"/>
      <c r="B1238" s="372"/>
    </row>
    <row r="1239" spans="1:2">
      <c r="A1239" s="301"/>
      <c r="B1239" s="372"/>
    </row>
    <row r="1240" spans="1:2">
      <c r="A1240" s="301"/>
      <c r="B1240" s="372"/>
    </row>
    <row r="1241" spans="1:2">
      <c r="A1241" s="301"/>
      <c r="B1241" s="372"/>
    </row>
    <row r="1242" spans="1:2">
      <c r="A1242" s="301"/>
      <c r="B1242" s="372"/>
    </row>
    <row r="1243" spans="1:2">
      <c r="A1243" s="301"/>
      <c r="B1243" s="372"/>
    </row>
    <row r="1244" spans="1:2">
      <c r="A1244" s="301"/>
      <c r="B1244" s="372"/>
    </row>
    <row r="1245" spans="1:2">
      <c r="A1245" s="301"/>
      <c r="B1245" s="372"/>
    </row>
    <row r="1246" spans="1:2">
      <c r="A1246" s="301"/>
      <c r="B1246" s="372"/>
    </row>
    <row r="1247" spans="1:2">
      <c r="A1247" s="301"/>
      <c r="B1247" s="372"/>
    </row>
    <row r="1248" spans="1:2">
      <c r="A1248" s="301"/>
      <c r="B1248" s="372"/>
    </row>
    <row r="1249" spans="1:2">
      <c r="A1249" s="301"/>
      <c r="B1249" s="372"/>
    </row>
    <row r="1250" spans="1:2">
      <c r="A1250" s="301"/>
      <c r="B1250" s="372"/>
    </row>
    <row r="1251" spans="1:2">
      <c r="A1251" s="301"/>
      <c r="B1251" s="372"/>
    </row>
    <row r="1252" spans="1:2">
      <c r="A1252" s="301"/>
      <c r="B1252" s="372"/>
    </row>
    <row r="1253" spans="1:2">
      <c r="A1253" s="301"/>
      <c r="B1253" s="372"/>
    </row>
    <row r="1254" spans="1:2">
      <c r="A1254" s="301"/>
      <c r="B1254" s="372"/>
    </row>
    <row r="1255" spans="1:2">
      <c r="A1255" s="301"/>
      <c r="B1255" s="372"/>
    </row>
    <row r="1256" spans="1:2">
      <c r="A1256" s="301"/>
      <c r="B1256" s="372"/>
    </row>
    <row r="1257" spans="1:2">
      <c r="A1257" s="301"/>
      <c r="B1257" s="372"/>
    </row>
    <row r="1258" spans="1:2">
      <c r="A1258" s="301"/>
      <c r="B1258" s="372"/>
    </row>
    <row r="1259" spans="1:2">
      <c r="A1259" s="301"/>
      <c r="B1259" s="372"/>
    </row>
    <row r="1260" spans="1:2">
      <c r="A1260" s="301"/>
      <c r="B1260" s="372"/>
    </row>
    <row r="1261" spans="1:2">
      <c r="A1261" s="301"/>
      <c r="B1261" s="372"/>
    </row>
    <row r="1262" spans="1:2">
      <c r="A1262" s="301"/>
      <c r="B1262" s="372"/>
    </row>
    <row r="1263" spans="1:2">
      <c r="A1263" s="301"/>
      <c r="B1263" s="372"/>
    </row>
    <row r="1264" spans="1:2">
      <c r="A1264" s="301"/>
      <c r="B1264" s="372"/>
    </row>
    <row r="1265" spans="1:2">
      <c r="A1265" s="301"/>
      <c r="B1265" s="372"/>
    </row>
    <row r="1266" spans="1:2">
      <c r="A1266" s="301"/>
      <c r="B1266" s="372"/>
    </row>
    <row r="1267" spans="1:2">
      <c r="A1267" s="301"/>
      <c r="B1267" s="372"/>
    </row>
    <row r="1268" spans="1:2">
      <c r="A1268" s="301"/>
      <c r="B1268" s="372"/>
    </row>
    <row r="1269" spans="1:2">
      <c r="A1269" s="301"/>
      <c r="B1269" s="372"/>
    </row>
    <row r="1270" spans="1:2">
      <c r="A1270" s="301"/>
      <c r="B1270" s="372"/>
    </row>
    <row r="1271" spans="1:2">
      <c r="A1271" s="301"/>
      <c r="B1271" s="372"/>
    </row>
    <row r="1272" spans="1:2">
      <c r="A1272" s="301"/>
      <c r="B1272" s="372"/>
    </row>
    <row r="1273" spans="1:2">
      <c r="A1273" s="301"/>
      <c r="B1273" s="372"/>
    </row>
    <row r="1274" spans="1:2">
      <c r="A1274" s="301"/>
      <c r="B1274" s="372"/>
    </row>
    <row r="1275" spans="1:2">
      <c r="A1275" s="301"/>
      <c r="B1275" s="372"/>
    </row>
    <row r="1276" spans="1:2">
      <c r="A1276" s="301"/>
      <c r="B1276" s="372"/>
    </row>
    <row r="1277" spans="1:2">
      <c r="A1277" s="301"/>
      <c r="B1277" s="372"/>
    </row>
    <row r="1278" spans="1:2">
      <c r="A1278" s="301"/>
      <c r="B1278" s="372"/>
    </row>
    <row r="1279" spans="1:2">
      <c r="A1279" s="301"/>
      <c r="B1279" s="372"/>
    </row>
    <row r="1280" spans="1:2">
      <c r="A1280" s="301"/>
      <c r="B1280" s="372"/>
    </row>
    <row r="1281" spans="1:2">
      <c r="A1281" s="301"/>
      <c r="B1281" s="372"/>
    </row>
    <row r="1282" spans="1:2">
      <c r="A1282" s="301"/>
      <c r="B1282" s="372"/>
    </row>
    <row r="1283" spans="1:2">
      <c r="A1283" s="301"/>
      <c r="B1283" s="372"/>
    </row>
    <row r="1284" spans="1:2">
      <c r="A1284" s="301"/>
      <c r="B1284" s="372"/>
    </row>
    <row r="1285" spans="1:2">
      <c r="A1285" s="301"/>
      <c r="B1285" s="372"/>
    </row>
    <row r="1286" spans="1:2">
      <c r="A1286" s="301"/>
      <c r="B1286" s="372"/>
    </row>
    <row r="1287" spans="1:2">
      <c r="A1287" s="301"/>
      <c r="B1287" s="372"/>
    </row>
    <row r="1288" spans="1:2">
      <c r="A1288" s="301"/>
      <c r="B1288" s="372"/>
    </row>
    <row r="1289" spans="1:2">
      <c r="A1289" s="301"/>
      <c r="B1289" s="372"/>
    </row>
    <row r="1290" spans="1:2">
      <c r="A1290" s="301"/>
      <c r="B1290" s="372"/>
    </row>
    <row r="1291" spans="1:2">
      <c r="A1291" s="301"/>
      <c r="B1291" s="372"/>
    </row>
    <row r="1292" spans="1:2">
      <c r="A1292" s="301"/>
      <c r="B1292" s="372"/>
    </row>
    <row r="1293" spans="1:2">
      <c r="A1293" s="301"/>
      <c r="B1293" s="372"/>
    </row>
    <row r="1294" spans="1:2">
      <c r="A1294" s="301"/>
      <c r="B1294" s="372"/>
    </row>
    <row r="1295" spans="1:2">
      <c r="A1295" s="301"/>
      <c r="B1295" s="372"/>
    </row>
    <row r="1296" spans="1:2">
      <c r="A1296" s="301"/>
      <c r="B1296" s="372"/>
    </row>
    <row r="1297" spans="1:2">
      <c r="A1297" s="301"/>
      <c r="B1297" s="372"/>
    </row>
    <row r="1298" spans="1:2">
      <c r="A1298" s="301"/>
      <c r="B1298" s="372"/>
    </row>
    <row r="1299" spans="1:2">
      <c r="A1299" s="301"/>
      <c r="B1299" s="37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/>
  <dimension ref="A1:W58"/>
  <sheetViews>
    <sheetView workbookViewId="0">
      <selection activeCell="U2" sqref="U2:W2"/>
    </sheetView>
  </sheetViews>
  <sheetFormatPr baseColWidth="10" defaultRowHeight="14.25"/>
  <cols>
    <col min="1" max="1" width="11" style="149" customWidth="1"/>
    <col min="2" max="8" width="11" style="149"/>
    <col min="9" max="9" width="11.75" style="149" customWidth="1"/>
    <col min="10" max="17" width="11" style="149"/>
    <col min="18" max="18" width="12.5" style="149" customWidth="1"/>
    <col min="19" max="19" width="20.5" style="149" customWidth="1"/>
    <col min="20" max="20" width="13.375" style="149" customWidth="1"/>
    <col min="21" max="21" width="15.625" style="149" customWidth="1"/>
    <col min="22" max="22" width="11" style="149"/>
    <col min="23" max="23" width="9.875" style="149" customWidth="1"/>
    <col min="24" max="16384" width="11" style="149"/>
  </cols>
  <sheetData>
    <row r="1" spans="1:23">
      <c r="A1" s="149" t="s">
        <v>0</v>
      </c>
      <c r="B1" s="149" t="s">
        <v>332</v>
      </c>
      <c r="C1" s="149" t="s">
        <v>333</v>
      </c>
      <c r="D1" s="149" t="s">
        <v>29</v>
      </c>
      <c r="E1" s="149" t="s">
        <v>334</v>
      </c>
      <c r="F1" s="149" t="s">
        <v>335</v>
      </c>
      <c r="G1" s="149" t="s">
        <v>336</v>
      </c>
      <c r="H1" s="149" t="s">
        <v>315</v>
      </c>
      <c r="I1" s="149" t="s">
        <v>345</v>
      </c>
      <c r="J1" s="149" t="s">
        <v>337</v>
      </c>
      <c r="K1" s="149" t="s">
        <v>338</v>
      </c>
      <c r="L1" s="149" t="s">
        <v>346</v>
      </c>
      <c r="M1" s="149" t="s">
        <v>106</v>
      </c>
      <c r="N1" s="149" t="s">
        <v>347</v>
      </c>
      <c r="O1" s="149" t="s">
        <v>348</v>
      </c>
      <c r="P1" s="149" t="s">
        <v>349</v>
      </c>
      <c r="Q1" s="149" t="s">
        <v>343</v>
      </c>
      <c r="R1" s="149" t="s">
        <v>344</v>
      </c>
      <c r="S1" s="149" t="s">
        <v>350</v>
      </c>
      <c r="T1" s="149" t="s">
        <v>351</v>
      </c>
      <c r="U1" s="149" t="str">
        <f>+VLOOKUP($I1,[2]BaseCompleta!$D:$AF,29,FALSE)</f>
        <v>NomEmi</v>
      </c>
      <c r="V1" s="149" t="s">
        <v>344</v>
      </c>
      <c r="W1" s="149" t="s">
        <v>352</v>
      </c>
    </row>
    <row r="2" spans="1:23">
      <c r="A2" s="103" t="s">
        <v>397</v>
      </c>
      <c r="B2" s="149">
        <v>54</v>
      </c>
      <c r="D2" s="149">
        <v>66</v>
      </c>
      <c r="E2" s="149">
        <v>4</v>
      </c>
      <c r="F2" s="149" t="s">
        <v>1385</v>
      </c>
      <c r="G2" s="149">
        <v>70528</v>
      </c>
      <c r="H2" s="149" t="s">
        <v>22</v>
      </c>
      <c r="I2" s="149" t="s">
        <v>174</v>
      </c>
      <c r="J2" s="149" t="s">
        <v>1064</v>
      </c>
      <c r="K2" s="149" t="s">
        <v>338</v>
      </c>
      <c r="L2" s="149">
        <v>80000000</v>
      </c>
      <c r="M2" s="149" t="s">
        <v>1303</v>
      </c>
      <c r="N2" s="149">
        <v>182</v>
      </c>
      <c r="O2" s="149">
        <v>0.3</v>
      </c>
      <c r="P2" s="149">
        <v>78570025.599999994</v>
      </c>
      <c r="R2" s="149" t="s">
        <v>1395</v>
      </c>
      <c r="S2" s="149" t="s">
        <v>1396</v>
      </c>
      <c r="T2" s="149" t="s">
        <v>1397</v>
      </c>
      <c r="U2" s="149" t="str">
        <f>+VLOOKUP($I2,[2]BaseCompleta!$D:$AF,29,FALSE)</f>
        <v>Banco Ripley</v>
      </c>
      <c r="V2" s="149">
        <f>+IF(E2=0,0,P2)</f>
        <v>78570025.599999994</v>
      </c>
      <c r="W2" s="149">
        <f>+IF(C2=0,0,P2)</f>
        <v>0</v>
      </c>
    </row>
    <row r="3" spans="1:23">
      <c r="A3" s="103" t="s">
        <v>397</v>
      </c>
      <c r="B3" s="149">
        <v>43</v>
      </c>
      <c r="D3" s="149">
        <v>58</v>
      </c>
      <c r="E3" s="149">
        <v>3</v>
      </c>
      <c r="F3" s="149" t="s">
        <v>1082</v>
      </c>
      <c r="G3" s="149">
        <v>70708</v>
      </c>
      <c r="H3" s="149" t="s">
        <v>22</v>
      </c>
      <c r="I3" s="149" t="s">
        <v>23</v>
      </c>
      <c r="J3" s="149" t="s">
        <v>1064</v>
      </c>
      <c r="K3" s="149" t="s">
        <v>338</v>
      </c>
      <c r="L3" s="149">
        <v>100000000</v>
      </c>
      <c r="M3" s="149" t="s">
        <v>1303</v>
      </c>
      <c r="N3" s="149">
        <v>19</v>
      </c>
      <c r="O3" s="149">
        <v>0.26</v>
      </c>
      <c r="P3" s="149">
        <v>99835604</v>
      </c>
      <c r="R3" s="149" t="s">
        <v>161</v>
      </c>
      <c r="S3" s="149" t="s">
        <v>1304</v>
      </c>
      <c r="T3" s="149" t="s">
        <v>1398</v>
      </c>
      <c r="U3" s="218" t="str">
        <f>+VLOOKUP($I3,[2]BaseCompleta!$D:$AF,29,FALSE)</f>
        <v>Scotiabank</v>
      </c>
      <c r="V3" s="218">
        <f t="shared" ref="V3:V32" si="0">+IF(E3=0,0,P3)</f>
        <v>99835604</v>
      </c>
      <c r="W3" s="218">
        <f t="shared" ref="W3:W32" si="1">+IF(C3=0,0,P3)</f>
        <v>0</v>
      </c>
    </row>
    <row r="4" spans="1:23">
      <c r="A4" s="103" t="s">
        <v>397</v>
      </c>
      <c r="B4" s="149">
        <v>43</v>
      </c>
      <c r="D4" s="149">
        <v>58</v>
      </c>
      <c r="E4" s="149">
        <v>3</v>
      </c>
      <c r="F4" s="149" t="s">
        <v>1082</v>
      </c>
      <c r="G4" s="149">
        <v>70709</v>
      </c>
      <c r="H4" s="149" t="s">
        <v>22</v>
      </c>
      <c r="I4" s="149" t="s">
        <v>23</v>
      </c>
      <c r="J4" s="149" t="s">
        <v>1064</v>
      </c>
      <c r="K4" s="149" t="s">
        <v>338</v>
      </c>
      <c r="L4" s="149">
        <v>100000000</v>
      </c>
      <c r="M4" s="149" t="s">
        <v>1303</v>
      </c>
      <c r="N4" s="149">
        <v>19</v>
      </c>
      <c r="O4" s="149">
        <v>0.26</v>
      </c>
      <c r="P4" s="149">
        <v>99835604</v>
      </c>
      <c r="R4" s="149" t="s">
        <v>161</v>
      </c>
      <c r="S4" s="149" t="s">
        <v>1304</v>
      </c>
      <c r="T4" s="149" t="s">
        <v>1398</v>
      </c>
      <c r="U4" s="218" t="str">
        <f>+VLOOKUP($I4,[2]BaseCompleta!$D:$AF,29,FALSE)</f>
        <v>Scotiabank</v>
      </c>
      <c r="V4" s="218">
        <f t="shared" si="0"/>
        <v>99835604</v>
      </c>
      <c r="W4" s="218">
        <f t="shared" si="1"/>
        <v>0</v>
      </c>
    </row>
    <row r="5" spans="1:23">
      <c r="A5" s="103" t="s">
        <v>397</v>
      </c>
      <c r="B5" s="149">
        <v>43</v>
      </c>
      <c r="D5" s="149">
        <v>58</v>
      </c>
      <c r="E5" s="149">
        <v>3</v>
      </c>
      <c r="F5" s="149" t="s">
        <v>1082</v>
      </c>
      <c r="G5" s="149">
        <v>70710</v>
      </c>
      <c r="H5" s="149" t="s">
        <v>22</v>
      </c>
      <c r="I5" s="149" t="s">
        <v>23</v>
      </c>
      <c r="J5" s="149" t="s">
        <v>1064</v>
      </c>
      <c r="K5" s="149" t="s">
        <v>338</v>
      </c>
      <c r="L5" s="149">
        <v>100000000</v>
      </c>
      <c r="M5" s="149" t="s">
        <v>1303</v>
      </c>
      <c r="N5" s="149">
        <v>19</v>
      </c>
      <c r="O5" s="149">
        <v>0.26</v>
      </c>
      <c r="P5" s="149">
        <v>99835604</v>
      </c>
      <c r="R5" s="149" t="s">
        <v>234</v>
      </c>
      <c r="S5" s="149" t="s">
        <v>1304</v>
      </c>
      <c r="T5" s="149" t="s">
        <v>1398</v>
      </c>
      <c r="U5" s="218" t="str">
        <f>+VLOOKUP($I5,[2]BaseCompleta!$D:$AF,29,FALSE)</f>
        <v>Scotiabank</v>
      </c>
      <c r="V5" s="218">
        <f t="shared" si="0"/>
        <v>99835604</v>
      </c>
      <c r="W5" s="218">
        <f t="shared" si="1"/>
        <v>0</v>
      </c>
    </row>
    <row r="6" spans="1:23">
      <c r="A6" s="103" t="s">
        <v>397</v>
      </c>
      <c r="B6" s="149">
        <v>43</v>
      </c>
      <c r="D6" s="149">
        <v>58</v>
      </c>
      <c r="E6" s="149">
        <v>3</v>
      </c>
      <c r="F6" s="149" t="s">
        <v>1082</v>
      </c>
      <c r="G6" s="149">
        <v>70711</v>
      </c>
      <c r="H6" s="149" t="s">
        <v>22</v>
      </c>
      <c r="I6" s="149" t="s">
        <v>23</v>
      </c>
      <c r="J6" s="149" t="s">
        <v>1064</v>
      </c>
      <c r="K6" s="149" t="s">
        <v>338</v>
      </c>
      <c r="L6" s="149">
        <v>100000000</v>
      </c>
      <c r="M6" s="149" t="s">
        <v>1303</v>
      </c>
      <c r="N6" s="149">
        <v>19</v>
      </c>
      <c r="O6" s="149">
        <v>0.26</v>
      </c>
      <c r="P6" s="149">
        <v>99835604</v>
      </c>
      <c r="R6" s="149" t="s">
        <v>234</v>
      </c>
      <c r="S6" s="149" t="s">
        <v>1304</v>
      </c>
      <c r="T6" s="149" t="s">
        <v>1398</v>
      </c>
      <c r="U6" s="218" t="str">
        <f>+VLOOKUP($I6,[2]BaseCompleta!$D:$AF,29,FALSE)</f>
        <v>Scotiabank</v>
      </c>
      <c r="V6" s="218">
        <f t="shared" si="0"/>
        <v>99835604</v>
      </c>
      <c r="W6" s="218">
        <f t="shared" si="1"/>
        <v>0</v>
      </c>
    </row>
    <row r="7" spans="1:23">
      <c r="A7" s="103" t="s">
        <v>397</v>
      </c>
      <c r="B7" s="149">
        <v>54</v>
      </c>
      <c r="D7" s="149">
        <v>58</v>
      </c>
      <c r="E7" s="149">
        <v>3</v>
      </c>
      <c r="F7" s="149" t="s">
        <v>1082</v>
      </c>
      <c r="G7" s="149">
        <v>70903</v>
      </c>
      <c r="H7" s="149" t="s">
        <v>22</v>
      </c>
      <c r="I7" s="149" t="s">
        <v>58</v>
      </c>
      <c r="J7" s="149" t="s">
        <v>1064</v>
      </c>
      <c r="K7" s="149" t="s">
        <v>338</v>
      </c>
      <c r="L7" s="149">
        <v>150000000</v>
      </c>
      <c r="M7" s="149" t="s">
        <v>1303</v>
      </c>
      <c r="N7" s="149">
        <v>92</v>
      </c>
      <c r="O7" s="149">
        <v>0.28000000000000003</v>
      </c>
      <c r="P7" s="149">
        <v>148722965</v>
      </c>
      <c r="R7" s="149" t="s">
        <v>234</v>
      </c>
      <c r="S7" s="149" t="s">
        <v>1399</v>
      </c>
      <c r="T7" s="149" t="s">
        <v>1400</v>
      </c>
      <c r="U7" s="218" t="str">
        <f>+VLOOKUP($I7,[2]BaseCompleta!$D:$AF,29,FALSE)</f>
        <v>COOPEUCH</v>
      </c>
      <c r="V7" s="218">
        <f t="shared" si="0"/>
        <v>148722965</v>
      </c>
      <c r="W7" s="218">
        <f t="shared" si="1"/>
        <v>0</v>
      </c>
    </row>
    <row r="8" spans="1:23">
      <c r="A8" s="149" t="s">
        <v>397</v>
      </c>
      <c r="B8" s="149">
        <v>54</v>
      </c>
      <c r="D8" s="149">
        <v>58</v>
      </c>
      <c r="E8" s="149">
        <v>3</v>
      </c>
      <c r="F8" s="149" t="s">
        <v>1082</v>
      </c>
      <c r="G8" s="149">
        <v>70904</v>
      </c>
      <c r="H8" s="149" t="s">
        <v>22</v>
      </c>
      <c r="I8" s="149" t="s">
        <v>58</v>
      </c>
      <c r="J8" s="149" t="s">
        <v>1064</v>
      </c>
      <c r="K8" s="149" t="s">
        <v>338</v>
      </c>
      <c r="L8" s="149">
        <v>50000000</v>
      </c>
      <c r="M8" s="149" t="s">
        <v>1303</v>
      </c>
      <c r="N8" s="149">
        <v>92</v>
      </c>
      <c r="O8" s="149">
        <v>0.28000000000000003</v>
      </c>
      <c r="P8" s="149">
        <v>49574321.666666701</v>
      </c>
      <c r="R8" s="149" t="s">
        <v>298</v>
      </c>
      <c r="S8" s="149" t="s">
        <v>1399</v>
      </c>
      <c r="T8" s="149" t="s">
        <v>1400</v>
      </c>
      <c r="U8" s="218" t="str">
        <f>+VLOOKUP($I8,[2]BaseCompleta!$D:$AF,29,FALSE)</f>
        <v>COOPEUCH</v>
      </c>
      <c r="V8" s="218">
        <f t="shared" si="0"/>
        <v>49574321.666666701</v>
      </c>
      <c r="W8" s="218">
        <f t="shared" si="1"/>
        <v>0</v>
      </c>
    </row>
    <row r="9" spans="1:23">
      <c r="A9" s="149" t="s">
        <v>397</v>
      </c>
      <c r="B9" s="149">
        <v>54</v>
      </c>
      <c r="D9" s="149">
        <v>58</v>
      </c>
      <c r="E9" s="149">
        <v>3</v>
      </c>
      <c r="F9" s="149" t="s">
        <v>1082</v>
      </c>
      <c r="G9" s="149">
        <v>70905</v>
      </c>
      <c r="H9" s="149" t="s">
        <v>22</v>
      </c>
      <c r="I9" s="149" t="s">
        <v>58</v>
      </c>
      <c r="J9" s="149" t="s">
        <v>1064</v>
      </c>
      <c r="K9" s="149" t="s">
        <v>338</v>
      </c>
      <c r="L9" s="149">
        <v>150000000</v>
      </c>
      <c r="M9" s="149" t="s">
        <v>1303</v>
      </c>
      <c r="N9" s="149">
        <v>92</v>
      </c>
      <c r="O9" s="149">
        <v>0.28000000000000003</v>
      </c>
      <c r="P9" s="149">
        <v>148722965</v>
      </c>
      <c r="R9" s="149" t="s">
        <v>234</v>
      </c>
      <c r="S9" s="149" t="s">
        <v>1399</v>
      </c>
      <c r="T9" s="149" t="s">
        <v>1400</v>
      </c>
      <c r="U9" s="218" t="str">
        <f>+VLOOKUP($I9,[2]BaseCompleta!$D:$AF,29,FALSE)</f>
        <v>COOPEUCH</v>
      </c>
      <c r="V9" s="218">
        <f t="shared" si="0"/>
        <v>148722965</v>
      </c>
      <c r="W9" s="218">
        <f t="shared" si="1"/>
        <v>0</v>
      </c>
    </row>
    <row r="10" spans="1:23">
      <c r="A10" s="149" t="s">
        <v>397</v>
      </c>
      <c r="B10" s="149">
        <v>54</v>
      </c>
      <c r="D10" s="149">
        <v>58</v>
      </c>
      <c r="E10" s="149">
        <v>3</v>
      </c>
      <c r="F10" s="149" t="s">
        <v>1082</v>
      </c>
      <c r="G10" s="149">
        <v>70906</v>
      </c>
      <c r="H10" s="149" t="s">
        <v>22</v>
      </c>
      <c r="I10" s="149" t="s">
        <v>58</v>
      </c>
      <c r="J10" s="149" t="s">
        <v>1064</v>
      </c>
      <c r="K10" s="149" t="s">
        <v>338</v>
      </c>
      <c r="L10" s="149">
        <v>150000000</v>
      </c>
      <c r="M10" s="149" t="s">
        <v>1303</v>
      </c>
      <c r="N10" s="149">
        <v>92</v>
      </c>
      <c r="O10" s="149">
        <v>0.28000000000000003</v>
      </c>
      <c r="P10" s="149">
        <v>148722965</v>
      </c>
      <c r="R10" s="149" t="s">
        <v>234</v>
      </c>
      <c r="S10" s="149" t="s">
        <v>1399</v>
      </c>
      <c r="T10" s="149" t="s">
        <v>1400</v>
      </c>
      <c r="U10" s="218" t="str">
        <f>+VLOOKUP($I10,[2]BaseCompleta!$D:$AF,29,FALSE)</f>
        <v>COOPEUCH</v>
      </c>
      <c r="V10" s="218">
        <f t="shared" si="0"/>
        <v>148722965</v>
      </c>
      <c r="W10" s="218">
        <f t="shared" si="1"/>
        <v>0</v>
      </c>
    </row>
    <row r="11" spans="1:23">
      <c r="A11" s="149" t="s">
        <v>397</v>
      </c>
      <c r="B11" s="149">
        <v>54</v>
      </c>
      <c r="D11" s="149">
        <v>58</v>
      </c>
      <c r="E11" s="149">
        <v>4</v>
      </c>
      <c r="F11" s="149" t="s">
        <v>1082</v>
      </c>
      <c r="G11" s="149">
        <v>70907</v>
      </c>
      <c r="H11" s="149" t="s">
        <v>22</v>
      </c>
      <c r="I11" s="149" t="s">
        <v>58</v>
      </c>
      <c r="J11" s="149" t="s">
        <v>1064</v>
      </c>
      <c r="K11" s="149" t="s">
        <v>338</v>
      </c>
      <c r="L11" s="149">
        <v>150000000</v>
      </c>
      <c r="M11" s="149" t="s">
        <v>1303</v>
      </c>
      <c r="N11" s="149">
        <v>92</v>
      </c>
      <c r="O11" s="149">
        <v>0.28000000000000003</v>
      </c>
      <c r="P11" s="149">
        <v>148722965</v>
      </c>
      <c r="R11" s="149" t="s">
        <v>234</v>
      </c>
      <c r="S11" s="149" t="s">
        <v>1399</v>
      </c>
      <c r="T11" s="149" t="s">
        <v>1400</v>
      </c>
      <c r="U11" s="218" t="str">
        <f>+VLOOKUP($I11,[2]BaseCompleta!$D:$AF,29,FALSE)</f>
        <v>COOPEUCH</v>
      </c>
      <c r="V11" s="218">
        <f t="shared" si="0"/>
        <v>148722965</v>
      </c>
      <c r="W11" s="218">
        <f t="shared" si="1"/>
        <v>0</v>
      </c>
    </row>
    <row r="12" spans="1:23">
      <c r="A12" s="149" t="s">
        <v>397</v>
      </c>
      <c r="B12" s="149">
        <v>82</v>
      </c>
      <c r="D12" s="149">
        <v>58</v>
      </c>
      <c r="E12" s="149">
        <v>3</v>
      </c>
      <c r="F12" s="149" t="s">
        <v>1082</v>
      </c>
      <c r="G12" s="149">
        <v>71023</v>
      </c>
      <c r="H12" s="149" t="s">
        <v>49</v>
      </c>
      <c r="I12" s="149" t="s">
        <v>70</v>
      </c>
      <c r="J12" s="149" t="s">
        <v>1064</v>
      </c>
      <c r="K12" s="149" t="s">
        <v>338</v>
      </c>
      <c r="L12" s="149">
        <v>401474</v>
      </c>
      <c r="M12" s="149" t="s">
        <v>1083</v>
      </c>
      <c r="N12" s="149">
        <v>132</v>
      </c>
      <c r="O12" s="149">
        <v>1</v>
      </c>
      <c r="P12" s="149">
        <v>400007.31</v>
      </c>
      <c r="R12" s="149" t="s">
        <v>300</v>
      </c>
      <c r="S12" s="149" t="s">
        <v>1401</v>
      </c>
      <c r="T12" s="149" t="s">
        <v>1402</v>
      </c>
      <c r="U12" s="218" t="str">
        <f>+VLOOKUP($I12,[2]BaseCompleta!$D:$AF,29,FALSE)</f>
        <v>BICE</v>
      </c>
      <c r="V12" s="218">
        <f t="shared" si="0"/>
        <v>400007.31</v>
      </c>
      <c r="W12" s="218">
        <f t="shared" si="1"/>
        <v>0</v>
      </c>
    </row>
    <row r="13" spans="1:23">
      <c r="A13" s="149" t="s">
        <v>397</v>
      </c>
      <c r="B13" s="149">
        <v>82</v>
      </c>
      <c r="D13" s="149">
        <v>58</v>
      </c>
      <c r="E13" s="149">
        <v>3</v>
      </c>
      <c r="F13" s="149" t="s">
        <v>1082</v>
      </c>
      <c r="G13" s="149">
        <v>71024</v>
      </c>
      <c r="H13" s="149" t="s">
        <v>49</v>
      </c>
      <c r="I13" s="149" t="s">
        <v>70</v>
      </c>
      <c r="J13" s="149" t="s">
        <v>1064</v>
      </c>
      <c r="K13" s="149" t="s">
        <v>338</v>
      </c>
      <c r="L13" s="149">
        <v>401474</v>
      </c>
      <c r="M13" s="149" t="s">
        <v>1083</v>
      </c>
      <c r="N13" s="149">
        <v>132</v>
      </c>
      <c r="O13" s="149">
        <v>1</v>
      </c>
      <c r="P13" s="149">
        <v>400007.31</v>
      </c>
      <c r="R13" s="149" t="s">
        <v>300</v>
      </c>
      <c r="S13" s="149" t="s">
        <v>1401</v>
      </c>
      <c r="T13" s="149" t="s">
        <v>1402</v>
      </c>
      <c r="U13" s="218" t="str">
        <f>+VLOOKUP($I13,[2]BaseCompleta!$D:$AF,29,FALSE)</f>
        <v>BICE</v>
      </c>
      <c r="V13" s="218">
        <f t="shared" si="0"/>
        <v>400007.31</v>
      </c>
      <c r="W13" s="218">
        <f t="shared" si="1"/>
        <v>0</v>
      </c>
    </row>
    <row r="14" spans="1:23">
      <c r="A14" s="149" t="s">
        <v>397</v>
      </c>
      <c r="B14" s="149">
        <v>82</v>
      </c>
      <c r="D14" s="149">
        <v>58</v>
      </c>
      <c r="E14" s="149">
        <v>3</v>
      </c>
      <c r="F14" s="149" t="s">
        <v>1082</v>
      </c>
      <c r="G14" s="149">
        <v>71025</v>
      </c>
      <c r="H14" s="149" t="s">
        <v>49</v>
      </c>
      <c r="I14" s="149" t="s">
        <v>70</v>
      </c>
      <c r="J14" s="149" t="s">
        <v>1064</v>
      </c>
      <c r="K14" s="149" t="s">
        <v>338</v>
      </c>
      <c r="L14" s="149">
        <v>401474</v>
      </c>
      <c r="M14" s="149" t="s">
        <v>1083</v>
      </c>
      <c r="N14" s="149">
        <v>132</v>
      </c>
      <c r="O14" s="149">
        <v>1</v>
      </c>
      <c r="P14" s="149">
        <v>400007.31</v>
      </c>
      <c r="R14" s="149" t="s">
        <v>300</v>
      </c>
      <c r="S14" s="149" t="s">
        <v>1401</v>
      </c>
      <c r="T14" s="149" t="s">
        <v>1402</v>
      </c>
      <c r="U14" s="218" t="str">
        <f>+VLOOKUP($I14,[2]BaseCompleta!$D:$AF,29,FALSE)</f>
        <v>BICE</v>
      </c>
      <c r="V14" s="218">
        <f t="shared" si="0"/>
        <v>400007.31</v>
      </c>
      <c r="W14" s="218">
        <f t="shared" si="1"/>
        <v>0</v>
      </c>
    </row>
    <row r="15" spans="1:23">
      <c r="A15" s="149" t="s">
        <v>397</v>
      </c>
      <c r="B15" s="149">
        <v>82</v>
      </c>
      <c r="D15" s="149">
        <v>58</v>
      </c>
      <c r="E15" s="149">
        <v>3</v>
      </c>
      <c r="F15" s="149" t="s">
        <v>1082</v>
      </c>
      <c r="G15" s="149">
        <v>71026</v>
      </c>
      <c r="H15" s="149" t="s">
        <v>49</v>
      </c>
      <c r="I15" s="149" t="s">
        <v>70</v>
      </c>
      <c r="J15" s="149" t="s">
        <v>1064</v>
      </c>
      <c r="K15" s="149" t="s">
        <v>338</v>
      </c>
      <c r="L15" s="149">
        <v>401474</v>
      </c>
      <c r="M15" s="149" t="s">
        <v>1083</v>
      </c>
      <c r="N15" s="149">
        <v>132</v>
      </c>
      <c r="O15" s="149">
        <v>1</v>
      </c>
      <c r="P15" s="149">
        <v>400007.31</v>
      </c>
      <c r="R15" s="149" t="s">
        <v>300</v>
      </c>
      <c r="S15" s="149" t="s">
        <v>1401</v>
      </c>
      <c r="T15" s="149" t="s">
        <v>1402</v>
      </c>
      <c r="U15" s="218" t="str">
        <f>+VLOOKUP($I15,[2]BaseCompleta!$D:$AF,29,FALSE)</f>
        <v>BICE</v>
      </c>
      <c r="V15" s="218">
        <f t="shared" si="0"/>
        <v>400007.31</v>
      </c>
      <c r="W15" s="218">
        <f t="shared" si="1"/>
        <v>0</v>
      </c>
    </row>
    <row r="16" spans="1:23">
      <c r="A16" s="149" t="s">
        <v>397</v>
      </c>
      <c r="B16" s="149">
        <v>82</v>
      </c>
      <c r="D16" s="149">
        <v>58</v>
      </c>
      <c r="E16" s="149">
        <v>3</v>
      </c>
      <c r="F16" s="149" t="s">
        <v>1082</v>
      </c>
      <c r="G16" s="149">
        <v>71027</v>
      </c>
      <c r="H16" s="149" t="s">
        <v>49</v>
      </c>
      <c r="I16" s="149" t="s">
        <v>70</v>
      </c>
      <c r="J16" s="149" t="s">
        <v>1064</v>
      </c>
      <c r="K16" s="149" t="s">
        <v>338</v>
      </c>
      <c r="L16" s="149">
        <v>401474</v>
      </c>
      <c r="M16" s="149" t="s">
        <v>1083</v>
      </c>
      <c r="N16" s="149">
        <v>132</v>
      </c>
      <c r="O16" s="149">
        <v>1</v>
      </c>
      <c r="P16" s="149">
        <v>400007.31</v>
      </c>
      <c r="R16" s="149" t="s">
        <v>300</v>
      </c>
      <c r="S16" s="149" t="s">
        <v>1401</v>
      </c>
      <c r="T16" s="149" t="s">
        <v>1402</v>
      </c>
      <c r="U16" s="218" t="str">
        <f>+VLOOKUP($I16,[2]BaseCompleta!$D:$AF,29,FALSE)</f>
        <v>BICE</v>
      </c>
      <c r="V16" s="218">
        <f t="shared" si="0"/>
        <v>400007.31</v>
      </c>
      <c r="W16" s="218">
        <f t="shared" si="1"/>
        <v>0</v>
      </c>
    </row>
    <row r="17" spans="1:23">
      <c r="A17" s="149" t="s">
        <v>397</v>
      </c>
      <c r="B17" s="149">
        <v>82</v>
      </c>
      <c r="D17" s="149">
        <v>58</v>
      </c>
      <c r="E17" s="149">
        <v>3</v>
      </c>
      <c r="F17" s="149" t="s">
        <v>1082</v>
      </c>
      <c r="G17" s="149">
        <v>71028</v>
      </c>
      <c r="H17" s="149" t="s">
        <v>49</v>
      </c>
      <c r="I17" s="149" t="s">
        <v>70</v>
      </c>
      <c r="J17" s="149" t="s">
        <v>1064</v>
      </c>
      <c r="K17" s="149" t="s">
        <v>338</v>
      </c>
      <c r="L17" s="149">
        <v>401474</v>
      </c>
      <c r="M17" s="149" t="s">
        <v>1083</v>
      </c>
      <c r="N17" s="149">
        <v>132</v>
      </c>
      <c r="O17" s="149">
        <v>1</v>
      </c>
      <c r="P17" s="149">
        <v>400007.31</v>
      </c>
      <c r="R17" s="149" t="s">
        <v>300</v>
      </c>
      <c r="S17" s="149" t="s">
        <v>1401</v>
      </c>
      <c r="T17" s="149" t="s">
        <v>1402</v>
      </c>
      <c r="U17" s="218" t="str">
        <f>+VLOOKUP($I17,[2]BaseCompleta!$D:$AF,29,FALSE)</f>
        <v>BICE</v>
      </c>
      <c r="V17" s="218">
        <f t="shared" si="0"/>
        <v>400007.31</v>
      </c>
      <c r="W17" s="218">
        <f t="shared" si="1"/>
        <v>0</v>
      </c>
    </row>
    <row r="18" spans="1:23">
      <c r="A18" s="149" t="s">
        <v>397</v>
      </c>
      <c r="B18" s="149">
        <v>58</v>
      </c>
      <c r="C18" s="149">
        <v>3</v>
      </c>
      <c r="D18" s="149">
        <v>58</v>
      </c>
      <c r="F18" s="149" t="s">
        <v>1403</v>
      </c>
      <c r="G18" s="149">
        <v>71229</v>
      </c>
      <c r="H18" s="149" t="s">
        <v>22</v>
      </c>
      <c r="I18" s="149" t="s">
        <v>55</v>
      </c>
      <c r="J18" s="149" t="s">
        <v>1064</v>
      </c>
      <c r="K18" s="149" t="s">
        <v>338</v>
      </c>
      <c r="L18" s="149">
        <v>100750000</v>
      </c>
      <c r="M18" s="149" t="s">
        <v>1303</v>
      </c>
      <c r="N18" s="149">
        <v>37</v>
      </c>
      <c r="O18" s="149">
        <v>0.27</v>
      </c>
      <c r="P18" s="149">
        <v>100415616</v>
      </c>
      <c r="Q18" s="149" t="s">
        <v>260</v>
      </c>
      <c r="S18" s="149" t="s">
        <v>1404</v>
      </c>
      <c r="T18" s="149" t="s">
        <v>1405</v>
      </c>
      <c r="U18" s="218" t="str">
        <f>+VLOOKUP($I18,[2]BaseCompleta!$D:$AF,29,FALSE)</f>
        <v>BCI</v>
      </c>
      <c r="V18" s="218">
        <f t="shared" si="0"/>
        <v>0</v>
      </c>
      <c r="W18" s="218">
        <f t="shared" si="1"/>
        <v>100415616</v>
      </c>
    </row>
    <row r="19" spans="1:23">
      <c r="A19" s="149" t="s">
        <v>397</v>
      </c>
      <c r="B19" s="149">
        <v>58</v>
      </c>
      <c r="C19" s="149">
        <v>3</v>
      </c>
      <c r="D19" s="149">
        <v>35</v>
      </c>
      <c r="F19" s="149" t="s">
        <v>1403</v>
      </c>
      <c r="G19" s="149">
        <v>71230</v>
      </c>
      <c r="H19" s="149" t="s">
        <v>22</v>
      </c>
      <c r="I19" s="149" t="s">
        <v>55</v>
      </c>
      <c r="J19" s="149" t="s">
        <v>1064</v>
      </c>
      <c r="K19" s="149" t="s">
        <v>338</v>
      </c>
      <c r="L19" s="149">
        <v>100750000</v>
      </c>
      <c r="M19" s="149" t="s">
        <v>1303</v>
      </c>
      <c r="N19" s="149">
        <v>37</v>
      </c>
      <c r="O19" s="149">
        <v>0.27</v>
      </c>
      <c r="P19" s="149">
        <v>100415616</v>
      </c>
      <c r="Q19" s="149" t="s">
        <v>260</v>
      </c>
      <c r="S19" s="149" t="s">
        <v>1404</v>
      </c>
      <c r="T19" s="149" t="s">
        <v>1405</v>
      </c>
      <c r="U19" s="218" t="str">
        <f>+VLOOKUP($I19,[2]BaseCompleta!$D:$AF,29,FALSE)</f>
        <v>BCI</v>
      </c>
      <c r="V19" s="218">
        <f t="shared" si="0"/>
        <v>0</v>
      </c>
      <c r="W19" s="218">
        <f t="shared" si="1"/>
        <v>100415616</v>
      </c>
    </row>
    <row r="20" spans="1:23">
      <c r="A20" s="149" t="s">
        <v>397</v>
      </c>
      <c r="B20" s="149">
        <v>58</v>
      </c>
      <c r="C20" s="149">
        <v>3</v>
      </c>
      <c r="D20" s="149">
        <v>35</v>
      </c>
      <c r="F20" s="149" t="s">
        <v>1403</v>
      </c>
      <c r="G20" s="149">
        <v>71231</v>
      </c>
      <c r="H20" s="149" t="s">
        <v>22</v>
      </c>
      <c r="I20" s="149" t="s">
        <v>55</v>
      </c>
      <c r="J20" s="149" t="s">
        <v>1064</v>
      </c>
      <c r="K20" s="149" t="s">
        <v>338</v>
      </c>
      <c r="L20" s="149">
        <v>100750000</v>
      </c>
      <c r="M20" s="149" t="s">
        <v>1303</v>
      </c>
      <c r="N20" s="149">
        <v>37</v>
      </c>
      <c r="O20" s="149">
        <v>0.27</v>
      </c>
      <c r="P20" s="149">
        <v>100415616</v>
      </c>
      <c r="Q20" s="149" t="s">
        <v>260</v>
      </c>
      <c r="S20" s="149" t="s">
        <v>1404</v>
      </c>
      <c r="T20" s="149" t="s">
        <v>1405</v>
      </c>
      <c r="U20" s="218" t="str">
        <f>+VLOOKUP($I20,[2]BaseCompleta!$D:$AF,29,FALSE)</f>
        <v>BCI</v>
      </c>
      <c r="V20" s="218">
        <f t="shared" si="0"/>
        <v>0</v>
      </c>
      <c r="W20" s="218">
        <f t="shared" si="1"/>
        <v>100415616</v>
      </c>
    </row>
    <row r="21" spans="1:23">
      <c r="A21" s="149" t="s">
        <v>397</v>
      </c>
      <c r="B21" s="149">
        <v>58</v>
      </c>
      <c r="C21" s="149">
        <v>3</v>
      </c>
      <c r="D21" s="149">
        <v>35</v>
      </c>
      <c r="F21" s="149" t="s">
        <v>1403</v>
      </c>
      <c r="G21" s="149">
        <v>71232</v>
      </c>
      <c r="H21" s="149" t="s">
        <v>22</v>
      </c>
      <c r="I21" s="149" t="s">
        <v>55</v>
      </c>
      <c r="J21" s="149" t="s">
        <v>1064</v>
      </c>
      <c r="K21" s="149" t="s">
        <v>338</v>
      </c>
      <c r="L21" s="149">
        <v>100750000</v>
      </c>
      <c r="M21" s="149" t="s">
        <v>1303</v>
      </c>
      <c r="N21" s="149">
        <v>37</v>
      </c>
      <c r="O21" s="149">
        <v>0.27</v>
      </c>
      <c r="P21" s="149">
        <v>100415616</v>
      </c>
      <c r="Q21" s="149" t="s">
        <v>260</v>
      </c>
      <c r="S21" s="149" t="s">
        <v>1404</v>
      </c>
      <c r="T21" s="149" t="s">
        <v>1405</v>
      </c>
      <c r="U21" s="218" t="str">
        <f>+VLOOKUP($I21,[2]BaseCompleta!$D:$AF,29,FALSE)</f>
        <v>BCI</v>
      </c>
      <c r="V21" s="218">
        <f t="shared" si="0"/>
        <v>0</v>
      </c>
      <c r="W21" s="218">
        <f t="shared" si="1"/>
        <v>100415616</v>
      </c>
    </row>
    <row r="22" spans="1:23">
      <c r="A22" s="149" t="s">
        <v>397</v>
      </c>
      <c r="B22" s="149">
        <v>66</v>
      </c>
      <c r="C22" s="149">
        <v>4</v>
      </c>
      <c r="D22" s="149">
        <v>66</v>
      </c>
      <c r="E22" s="149">
        <v>4</v>
      </c>
      <c r="F22" s="149" t="s">
        <v>1390</v>
      </c>
      <c r="G22" s="149">
        <v>160065</v>
      </c>
      <c r="H22" s="149" t="s">
        <v>22</v>
      </c>
      <c r="I22" s="149" t="s">
        <v>164</v>
      </c>
      <c r="J22" s="149" t="s">
        <v>1406</v>
      </c>
      <c r="K22" s="149" t="s">
        <v>338</v>
      </c>
      <c r="L22" s="149">
        <v>100000000</v>
      </c>
      <c r="M22" s="149" t="s">
        <v>1303</v>
      </c>
      <c r="N22" s="149">
        <v>19</v>
      </c>
      <c r="O22" s="149">
        <v>0.26</v>
      </c>
      <c r="P22" s="149">
        <v>99835604</v>
      </c>
      <c r="Q22" s="149" t="s">
        <v>4</v>
      </c>
      <c r="R22" s="149" t="s">
        <v>298</v>
      </c>
      <c r="S22" s="149" t="s">
        <v>1407</v>
      </c>
      <c r="T22" s="149" t="s">
        <v>1235</v>
      </c>
      <c r="U22" s="218" t="str">
        <f>+VLOOKUP($I22,[2]BaseCompleta!$D:$AF,29,FALSE)</f>
        <v>Banco Santander</v>
      </c>
      <c r="V22" s="218">
        <f t="shared" si="0"/>
        <v>99835604</v>
      </c>
      <c r="W22" s="218">
        <f t="shared" si="1"/>
        <v>99835604</v>
      </c>
    </row>
    <row r="23" spans="1:23">
      <c r="A23" s="149" t="s">
        <v>397</v>
      </c>
      <c r="B23" s="149">
        <v>66</v>
      </c>
      <c r="C23" s="149">
        <v>4</v>
      </c>
      <c r="D23" s="149">
        <v>66</v>
      </c>
      <c r="E23" s="149">
        <v>4</v>
      </c>
      <c r="F23" s="149" t="s">
        <v>1390</v>
      </c>
      <c r="G23" s="149">
        <v>160068</v>
      </c>
      <c r="H23" s="149" t="s">
        <v>22</v>
      </c>
      <c r="I23" s="149" t="s">
        <v>55</v>
      </c>
      <c r="J23" s="149" t="s">
        <v>1406</v>
      </c>
      <c r="K23" s="149" t="s">
        <v>338</v>
      </c>
      <c r="L23" s="149">
        <v>15000000</v>
      </c>
      <c r="M23" s="149" t="s">
        <v>1303</v>
      </c>
      <c r="N23" s="149">
        <v>16</v>
      </c>
      <c r="O23" s="149">
        <v>0.26</v>
      </c>
      <c r="P23" s="149">
        <v>14979229</v>
      </c>
      <c r="Q23" s="149" t="s">
        <v>4</v>
      </c>
      <c r="R23" s="149" t="s">
        <v>298</v>
      </c>
      <c r="S23" s="149" t="s">
        <v>1404</v>
      </c>
      <c r="T23" s="149" t="s">
        <v>1204</v>
      </c>
      <c r="U23" s="218" t="str">
        <f>+VLOOKUP($I23,[2]BaseCompleta!$D:$AF,29,FALSE)</f>
        <v>BCI</v>
      </c>
      <c r="V23" s="218">
        <f t="shared" si="0"/>
        <v>14979229</v>
      </c>
      <c r="W23" s="218">
        <f t="shared" si="1"/>
        <v>14979229</v>
      </c>
    </row>
    <row r="24" spans="1:23">
      <c r="A24" s="149" t="s">
        <v>397</v>
      </c>
      <c r="B24" s="149">
        <v>66</v>
      </c>
      <c r="C24" s="149">
        <v>3</v>
      </c>
      <c r="D24" s="149">
        <v>66</v>
      </c>
      <c r="E24" s="149">
        <v>3</v>
      </c>
      <c r="F24" s="149" t="s">
        <v>1390</v>
      </c>
      <c r="G24" s="149">
        <v>160078</v>
      </c>
      <c r="H24" s="149" t="s">
        <v>22</v>
      </c>
      <c r="I24" s="149" t="s">
        <v>54</v>
      </c>
      <c r="J24" s="149" t="s">
        <v>1406</v>
      </c>
      <c r="K24" s="149" t="s">
        <v>338</v>
      </c>
      <c r="L24" s="149">
        <v>150000000</v>
      </c>
      <c r="M24" s="149" t="s">
        <v>1303</v>
      </c>
      <c r="N24" s="149">
        <v>15</v>
      </c>
      <c r="O24" s="149">
        <v>0.26</v>
      </c>
      <c r="P24" s="149">
        <v>149805253</v>
      </c>
      <c r="Q24" s="149" t="s">
        <v>260</v>
      </c>
      <c r="R24" s="149" t="s">
        <v>161</v>
      </c>
      <c r="S24" s="149" t="s">
        <v>1408</v>
      </c>
      <c r="T24" s="149" t="s">
        <v>1179</v>
      </c>
      <c r="U24" s="218" t="str">
        <f>+VLOOKUP($I24,[2]BaseCompleta!$D:$AF,29,FALSE)</f>
        <v>BBVA</v>
      </c>
      <c r="V24" s="218">
        <f t="shared" si="0"/>
        <v>149805253</v>
      </c>
      <c r="W24" s="218">
        <f t="shared" si="1"/>
        <v>149805253</v>
      </c>
    </row>
    <row r="25" spans="1:23">
      <c r="A25" s="149" t="s">
        <v>397</v>
      </c>
      <c r="B25" s="149">
        <v>66</v>
      </c>
      <c r="C25" s="149">
        <v>3</v>
      </c>
      <c r="D25" s="149">
        <v>66</v>
      </c>
      <c r="E25" s="149">
        <v>3</v>
      </c>
      <c r="F25" s="149" t="s">
        <v>1390</v>
      </c>
      <c r="G25" s="149">
        <v>160092</v>
      </c>
      <c r="H25" s="149" t="s">
        <v>22</v>
      </c>
      <c r="I25" s="149" t="s">
        <v>55</v>
      </c>
      <c r="J25" s="149" t="s">
        <v>1406</v>
      </c>
      <c r="K25" s="149" t="s">
        <v>338</v>
      </c>
      <c r="L25" s="149">
        <v>200000000</v>
      </c>
      <c r="M25" s="149" t="s">
        <v>1303</v>
      </c>
      <c r="N25" s="149">
        <v>28</v>
      </c>
      <c r="O25" s="149">
        <v>0.26</v>
      </c>
      <c r="P25" s="149">
        <v>199515841.33333299</v>
      </c>
      <c r="Q25" s="149" t="s">
        <v>299</v>
      </c>
      <c r="R25" s="149" t="s">
        <v>234</v>
      </c>
      <c r="S25" s="149" t="s">
        <v>1404</v>
      </c>
      <c r="T25" s="149" t="s">
        <v>1409</v>
      </c>
      <c r="U25" s="218" t="str">
        <f>+VLOOKUP($I25,[2]BaseCompleta!$D:$AF,29,FALSE)</f>
        <v>BCI</v>
      </c>
      <c r="V25" s="218">
        <f t="shared" si="0"/>
        <v>199515841.33333299</v>
      </c>
      <c r="W25" s="218">
        <f t="shared" si="1"/>
        <v>199515841.33333299</v>
      </c>
    </row>
    <row r="26" spans="1:23">
      <c r="A26" s="149" t="s">
        <v>397</v>
      </c>
      <c r="B26" s="149">
        <v>66</v>
      </c>
      <c r="C26" s="149">
        <v>3</v>
      </c>
      <c r="D26" s="149">
        <v>66</v>
      </c>
      <c r="E26" s="149">
        <v>3</v>
      </c>
      <c r="F26" s="149" t="s">
        <v>1390</v>
      </c>
      <c r="G26" s="149">
        <v>160099</v>
      </c>
      <c r="H26" s="149" t="s">
        <v>22</v>
      </c>
      <c r="I26" s="149" t="s">
        <v>58</v>
      </c>
      <c r="J26" s="149" t="s">
        <v>1406</v>
      </c>
      <c r="K26" s="149" t="s">
        <v>338</v>
      </c>
      <c r="L26" s="149">
        <v>30000000</v>
      </c>
      <c r="M26" s="149" t="s">
        <v>1303</v>
      </c>
      <c r="N26" s="149">
        <v>1</v>
      </c>
      <c r="O26" s="149">
        <v>0.26</v>
      </c>
      <c r="P26" s="149">
        <v>29997400</v>
      </c>
      <c r="Q26" s="149" t="s">
        <v>299</v>
      </c>
      <c r="R26" s="149" t="s">
        <v>298</v>
      </c>
      <c r="S26" s="149" t="s">
        <v>1399</v>
      </c>
      <c r="T26" s="149" t="s">
        <v>1410</v>
      </c>
      <c r="U26" s="218" t="str">
        <f>+VLOOKUP($I26,[2]BaseCompleta!$D:$AF,29,FALSE)</f>
        <v>COOPEUCH</v>
      </c>
      <c r="V26" s="218">
        <f t="shared" si="0"/>
        <v>29997400</v>
      </c>
      <c r="W26" s="218">
        <f t="shared" si="1"/>
        <v>29997400</v>
      </c>
    </row>
    <row r="27" spans="1:23">
      <c r="A27" s="149" t="s">
        <v>397</v>
      </c>
      <c r="B27" s="149">
        <v>54</v>
      </c>
      <c r="D27" s="149">
        <v>66</v>
      </c>
      <c r="E27" s="149">
        <v>4</v>
      </c>
      <c r="F27" s="149" t="s">
        <v>1385</v>
      </c>
      <c r="G27" s="149">
        <v>705281</v>
      </c>
      <c r="H27" s="149" t="s">
        <v>22</v>
      </c>
      <c r="I27" s="149" t="s">
        <v>174</v>
      </c>
      <c r="J27" s="149" t="s">
        <v>1064</v>
      </c>
      <c r="K27" s="149" t="s">
        <v>338</v>
      </c>
      <c r="L27" s="149">
        <v>50000000</v>
      </c>
      <c r="M27" s="149" t="s">
        <v>1303</v>
      </c>
      <c r="N27" s="149">
        <v>182</v>
      </c>
      <c r="O27" s="149">
        <v>0.3</v>
      </c>
      <c r="P27" s="149">
        <v>49106266</v>
      </c>
      <c r="R27" s="149" t="s">
        <v>1302</v>
      </c>
      <c r="S27" s="149" t="s">
        <v>1396</v>
      </c>
      <c r="T27" s="149" t="s">
        <v>1397</v>
      </c>
      <c r="U27" s="218" t="str">
        <f>+VLOOKUP($I27,[2]BaseCompleta!$D:$AF,29,FALSE)</f>
        <v>Banco Ripley</v>
      </c>
      <c r="V27" s="218">
        <f t="shared" si="0"/>
        <v>49106266</v>
      </c>
      <c r="W27" s="218">
        <f t="shared" si="1"/>
        <v>0</v>
      </c>
    </row>
    <row r="28" spans="1:23">
      <c r="A28" s="149" t="s">
        <v>397</v>
      </c>
      <c r="B28" s="149">
        <v>54</v>
      </c>
      <c r="D28" s="149">
        <v>66</v>
      </c>
      <c r="E28" s="149">
        <v>4</v>
      </c>
      <c r="F28" s="149" t="s">
        <v>1385</v>
      </c>
      <c r="G28" s="149">
        <v>705282</v>
      </c>
      <c r="H28" s="149" t="s">
        <v>22</v>
      </c>
      <c r="I28" s="149" t="s">
        <v>174</v>
      </c>
      <c r="J28" s="149" t="s">
        <v>1064</v>
      </c>
      <c r="K28" s="149" t="s">
        <v>338</v>
      </c>
      <c r="L28" s="149">
        <v>50000000</v>
      </c>
      <c r="M28" s="149" t="s">
        <v>1303</v>
      </c>
      <c r="N28" s="149">
        <v>182</v>
      </c>
      <c r="O28" s="149">
        <v>0.3</v>
      </c>
      <c r="P28" s="149">
        <v>49106266</v>
      </c>
      <c r="R28" s="149" t="s">
        <v>1411</v>
      </c>
      <c r="S28" s="149" t="s">
        <v>1396</v>
      </c>
      <c r="T28" s="149" t="s">
        <v>1397</v>
      </c>
      <c r="U28" s="218" t="str">
        <f>+VLOOKUP($I28,[2]BaseCompleta!$D:$AF,29,FALSE)</f>
        <v>Banco Ripley</v>
      </c>
      <c r="V28" s="218">
        <f t="shared" si="0"/>
        <v>49106266</v>
      </c>
      <c r="W28" s="218">
        <f t="shared" si="1"/>
        <v>0</v>
      </c>
    </row>
    <row r="29" spans="1:23">
      <c r="A29" s="149" t="s">
        <v>397</v>
      </c>
      <c r="B29" s="149">
        <v>54</v>
      </c>
      <c r="D29" s="149">
        <v>66</v>
      </c>
      <c r="E29" s="149">
        <v>4</v>
      </c>
      <c r="F29" s="149" t="s">
        <v>1385</v>
      </c>
      <c r="G29" s="149">
        <v>705283</v>
      </c>
      <c r="H29" s="149" t="s">
        <v>22</v>
      </c>
      <c r="I29" s="149" t="s">
        <v>174</v>
      </c>
      <c r="J29" s="149" t="s">
        <v>1064</v>
      </c>
      <c r="K29" s="149" t="s">
        <v>338</v>
      </c>
      <c r="L29" s="149">
        <v>20000000</v>
      </c>
      <c r="M29" s="149" t="s">
        <v>1303</v>
      </c>
      <c r="N29" s="149">
        <v>182</v>
      </c>
      <c r="O29" s="149">
        <v>0.3</v>
      </c>
      <c r="P29" s="149">
        <v>19642506.399999999</v>
      </c>
      <c r="R29" s="149" t="s">
        <v>297</v>
      </c>
      <c r="S29" s="149" t="s">
        <v>1396</v>
      </c>
      <c r="T29" s="149" t="s">
        <v>1397</v>
      </c>
      <c r="U29" s="218" t="str">
        <f>+VLOOKUP($I29,[2]BaseCompleta!$D:$AF,29,FALSE)</f>
        <v>Banco Ripley</v>
      </c>
      <c r="V29" s="218">
        <f t="shared" si="0"/>
        <v>19642506.399999999</v>
      </c>
      <c r="W29" s="218">
        <f t="shared" si="1"/>
        <v>0</v>
      </c>
    </row>
    <row r="30" spans="1:23">
      <c r="A30" s="149" t="s">
        <v>397</v>
      </c>
      <c r="B30" s="149">
        <v>54</v>
      </c>
      <c r="D30" s="149">
        <v>58</v>
      </c>
      <c r="E30" s="149">
        <v>3</v>
      </c>
      <c r="F30" s="149" t="s">
        <v>1082</v>
      </c>
      <c r="G30" s="149">
        <v>709041</v>
      </c>
      <c r="H30" s="149" t="s">
        <v>22</v>
      </c>
      <c r="I30" s="149" t="s">
        <v>58</v>
      </c>
      <c r="J30" s="149" t="s">
        <v>1064</v>
      </c>
      <c r="K30" s="149" t="s">
        <v>338</v>
      </c>
      <c r="L30" s="149">
        <v>100000000</v>
      </c>
      <c r="M30" s="149" t="s">
        <v>1303</v>
      </c>
      <c r="N30" s="149">
        <v>92</v>
      </c>
      <c r="O30" s="149">
        <v>0.28000000000000003</v>
      </c>
      <c r="P30" s="149">
        <v>99148643.333333299</v>
      </c>
      <c r="R30" s="149" t="s">
        <v>353</v>
      </c>
      <c r="S30" s="149" t="s">
        <v>1399</v>
      </c>
      <c r="T30" s="149" t="s">
        <v>1400</v>
      </c>
      <c r="U30" s="218" t="str">
        <f>+VLOOKUP($I30,[2]BaseCompleta!$D:$AF,29,FALSE)</f>
        <v>COOPEUCH</v>
      </c>
      <c r="V30" s="218">
        <f t="shared" si="0"/>
        <v>99148643.333333299</v>
      </c>
      <c r="W30" s="218">
        <f t="shared" si="1"/>
        <v>0</v>
      </c>
    </row>
    <row r="31" spans="1:23">
      <c r="A31" s="149" t="s">
        <v>397</v>
      </c>
      <c r="B31" s="149">
        <v>66</v>
      </c>
      <c r="C31" s="149">
        <v>3</v>
      </c>
      <c r="D31" s="149">
        <v>66</v>
      </c>
      <c r="E31" s="149">
        <v>3</v>
      </c>
      <c r="F31" s="149" t="s">
        <v>1390</v>
      </c>
      <c r="G31" s="149">
        <v>1600921</v>
      </c>
      <c r="H31" s="149" t="s">
        <v>22</v>
      </c>
      <c r="I31" s="149" t="s">
        <v>55</v>
      </c>
      <c r="J31" s="149" t="s">
        <v>1406</v>
      </c>
      <c r="K31" s="149" t="s">
        <v>338</v>
      </c>
      <c r="L31" s="149">
        <v>100000000</v>
      </c>
      <c r="M31" s="149" t="s">
        <v>1303</v>
      </c>
      <c r="N31" s="149">
        <v>28</v>
      </c>
      <c r="O31" s="149">
        <v>0.26</v>
      </c>
      <c r="P31" s="149">
        <v>99757920.666666701</v>
      </c>
      <c r="Q31" s="149" t="s">
        <v>299</v>
      </c>
      <c r="R31" s="149" t="s">
        <v>161</v>
      </c>
      <c r="S31" s="149" t="s">
        <v>1404</v>
      </c>
      <c r="T31" s="149" t="s">
        <v>1409</v>
      </c>
      <c r="U31" s="218" t="str">
        <f>+VLOOKUP($I31,[2]BaseCompleta!$D:$AF,29,FALSE)</f>
        <v>BCI</v>
      </c>
      <c r="V31" s="218">
        <f t="shared" si="0"/>
        <v>99757920.666666701</v>
      </c>
      <c r="W31" s="218">
        <f t="shared" si="1"/>
        <v>99757920.666666701</v>
      </c>
    </row>
    <row r="32" spans="1:23">
      <c r="A32" s="149" t="s">
        <v>397</v>
      </c>
      <c r="B32" s="149">
        <v>35</v>
      </c>
      <c r="D32" s="149">
        <v>66</v>
      </c>
      <c r="E32" s="149">
        <v>3</v>
      </c>
      <c r="F32" s="149" t="s">
        <v>1065</v>
      </c>
      <c r="G32" s="149">
        <v>3248759</v>
      </c>
      <c r="H32" s="149" t="s">
        <v>49</v>
      </c>
      <c r="I32" s="149" t="s">
        <v>55</v>
      </c>
      <c r="J32" s="149" t="s">
        <v>1064</v>
      </c>
      <c r="K32" s="149" t="s">
        <v>338</v>
      </c>
      <c r="L32" s="149">
        <v>1000000</v>
      </c>
      <c r="M32" s="149" t="s">
        <v>1083</v>
      </c>
      <c r="N32" s="149">
        <v>90</v>
      </c>
      <c r="O32" s="149">
        <v>1.08</v>
      </c>
      <c r="P32" s="149">
        <v>997307.27</v>
      </c>
      <c r="R32" s="149" t="s">
        <v>300</v>
      </c>
      <c r="S32" s="149" t="s">
        <v>1412</v>
      </c>
      <c r="T32" s="149" t="s">
        <v>1413</v>
      </c>
      <c r="U32" s="218" t="str">
        <f>+VLOOKUP($I32,[2]BaseCompleta!$D:$AF,29,FALSE)</f>
        <v>BCI</v>
      </c>
      <c r="V32" s="218">
        <f t="shared" si="0"/>
        <v>997307.27</v>
      </c>
      <c r="W32" s="218">
        <f t="shared" si="1"/>
        <v>0</v>
      </c>
    </row>
    <row r="33" spans="21:23">
      <c r="U33" s="218"/>
      <c r="V33" s="218"/>
      <c r="W33" s="218"/>
    </row>
    <row r="34" spans="21:23">
      <c r="U34" s="218"/>
      <c r="V34" s="218"/>
      <c r="W34" s="218"/>
    </row>
    <row r="35" spans="21:23">
      <c r="U35" s="218"/>
      <c r="V35" s="218"/>
      <c r="W35" s="218"/>
    </row>
    <row r="36" spans="21:23">
      <c r="U36" s="218"/>
      <c r="V36" s="218"/>
      <c r="W36" s="218"/>
    </row>
    <row r="37" spans="21:23">
      <c r="U37" s="218"/>
      <c r="V37" s="218"/>
      <c r="W37" s="218"/>
    </row>
    <row r="38" spans="21:23">
      <c r="U38" s="218"/>
      <c r="V38" s="218"/>
      <c r="W38" s="218"/>
    </row>
    <row r="39" spans="21:23">
      <c r="U39" s="218"/>
      <c r="V39" s="218"/>
      <c r="W39" s="218"/>
    </row>
    <row r="40" spans="21:23">
      <c r="U40" s="218"/>
      <c r="V40" s="218"/>
      <c r="W40" s="218"/>
    </row>
    <row r="41" spans="21:23">
      <c r="U41" s="218"/>
      <c r="V41" s="218"/>
      <c r="W41" s="218"/>
    </row>
    <row r="42" spans="21:23">
      <c r="U42" s="218"/>
      <c r="V42" s="218"/>
      <c r="W42" s="218"/>
    </row>
    <row r="43" spans="21:23">
      <c r="U43" s="218"/>
      <c r="V43" s="218"/>
      <c r="W43" s="218"/>
    </row>
    <row r="44" spans="21:23">
      <c r="U44" s="218"/>
      <c r="V44" s="218"/>
      <c r="W44" s="218"/>
    </row>
    <row r="45" spans="21:23">
      <c r="U45" s="218"/>
      <c r="V45" s="218"/>
      <c r="W45" s="218"/>
    </row>
    <row r="46" spans="21:23">
      <c r="U46" s="218"/>
      <c r="V46" s="218"/>
      <c r="W46" s="218"/>
    </row>
    <row r="47" spans="21:23">
      <c r="U47" s="218"/>
      <c r="V47" s="218"/>
      <c r="W47" s="218"/>
    </row>
    <row r="48" spans="21:23">
      <c r="U48" s="218"/>
      <c r="V48" s="218"/>
      <c r="W48" s="218"/>
    </row>
    <row r="49" spans="21:23">
      <c r="U49" s="218"/>
      <c r="V49" s="218"/>
      <c r="W49" s="218"/>
    </row>
    <row r="50" spans="21:23">
      <c r="U50" s="218"/>
      <c r="V50" s="218"/>
      <c r="W50" s="218"/>
    </row>
    <row r="51" spans="21:23">
      <c r="U51" s="218"/>
      <c r="V51" s="218"/>
      <c r="W51" s="218"/>
    </row>
    <row r="52" spans="21:23">
      <c r="U52" s="218"/>
      <c r="V52" s="218"/>
      <c r="W52" s="218"/>
    </row>
    <row r="53" spans="21:23">
      <c r="U53" s="218"/>
      <c r="V53" s="218"/>
      <c r="W53" s="218"/>
    </row>
    <row r="54" spans="21:23">
      <c r="U54" s="218"/>
      <c r="V54" s="218"/>
      <c r="W54" s="218"/>
    </row>
    <row r="55" spans="21:23">
      <c r="U55" s="218"/>
      <c r="V55" s="218"/>
      <c r="W55" s="218"/>
    </row>
    <row r="56" spans="21:23">
      <c r="U56" s="218"/>
      <c r="V56" s="218"/>
      <c r="W56" s="218"/>
    </row>
    <row r="57" spans="21:23">
      <c r="U57" s="218"/>
      <c r="V57" s="218"/>
      <c r="W57" s="218"/>
    </row>
    <row r="58" spans="21:23">
      <c r="U58" s="218"/>
      <c r="V58" s="218"/>
      <c r="W58" s="21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6"/>
  <dimension ref="A1:V24"/>
  <sheetViews>
    <sheetView workbookViewId="0">
      <selection activeCell="T2" sqref="T2:V2"/>
    </sheetView>
  </sheetViews>
  <sheetFormatPr baseColWidth="10" defaultRowHeight="14.25"/>
  <cols>
    <col min="1" max="1" width="11" style="149" customWidth="1"/>
    <col min="2" max="17" width="11" style="149"/>
    <col min="18" max="18" width="12.625" style="149" customWidth="1"/>
    <col min="19" max="19" width="7.75" style="149" customWidth="1"/>
    <col min="20" max="16384" width="11" style="149"/>
  </cols>
  <sheetData>
    <row r="1" spans="1:22">
      <c r="A1" s="149" t="s">
        <v>0</v>
      </c>
      <c r="B1" s="149" t="s">
        <v>332</v>
      </c>
      <c r="C1" s="149" t="s">
        <v>333</v>
      </c>
      <c r="D1" s="149" t="s">
        <v>29</v>
      </c>
      <c r="E1" s="149" t="s">
        <v>334</v>
      </c>
      <c r="F1" s="149" t="s">
        <v>335</v>
      </c>
      <c r="G1" s="149" t="s">
        <v>336</v>
      </c>
      <c r="H1" s="149" t="s">
        <v>315</v>
      </c>
      <c r="I1" s="149" t="s">
        <v>337</v>
      </c>
      <c r="J1" s="149" t="s">
        <v>338</v>
      </c>
      <c r="K1" s="149" t="s">
        <v>339</v>
      </c>
      <c r="L1" s="149" t="s">
        <v>106</v>
      </c>
      <c r="M1" s="149" t="s">
        <v>340</v>
      </c>
      <c r="N1" s="149" t="s">
        <v>91</v>
      </c>
      <c r="O1" s="149" t="s">
        <v>341</v>
      </c>
      <c r="P1" s="149" t="s">
        <v>342</v>
      </c>
      <c r="Q1" s="149" t="s">
        <v>107</v>
      </c>
      <c r="R1" s="149" t="s">
        <v>343</v>
      </c>
      <c r="S1" s="149" t="s">
        <v>344</v>
      </c>
      <c r="T1" s="149" t="str">
        <f>+VLOOKUP(H1,[2]BaseCompleta!$C:$AF,30,FALSE)</f>
        <v>NomEmi</v>
      </c>
      <c r="U1" s="149" t="s">
        <v>344</v>
      </c>
      <c r="V1" s="149" t="s">
        <v>352</v>
      </c>
    </row>
    <row r="2" spans="1:22">
      <c r="A2" s="103" t="s">
        <v>397</v>
      </c>
      <c r="B2" s="149">
        <v>66</v>
      </c>
      <c r="C2" s="149">
        <v>4</v>
      </c>
      <c r="D2" s="149">
        <v>85</v>
      </c>
      <c r="F2" s="149" t="s">
        <v>1385</v>
      </c>
      <c r="G2" s="149">
        <v>20185</v>
      </c>
      <c r="H2" s="149" t="s">
        <v>604</v>
      </c>
      <c r="I2" s="149" t="s">
        <v>1063</v>
      </c>
      <c r="J2" s="149" t="s">
        <v>338</v>
      </c>
      <c r="K2" s="149">
        <v>1000</v>
      </c>
      <c r="L2" s="149" t="s">
        <v>6</v>
      </c>
      <c r="M2" s="103" t="s">
        <v>1386</v>
      </c>
      <c r="N2" s="149">
        <v>2.96</v>
      </c>
      <c r="O2" s="149">
        <v>105.73</v>
      </c>
      <c r="P2" s="149">
        <v>1.6</v>
      </c>
      <c r="Q2" s="149">
        <v>28322572</v>
      </c>
      <c r="R2" s="149" t="s">
        <v>1387</v>
      </c>
      <c r="T2" s="149" t="str">
        <f>+VLOOKUP(H2,[2]BaseCompleta!$C:$AF,30,FALSE)</f>
        <v>BICE</v>
      </c>
      <c r="U2" s="149">
        <f>+IF(E2=0,0,Q2)</f>
        <v>0</v>
      </c>
      <c r="V2" s="149">
        <f>+IF(C2=0,0,Q2)</f>
        <v>28322572</v>
      </c>
    </row>
    <row r="3" spans="1:22">
      <c r="A3" s="149" t="s">
        <v>397</v>
      </c>
      <c r="B3" s="149">
        <v>66</v>
      </c>
      <c r="C3" s="149">
        <v>4</v>
      </c>
      <c r="D3" s="149">
        <v>85</v>
      </c>
      <c r="F3" s="149" t="s">
        <v>1385</v>
      </c>
      <c r="G3" s="149">
        <v>20186</v>
      </c>
      <c r="H3" s="149" t="s">
        <v>604</v>
      </c>
      <c r="I3" s="149" t="s">
        <v>1063</v>
      </c>
      <c r="J3" s="149" t="s">
        <v>338</v>
      </c>
      <c r="K3" s="149">
        <v>1000</v>
      </c>
      <c r="L3" s="149" t="s">
        <v>6</v>
      </c>
      <c r="M3" s="149" t="s">
        <v>1386</v>
      </c>
      <c r="N3" s="149">
        <v>2.96</v>
      </c>
      <c r="O3" s="149">
        <v>105.73</v>
      </c>
      <c r="P3" s="149">
        <v>1.6</v>
      </c>
      <c r="Q3" s="149">
        <v>28322572</v>
      </c>
      <c r="R3" s="149" t="s">
        <v>1388</v>
      </c>
      <c r="T3" s="218" t="str">
        <f>+VLOOKUP(H3,[2]BaseCompleta!$C:$AF,30,FALSE)</f>
        <v>BICE</v>
      </c>
      <c r="U3" s="218">
        <f t="shared" ref="U3:U16" si="0">+IF(E3=0,0,Q3)</f>
        <v>0</v>
      </c>
      <c r="V3" s="218">
        <f t="shared" ref="V3:V16" si="1">+IF(C3=0,0,Q3)</f>
        <v>28322572</v>
      </c>
    </row>
    <row r="4" spans="1:22">
      <c r="A4" s="149" t="s">
        <v>397</v>
      </c>
      <c r="B4" s="149">
        <v>66</v>
      </c>
      <c r="C4" s="149">
        <v>4</v>
      </c>
      <c r="D4" s="149">
        <v>85</v>
      </c>
      <c r="F4" s="149" t="s">
        <v>1385</v>
      </c>
      <c r="G4" s="149">
        <v>20187</v>
      </c>
      <c r="H4" s="149" t="s">
        <v>604</v>
      </c>
      <c r="I4" s="149" t="s">
        <v>1063</v>
      </c>
      <c r="J4" s="149" t="s">
        <v>338</v>
      </c>
      <c r="K4" s="149">
        <v>1000</v>
      </c>
      <c r="L4" s="149" t="s">
        <v>6</v>
      </c>
      <c r="M4" s="149" t="s">
        <v>1386</v>
      </c>
      <c r="N4" s="149">
        <v>2.96</v>
      </c>
      <c r="O4" s="149">
        <v>105.73</v>
      </c>
      <c r="P4" s="149">
        <v>1.6</v>
      </c>
      <c r="Q4" s="149">
        <v>28322572</v>
      </c>
      <c r="R4" s="149" t="s">
        <v>1389</v>
      </c>
      <c r="T4" s="218" t="str">
        <f>+VLOOKUP(H4,[2]BaseCompleta!$C:$AF,30,FALSE)</f>
        <v>BICE</v>
      </c>
      <c r="U4" s="218">
        <f t="shared" si="0"/>
        <v>0</v>
      </c>
      <c r="V4" s="218">
        <f t="shared" si="1"/>
        <v>28322572</v>
      </c>
    </row>
    <row r="5" spans="1:22">
      <c r="A5" s="149" t="s">
        <v>397</v>
      </c>
      <c r="B5" s="149">
        <v>66</v>
      </c>
      <c r="C5" s="149">
        <v>4</v>
      </c>
      <c r="D5" s="149">
        <v>85</v>
      </c>
      <c r="F5" s="149" t="s">
        <v>1385</v>
      </c>
      <c r="G5" s="149">
        <v>20188</v>
      </c>
      <c r="H5" s="149" t="s">
        <v>604</v>
      </c>
      <c r="I5" s="149" t="s">
        <v>1063</v>
      </c>
      <c r="J5" s="149" t="s">
        <v>338</v>
      </c>
      <c r="K5" s="149">
        <v>1000</v>
      </c>
      <c r="L5" s="149" t="s">
        <v>6</v>
      </c>
      <c r="M5" s="149" t="s">
        <v>1386</v>
      </c>
      <c r="N5" s="149">
        <v>2.96</v>
      </c>
      <c r="O5" s="149">
        <v>105.73</v>
      </c>
      <c r="P5" s="149">
        <v>1.6</v>
      </c>
      <c r="Q5" s="149">
        <v>28322572</v>
      </c>
      <c r="R5" s="149" t="s">
        <v>1389</v>
      </c>
      <c r="T5" s="218" t="str">
        <f>+VLOOKUP(H5,[2]BaseCompleta!$C:$AF,30,FALSE)</f>
        <v>BICE</v>
      </c>
      <c r="U5" s="218">
        <f t="shared" si="0"/>
        <v>0</v>
      </c>
      <c r="V5" s="218">
        <f t="shared" si="1"/>
        <v>28322572</v>
      </c>
    </row>
    <row r="6" spans="1:22">
      <c r="A6" s="149" t="s">
        <v>397</v>
      </c>
      <c r="B6" s="149">
        <v>58</v>
      </c>
      <c r="C6" s="149">
        <v>3</v>
      </c>
      <c r="D6" s="149">
        <v>85</v>
      </c>
      <c r="F6" s="149" t="s">
        <v>1390</v>
      </c>
      <c r="G6" s="149">
        <v>161018</v>
      </c>
      <c r="H6" s="149" t="s">
        <v>159</v>
      </c>
      <c r="I6" s="149" t="s">
        <v>1064</v>
      </c>
      <c r="J6" s="149" t="s">
        <v>338</v>
      </c>
      <c r="K6" s="149">
        <v>5000</v>
      </c>
      <c r="L6" s="149" t="s">
        <v>6</v>
      </c>
      <c r="M6" s="149" t="s">
        <v>1391</v>
      </c>
      <c r="N6" s="149">
        <v>3.86</v>
      </c>
      <c r="O6" s="149">
        <v>101.94</v>
      </c>
      <c r="P6" s="149">
        <v>1</v>
      </c>
      <c r="Q6" s="149">
        <v>134865591</v>
      </c>
      <c r="R6" s="149" t="s">
        <v>234</v>
      </c>
      <c r="T6" s="218" t="str">
        <f>+VLOOKUP(H6,[2]BaseCompleta!$C:$AF,30,FALSE)</f>
        <v>Tesorería General de la República</v>
      </c>
      <c r="U6" s="218">
        <f t="shared" si="0"/>
        <v>0</v>
      </c>
      <c r="V6" s="218">
        <f t="shared" si="1"/>
        <v>134865591</v>
      </c>
    </row>
    <row r="7" spans="1:22">
      <c r="A7" s="149" t="s">
        <v>397</v>
      </c>
      <c r="B7" s="149">
        <v>58</v>
      </c>
      <c r="C7" s="149">
        <v>3</v>
      </c>
      <c r="D7" s="149">
        <v>85</v>
      </c>
      <c r="F7" s="149" t="s">
        <v>1390</v>
      </c>
      <c r="G7" s="149">
        <v>161019</v>
      </c>
      <c r="H7" s="149" t="s">
        <v>159</v>
      </c>
      <c r="I7" s="149" t="s">
        <v>1064</v>
      </c>
      <c r="J7" s="149" t="s">
        <v>338</v>
      </c>
      <c r="K7" s="149">
        <v>10000</v>
      </c>
      <c r="L7" s="149" t="s">
        <v>6</v>
      </c>
      <c r="M7" s="149" t="s">
        <v>1391</v>
      </c>
      <c r="N7" s="149">
        <v>3.86</v>
      </c>
      <c r="O7" s="149">
        <v>101.94</v>
      </c>
      <c r="P7" s="149">
        <v>1</v>
      </c>
      <c r="Q7" s="149">
        <v>269731181</v>
      </c>
      <c r="R7" s="149" t="s">
        <v>234</v>
      </c>
      <c r="T7" s="218" t="str">
        <f>+VLOOKUP(H7,[2]BaseCompleta!$C:$AF,30,FALSE)</f>
        <v>Tesorería General de la República</v>
      </c>
      <c r="U7" s="218">
        <f t="shared" si="0"/>
        <v>0</v>
      </c>
      <c r="V7" s="218">
        <f t="shared" si="1"/>
        <v>269731181</v>
      </c>
    </row>
    <row r="8" spans="1:22">
      <c r="A8" s="149" t="s">
        <v>397</v>
      </c>
      <c r="B8" s="149">
        <v>58</v>
      </c>
      <c r="C8" s="149">
        <v>3</v>
      </c>
      <c r="D8" s="149">
        <v>85</v>
      </c>
      <c r="F8" s="149" t="s">
        <v>1390</v>
      </c>
      <c r="G8" s="149">
        <v>161020</v>
      </c>
      <c r="H8" s="149" t="s">
        <v>159</v>
      </c>
      <c r="I8" s="149" t="s">
        <v>1064</v>
      </c>
      <c r="J8" s="149" t="s">
        <v>338</v>
      </c>
      <c r="K8" s="149">
        <v>10000</v>
      </c>
      <c r="L8" s="149" t="s">
        <v>6</v>
      </c>
      <c r="M8" s="149" t="s">
        <v>1391</v>
      </c>
      <c r="N8" s="149">
        <v>3.86</v>
      </c>
      <c r="O8" s="149">
        <v>101.94</v>
      </c>
      <c r="P8" s="149">
        <v>1</v>
      </c>
      <c r="Q8" s="149">
        <v>269731181</v>
      </c>
      <c r="R8" s="149" t="s">
        <v>234</v>
      </c>
      <c r="T8" s="218" t="str">
        <f>+VLOOKUP(H8,[2]BaseCompleta!$C:$AF,30,FALSE)</f>
        <v>Tesorería General de la República</v>
      </c>
      <c r="U8" s="218">
        <f t="shared" si="0"/>
        <v>0</v>
      </c>
      <c r="V8" s="218">
        <f t="shared" si="1"/>
        <v>269731181</v>
      </c>
    </row>
    <row r="9" spans="1:22">
      <c r="A9" s="149" t="s">
        <v>397</v>
      </c>
      <c r="B9" s="149">
        <v>58</v>
      </c>
      <c r="C9" s="149">
        <v>3</v>
      </c>
      <c r="D9" s="149">
        <v>58</v>
      </c>
      <c r="F9" s="149" t="s">
        <v>1390</v>
      </c>
      <c r="G9" s="149">
        <v>161171</v>
      </c>
      <c r="H9" s="149" t="s">
        <v>1392</v>
      </c>
      <c r="I9" s="149" t="s">
        <v>1063</v>
      </c>
      <c r="J9" s="149" t="s">
        <v>338</v>
      </c>
      <c r="K9" s="149">
        <v>1000</v>
      </c>
      <c r="L9" s="149" t="s">
        <v>6</v>
      </c>
      <c r="M9" s="149" t="s">
        <v>1393</v>
      </c>
      <c r="N9" s="149">
        <v>4.75</v>
      </c>
      <c r="O9" s="149">
        <v>98.88</v>
      </c>
      <c r="P9" s="149">
        <v>2.14</v>
      </c>
      <c r="Q9" s="149">
        <v>26170383</v>
      </c>
      <c r="R9" s="149" t="s">
        <v>234</v>
      </c>
      <c r="T9" s="218" t="e">
        <f>+VLOOKUP(H9,[2]BaseCompleta!$C:$AF,30,FALSE)</f>
        <v>#N/A</v>
      </c>
      <c r="U9" s="218">
        <f t="shared" si="0"/>
        <v>0</v>
      </c>
      <c r="V9" s="218">
        <f t="shared" si="1"/>
        <v>26170383</v>
      </c>
    </row>
    <row r="10" spans="1:22">
      <c r="A10" s="149" t="s">
        <v>397</v>
      </c>
      <c r="B10" s="149">
        <v>86</v>
      </c>
      <c r="D10" s="149">
        <v>58</v>
      </c>
      <c r="E10" s="149">
        <v>3</v>
      </c>
      <c r="F10" s="149" t="s">
        <v>1394</v>
      </c>
      <c r="G10" s="149">
        <v>180007</v>
      </c>
      <c r="H10" s="149" t="s">
        <v>1392</v>
      </c>
      <c r="I10" s="149" t="s">
        <v>1063</v>
      </c>
      <c r="J10" s="149" t="s">
        <v>338</v>
      </c>
      <c r="K10" s="149">
        <v>10000</v>
      </c>
      <c r="L10" s="149" t="s">
        <v>6</v>
      </c>
      <c r="M10" s="149" t="s">
        <v>1393</v>
      </c>
      <c r="N10" s="149">
        <v>4.75</v>
      </c>
      <c r="O10" s="149">
        <v>98.88</v>
      </c>
      <c r="P10" s="149">
        <v>2.14</v>
      </c>
      <c r="Q10" s="149">
        <v>261703830</v>
      </c>
      <c r="S10" s="149" t="s">
        <v>234</v>
      </c>
      <c r="T10" s="218" t="e">
        <f>+VLOOKUP(H10,[2]BaseCompleta!$C:$AF,30,FALSE)</f>
        <v>#N/A</v>
      </c>
      <c r="U10" s="218">
        <f t="shared" si="0"/>
        <v>261703830</v>
      </c>
      <c r="V10" s="218">
        <f t="shared" si="1"/>
        <v>0</v>
      </c>
    </row>
    <row r="11" spans="1:22">
      <c r="A11" s="149" t="s">
        <v>397</v>
      </c>
      <c r="B11" s="149">
        <v>86</v>
      </c>
      <c r="D11" s="149">
        <v>58</v>
      </c>
      <c r="E11" s="149">
        <v>3</v>
      </c>
      <c r="F11" s="149" t="s">
        <v>1394</v>
      </c>
      <c r="G11" s="149">
        <v>180025</v>
      </c>
      <c r="H11" s="149" t="s">
        <v>1392</v>
      </c>
      <c r="I11" s="149" t="s">
        <v>1063</v>
      </c>
      <c r="J11" s="149" t="s">
        <v>338</v>
      </c>
      <c r="K11" s="149">
        <v>20000</v>
      </c>
      <c r="L11" s="149" t="s">
        <v>6</v>
      </c>
      <c r="M11" s="149" t="s">
        <v>1393</v>
      </c>
      <c r="N11" s="149">
        <v>4.75</v>
      </c>
      <c r="O11" s="149">
        <v>98.88</v>
      </c>
      <c r="P11" s="149">
        <v>2.14</v>
      </c>
      <c r="Q11" s="149">
        <v>523407659.66666698</v>
      </c>
      <c r="S11" s="149" t="s">
        <v>161</v>
      </c>
      <c r="T11" s="218" t="e">
        <f>+VLOOKUP(H11,[2]BaseCompleta!$C:$AF,30,FALSE)</f>
        <v>#N/A</v>
      </c>
      <c r="U11" s="218">
        <f t="shared" si="0"/>
        <v>523407659.66666698</v>
      </c>
      <c r="V11" s="218">
        <f t="shared" si="1"/>
        <v>0</v>
      </c>
    </row>
    <row r="12" spans="1:22">
      <c r="A12" s="149" t="s">
        <v>397</v>
      </c>
      <c r="B12" s="149">
        <v>58</v>
      </c>
      <c r="C12" s="149">
        <v>3</v>
      </c>
      <c r="D12" s="149">
        <v>58</v>
      </c>
      <c r="F12" s="149" t="s">
        <v>1390</v>
      </c>
      <c r="G12" s="149">
        <v>1611711</v>
      </c>
      <c r="H12" s="149" t="s">
        <v>1392</v>
      </c>
      <c r="I12" s="149" t="s">
        <v>1063</v>
      </c>
      <c r="J12" s="149" t="s">
        <v>338</v>
      </c>
      <c r="K12" s="149">
        <v>1000</v>
      </c>
      <c r="L12" s="149" t="s">
        <v>6</v>
      </c>
      <c r="M12" s="149" t="s">
        <v>1393</v>
      </c>
      <c r="N12" s="149">
        <v>4.75</v>
      </c>
      <c r="O12" s="149">
        <v>98.88</v>
      </c>
      <c r="P12" s="149">
        <v>2.14</v>
      </c>
      <c r="Q12" s="149">
        <v>26170383</v>
      </c>
      <c r="R12" s="149" t="s">
        <v>161</v>
      </c>
      <c r="T12" s="218" t="e">
        <f>+VLOOKUP(H12,[2]BaseCompleta!$C:$AF,30,FALSE)</f>
        <v>#N/A</v>
      </c>
      <c r="U12" s="218">
        <f t="shared" si="0"/>
        <v>0</v>
      </c>
      <c r="V12" s="218">
        <f t="shared" si="1"/>
        <v>26170383</v>
      </c>
    </row>
    <row r="13" spans="1:22">
      <c r="A13" s="149" t="s">
        <v>397</v>
      </c>
      <c r="B13" s="149">
        <v>58</v>
      </c>
      <c r="C13" s="149">
        <v>3</v>
      </c>
      <c r="D13" s="149">
        <v>58</v>
      </c>
      <c r="F13" s="149" t="s">
        <v>1390</v>
      </c>
      <c r="G13" s="149">
        <v>1611712</v>
      </c>
      <c r="H13" s="149" t="s">
        <v>1392</v>
      </c>
      <c r="I13" s="149" t="s">
        <v>1063</v>
      </c>
      <c r="J13" s="149" t="s">
        <v>338</v>
      </c>
      <c r="K13" s="149">
        <v>1000</v>
      </c>
      <c r="L13" s="149" t="s">
        <v>6</v>
      </c>
      <c r="M13" s="149" t="s">
        <v>1393</v>
      </c>
      <c r="N13" s="149">
        <v>4.75</v>
      </c>
      <c r="O13" s="149">
        <v>98.88</v>
      </c>
      <c r="P13" s="149">
        <v>2.14</v>
      </c>
      <c r="Q13" s="149">
        <v>26170383</v>
      </c>
      <c r="R13" s="149" t="s">
        <v>298</v>
      </c>
      <c r="T13" s="218" t="e">
        <f>+VLOOKUP(H13,[2]BaseCompleta!$C:$AF,30,FALSE)</f>
        <v>#N/A</v>
      </c>
      <c r="U13" s="218">
        <f t="shared" si="0"/>
        <v>0</v>
      </c>
      <c r="V13" s="218">
        <f t="shared" si="1"/>
        <v>26170383</v>
      </c>
    </row>
    <row r="14" spans="1:22">
      <c r="A14" s="149" t="s">
        <v>397</v>
      </c>
      <c r="B14" s="149">
        <v>58</v>
      </c>
      <c r="C14" s="149">
        <v>3</v>
      </c>
      <c r="D14" s="149">
        <v>58</v>
      </c>
      <c r="F14" s="149" t="s">
        <v>1390</v>
      </c>
      <c r="G14" s="149">
        <v>1611713</v>
      </c>
      <c r="H14" s="149" t="s">
        <v>1392</v>
      </c>
      <c r="I14" s="149" t="s">
        <v>1063</v>
      </c>
      <c r="J14" s="149" t="s">
        <v>338</v>
      </c>
      <c r="K14" s="149">
        <v>1000</v>
      </c>
      <c r="L14" s="149" t="s">
        <v>6</v>
      </c>
      <c r="M14" s="149" t="s">
        <v>1393</v>
      </c>
      <c r="N14" s="149">
        <v>4.75</v>
      </c>
      <c r="O14" s="149">
        <v>98.88</v>
      </c>
      <c r="P14" s="149">
        <v>2.14</v>
      </c>
      <c r="Q14" s="149">
        <v>26170383</v>
      </c>
      <c r="R14" s="149" t="s">
        <v>4</v>
      </c>
      <c r="T14" s="218" t="e">
        <f>+VLOOKUP(H14,[2]BaseCompleta!$C:$AF,30,FALSE)</f>
        <v>#N/A</v>
      </c>
      <c r="U14" s="218">
        <f t="shared" si="0"/>
        <v>0</v>
      </c>
      <c r="V14" s="218">
        <f t="shared" si="1"/>
        <v>26170383</v>
      </c>
    </row>
    <row r="15" spans="1:22">
      <c r="A15" s="149" t="s">
        <v>397</v>
      </c>
      <c r="B15" s="149">
        <v>86</v>
      </c>
      <c r="D15" s="149">
        <v>58</v>
      </c>
      <c r="E15" s="149">
        <v>3</v>
      </c>
      <c r="F15" s="149" t="s">
        <v>1394</v>
      </c>
      <c r="G15" s="149">
        <v>1800251</v>
      </c>
      <c r="H15" s="149" t="s">
        <v>1392</v>
      </c>
      <c r="I15" s="149" t="s">
        <v>1063</v>
      </c>
      <c r="J15" s="149" t="s">
        <v>338</v>
      </c>
      <c r="K15" s="149">
        <v>20000</v>
      </c>
      <c r="L15" s="149" t="s">
        <v>6</v>
      </c>
      <c r="M15" s="149" t="s">
        <v>1393</v>
      </c>
      <c r="N15" s="149">
        <v>4.75</v>
      </c>
      <c r="O15" s="149">
        <v>98.88</v>
      </c>
      <c r="P15" s="149">
        <v>2.14</v>
      </c>
      <c r="Q15" s="149">
        <v>523407659.66666698</v>
      </c>
      <c r="S15" s="149" t="s">
        <v>298</v>
      </c>
      <c r="T15" s="218" t="e">
        <f>+VLOOKUP(H15,[2]BaseCompleta!$C:$AF,30,FALSE)</f>
        <v>#N/A</v>
      </c>
      <c r="U15" s="218">
        <f t="shared" si="0"/>
        <v>523407659.66666698</v>
      </c>
      <c r="V15" s="218">
        <f t="shared" si="1"/>
        <v>0</v>
      </c>
    </row>
    <row r="16" spans="1:22">
      <c r="A16" s="149" t="s">
        <v>397</v>
      </c>
      <c r="B16" s="149">
        <v>86</v>
      </c>
      <c r="D16" s="149">
        <v>58</v>
      </c>
      <c r="E16" s="149">
        <v>3</v>
      </c>
      <c r="F16" s="149" t="s">
        <v>1394</v>
      </c>
      <c r="G16" s="149">
        <v>1800252</v>
      </c>
      <c r="H16" s="149" t="s">
        <v>1392</v>
      </c>
      <c r="I16" s="149" t="s">
        <v>1063</v>
      </c>
      <c r="J16" s="149" t="s">
        <v>338</v>
      </c>
      <c r="K16" s="149">
        <v>20000</v>
      </c>
      <c r="L16" s="149" t="s">
        <v>6</v>
      </c>
      <c r="M16" s="149" t="s">
        <v>1393</v>
      </c>
      <c r="N16" s="149">
        <v>4.75</v>
      </c>
      <c r="O16" s="149">
        <v>98.88</v>
      </c>
      <c r="P16" s="149">
        <v>2.14</v>
      </c>
      <c r="Q16" s="149">
        <v>523407659.66666698</v>
      </c>
      <c r="S16" s="149" t="s">
        <v>4</v>
      </c>
      <c r="T16" s="218" t="e">
        <f>+VLOOKUP(H16,[2]BaseCompleta!$C:$AF,30,FALSE)</f>
        <v>#N/A</v>
      </c>
      <c r="U16" s="218">
        <f t="shared" si="0"/>
        <v>523407659.66666698</v>
      </c>
      <c r="V16" s="218">
        <f t="shared" si="1"/>
        <v>0</v>
      </c>
    </row>
    <row r="17" spans="20:22">
      <c r="T17" s="218"/>
      <c r="U17" s="218"/>
      <c r="V17" s="218"/>
    </row>
    <row r="18" spans="20:22">
      <c r="T18" s="218"/>
      <c r="U18" s="218"/>
      <c r="V18" s="218"/>
    </row>
    <row r="19" spans="20:22">
      <c r="T19" s="218"/>
      <c r="U19" s="218"/>
      <c r="V19" s="218"/>
    </row>
    <row r="20" spans="20:22">
      <c r="T20" s="218"/>
      <c r="U20" s="218"/>
      <c r="V20" s="218"/>
    </row>
    <row r="21" spans="20:22">
      <c r="T21" s="218"/>
      <c r="U21" s="218"/>
      <c r="V21" s="218"/>
    </row>
    <row r="22" spans="20:22">
      <c r="T22" s="218"/>
      <c r="U22" s="218"/>
      <c r="V22" s="218"/>
    </row>
    <row r="23" spans="20:22">
      <c r="T23" s="218"/>
      <c r="U23" s="218"/>
      <c r="V23" s="218"/>
    </row>
    <row r="24" spans="20:22">
      <c r="T24" s="218"/>
      <c r="U24" s="218"/>
      <c r="V24" s="21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1"/>
  <dimension ref="B2:AN160"/>
  <sheetViews>
    <sheetView showGridLines="0" topLeftCell="J1" zoomScale="70" zoomScaleNormal="70" workbookViewId="0">
      <selection activeCell="M8" sqref="M8"/>
    </sheetView>
  </sheetViews>
  <sheetFormatPr baseColWidth="10" defaultRowHeight="14.25"/>
  <cols>
    <col min="1" max="1" width="3.25" style="149" customWidth="1"/>
    <col min="2" max="2" width="37.875" style="149" customWidth="1"/>
    <col min="3" max="3" width="15.125" style="149" customWidth="1"/>
    <col min="4" max="4" width="20" style="102" customWidth="1"/>
    <col min="5" max="5" width="9.875" style="149" customWidth="1"/>
    <col min="6" max="6" width="5.25" style="149" customWidth="1"/>
    <col min="7" max="7" width="47.25" style="149" customWidth="1"/>
    <col min="8" max="8" width="15.625" style="149" customWidth="1"/>
    <col min="9" max="9" width="20" style="102" customWidth="1"/>
    <col min="10" max="10" width="9.875" style="149" customWidth="1"/>
    <col min="11" max="11" width="3.875" style="149" customWidth="1"/>
    <col min="12" max="12" width="47.25" style="149" bestFit="1" customWidth="1"/>
    <col min="13" max="13" width="15.125" style="149" customWidth="1"/>
    <col min="14" max="14" width="20" style="102" customWidth="1"/>
    <col min="15" max="15" width="9.875" style="149" customWidth="1"/>
    <col min="16" max="16" width="4.25" style="149" customWidth="1"/>
    <col min="17" max="17" width="47.25" style="149" bestFit="1" customWidth="1"/>
    <col min="18" max="18" width="15.125" style="149" customWidth="1"/>
    <col min="19" max="19" width="20" style="102" customWidth="1"/>
    <col min="20" max="20" width="9.875" style="149" customWidth="1"/>
    <col min="21" max="21" width="3.75" style="149" customWidth="1"/>
    <col min="22" max="22" width="20.5" style="149" bestFit="1" customWidth="1"/>
    <col min="23" max="23" width="15.125" style="149" customWidth="1"/>
    <col min="24" max="24" width="20" style="102" customWidth="1"/>
    <col min="25" max="25" width="9.875" style="149" customWidth="1"/>
    <col min="26" max="26" width="3.375" style="149" customWidth="1"/>
    <col min="27" max="27" width="37.875" style="149" bestFit="1" customWidth="1"/>
    <col min="28" max="28" width="15.125" style="149" bestFit="1" customWidth="1"/>
    <col min="29" max="29" width="20" style="102" customWidth="1"/>
    <col min="30" max="30" width="9.875" style="149" customWidth="1"/>
    <col min="31" max="31" width="4.625" style="149" customWidth="1"/>
    <col min="32" max="32" width="21.75" style="149" bestFit="1" customWidth="1"/>
    <col min="33" max="33" width="15.125" style="149" customWidth="1"/>
    <col min="34" max="34" width="20" style="102" customWidth="1"/>
    <col min="35" max="35" width="9.875" style="149" customWidth="1"/>
    <col min="36" max="36" width="4.625" style="149" customWidth="1"/>
    <col min="37" max="37" width="21.75" style="149" bestFit="1" customWidth="1"/>
    <col min="38" max="38" width="15.125" style="149" customWidth="1"/>
    <col min="39" max="39" width="20" style="102" customWidth="1"/>
    <col min="40" max="40" width="9.875" style="149" customWidth="1"/>
    <col min="41" max="16384" width="11" style="149"/>
  </cols>
  <sheetData>
    <row r="2" spans="2:40">
      <c r="C2" s="149" t="s">
        <v>331</v>
      </c>
      <c r="H2" s="149" t="s">
        <v>331</v>
      </c>
      <c r="M2" s="149" t="s">
        <v>331</v>
      </c>
      <c r="R2" s="149" t="s">
        <v>331</v>
      </c>
      <c r="W2" s="149" t="s">
        <v>331</v>
      </c>
      <c r="AB2" s="149" t="s">
        <v>331</v>
      </c>
      <c r="AG2" s="149" t="s">
        <v>331</v>
      </c>
      <c r="AL2" s="149" t="s">
        <v>331</v>
      </c>
      <c r="AM2" s="102">
        <v>27000000</v>
      </c>
    </row>
    <row r="3" spans="2:40">
      <c r="B3" s="232" t="s">
        <v>232</v>
      </c>
      <c r="C3" s="293" t="s">
        <v>260</v>
      </c>
      <c r="D3" s="102" t="e">
        <f ca="1">+VLOOKUP(C3,Inicio!$B$5:$G$16,6,FALSE)</f>
        <v>#N/A</v>
      </c>
      <c r="G3" s="232" t="s">
        <v>232</v>
      </c>
      <c r="H3" s="293" t="s">
        <v>234</v>
      </c>
      <c r="I3" s="102" t="e">
        <f ca="1">+VLOOKUP(H3,Inicio!$B$5:$G$16,6,FALSE)</f>
        <v>#N/A</v>
      </c>
      <c r="L3" s="232" t="s">
        <v>232</v>
      </c>
      <c r="M3" s="293" t="s">
        <v>4</v>
      </c>
      <c r="N3" s="102" t="e">
        <f ca="1">+VLOOKUP(M3,Inicio!$B$5:$G$16,6,FALSE)</f>
        <v>#N/A</v>
      </c>
      <c r="Q3" s="232" t="s">
        <v>232</v>
      </c>
      <c r="R3" s="293" t="s">
        <v>298</v>
      </c>
      <c r="S3" s="102" t="e">
        <f ca="1">+VLOOKUP(R3,Inicio!$B$5:$G$16,6,FALSE)</f>
        <v>#N/A</v>
      </c>
      <c r="V3" s="232" t="s">
        <v>232</v>
      </c>
      <c r="W3" s="293" t="s">
        <v>297</v>
      </c>
      <c r="X3" s="102" t="e">
        <f ca="1">+VLOOKUP(W3,Inicio!$B$5:$G$16,6,FALSE)</f>
        <v>#N/A</v>
      </c>
      <c r="AA3" s="232" t="s">
        <v>232</v>
      </c>
      <c r="AB3" s="293" t="s">
        <v>260</v>
      </c>
      <c r="AC3" s="102" t="e">
        <f ca="1">+VLOOKUP(AB3,Inicio!$B$5:$G$16,6,FALSE)*0</f>
        <v>#N/A</v>
      </c>
      <c r="AF3" s="232" t="s">
        <v>232</v>
      </c>
      <c r="AG3" s="293" t="s">
        <v>299</v>
      </c>
      <c r="AH3" s="102" t="e">
        <f ca="1">+VLOOKUP(AG3,Inicio!$B$5:$G$16,6,FALSE)</f>
        <v>#N/A</v>
      </c>
      <c r="AK3" s="232" t="s">
        <v>232</v>
      </c>
      <c r="AL3" s="293" t="s">
        <v>300</v>
      </c>
      <c r="AM3" s="102" t="e">
        <f ca="1">+VLOOKUP(AL3,Inicio!$B$5:$G$16,6,FALSE)</f>
        <v>#N/A</v>
      </c>
    </row>
    <row r="4" spans="2:40">
      <c r="N4" s="119" t="e">
        <f ca="1">+N2/N3</f>
        <v>#N/A</v>
      </c>
      <c r="S4" s="119"/>
    </row>
    <row r="5" spans="2:40">
      <c r="B5" s="232" t="s">
        <v>1061</v>
      </c>
      <c r="C5" t="s">
        <v>284</v>
      </c>
      <c r="G5" s="232" t="s">
        <v>1061</v>
      </c>
      <c r="H5" t="s">
        <v>284</v>
      </c>
      <c r="L5" s="232" t="s">
        <v>1061</v>
      </c>
      <c r="M5" t="s">
        <v>284</v>
      </c>
      <c r="Q5" s="232" t="s">
        <v>1061</v>
      </c>
      <c r="R5" t="s">
        <v>284</v>
      </c>
      <c r="V5" s="232" t="s">
        <v>1061</v>
      </c>
      <c r="W5" t="s">
        <v>284</v>
      </c>
      <c r="AA5" s="232" t="s">
        <v>1061</v>
      </c>
      <c r="AB5" t="s">
        <v>284</v>
      </c>
      <c r="AF5" s="232" t="s">
        <v>1061</v>
      </c>
      <c r="AG5" t="s">
        <v>284</v>
      </c>
      <c r="AK5" s="232" t="s">
        <v>1061</v>
      </c>
      <c r="AL5" t="s">
        <v>284</v>
      </c>
    </row>
    <row r="6" spans="2:40">
      <c r="B6" s="3" t="s">
        <v>74</v>
      </c>
      <c r="C6" s="108">
        <v>0.12268799999999999</v>
      </c>
      <c r="D6" s="118"/>
      <c r="E6" s="108" t="e">
        <f ca="1">+(C6*D$3+D6-SUMIFS(BaseCompleta!$F:$F,BaseCompleta!$Q:$Q,B6,BaseCompleta!$B:$B,C$3,BaseCompleta!$J:$J,0)+SUMIFS(TransRF!$Q:$Q,TransRF!$T:$T,B6,TransRF!S:S,C$3)-SUMIFS(TransRF!$Q:$Q,TransRF!$T:$T,B6,TransRF!$R:$R,C$3)+SUMIFS(TransIF!$P:$P,TransIF!$U:$U,B6,TransIF!$R:$R,C$3)-SUMIFS(TransIF!$P:$P,TransIF!$U:$U,B6,TransIF!$Q:$Q,C$3))/(D$3+D$2)</f>
        <v>#N/A</v>
      </c>
      <c r="G6" s="3" t="s">
        <v>2139</v>
      </c>
      <c r="H6" s="108">
        <v>9.2716999999999994E-2</v>
      </c>
      <c r="I6" s="118"/>
      <c r="J6" s="108" t="e">
        <f ca="1">+(H6*I$3+I6-SUMIFS(BaseCompleta!$F:$F,BaseCompleta!$Q:$Q,'Emisor Consolidado'!G6,BaseCompleta!$B:$B,H$3,BaseCompleta!$J:$J,0)+SUMIFS(TransRF!$Q:$Q,TransRF!$T:$T,G6,TransRF!X:X,H$3)-SUMIFS(TransRF!$Q:$Q,TransRF!$T:$T,G6,TransRF!$R:$R,H$3)+SUMIFS(TransIF!$P:$P,TransIF!$U:$U,G6,TransIF!$R:$R,H$3)-SUMIFS(TransIF!$P:$P,TransIF!$U:$U,G6,TransIF!$Q:$Q,H$3))/(I$3+I$2)</f>
        <v>#N/A</v>
      </c>
      <c r="L6" s="3" t="s">
        <v>2139</v>
      </c>
      <c r="M6" s="108">
        <v>0.39828199999999997</v>
      </c>
      <c r="N6" s="118"/>
      <c r="O6" s="108" t="e">
        <f ca="1">+(M6*N$3+N6-SUMIFS(BaseCompleta!$F:$F,BaseCompleta!$Q:$Q,'Emisor Consolidado'!L6,BaseCompleta!$B:$B,M$3,BaseCompleta!$J:$J,0)+SUMIFS(TransRF!$Q:$Q,TransRF!$T:$T,L6,TransRF!AC:AC,M$3)-SUMIFS(TransRF!$Q:$Q,TransRF!$T:$T,L6,TransRF!$R:$R,M$3)+SUMIFS(TransIF!$P:$P,TransIF!$U:$U,L6,TransIF!$R:$R,M$3)-SUMIFS(TransIF!$P:$P,TransIF!$U:$U,L6,TransIF!$Q:$Q,M$3))/(N$3+N$2)</f>
        <v>#N/A</v>
      </c>
      <c r="Q6" s="3" t="s">
        <v>2139</v>
      </c>
      <c r="R6" s="108">
        <v>0.33187199999999994</v>
      </c>
      <c r="S6" s="118"/>
      <c r="T6" s="108" t="e">
        <f ca="1">+(R6*S$3+S6-SUMIFS(BaseCompleta!$F:$F,BaseCompleta!$Q:$Q,'Emisor Consolidado'!Q6,BaseCompleta!$B:$B,R$3,BaseCompleta!$J:$J,0)+SUMIFS(TransRF!$Q:$Q,TransRF!$T:$T,Q6,TransRF!AH:AH,R$3)-SUMIFS(TransRF!$Q:$Q,TransRF!$T:$T,Q6,TransRF!$R:$R,R$3)+SUMIFS(TransIF!$P:$P,TransIF!$U:$U,Q6,TransIF!$R:$R,R$3)-SUMIFS(TransIF!$P:$P,TransIF!$U:$U,Q6,TransIF!$Q:$Q,R$3))/(S$3+S$2)</f>
        <v>#N/A</v>
      </c>
      <c r="V6" s="3" t="s">
        <v>2139</v>
      </c>
      <c r="W6" s="108">
        <v>0.67686000000000002</v>
      </c>
      <c r="X6" s="118"/>
      <c r="Y6" s="108" t="e">
        <f ca="1">+(W6*X$3+X6-SUMIFS(BaseCompleta!$F:$F,BaseCompleta!$Q:$Q,'Emisor Consolidado'!V6,BaseCompleta!$B:$B,W$3,BaseCompleta!$J:$J,0)+SUMIFS(TransRF!$Q:$Q,TransRF!$T:$T,V6,TransRF!AM:AM,W$3)-SUMIFS(TransRF!$Q:$Q,TransRF!$T:$T,V6,TransRF!$R:$R,W$3)+SUMIFS(TransIF!$P:$P,TransIF!$U:$U,V6,TransIF!$R:$R,W$3)-SUMIFS(TransIF!$P:$P,TransIF!$U:$U,V6,TransIF!$Q:$Q,W$3))/(X$3+X$2)</f>
        <v>#N/A</v>
      </c>
      <c r="Z6" s="2"/>
      <c r="AA6" s="3" t="s">
        <v>74</v>
      </c>
      <c r="AB6" s="108">
        <v>0.12268799999999999</v>
      </c>
      <c r="AC6" s="118"/>
      <c r="AD6" s="108" t="e">
        <f ca="1">+(AB6*AC$3+AC6-SUMIFS(BaseCompleta!$F:$F,BaseCompleta!$Q:$Q,'Emisor Consolidado'!AA6,BaseCompleta!$B:$B,AB$3,BaseCompleta!$J:$J,0)+SUMIFS(TransRF!$Q:$Q,TransRF!$T:$T,AA6,TransRF!AR:AR,AB$3)-SUMIFS(TransRF!$Q:$Q,TransRF!$T:$T,AA6,TransRF!$R:$R,AB$3)+SUMIFS(TransIF!$P:$P,TransIF!$U:$U,AA6,TransIF!$R:$R,AB$3)-SUMIFS(TransIF!$P:$P,TransIF!$U:$U,AA6,TransIF!$Q:$Q,AB$3))/(AC$3+AC$2)</f>
        <v>#N/A</v>
      </c>
      <c r="AF6" s="3" t="s">
        <v>74</v>
      </c>
      <c r="AG6" s="108">
        <v>0.16483100000000001</v>
      </c>
      <c r="AH6" s="118"/>
      <c r="AI6" s="108" t="e">
        <f ca="1">+(AG6*AH$3+AH6-SUMIFS(BaseCompleta!$F:$F,BaseCompleta!$Q:$Q,'Emisor Consolidado'!AF6,BaseCompleta!$B:$B,AG$3,BaseCompleta!$J:$J,0)+SUMIFS(TransRF!$Q:$Q,TransRF!$T:$T,AF6,TransRF!AW:AW,AG$3)-SUMIFS(TransRF!$Q:$Q,TransRF!$T:$T,AF6,TransRF!$R:$R,AG$3)+SUMIFS(TransIF!$P:$P,TransIF!$U:$U,AF6,TransIF!$R:$R,AG$3)-SUMIFS(TransIF!$P:$P,TransIF!$U:$U,AF6,TransIF!$Q:$Q,AG$3))/(AH$3+AH$2)</f>
        <v>#N/A</v>
      </c>
      <c r="AK6" s="3" t="s">
        <v>74</v>
      </c>
      <c r="AL6" s="108">
        <v>0.12655</v>
      </c>
      <c r="AM6" s="118"/>
      <c r="AN6" s="108" t="e">
        <f ca="1">+(AL6*AM$3+AM6-SUMIFS(BaseCompleta!$F:$F,BaseCompleta!$Q:$Q,'Emisor Consolidado'!AK6,BaseCompleta!$B:$B,AL$3,BaseCompleta!$J:$J,0)+SUMIFS(TransRF!$Q:$Q,TransRF!$T:$T,AK6,TransRF!BB:BB,AL$3)-SUMIFS(TransRF!$Q:$Q,TransRF!$T:$T,AK6,TransRF!$R:$R,AL$3)+SUMIFS(TransIF!$P:$P,TransIF!$U:$U,AK6,TransIF!$R:$R,AL$3)-SUMIFS(TransIF!$P:$P,TransIF!$U:$U,AK6,TransIF!$Q:$Q,AL$3))/(AM$3+AM$2)</f>
        <v>#N/A</v>
      </c>
    </row>
    <row r="7" spans="2:40">
      <c r="B7" s="3" t="s">
        <v>51</v>
      </c>
      <c r="C7" s="108">
        <v>7.6682E-2</v>
      </c>
      <c r="D7" s="118"/>
      <c r="E7" s="108" t="e">
        <f ca="1">+(C7*D$3+D7-SUMIFS(BaseCompleta!$F:$F,BaseCompleta!$Q:$Q,B7,BaseCompleta!$B:$B,C$3,BaseCompleta!$J:$J,0)+SUMIFS(TransRF!$Q:$Q,TransRF!$T:$T,B7,TransRF!S:S,C$3)-SUMIFS(TransRF!$Q:$Q,TransRF!$T:$T,B7,TransRF!$R:$R,C$3)+SUMIFS(TransIF!$P:$P,TransIF!$U:$U,B7,TransIF!$R:$R,C$3)-SUMIFS(TransIF!$P:$P,TransIF!$U:$U,B7,TransIF!$Q:$Q,C$3))/(D$3+D$2)</f>
        <v>#N/A</v>
      </c>
      <c r="G7" s="3" t="s">
        <v>326</v>
      </c>
      <c r="H7" s="108">
        <v>6.4184000000000005E-2</v>
      </c>
      <c r="I7" s="118"/>
      <c r="J7" s="108" t="e">
        <f ca="1">+(H7*I$3+I7-SUMIFS(BaseCompleta!$F:$F,BaseCompleta!$Q:$Q,'Emisor Consolidado'!G7,BaseCompleta!$B:$B,H$3,BaseCompleta!$J:$J,0)+SUMIFS(TransRF!$Q:$Q,TransRF!$T:$T,G7,TransRF!X:X,H$3)-SUMIFS(TransRF!$Q:$Q,TransRF!$T:$T,G7,TransRF!$R:$R,H$3)+SUMIFS(TransIF!$P:$P,TransIF!$U:$U,G7,TransIF!$R:$R,H$3)-SUMIFS(TransIF!$P:$P,TransIF!$U:$U,G7,TransIF!$Q:$Q,H$3))/(I$3+I$2)</f>
        <v>#N/A</v>
      </c>
      <c r="L7" s="3" t="s">
        <v>326</v>
      </c>
      <c r="M7" s="108">
        <v>3.7897000000000007E-2</v>
      </c>
      <c r="N7" s="118"/>
      <c r="O7" s="108" t="e">
        <f ca="1">+(M7*N$3+N7-SUMIFS(BaseCompleta!$F:$F,BaseCompleta!$Q:$Q,'Emisor Consolidado'!L7,BaseCompleta!$B:$B,M$3,BaseCompleta!$J:$J,0)+SUMIFS(TransRF!$Q:$Q,TransRF!$T:$T,L7,TransRF!AC:AC,M$3)-SUMIFS(TransRF!$Q:$Q,TransRF!$T:$T,L7,TransRF!$R:$R,M$3)+SUMIFS(TransIF!$P:$P,TransIF!$U:$U,L7,TransIF!$R:$R,M$3)-SUMIFS(TransIF!$P:$P,TransIF!$U:$U,L7,TransIF!$Q:$Q,M$3))/(N$3+N$2)</f>
        <v>#N/A</v>
      </c>
      <c r="Q7" s="3" t="s">
        <v>51</v>
      </c>
      <c r="R7" s="108">
        <v>5.1897000000000006E-2</v>
      </c>
      <c r="S7" s="118"/>
      <c r="T7" s="108" t="e">
        <f ca="1">+(R7*S$3+S7-SUMIFS(BaseCompleta!$F:$F,BaseCompleta!$Q:$Q,'Emisor Consolidado'!Q7,BaseCompleta!$B:$B,R$3,BaseCompleta!$J:$J,0)+SUMIFS(TransRF!$Q:$Q,TransRF!$T:$T,Q7,TransRF!AH:AH,R$3)-SUMIFS(TransRF!$Q:$Q,TransRF!$T:$T,Q7,TransRF!$R:$R,R$3)+SUMIFS(TransIF!$P:$P,TransIF!$U:$U,Q7,TransIF!$R:$R,R$3)-SUMIFS(TransIF!$P:$P,TransIF!$U:$U,Q7,TransIF!$Q:$Q,R$3))/(S$3+S$2)</f>
        <v>#N/A</v>
      </c>
      <c r="V7" s="3" t="s">
        <v>59</v>
      </c>
      <c r="W7" s="108">
        <v>6.0747000000000002E-2</v>
      </c>
      <c r="X7" s="118"/>
      <c r="Y7" s="108" t="e">
        <f ca="1">+(W7*X$3+X7-SUMIFS(BaseCompleta!$F:$F,BaseCompleta!$Q:$Q,'Emisor Consolidado'!V7,BaseCompleta!$B:$B,W$3,BaseCompleta!$J:$J,0)+SUMIFS(TransRF!$Q:$Q,TransRF!$T:$T,V7,TransRF!AM:AM,W$3)-SUMIFS(TransRF!$Q:$Q,TransRF!$T:$T,V7,TransRF!$R:$R,W$3)+SUMIFS(TransIF!$P:$P,TransIF!$U:$U,V7,TransIF!$R:$R,W$3)-SUMIFS(TransIF!$P:$P,TransIF!$U:$U,V7,TransIF!$Q:$Q,W$3))/(X$3+X$2)</f>
        <v>#N/A</v>
      </c>
      <c r="Z7" s="2"/>
      <c r="AA7" s="3" t="s">
        <v>51</v>
      </c>
      <c r="AB7" s="108">
        <v>7.6682E-2</v>
      </c>
      <c r="AC7" s="118"/>
      <c r="AD7" s="108" t="e">
        <f ca="1">+(AB7*AC$3+AC7-SUMIFS(BaseCompleta!$F:$F,BaseCompleta!$Q:$Q,'Emisor Consolidado'!AA7,BaseCompleta!$B:$B,AB$3,BaseCompleta!$J:$J,0)+SUMIFS(TransRF!$Q:$Q,TransRF!$T:$T,AA7,TransRF!AR:AR,AB$3)-SUMIFS(TransRF!$Q:$Q,TransRF!$T:$T,AA7,TransRF!$R:$R,AB$3)+SUMIFS(TransIF!$P:$P,TransIF!$U:$U,AA7,TransIF!$R:$R,AB$3)-SUMIFS(TransIF!$P:$P,TransIF!$U:$U,AA7,TransIF!$Q:$Q,AB$3))/(AC$3+AC$2)</f>
        <v>#N/A</v>
      </c>
      <c r="AF7" s="3" t="s">
        <v>67</v>
      </c>
      <c r="AG7" s="108">
        <v>0.11874000000000001</v>
      </c>
      <c r="AH7" s="118"/>
      <c r="AI7" s="108" t="e">
        <f ca="1">+(AG7*AH$3+AH7-SUMIFS(BaseCompleta!$F:$F,BaseCompleta!$Q:$Q,'Emisor Consolidado'!AF7,BaseCompleta!$B:$B,AG$3,BaseCompleta!$J:$J,0)+SUMIFS(TransRF!$Q:$Q,TransRF!$T:$T,AF7,TransRF!AW:AW,AG$3)-SUMIFS(TransRF!$Q:$Q,TransRF!$T:$T,AF7,TransRF!$R:$R,AG$3)+SUMIFS(TransIF!$P:$P,TransIF!$U:$U,AF7,TransIF!$R:$R,AG$3)-SUMIFS(TransIF!$P:$P,TransIF!$U:$U,AF7,TransIF!$Q:$Q,AG$3))/(AH$3+AH$2)</f>
        <v>#N/A</v>
      </c>
      <c r="AK7" s="3" t="s">
        <v>70</v>
      </c>
      <c r="AL7" s="108">
        <v>0.115214</v>
      </c>
      <c r="AM7" s="118"/>
      <c r="AN7" s="108" t="e">
        <f ca="1">+(AL7*AM$3+AM7-SUMIFS(BaseCompleta!$F:$F,BaseCompleta!$Q:$Q,'Emisor Consolidado'!AK7,BaseCompleta!$B:$B,AL$3,BaseCompleta!$J:$J,0)+SUMIFS(TransRF!$Q:$Q,TransRF!$T:$T,AK7,TransRF!BB:BB,AL$3)-SUMIFS(TransRF!$Q:$Q,TransRF!$T:$T,AK7,TransRF!$R:$R,AL$3)+SUMIFS(TransIF!$P:$P,TransIF!$U:$U,AK7,TransIF!$R:$R,AL$3)-SUMIFS(TransIF!$P:$P,TransIF!$U:$U,AK7,TransIF!$Q:$Q,AL$3))/(AM$3+AM$2)</f>
        <v>#N/A</v>
      </c>
    </row>
    <row r="8" spans="2:40">
      <c r="B8" s="3" t="s">
        <v>390</v>
      </c>
      <c r="C8" s="108">
        <v>7.5254999999999989E-2</v>
      </c>
      <c r="D8" s="118"/>
      <c r="E8" s="108" t="e">
        <f ca="1">+(C8*D$3+D8-SUMIFS(BaseCompleta!$F:$F,BaseCompleta!$Q:$Q,B8,BaseCompleta!$B:$B,C$3,BaseCompleta!$J:$J,0)+SUMIFS(TransRF!$Q:$Q,TransRF!$T:$T,B8,TransRF!S:S,C$3)-SUMIFS(TransRF!$Q:$Q,TransRF!$T:$T,B8,TransRF!$R:$R,C$3)+SUMIFS(TransIF!$P:$P,TransIF!$U:$U,B8,TransIF!$R:$R,C$3)-SUMIFS(TransIF!$P:$P,TransIF!$U:$U,B8,TransIF!$Q:$Q,C$3))/(D$3+D$2)</f>
        <v>#N/A</v>
      </c>
      <c r="G8" s="3" t="s">
        <v>51</v>
      </c>
      <c r="H8" s="108">
        <v>5.4054999999999999E-2</v>
      </c>
      <c r="I8" s="118"/>
      <c r="J8" s="108" t="e">
        <f ca="1">+(H8*I$3+I8-SUMIFS(BaseCompleta!$F:$F,BaseCompleta!$Q:$Q,'Emisor Consolidado'!G8,BaseCompleta!$B:$B,H$3,BaseCompleta!$J:$J,0)+SUMIFS(TransRF!$Q:$Q,TransRF!$T:$T,G8,TransRF!X:X,H$3)-SUMIFS(TransRF!$Q:$Q,TransRF!$T:$T,G8,TransRF!$R:$R,H$3)+SUMIFS(TransIF!$P:$P,TransIF!$U:$U,G8,TransIF!$R:$R,H$3)-SUMIFS(TransIF!$P:$P,TransIF!$U:$U,G8,TransIF!$Q:$Q,H$3))/(I$3+I$2)</f>
        <v>#N/A</v>
      </c>
      <c r="L8" s="3" t="s">
        <v>66</v>
      </c>
      <c r="M8" s="108">
        <v>3.1418000000000001E-2</v>
      </c>
      <c r="N8" s="118"/>
      <c r="O8" s="108" t="e">
        <f ca="1">+(M8*N$3+N8-SUMIFS(BaseCompleta!$F:$F,BaseCompleta!$Q:$Q,'Emisor Consolidado'!L8,BaseCompleta!$B:$B,M$3,BaseCompleta!$J:$J,0)+SUMIFS(TransRF!$Q:$Q,TransRF!$T:$T,L8,TransRF!AC:AC,M$3)-SUMIFS(TransRF!$Q:$Q,TransRF!$T:$T,L8,TransRF!$R:$R,M$3)+SUMIFS(TransIF!$P:$P,TransIF!$U:$U,L8,TransIF!$R:$R,M$3)-SUMIFS(TransIF!$P:$P,TransIF!$U:$U,L8,TransIF!$Q:$Q,M$3))/(N$3+N$2)</f>
        <v>#N/A</v>
      </c>
      <c r="Q8" s="3" t="s">
        <v>57</v>
      </c>
      <c r="R8" s="108">
        <v>4.5251999999999994E-2</v>
      </c>
      <c r="S8" s="118"/>
      <c r="T8" s="108" t="e">
        <f ca="1">+(R8*S$3+S8-SUMIFS(BaseCompleta!$F:$F,BaseCompleta!$Q:$Q,'Emisor Consolidado'!Q8,BaseCompleta!$B:$B,R$3,BaseCompleta!$J:$J,0)+SUMIFS(TransRF!$Q:$Q,TransRF!$T:$T,Q8,TransRF!AH:AH,R$3)-SUMIFS(TransRF!$Q:$Q,TransRF!$T:$T,Q8,TransRF!$R:$R,R$3)+SUMIFS(TransIF!$P:$P,TransIF!$U:$U,Q8,TransIF!$R:$R,R$3)-SUMIFS(TransIF!$P:$P,TransIF!$U:$U,Q8,TransIF!$Q:$Q,R$3))/(S$3+S$2)</f>
        <v>#N/A</v>
      </c>
      <c r="V8" s="3" t="s">
        <v>60</v>
      </c>
      <c r="W8" s="108">
        <v>5.2607999999999995E-2</v>
      </c>
      <c r="X8" s="118"/>
      <c r="Y8" s="108" t="e">
        <f ca="1">+(W8*X$3+X8-SUMIFS(BaseCompleta!$F:$F,BaseCompleta!$Q:$Q,'Emisor Consolidado'!V8,BaseCompleta!$B:$B,W$3,BaseCompleta!$J:$J,0)+SUMIFS(TransRF!$Q:$Q,TransRF!$T:$T,V8,TransRF!AM:AM,W$3)-SUMIFS(TransRF!$Q:$Q,TransRF!$T:$T,V8,TransRF!$R:$R,W$3)+SUMIFS(TransIF!$P:$P,TransIF!$U:$U,V8,TransIF!$R:$R,W$3)-SUMIFS(TransIF!$P:$P,TransIF!$U:$U,V8,TransIF!$Q:$Q,W$3))/(X$3+X$2)</f>
        <v>#N/A</v>
      </c>
      <c r="Z8" s="2"/>
      <c r="AA8" s="3" t="s">
        <v>390</v>
      </c>
      <c r="AB8" s="108">
        <v>7.5254999999999989E-2</v>
      </c>
      <c r="AC8" s="118"/>
      <c r="AD8" s="108" t="e">
        <f ca="1">+(AB8*AC$3+AC8-SUMIFS(BaseCompleta!$F:$F,BaseCompleta!$Q:$Q,'Emisor Consolidado'!AA8,BaseCompleta!$B:$B,AB$3,BaseCompleta!$J:$J,0)+SUMIFS(TransRF!$Q:$Q,TransRF!$T:$T,AA8,TransRF!AR:AR,AB$3)-SUMIFS(TransRF!$Q:$Q,TransRF!$T:$T,AA8,TransRF!$R:$R,AB$3)+SUMIFS(TransIF!$P:$P,TransIF!$U:$U,AA8,TransIF!$R:$R,AB$3)-SUMIFS(TransIF!$P:$P,TransIF!$U:$U,AA8,TransIF!$Q:$Q,AB$3))/(AC$3+AC$2)</f>
        <v>#N/A</v>
      </c>
      <c r="AF8" s="3" t="s">
        <v>326</v>
      </c>
      <c r="AG8" s="108">
        <v>9.8924999999999985E-2</v>
      </c>
      <c r="AH8" s="118"/>
      <c r="AI8" s="108" t="e">
        <f ca="1">+(AG8*AH$3+AH8-SUMIFS(BaseCompleta!$F:$F,BaseCompleta!$Q:$Q,'Emisor Consolidado'!AF8,BaseCompleta!$B:$B,AG$3,BaseCompleta!$J:$J,0)+SUMIFS(TransRF!$Q:$Q,TransRF!$T:$T,AF8,TransRF!AW:AW,AG$3)-SUMIFS(TransRF!$Q:$Q,TransRF!$T:$T,AF8,TransRF!$R:$R,AG$3)+SUMIFS(TransIF!$P:$P,TransIF!$U:$U,AF8,TransIF!$R:$R,AG$3)-SUMIFS(TransIF!$P:$P,TransIF!$U:$U,AF8,TransIF!$Q:$Q,AG$3))/(AH$3+AH$2)</f>
        <v>#N/A</v>
      </c>
      <c r="AK8" s="3" t="s">
        <v>28</v>
      </c>
      <c r="AL8" s="108">
        <v>0.11430499999999999</v>
      </c>
      <c r="AM8" s="118"/>
      <c r="AN8" s="108" t="e">
        <f ca="1">+(AL8*AM$3+AM8-SUMIFS(BaseCompleta!$F:$F,BaseCompleta!$Q:$Q,'Emisor Consolidado'!AK8,BaseCompleta!$B:$B,AL$3,BaseCompleta!$J:$J,0)+SUMIFS(TransRF!$Q:$Q,TransRF!$T:$T,AK8,TransRF!BB:BB,AL$3)-SUMIFS(TransRF!$Q:$Q,TransRF!$T:$T,AK8,TransRF!$R:$R,AL$3)+SUMIFS(TransIF!$P:$P,TransIF!$U:$U,AK8,TransIF!$R:$R,AL$3)-SUMIFS(TransIF!$P:$P,TransIF!$U:$U,AK8,TransIF!$Q:$Q,AL$3))/(AM$3+AM$2)</f>
        <v>#N/A</v>
      </c>
    </row>
    <row r="9" spans="2:40">
      <c r="B9" s="3" t="s">
        <v>67</v>
      </c>
      <c r="C9" s="108">
        <v>7.2391999999999998E-2</v>
      </c>
      <c r="D9" s="118"/>
      <c r="E9" s="108" t="e">
        <f ca="1">+(C9*D$3+D9-SUMIFS(BaseCompleta!$F:$F,BaseCompleta!$Q:$Q,B9,BaseCompleta!$B:$B,C$3,BaseCompleta!$J:$J,0)+SUMIFS(TransRF!$Q:$Q,TransRF!$T:$T,B9,TransRF!S:S,C$3)-SUMIFS(TransRF!$Q:$Q,TransRF!$T:$T,B9,TransRF!$R:$R,C$3)+SUMIFS(TransIF!$P:$P,TransIF!$U:$U,B9,TransIF!$R:$R,C$3)-SUMIFS(TransIF!$P:$P,TransIF!$U:$U,B9,TransIF!$Q:$Q,C$3))/(D$3+D$2)</f>
        <v>#N/A</v>
      </c>
      <c r="G9" s="3" t="s">
        <v>61</v>
      </c>
      <c r="H9" s="108">
        <v>4.6101999999999997E-2</v>
      </c>
      <c r="I9" s="118"/>
      <c r="J9" s="108" t="e">
        <f ca="1">+(H9*I$3+I9-SUMIFS(BaseCompleta!$F:$F,BaseCompleta!$Q:$Q,'Emisor Consolidado'!G9,BaseCompleta!$B:$B,H$3,BaseCompleta!$J:$J,0)+SUMIFS(TransRF!$Q:$Q,TransRF!$T:$T,G9,TransRF!X:X,H$3)-SUMIFS(TransRF!$Q:$Q,TransRF!$T:$T,G9,TransRF!$R:$R,H$3)+SUMIFS(TransIF!$P:$P,TransIF!$U:$U,G9,TransIF!$R:$R,H$3)-SUMIFS(TransIF!$P:$P,TransIF!$U:$U,G9,TransIF!$Q:$Q,H$3))/(I$3+I$2)</f>
        <v>#N/A</v>
      </c>
      <c r="L9" s="3" t="s">
        <v>325</v>
      </c>
      <c r="M9" s="108">
        <v>2.9406000000000002E-2</v>
      </c>
      <c r="N9" s="118"/>
      <c r="O9" s="108" t="e">
        <f ca="1">+(M9*N$3+N9-SUMIFS(BaseCompleta!$F:$F,BaseCompleta!$Q:$Q,'Emisor Consolidado'!L9,BaseCompleta!$B:$B,M$3,BaseCompleta!$J:$J,0)+SUMIFS(TransRF!$Q:$Q,TransRF!$T:$T,L9,TransRF!AC:AC,M$3)-SUMIFS(TransRF!$Q:$Q,TransRF!$T:$T,L9,TransRF!$R:$R,M$3)+SUMIFS(TransIF!$P:$P,TransIF!$U:$U,L9,TransIF!$R:$R,M$3)-SUMIFS(TransIF!$P:$P,TransIF!$U:$U,L9,TransIF!$Q:$Q,M$3))/(N$3+N$2)</f>
        <v>#N/A</v>
      </c>
      <c r="Q9" s="3" t="s">
        <v>55</v>
      </c>
      <c r="R9" s="108">
        <v>3.9815000000000003E-2</v>
      </c>
      <c r="S9" s="118"/>
      <c r="T9" s="108" t="e">
        <f ca="1">+(R9*S$3+S9-SUMIFS(BaseCompleta!$F:$F,BaseCompleta!$Q:$Q,'Emisor Consolidado'!Q9,BaseCompleta!$B:$B,R$3,BaseCompleta!$J:$J,0)+SUMIFS(TransRF!$Q:$Q,TransRF!$T:$T,Q9,TransRF!AH:AH,R$3)-SUMIFS(TransRF!$Q:$Q,TransRF!$T:$T,Q9,TransRF!$R:$R,R$3)+SUMIFS(TransIF!$P:$P,TransIF!$U:$U,Q9,TransIF!$R:$R,R$3)-SUMIFS(TransIF!$P:$P,TransIF!$U:$U,Q9,TransIF!$Q:$Q,R$3))/(S$3+S$2)</f>
        <v>#N/A</v>
      </c>
      <c r="V9" s="3" t="s">
        <v>55</v>
      </c>
      <c r="W9" s="108">
        <v>4.8159E-2</v>
      </c>
      <c r="X9" s="118"/>
      <c r="Y9" s="108" t="e">
        <f ca="1">+(W9*X$3+X9-SUMIFS(BaseCompleta!$F:$F,BaseCompleta!$Q:$Q,'Emisor Consolidado'!V9,BaseCompleta!$B:$B,W$3,BaseCompleta!$J:$J,0)+SUMIFS(TransRF!$Q:$Q,TransRF!$T:$T,V9,TransRF!AM:AM,W$3)-SUMIFS(TransRF!$Q:$Q,TransRF!$T:$T,V9,TransRF!$R:$R,W$3)+SUMIFS(TransIF!$P:$P,TransIF!$U:$U,V9,TransIF!$R:$R,W$3)-SUMIFS(TransIF!$P:$P,TransIF!$U:$U,V9,TransIF!$Q:$Q,W$3))/(X$3+X$2)</f>
        <v>#N/A</v>
      </c>
      <c r="Z9" s="2"/>
      <c r="AA9" s="3" t="s">
        <v>67</v>
      </c>
      <c r="AB9" s="108">
        <v>7.2391999999999998E-2</v>
      </c>
      <c r="AC9" s="118"/>
      <c r="AD9" s="108" t="e">
        <f ca="1">+(AB9*AC$3+AC9-SUMIFS(BaseCompleta!$F:$F,BaseCompleta!$Q:$Q,'Emisor Consolidado'!AA9,BaseCompleta!$B:$B,AB$3,BaseCompleta!$J:$J,0)+SUMIFS(TransRF!$Q:$Q,TransRF!$T:$T,AA9,TransRF!AR:AR,AB$3)-SUMIFS(TransRF!$Q:$Q,TransRF!$T:$T,AA9,TransRF!$R:$R,AB$3)+SUMIFS(TransIF!$P:$P,TransIF!$U:$U,AA9,TransIF!$R:$R,AB$3)-SUMIFS(TransIF!$P:$P,TransIF!$U:$U,AA9,TransIF!$Q:$Q,AB$3))/(AC$3+AC$2)</f>
        <v>#N/A</v>
      </c>
      <c r="AF9" s="3" t="s">
        <v>61</v>
      </c>
      <c r="AG9" s="108">
        <v>9.3163999999999997E-2</v>
      </c>
      <c r="AH9" s="118"/>
      <c r="AI9" s="108" t="e">
        <f ca="1">+(AG9*AH$3+AH9-SUMIFS(BaseCompleta!$F:$F,BaseCompleta!$Q:$Q,'Emisor Consolidado'!AF9,BaseCompleta!$B:$B,AG$3,BaseCompleta!$J:$J,0)+SUMIFS(TransRF!$Q:$Q,TransRF!$T:$T,AF9,TransRF!AW:AW,AG$3)-SUMIFS(TransRF!$Q:$Q,TransRF!$T:$T,AF9,TransRF!$R:$R,AG$3)+SUMIFS(TransIF!$P:$P,TransIF!$U:$U,AF9,TransIF!$R:$R,AG$3)-SUMIFS(TransIF!$P:$P,TransIF!$U:$U,AF9,TransIF!$Q:$Q,AG$3))/(AH$3+AH$2)</f>
        <v>#N/A</v>
      </c>
      <c r="AK9" s="3" t="s">
        <v>67</v>
      </c>
      <c r="AL9" s="108">
        <v>0.110486</v>
      </c>
      <c r="AM9" s="118"/>
      <c r="AN9" s="108" t="e">
        <f ca="1">+(AL9*AM$3+AM9-SUMIFS(BaseCompleta!$F:$F,BaseCompleta!$Q:$Q,'Emisor Consolidado'!AK9,BaseCompleta!$B:$B,AL$3,BaseCompleta!$J:$J,0)+SUMIFS(TransRF!$Q:$Q,TransRF!$T:$T,AK9,TransRF!BB:BB,AL$3)-SUMIFS(TransRF!$Q:$Q,TransRF!$T:$T,AK9,TransRF!$R:$R,AL$3)+SUMIFS(TransIF!$P:$P,TransIF!$U:$U,AK9,TransIF!$R:$R,AL$3)-SUMIFS(TransIF!$P:$P,TransIF!$U:$U,AK9,TransIF!$Q:$Q,AL$3))/(AM$3+AM$2)</f>
        <v>#N/A</v>
      </c>
    </row>
    <row r="10" spans="2:40">
      <c r="B10" s="3" t="s">
        <v>88</v>
      </c>
      <c r="C10" s="108">
        <v>6.5811000000000008E-2</v>
      </c>
      <c r="D10" s="118"/>
      <c r="E10" s="108" t="e">
        <f ca="1">+(C10*D$3+D10-SUMIFS(BaseCompleta!$F:$F,BaseCompleta!$Q:$Q,B10,BaseCompleta!$B:$B,C$3,BaseCompleta!$J:$J,0)+SUMIFS(TransRF!$Q:$Q,TransRF!$T:$T,B10,TransRF!S:S,C$3)-SUMIFS(TransRF!$Q:$Q,TransRF!$T:$T,B10,TransRF!$R:$R,C$3)+SUMIFS(TransIF!$P:$P,TransIF!$U:$U,B10,TransIF!$R:$R,C$3)-SUMIFS(TransIF!$P:$P,TransIF!$U:$U,B10,TransIF!$Q:$Q,C$3))/(D$3+D$2)</f>
        <v>#N/A</v>
      </c>
      <c r="G10" s="3" t="s">
        <v>77</v>
      </c>
      <c r="H10" s="108">
        <v>3.8033999999999998E-2</v>
      </c>
      <c r="I10" s="118"/>
      <c r="J10" s="108" t="e">
        <f ca="1">+(H10*I$3+I10-SUMIFS(BaseCompleta!$F:$F,BaseCompleta!$Q:$Q,'Emisor Consolidado'!G10,BaseCompleta!$B:$B,H$3,BaseCompleta!$J:$J,0)+SUMIFS(TransRF!$Q:$Q,TransRF!$T:$T,G10,TransRF!X:X,H$3)-SUMIFS(TransRF!$Q:$Q,TransRF!$T:$T,G10,TransRF!$R:$R,H$3)+SUMIFS(TransIF!$P:$P,TransIF!$U:$U,G10,TransIF!$R:$R,H$3)-SUMIFS(TransIF!$P:$P,TransIF!$U:$U,G10,TransIF!$Q:$Q,H$3))/(I$3+I$2)</f>
        <v>#N/A</v>
      </c>
      <c r="L10" s="3" t="s">
        <v>904</v>
      </c>
      <c r="M10" s="108">
        <v>2.8045E-2</v>
      </c>
      <c r="N10" s="118"/>
      <c r="O10" s="108" t="e">
        <f ca="1">+(M10*N$3+N10-SUMIFS(BaseCompleta!$F:$F,BaseCompleta!$Q:$Q,'Emisor Consolidado'!L10,BaseCompleta!$B:$B,M$3,BaseCompleta!$J:$J,0)+SUMIFS(TransRF!$Q:$Q,TransRF!$T:$T,L10,TransRF!AC:AC,M$3)-SUMIFS(TransRF!$Q:$Q,TransRF!$T:$T,L10,TransRF!$R:$R,M$3)+SUMIFS(TransIF!$P:$P,TransIF!$U:$U,L10,TransIF!$R:$R,M$3)-SUMIFS(TransIF!$P:$P,TransIF!$U:$U,L10,TransIF!$Q:$Q,M$3))/(N$3+N$2)</f>
        <v>#N/A</v>
      </c>
      <c r="Q10" s="3" t="s">
        <v>76</v>
      </c>
      <c r="R10" s="108">
        <v>2.9553000000000003E-2</v>
      </c>
      <c r="S10" s="118"/>
      <c r="T10" s="108" t="e">
        <f ca="1">+(R10*S$3+S10-SUMIFS(BaseCompleta!$F:$F,BaseCompleta!$Q:$Q,'Emisor Consolidado'!Q10,BaseCompleta!$B:$B,R$3,BaseCompleta!$J:$J,0)+SUMIFS(TransRF!$Q:$Q,TransRF!$T:$T,Q10,TransRF!AH:AH,R$3)-SUMIFS(TransRF!$Q:$Q,TransRF!$T:$T,Q10,TransRF!$R:$R,R$3)+SUMIFS(TransIF!$P:$P,TransIF!$U:$U,Q10,TransIF!$R:$R,R$3)-SUMIFS(TransIF!$P:$P,TransIF!$U:$U,Q10,TransIF!$Q:$Q,R$3))/(S$3+S$2)</f>
        <v>#N/A</v>
      </c>
      <c r="V10" s="3" t="s">
        <v>390</v>
      </c>
      <c r="W10" s="108">
        <v>3.7026999999999997E-2</v>
      </c>
      <c r="X10" s="118"/>
      <c r="Y10" s="108" t="e">
        <f ca="1">+(W10*X$3+X10-SUMIFS(BaseCompleta!$F:$F,BaseCompleta!$Q:$Q,'Emisor Consolidado'!V10,BaseCompleta!$B:$B,W$3,BaseCompleta!$J:$J,0)+SUMIFS(TransRF!$Q:$Q,TransRF!$T:$T,V10,TransRF!AM:AM,W$3)-SUMIFS(TransRF!$Q:$Q,TransRF!$T:$T,V10,TransRF!$R:$R,W$3)+SUMIFS(TransIF!$P:$P,TransIF!$U:$U,V10,TransIF!$R:$R,W$3)-SUMIFS(TransIF!$P:$P,TransIF!$U:$U,V10,TransIF!$Q:$Q,W$3))/(X$3+X$2)</f>
        <v>#N/A</v>
      </c>
      <c r="Z10" s="2"/>
      <c r="AA10" s="3" t="s">
        <v>88</v>
      </c>
      <c r="AB10" s="108">
        <v>6.5811000000000008E-2</v>
      </c>
      <c r="AC10" s="118"/>
      <c r="AD10" s="108" t="e">
        <f ca="1">+(AB10*AC$3+AC10-SUMIFS(BaseCompleta!$F:$F,BaseCompleta!$Q:$Q,'Emisor Consolidado'!AA10,BaseCompleta!$B:$B,AB$3,BaseCompleta!$J:$J,0)+SUMIFS(TransRF!$Q:$Q,TransRF!$T:$T,AA10,TransRF!AR:AR,AB$3)-SUMIFS(TransRF!$Q:$Q,TransRF!$T:$T,AA10,TransRF!$R:$R,AB$3)+SUMIFS(TransIF!$P:$P,TransIF!$U:$U,AA10,TransIF!$R:$R,AB$3)-SUMIFS(TransIF!$P:$P,TransIF!$U:$U,AA10,TransIF!$Q:$Q,AB$3))/(AC$3+AC$2)</f>
        <v>#N/A</v>
      </c>
      <c r="AF10" s="3" t="s">
        <v>55</v>
      </c>
      <c r="AG10" s="108">
        <v>7.8754999999999992E-2</v>
      </c>
      <c r="AH10" s="118"/>
      <c r="AI10" s="108" t="e">
        <f ca="1">+(AG10*AH$3+AH10-SUMIFS(BaseCompleta!$F:$F,BaseCompleta!$Q:$Q,'Emisor Consolidado'!AF10,BaseCompleta!$B:$B,AG$3,BaseCompleta!$J:$J,0)+SUMIFS(TransRF!$Q:$Q,TransRF!$T:$T,AF10,TransRF!AW:AW,AG$3)-SUMIFS(TransRF!$Q:$Q,TransRF!$T:$T,AF10,TransRF!$R:$R,AG$3)+SUMIFS(TransIF!$P:$P,TransIF!$U:$U,AF10,TransIF!$R:$R,AG$3)-SUMIFS(TransIF!$P:$P,TransIF!$U:$U,AF10,TransIF!$Q:$Q,AG$3))/(AH$3+AH$2)</f>
        <v>#N/A</v>
      </c>
      <c r="AK10" s="3" t="s">
        <v>61</v>
      </c>
      <c r="AL10" s="108">
        <v>0.109831</v>
      </c>
      <c r="AM10" s="118"/>
      <c r="AN10" s="108" t="e">
        <f ca="1">+(AL10*AM$3+AM10-SUMIFS(BaseCompleta!$F:$F,BaseCompleta!$Q:$Q,'Emisor Consolidado'!AK10,BaseCompleta!$B:$B,AL$3,BaseCompleta!$J:$J,0)+SUMIFS(TransRF!$Q:$Q,TransRF!$T:$T,AK10,TransRF!BB:BB,AL$3)-SUMIFS(TransRF!$Q:$Q,TransRF!$T:$T,AK10,TransRF!$R:$R,AL$3)+SUMIFS(TransIF!$P:$P,TransIF!$U:$U,AK10,TransIF!$R:$R,AL$3)-SUMIFS(TransIF!$P:$P,TransIF!$U:$U,AK10,TransIF!$Q:$Q,AL$3))/(AM$3+AM$2)</f>
        <v>#N/A</v>
      </c>
    </row>
    <row r="11" spans="2:40">
      <c r="B11" s="3" t="s">
        <v>55</v>
      </c>
      <c r="C11" s="108">
        <v>6.2155999999999996E-2</v>
      </c>
      <c r="D11" s="118"/>
      <c r="E11" s="108" t="e">
        <f ca="1">+(C11*D$3+D11-SUMIFS(BaseCompleta!$F:$F,BaseCompleta!$Q:$Q,B11,BaseCompleta!$B:$B,C$3,BaseCompleta!$J:$J,0)+SUMIFS(TransRF!$Q:$Q,TransRF!$T:$T,B11,TransRF!S:S,C$3)-SUMIFS(TransRF!$Q:$Q,TransRF!$T:$T,B11,TransRF!$R:$R,C$3)+SUMIFS(TransIF!$P:$P,TransIF!$U:$U,B11,TransIF!$R:$R,C$3)-SUMIFS(TransIF!$P:$P,TransIF!$U:$U,B11,TransIF!$Q:$Q,C$3))/(D$3+D$2)</f>
        <v>#N/A</v>
      </c>
      <c r="G11" s="3" t="s">
        <v>55</v>
      </c>
      <c r="H11" s="108">
        <v>3.7532000000000003E-2</v>
      </c>
      <c r="I11" s="118"/>
      <c r="J11" s="108" t="e">
        <f ca="1">+(H11*I$3+I11-SUMIFS(BaseCompleta!$F:$F,BaseCompleta!$Q:$Q,'Emisor Consolidado'!G11,BaseCompleta!$B:$B,H$3,BaseCompleta!$J:$J,0)+SUMIFS(TransRF!$Q:$Q,TransRF!$T:$T,G11,TransRF!X:X,H$3)-SUMIFS(TransRF!$Q:$Q,TransRF!$T:$T,G11,TransRF!$R:$R,H$3)+SUMIFS(TransIF!$P:$P,TransIF!$U:$U,G11,TransIF!$R:$R,H$3)-SUMIFS(TransIF!$P:$P,TransIF!$U:$U,G11,TransIF!$Q:$Q,H$3))/(I$3+I$2)</f>
        <v>#N/A</v>
      </c>
      <c r="L11" s="3" t="s">
        <v>55</v>
      </c>
      <c r="M11" s="108">
        <v>2.6961000000000002E-2</v>
      </c>
      <c r="N11" s="118"/>
      <c r="O11" s="108" t="e">
        <f ca="1">+(M11*N$3+N11-SUMIFS(BaseCompleta!$F:$F,BaseCompleta!$Q:$Q,'Emisor Consolidado'!L11,BaseCompleta!$B:$B,M$3,BaseCompleta!$J:$J,0)+SUMIFS(TransRF!$Q:$Q,TransRF!$T:$T,L11,TransRF!AC:AC,M$3)-SUMIFS(TransRF!$Q:$Q,TransRF!$T:$T,L11,TransRF!$R:$R,M$3)+SUMIFS(TransIF!$P:$P,TransIF!$U:$U,L11,TransIF!$R:$R,M$3)-SUMIFS(TransIF!$P:$P,TransIF!$U:$U,L11,TransIF!$Q:$Q,M$3))/(N$3+N$2)</f>
        <v>#N/A</v>
      </c>
      <c r="Q11" s="3" t="s">
        <v>66</v>
      </c>
      <c r="R11" s="108">
        <v>2.6587000000000006E-2</v>
      </c>
      <c r="S11" s="118"/>
      <c r="T11" s="108" t="e">
        <f ca="1">+(R11*S$3+S11-SUMIFS(BaseCompleta!$F:$F,BaseCompleta!$Q:$Q,'Emisor Consolidado'!Q11,BaseCompleta!$B:$B,R$3,BaseCompleta!$J:$J,0)+SUMIFS(TransRF!$Q:$Q,TransRF!$T:$T,Q11,TransRF!AH:AH,R$3)-SUMIFS(TransRF!$Q:$Q,TransRF!$T:$T,Q11,TransRF!$R:$R,R$3)+SUMIFS(TransIF!$P:$P,TransIF!$U:$U,Q11,TransIF!$R:$R,R$3)-SUMIFS(TransIF!$P:$P,TransIF!$U:$U,Q11,TransIF!$Q:$Q,R$3))/(S$3+S$2)</f>
        <v>#N/A</v>
      </c>
      <c r="V11" s="3" t="s">
        <v>325</v>
      </c>
      <c r="W11" s="108">
        <v>3.1605999999999995E-2</v>
      </c>
      <c r="X11" s="118"/>
      <c r="Y11" s="108" t="e">
        <f ca="1">+(W11*X$3+X11-SUMIFS(BaseCompleta!$F:$F,BaseCompleta!$Q:$Q,'Emisor Consolidado'!V11,BaseCompleta!$B:$B,W$3,BaseCompleta!$J:$J,0)+SUMIFS(TransRF!$Q:$Q,TransRF!$T:$T,V11,TransRF!AM:AM,W$3)-SUMIFS(TransRF!$Q:$Q,TransRF!$T:$T,V11,TransRF!$R:$R,W$3)+SUMIFS(TransIF!$P:$P,TransIF!$U:$U,V11,TransIF!$R:$R,W$3)-SUMIFS(TransIF!$P:$P,TransIF!$U:$U,V11,TransIF!$Q:$Q,W$3))/(X$3+X$2)</f>
        <v>#N/A</v>
      </c>
      <c r="Z11" s="2"/>
      <c r="AA11" s="3" t="s">
        <v>55</v>
      </c>
      <c r="AB11" s="108">
        <v>6.2155999999999996E-2</v>
      </c>
      <c r="AC11" s="118"/>
      <c r="AD11" s="108" t="e">
        <f ca="1">+(AB11*AC$3+AC11-SUMIFS(BaseCompleta!$F:$F,BaseCompleta!$Q:$Q,'Emisor Consolidado'!AA11,BaseCompleta!$B:$B,AB$3,BaseCompleta!$J:$J,0)+SUMIFS(TransRF!$Q:$Q,TransRF!$T:$T,AA11,TransRF!AR:AR,AB$3)-SUMIFS(TransRF!$Q:$Q,TransRF!$T:$T,AA11,TransRF!$R:$R,AB$3)+SUMIFS(TransIF!$P:$P,TransIF!$U:$U,AA11,TransIF!$R:$R,AB$3)-SUMIFS(TransIF!$P:$P,TransIF!$U:$U,AA11,TransIF!$Q:$Q,AB$3))/(AC$3+AC$2)</f>
        <v>#N/A</v>
      </c>
      <c r="AF11" s="3" t="s">
        <v>70</v>
      </c>
      <c r="AG11" s="108">
        <v>7.8528000000000001E-2</v>
      </c>
      <c r="AH11" s="118"/>
      <c r="AI11" s="108" t="e">
        <f ca="1">+(AG11*AH$3+AH11-SUMIFS(BaseCompleta!$F:$F,BaseCompleta!$Q:$Q,'Emisor Consolidado'!AF11,BaseCompleta!$B:$B,AG$3,BaseCompleta!$J:$J,0)+SUMIFS(TransRF!$Q:$Q,TransRF!$T:$T,AF11,TransRF!AW:AW,AG$3)-SUMIFS(TransRF!$Q:$Q,TransRF!$T:$T,AF11,TransRF!$R:$R,AG$3)+SUMIFS(TransIF!$P:$P,TransIF!$U:$U,AF11,TransIF!$R:$R,AG$3)-SUMIFS(TransIF!$P:$P,TransIF!$U:$U,AF11,TransIF!$Q:$Q,AG$3))/(AH$3+AH$2)</f>
        <v>#N/A</v>
      </c>
      <c r="AK11" s="3" t="s">
        <v>390</v>
      </c>
      <c r="AL11" s="108">
        <v>0.10735</v>
      </c>
      <c r="AM11" s="118"/>
      <c r="AN11" s="108" t="e">
        <f ca="1">+(AL11*AM$3+AM11-SUMIFS(BaseCompleta!$F:$F,BaseCompleta!$Q:$Q,'Emisor Consolidado'!AK11,BaseCompleta!$B:$B,AL$3,BaseCompleta!$J:$J,0)+SUMIFS(TransRF!$Q:$Q,TransRF!$T:$T,AK11,TransRF!BB:BB,AL$3)-SUMIFS(TransRF!$Q:$Q,TransRF!$T:$T,AK11,TransRF!$R:$R,AL$3)+SUMIFS(TransIF!$P:$P,TransIF!$U:$U,AK11,TransIF!$R:$R,AL$3)-SUMIFS(TransIF!$P:$P,TransIF!$U:$U,AK11,TransIF!$Q:$Q,AL$3))/(AM$3+AM$2)</f>
        <v>#N/A</v>
      </c>
    </row>
    <row r="12" spans="2:40">
      <c r="B12" s="3" t="s">
        <v>326</v>
      </c>
      <c r="C12" s="108">
        <v>6.1588999999999991E-2</v>
      </c>
      <c r="D12" s="118"/>
      <c r="E12" s="108" t="e">
        <f ca="1">+(C12*D$3+D12-SUMIFS(BaseCompleta!$F:$F,BaseCompleta!$Q:$Q,B12,BaseCompleta!$B:$B,C$3,BaseCompleta!$J:$J,0)+SUMIFS(TransRF!$Q:$Q,TransRF!$T:$T,B12,TransRF!S:S,C$3)-SUMIFS(TransRF!$Q:$Q,TransRF!$T:$T,B12,TransRF!$R:$R,C$3)+SUMIFS(TransIF!$P:$P,TransIF!$U:$U,B12,TransIF!$R:$R,C$3)-SUMIFS(TransIF!$P:$P,TransIF!$U:$U,B12,TransIF!$Q:$Q,C$3))/(D$3+D$2)</f>
        <v>#N/A</v>
      </c>
      <c r="G12" s="3" t="s">
        <v>57</v>
      </c>
      <c r="H12" s="108">
        <v>3.4297000000000001E-2</v>
      </c>
      <c r="I12" s="118"/>
      <c r="J12" s="108" t="e">
        <f ca="1">+(H12*I$3+I12-SUMIFS(BaseCompleta!$F:$F,BaseCompleta!$Q:$Q,'Emisor Consolidado'!G12,BaseCompleta!$B:$B,H$3,BaseCompleta!$J:$J,0)+SUMIFS(TransRF!$Q:$Q,TransRF!$T:$T,G12,TransRF!X:X,H$3)-SUMIFS(TransRF!$Q:$Q,TransRF!$T:$T,G12,TransRF!$R:$R,H$3)+SUMIFS(TransIF!$P:$P,TransIF!$U:$U,G12,TransIF!$R:$R,H$3)-SUMIFS(TransIF!$P:$P,TransIF!$U:$U,G12,TransIF!$Q:$Q,H$3))/(I$3+I$2)</f>
        <v>#N/A</v>
      </c>
      <c r="L12" s="3" t="s">
        <v>58</v>
      </c>
      <c r="M12" s="108">
        <v>2.2685E-2</v>
      </c>
      <c r="N12" s="118"/>
      <c r="O12" s="108" t="e">
        <f ca="1">+(M12*N$3+N12-SUMIFS(BaseCompleta!$F:$F,BaseCompleta!$Q:$Q,'Emisor Consolidado'!L12,BaseCompleta!$B:$B,M$3,BaseCompleta!$J:$J,0)+SUMIFS(TransRF!$Q:$Q,TransRF!$T:$T,L12,TransRF!AC:AC,M$3)-SUMIFS(TransRF!$Q:$Q,TransRF!$T:$T,L12,TransRF!$R:$R,M$3)+SUMIFS(TransIF!$P:$P,TransIF!$U:$U,L12,TransIF!$R:$R,M$3)-SUMIFS(TransIF!$P:$P,TransIF!$U:$U,L12,TransIF!$Q:$Q,M$3))/(N$3+N$2)</f>
        <v>#N/A</v>
      </c>
      <c r="Q12" s="3" t="s">
        <v>58</v>
      </c>
      <c r="R12" s="108">
        <v>2.2547000000000001E-2</v>
      </c>
      <c r="S12" s="118"/>
      <c r="T12" s="108" t="e">
        <f ca="1">+(R12*S$3+S12-SUMIFS(BaseCompleta!$F:$F,BaseCompleta!$Q:$Q,'Emisor Consolidado'!Q12,BaseCompleta!$B:$B,R$3,BaseCompleta!$J:$J,0)+SUMIFS(TransRF!$Q:$Q,TransRF!$T:$T,Q12,TransRF!AH:AH,R$3)-SUMIFS(TransRF!$Q:$Q,TransRF!$T:$T,Q12,TransRF!$R:$R,R$3)+SUMIFS(TransIF!$P:$P,TransIF!$U:$U,Q12,TransIF!$R:$R,R$3)-SUMIFS(TransIF!$P:$P,TransIF!$U:$U,Q12,TransIF!$Q:$Q,R$3))/(S$3+S$2)</f>
        <v>#N/A</v>
      </c>
      <c r="V12" s="3" t="s">
        <v>28</v>
      </c>
      <c r="W12" s="108">
        <v>2.6356999999999998E-2</v>
      </c>
      <c r="X12" s="118"/>
      <c r="Y12" s="108" t="e">
        <f ca="1">+(W12*X$3+X12-SUMIFS(BaseCompleta!$F:$F,BaseCompleta!$Q:$Q,'Emisor Consolidado'!V12,BaseCompleta!$B:$B,W$3,BaseCompleta!$J:$J,0)+SUMIFS(TransRF!$Q:$Q,TransRF!$T:$T,V12,TransRF!AM:AM,W$3)-SUMIFS(TransRF!$Q:$Q,TransRF!$T:$T,V12,TransRF!$R:$R,W$3)+SUMIFS(TransIF!$P:$P,TransIF!$U:$U,V12,TransIF!$R:$R,W$3)-SUMIFS(TransIF!$P:$P,TransIF!$U:$U,V12,TransIF!$Q:$Q,W$3))/(X$3+X$2)</f>
        <v>#N/A</v>
      </c>
      <c r="Z12" s="2"/>
      <c r="AA12" s="3" t="s">
        <v>326</v>
      </c>
      <c r="AB12" s="108">
        <v>6.1588999999999991E-2</v>
      </c>
      <c r="AC12" s="118"/>
      <c r="AD12" s="108" t="e">
        <f ca="1">+(AB12*AC$3+AC12-SUMIFS(BaseCompleta!$F:$F,BaseCompleta!$Q:$Q,'Emisor Consolidado'!AA12,BaseCompleta!$B:$B,AB$3,BaseCompleta!$J:$J,0)+SUMIFS(TransRF!$Q:$Q,TransRF!$T:$T,AA12,TransRF!AR:AR,AB$3)-SUMIFS(TransRF!$Q:$Q,TransRF!$T:$T,AA12,TransRF!$R:$R,AB$3)+SUMIFS(TransIF!$P:$P,TransIF!$U:$U,AA12,TransIF!$R:$R,AB$3)-SUMIFS(TransIF!$P:$P,TransIF!$U:$U,AA12,TransIF!$Q:$Q,AB$3))/(AC$3+AC$2)</f>
        <v>#N/A</v>
      </c>
      <c r="AF12" s="3" t="s">
        <v>390</v>
      </c>
      <c r="AG12" s="108">
        <v>6.522399999999999E-2</v>
      </c>
      <c r="AH12" s="118"/>
      <c r="AI12" s="108" t="e">
        <f ca="1">+(AG12*AH$3+AH12-SUMIFS(BaseCompleta!$F:$F,BaseCompleta!$Q:$Q,'Emisor Consolidado'!AF12,BaseCompleta!$B:$B,AG$3,BaseCompleta!$J:$J,0)+SUMIFS(TransRF!$Q:$Q,TransRF!$T:$T,AF12,TransRF!AW:AW,AG$3)-SUMIFS(TransRF!$Q:$Q,TransRF!$T:$T,AF12,TransRF!$R:$R,AG$3)+SUMIFS(TransIF!$P:$P,TransIF!$U:$U,AF12,TransIF!$R:$R,AG$3)-SUMIFS(TransIF!$P:$P,TransIF!$U:$U,AF12,TransIF!$Q:$Q,AG$3))/(AH$3+AH$2)</f>
        <v>#N/A</v>
      </c>
      <c r="AK12" s="3" t="s">
        <v>1564</v>
      </c>
      <c r="AL12" s="108">
        <v>0.100631</v>
      </c>
      <c r="AM12" s="118"/>
      <c r="AN12" s="108" t="e">
        <f ca="1">+(AL12*AM$3+AM12-SUMIFS(BaseCompleta!$F:$F,BaseCompleta!$Q:$Q,'Emisor Consolidado'!AK12,BaseCompleta!$B:$B,AL$3,BaseCompleta!$J:$J,0)+SUMIFS(TransRF!$Q:$Q,TransRF!$T:$T,AK12,TransRF!BB:BB,AL$3)-SUMIFS(TransRF!$Q:$Q,TransRF!$T:$T,AK12,TransRF!$R:$R,AL$3)+SUMIFS(TransIF!$P:$P,TransIF!$U:$U,AK12,TransIF!$R:$R,AL$3)-SUMIFS(TransIF!$P:$P,TransIF!$U:$U,AK12,TransIF!$Q:$Q,AL$3))/(AM$3+AM$2)</f>
        <v>#N/A</v>
      </c>
    </row>
    <row r="13" spans="2:40">
      <c r="B13" s="3" t="s">
        <v>2139</v>
      </c>
      <c r="C13" s="108">
        <v>5.5678999999999999E-2</v>
      </c>
      <c r="D13" s="118"/>
      <c r="E13" s="108" t="e">
        <f ca="1">+(C13*D$3+D13-SUMIFS(BaseCompleta!$F:$F,BaseCompleta!$Q:$Q,B13,BaseCompleta!$B:$B,C$3,BaseCompleta!$J:$J,0)+SUMIFS(TransRF!$Q:$Q,TransRF!$T:$T,B13,TransRF!S:S,C$3)-SUMIFS(TransRF!$Q:$Q,TransRF!$T:$T,B13,TransRF!$R:$R,C$3)+SUMIFS(TransIF!$P:$P,TransIF!$U:$U,B13,TransIF!$R:$R,C$3)-SUMIFS(TransIF!$P:$P,TransIF!$U:$U,B13,TransIF!$Q:$Q,C$3))/(D$3+D$2)</f>
        <v>#N/A</v>
      </c>
      <c r="G13" s="3" t="s">
        <v>66</v>
      </c>
      <c r="H13" s="108">
        <v>3.2931000000000002E-2</v>
      </c>
      <c r="I13" s="118"/>
      <c r="J13" s="108" t="e">
        <f ca="1">+(H13*I$3+I13-SUMIFS(BaseCompleta!$F:$F,BaseCompleta!$Q:$Q,'Emisor Consolidado'!G13,BaseCompleta!$B:$B,H$3,BaseCompleta!$J:$J,0)+SUMIFS(TransRF!$Q:$Q,TransRF!$T:$T,G13,TransRF!X:X,H$3)-SUMIFS(TransRF!$Q:$Q,TransRF!$T:$T,G13,TransRF!$R:$R,H$3)+SUMIFS(TransIF!$P:$P,TransIF!$U:$U,G13,TransIF!$R:$R,H$3)-SUMIFS(TransIF!$P:$P,TransIF!$U:$U,G13,TransIF!$Q:$Q,H$3))/(I$3+I$2)</f>
        <v>#N/A</v>
      </c>
      <c r="L13" s="3" t="s">
        <v>51</v>
      </c>
      <c r="M13" s="108">
        <v>2.1588000000000003E-2</v>
      </c>
      <c r="N13" s="118"/>
      <c r="O13" s="108" t="e">
        <f ca="1">+(M13*N$3+N13-SUMIFS(BaseCompleta!$F:$F,BaseCompleta!$Q:$Q,'Emisor Consolidado'!L13,BaseCompleta!$B:$B,M$3,BaseCompleta!$J:$J,0)+SUMIFS(TransRF!$Q:$Q,TransRF!$T:$T,L13,TransRF!AC:AC,M$3)-SUMIFS(TransRF!$Q:$Q,TransRF!$T:$T,L13,TransRF!$R:$R,M$3)+SUMIFS(TransIF!$P:$P,TransIF!$U:$U,L13,TransIF!$R:$R,M$3)-SUMIFS(TransIF!$P:$P,TransIF!$U:$U,L13,TransIF!$Q:$Q,M$3))/(N$3+N$2)</f>
        <v>#N/A</v>
      </c>
      <c r="Q13" s="3" t="s">
        <v>327</v>
      </c>
      <c r="R13" s="108">
        <v>2.0091999999999999E-2</v>
      </c>
      <c r="S13" s="118"/>
      <c r="T13" s="108" t="e">
        <f ca="1">+(R13*S$3+S13-SUMIFS(BaseCompleta!$F:$F,BaseCompleta!$Q:$Q,'Emisor Consolidado'!Q13,BaseCompleta!$B:$B,R$3,BaseCompleta!$J:$J,0)+SUMIFS(TransRF!$Q:$Q,TransRF!$T:$T,Q13,TransRF!AH:AH,R$3)-SUMIFS(TransRF!$Q:$Q,TransRF!$T:$T,Q13,TransRF!$R:$R,R$3)+SUMIFS(TransIF!$P:$P,TransIF!$U:$U,Q13,TransIF!$R:$R,R$3)-SUMIFS(TransIF!$P:$P,TransIF!$U:$U,Q13,TransIF!$Q:$Q,R$3))/(S$3+S$2)</f>
        <v>#N/A</v>
      </c>
      <c r="V13" s="3" t="s">
        <v>61</v>
      </c>
      <c r="W13" s="108">
        <v>2.47E-2</v>
      </c>
      <c r="X13" s="118"/>
      <c r="Y13" s="108" t="e">
        <f ca="1">+(W13*X$3+X13-SUMIFS(BaseCompleta!$F:$F,BaseCompleta!$Q:$Q,'Emisor Consolidado'!V13,BaseCompleta!$B:$B,W$3,BaseCompleta!$J:$J,0)+SUMIFS(TransRF!$Q:$Q,TransRF!$T:$T,V13,TransRF!AM:AM,W$3)-SUMIFS(TransRF!$Q:$Q,TransRF!$T:$T,V13,TransRF!$R:$R,W$3)+SUMIFS(TransIF!$P:$P,TransIF!$U:$U,V13,TransIF!$R:$R,W$3)-SUMIFS(TransIF!$P:$P,TransIF!$U:$U,V13,TransIF!$Q:$Q,W$3))/(X$3+X$2)</f>
        <v>#N/A</v>
      </c>
      <c r="Z13" s="2"/>
      <c r="AA13" s="3" t="s">
        <v>2139</v>
      </c>
      <c r="AB13" s="108">
        <v>5.5678999999999999E-2</v>
      </c>
      <c r="AC13" s="118"/>
      <c r="AD13" s="108" t="e">
        <f ca="1">+(AB13*AC$3+AC13-SUMIFS(BaseCompleta!$F:$F,BaseCompleta!$Q:$Q,'Emisor Consolidado'!AA13,BaseCompleta!$B:$B,AB$3,BaseCompleta!$J:$J,0)+SUMIFS(TransRF!$Q:$Q,TransRF!$T:$T,AA13,TransRF!AR:AR,AB$3)-SUMIFS(TransRF!$Q:$Q,TransRF!$T:$T,AA13,TransRF!$R:$R,AB$3)+SUMIFS(TransIF!$P:$P,TransIF!$U:$U,AA13,TransIF!$R:$R,AB$3)-SUMIFS(TransIF!$P:$P,TransIF!$U:$U,AA13,TransIF!$Q:$Q,AB$3))/(AC$3+AC$2)</f>
        <v>#N/A</v>
      </c>
      <c r="AF13" s="3" t="s">
        <v>51</v>
      </c>
      <c r="AG13" s="108">
        <v>5.0532000000000001E-2</v>
      </c>
      <c r="AH13" s="118"/>
      <c r="AI13" s="108" t="e">
        <f ca="1">+(AG13*AH$3+AH13-SUMIFS(BaseCompleta!$F:$F,BaseCompleta!$Q:$Q,'Emisor Consolidado'!AF13,BaseCompleta!$B:$B,AG$3,BaseCompleta!$J:$J,0)+SUMIFS(TransRF!$Q:$Q,TransRF!$T:$T,AF13,TransRF!AW:AW,AG$3)-SUMIFS(TransRF!$Q:$Q,TransRF!$T:$T,AF13,TransRF!$R:$R,AG$3)+SUMIFS(TransIF!$P:$P,TransIF!$U:$U,AF13,TransIF!$R:$R,AG$3)-SUMIFS(TransIF!$P:$P,TransIF!$U:$U,AF13,TransIF!$Q:$Q,AG$3))/(AH$3+AH$2)</f>
        <v>#N/A</v>
      </c>
      <c r="AK13" s="3" t="s">
        <v>88</v>
      </c>
      <c r="AL13" s="108">
        <v>9.0174999999999991E-2</v>
      </c>
      <c r="AM13" s="118"/>
      <c r="AN13" s="108" t="e">
        <f ca="1">+(AL13*AM$3+AM13-SUMIFS(BaseCompleta!$F:$F,BaseCompleta!$Q:$Q,'Emisor Consolidado'!AK13,BaseCompleta!$B:$B,AL$3,BaseCompleta!$J:$J,0)+SUMIFS(TransRF!$Q:$Q,TransRF!$T:$T,AK13,TransRF!BB:BB,AL$3)-SUMIFS(TransRF!$Q:$Q,TransRF!$T:$T,AK13,TransRF!$R:$R,AL$3)+SUMIFS(TransIF!$P:$P,TransIF!$U:$U,AK13,TransIF!$R:$R,AL$3)-SUMIFS(TransIF!$P:$P,TransIF!$U:$U,AK13,TransIF!$Q:$Q,AL$3))/(AM$3+AM$2)</f>
        <v>#N/A</v>
      </c>
    </row>
    <row r="14" spans="2:40">
      <c r="B14" s="3" t="s">
        <v>70</v>
      </c>
      <c r="C14" s="108">
        <v>5.0266999999999999E-2</v>
      </c>
      <c r="D14" s="118"/>
      <c r="E14" s="108" t="e">
        <f ca="1">+(C14*D$3+D14-SUMIFS(BaseCompleta!$F:$F,BaseCompleta!$Q:$Q,B14,BaseCompleta!$B:$B,C$3,BaseCompleta!$J:$J,0)+SUMIFS(TransRF!$Q:$Q,TransRF!$T:$T,B14,TransRF!S:S,C$3)-SUMIFS(TransRF!$Q:$Q,TransRF!$T:$T,B14,TransRF!$R:$R,C$3)+SUMIFS(TransIF!$P:$P,TransIF!$U:$U,B14,TransIF!$R:$R,C$3)-SUMIFS(TransIF!$P:$P,TransIF!$U:$U,B14,TransIF!$Q:$Q,C$3))/(D$3+D$2)</f>
        <v>#N/A</v>
      </c>
      <c r="G14" s="3" t="s">
        <v>74</v>
      </c>
      <c r="H14" s="108">
        <v>3.1435999999999999E-2</v>
      </c>
      <c r="I14" s="118"/>
      <c r="J14" s="108" t="e">
        <f ca="1">+(H14*I$3+I14-SUMIFS(BaseCompleta!$F:$F,BaseCompleta!$Q:$Q,'Emisor Consolidado'!G14,BaseCompleta!$B:$B,H$3,BaseCompleta!$J:$J,0)+SUMIFS(TransRF!$Q:$Q,TransRF!$T:$T,G14,TransRF!X:X,H$3)-SUMIFS(TransRF!$Q:$Q,TransRF!$T:$T,G14,TransRF!$R:$R,H$3)+SUMIFS(TransIF!$P:$P,TransIF!$U:$U,G14,TransIF!$R:$R,H$3)-SUMIFS(TransIF!$P:$P,TransIF!$U:$U,G14,TransIF!$Q:$Q,H$3))/(I$3+I$2)</f>
        <v>#N/A</v>
      </c>
      <c r="L14" s="3" t="s">
        <v>398</v>
      </c>
      <c r="M14" s="108">
        <v>2.0521000000000001E-2</v>
      </c>
      <c r="N14" s="118"/>
      <c r="O14" s="108" t="e">
        <f ca="1">+(M14*N$3+N14-SUMIFS(BaseCompleta!$F:$F,BaseCompleta!$Q:$Q,'Emisor Consolidado'!L14,BaseCompleta!$B:$B,M$3,BaseCompleta!$J:$J,0)+SUMIFS(TransRF!$Q:$Q,TransRF!$T:$T,L14,TransRF!AC:AC,M$3)-SUMIFS(TransRF!$Q:$Q,TransRF!$T:$T,L14,TransRF!$R:$R,M$3)+SUMIFS(TransIF!$P:$P,TransIF!$U:$U,L14,TransIF!$R:$R,M$3)-SUMIFS(TransIF!$P:$P,TransIF!$U:$U,L14,TransIF!$Q:$Q,M$3))/(N$3+N$2)</f>
        <v>#N/A</v>
      </c>
      <c r="Q14" s="3" t="s">
        <v>56</v>
      </c>
      <c r="R14" s="108">
        <v>1.7565999999999998E-2</v>
      </c>
      <c r="S14" s="118"/>
      <c r="T14" s="108" t="e">
        <f ca="1">+(R14*S$3+S14-SUMIFS(BaseCompleta!$F:$F,BaseCompleta!$Q:$Q,'Emisor Consolidado'!Q14,BaseCompleta!$B:$B,R$3,BaseCompleta!$J:$J,0)+SUMIFS(TransRF!$Q:$Q,TransRF!$T:$T,Q14,TransRF!AH:AH,R$3)-SUMIFS(TransRF!$Q:$Q,TransRF!$T:$T,Q14,TransRF!$R:$R,R$3)+SUMIFS(TransIF!$P:$P,TransIF!$U:$U,Q14,TransIF!$R:$R,R$3)-SUMIFS(TransIF!$P:$P,TransIF!$U:$U,Q14,TransIF!$Q:$Q,R$3))/(S$3+S$2)</f>
        <v>#N/A</v>
      </c>
      <c r="V14" s="3" t="s">
        <v>70</v>
      </c>
      <c r="W14" s="108">
        <v>2.1092E-2</v>
      </c>
      <c r="X14" s="118"/>
      <c r="Y14" s="108" t="e">
        <f ca="1">+(W14*X$3+X14-SUMIFS(BaseCompleta!$F:$F,BaseCompleta!$Q:$Q,'Emisor Consolidado'!V14,BaseCompleta!$B:$B,W$3,BaseCompleta!$J:$J,0)+SUMIFS(TransRF!$Q:$Q,TransRF!$T:$T,V14,TransRF!AM:AM,W$3)-SUMIFS(TransRF!$Q:$Q,TransRF!$T:$T,V14,TransRF!$R:$R,W$3)+SUMIFS(TransIF!$P:$P,TransIF!$U:$U,V14,TransIF!$R:$R,W$3)-SUMIFS(TransIF!$P:$P,TransIF!$U:$U,V14,TransIF!$Q:$Q,W$3))/(X$3+X$2)</f>
        <v>#N/A</v>
      </c>
      <c r="AA14" s="3" t="s">
        <v>70</v>
      </c>
      <c r="AB14" s="108">
        <v>5.0266999999999999E-2</v>
      </c>
      <c r="AC14" s="118"/>
      <c r="AD14" s="108" t="e">
        <f ca="1">+(AB14*AC$3+AC14-SUMIFS(BaseCompleta!$F:$F,BaseCompleta!$Q:$Q,'Emisor Consolidado'!AA14,BaseCompleta!$B:$B,AB$3,BaseCompleta!$J:$J,0)+SUMIFS(TransRF!$Q:$Q,TransRF!$T:$T,AA14,TransRF!AR:AR,AB$3)-SUMIFS(TransRF!$Q:$Q,TransRF!$T:$T,AA14,TransRF!$R:$R,AB$3)+SUMIFS(TransIF!$P:$P,TransIF!$U:$U,AA14,TransIF!$R:$R,AB$3)-SUMIFS(TransIF!$P:$P,TransIF!$U:$U,AA14,TransIF!$Q:$Q,AB$3))/(AC$3+AC$2)</f>
        <v>#N/A</v>
      </c>
      <c r="AF14" s="3" t="s">
        <v>60</v>
      </c>
      <c r="AG14" s="108">
        <v>4.5262000000000004E-2</v>
      </c>
      <c r="AH14" s="118"/>
      <c r="AI14" s="108" t="e">
        <f ca="1">+(AG14*AH$3+AH14-SUMIFS(BaseCompleta!$F:$F,BaseCompleta!$Q:$Q,'Emisor Consolidado'!AF14,BaseCompleta!$B:$B,AG$3,BaseCompleta!$J:$J,0)+SUMIFS(TransRF!$Q:$Q,TransRF!$T:$T,AF14,TransRF!AW:AW,AG$3)-SUMIFS(TransRF!$Q:$Q,TransRF!$T:$T,AF14,TransRF!$R:$R,AG$3)+SUMIFS(TransIF!$P:$P,TransIF!$U:$U,AF14,TransIF!$R:$R,AG$3)-SUMIFS(TransIF!$P:$P,TransIF!$U:$U,AF14,TransIF!$Q:$Q,AG$3))/(AH$3+AH$2)</f>
        <v>#N/A</v>
      </c>
      <c r="AK14" s="3" t="s">
        <v>51</v>
      </c>
      <c r="AL14" s="108">
        <v>5.5525999999999999E-2</v>
      </c>
      <c r="AM14" s="118"/>
      <c r="AN14" s="108" t="e">
        <f ca="1">+(AL14*AM$3+AM14-SUMIFS(BaseCompleta!$F:$F,BaseCompleta!$Q:$Q,'Emisor Consolidado'!AK14,BaseCompleta!$B:$B,AL$3,BaseCompleta!$J:$J,0)+SUMIFS(TransRF!$Q:$Q,TransRF!$T:$T,AK14,TransRF!BB:BB,AL$3)-SUMIFS(TransRF!$Q:$Q,TransRF!$T:$T,AK14,TransRF!$R:$R,AL$3)+SUMIFS(TransIF!$P:$P,TransIF!$U:$U,AK14,TransIF!$R:$R,AL$3)-SUMIFS(TransIF!$P:$P,TransIF!$U:$U,AK14,TransIF!$Q:$Q,AL$3))/(AM$3+AM$2)</f>
        <v>#N/A</v>
      </c>
    </row>
    <row r="15" spans="2:40">
      <c r="B15" s="3" t="s">
        <v>325</v>
      </c>
      <c r="C15" s="108">
        <v>4.6783999999999992E-2</v>
      </c>
      <c r="D15" s="118"/>
      <c r="E15" s="108" t="e">
        <f ca="1">+(C15*D$3+D15-SUMIFS(BaseCompleta!$F:$F,BaseCompleta!$Q:$Q,B15,BaseCompleta!$B:$B,C$3,BaseCompleta!$J:$J,0)+SUMIFS(TransRF!$Q:$Q,TransRF!$T:$T,B15,TransRF!S:S,C$3)-SUMIFS(TransRF!$Q:$Q,TransRF!$T:$T,B15,TransRF!$R:$R,C$3)+SUMIFS(TransIF!$P:$P,TransIF!$U:$U,B15,TransIF!$R:$R,C$3)-SUMIFS(TransIF!$P:$P,TransIF!$U:$U,B15,TransIF!$Q:$Q,C$3))/(D$3+D$2)</f>
        <v>#N/A</v>
      </c>
      <c r="G15" s="3" t="s">
        <v>390</v>
      </c>
      <c r="H15" s="108">
        <v>2.9099E-2</v>
      </c>
      <c r="I15" s="118"/>
      <c r="J15" s="108" t="e">
        <f ca="1">+(H15*I$3+I15-SUMIFS(BaseCompleta!$F:$F,BaseCompleta!$Q:$Q,'Emisor Consolidado'!G15,BaseCompleta!$B:$B,H$3,BaseCompleta!$J:$J,0)+SUMIFS(TransRF!$Q:$Q,TransRF!$T:$T,G15,TransRF!X:X,H$3)-SUMIFS(TransRF!$Q:$Q,TransRF!$T:$T,G15,TransRF!$R:$R,H$3)+SUMIFS(TransIF!$P:$P,TransIF!$U:$U,G15,TransIF!$R:$R,H$3)-SUMIFS(TransIF!$P:$P,TransIF!$U:$U,G15,TransIF!$Q:$Q,H$3))/(I$3+I$2)</f>
        <v>#N/A</v>
      </c>
      <c r="L15" s="3" t="s">
        <v>76</v>
      </c>
      <c r="M15" s="108">
        <v>2.0378999999999998E-2</v>
      </c>
      <c r="N15" s="118"/>
      <c r="O15" s="108" t="e">
        <f ca="1">+(M15*N$3+N15-SUMIFS(BaseCompleta!$F:$F,BaseCompleta!$Q:$Q,'Emisor Consolidado'!L15,BaseCompleta!$B:$B,M$3,BaseCompleta!$J:$J,0)+SUMIFS(TransRF!$Q:$Q,TransRF!$T:$T,L15,TransRF!AC:AC,M$3)-SUMIFS(TransRF!$Q:$Q,TransRF!$T:$T,L15,TransRF!$R:$R,M$3)+SUMIFS(TransIF!$P:$P,TransIF!$U:$U,L15,TransIF!$R:$R,M$3)-SUMIFS(TransIF!$P:$P,TransIF!$U:$U,L15,TransIF!$Q:$Q,M$3))/(N$3+N$2)</f>
        <v>#N/A</v>
      </c>
      <c r="Q15" s="3" t="s">
        <v>326</v>
      </c>
      <c r="R15" s="108">
        <v>1.7440999999999998E-2</v>
      </c>
      <c r="S15" s="118"/>
      <c r="T15" s="108" t="e">
        <f ca="1">+(R15*S$3+S15-SUMIFS(BaseCompleta!$F:$F,BaseCompleta!$Q:$Q,'Emisor Consolidado'!Q15,BaseCompleta!$B:$B,R$3,BaseCompleta!$J:$J,0)+SUMIFS(TransRF!$Q:$Q,TransRF!$T:$T,Q15,TransRF!AH:AH,R$3)-SUMIFS(TransRF!$Q:$Q,TransRF!$T:$T,Q15,TransRF!$R:$R,R$3)+SUMIFS(TransIF!$P:$P,TransIF!$U:$U,Q15,TransIF!$R:$R,R$3)-SUMIFS(TransIF!$P:$P,TransIF!$U:$U,Q15,TransIF!$Q:$Q,R$3))/(S$3+S$2)</f>
        <v>#N/A</v>
      </c>
      <c r="V15" s="3" t="s">
        <v>88</v>
      </c>
      <c r="W15" s="108">
        <v>2.0836E-2</v>
      </c>
      <c r="X15" s="118"/>
      <c r="Y15" s="108" t="e">
        <f ca="1">+(W15*X$3+X15-SUMIFS(BaseCompleta!$F:$F,BaseCompleta!$Q:$Q,'Emisor Consolidado'!V15,BaseCompleta!$B:$B,W$3,BaseCompleta!$J:$J,0)+SUMIFS(TransRF!$Q:$Q,TransRF!$T:$T,V15,TransRF!AM:AM,W$3)-SUMIFS(TransRF!$Q:$Q,TransRF!$T:$T,V15,TransRF!$R:$R,W$3)+SUMIFS(TransIF!$P:$P,TransIF!$U:$U,V15,TransIF!$R:$R,W$3)-SUMIFS(TransIF!$P:$P,TransIF!$U:$U,V15,TransIF!$Q:$Q,W$3))/(X$3+X$2)</f>
        <v>#N/A</v>
      </c>
      <c r="AA15" s="3" t="s">
        <v>325</v>
      </c>
      <c r="AB15" s="108">
        <v>4.6783999999999992E-2</v>
      </c>
      <c r="AC15" s="118"/>
      <c r="AD15" s="108" t="e">
        <f ca="1">+(AB15*AC$3+AC15-SUMIFS(BaseCompleta!$F:$F,BaseCompleta!$Q:$Q,'Emisor Consolidado'!AA15,BaseCompleta!$B:$B,AB$3,BaseCompleta!$J:$J,0)+SUMIFS(TransRF!$Q:$Q,TransRF!$T:$T,AA15,TransRF!AR:AR,AB$3)-SUMIFS(TransRF!$Q:$Q,TransRF!$T:$T,AA15,TransRF!$R:$R,AB$3)+SUMIFS(TransIF!$P:$P,TransIF!$U:$U,AA15,TransIF!$R:$R,AB$3)-SUMIFS(TransIF!$P:$P,TransIF!$U:$U,AA15,TransIF!$Q:$Q,AB$3))/(AC$3+AC$2)</f>
        <v>#N/A</v>
      </c>
      <c r="AF15" s="3" t="s">
        <v>77</v>
      </c>
      <c r="AG15" s="108">
        <v>3.9742E-2</v>
      </c>
      <c r="AH15" s="118"/>
      <c r="AI15" s="108" t="e">
        <f ca="1">+(AG15*AH$3+AH15-SUMIFS(BaseCompleta!$F:$F,BaseCompleta!$Q:$Q,'Emisor Consolidado'!AF15,BaseCompleta!$B:$B,AG$3,BaseCompleta!$J:$J,0)+SUMIFS(TransRF!$Q:$Q,TransRF!$T:$T,AF15,TransRF!AW:AW,AG$3)-SUMIFS(TransRF!$Q:$Q,TransRF!$T:$T,AF15,TransRF!$R:$R,AG$3)+SUMIFS(TransIF!$P:$P,TransIF!$U:$U,AF15,TransIF!$R:$R,AG$3)-SUMIFS(TransIF!$P:$P,TransIF!$U:$U,AF15,TransIF!$Q:$Q,AG$3))/(AH$3+AH$2)</f>
        <v>#N/A</v>
      </c>
      <c r="AK15" s="3" t="s">
        <v>55</v>
      </c>
      <c r="AL15" s="108">
        <v>4.9308999999999999E-2</v>
      </c>
      <c r="AM15" s="118"/>
      <c r="AN15" s="108" t="e">
        <f ca="1">+(AL15*AM$3+AM15-SUMIFS(BaseCompleta!$F:$F,BaseCompleta!$Q:$Q,'Emisor Consolidado'!AK15,BaseCompleta!$B:$B,AL$3,BaseCompleta!$J:$J,0)+SUMIFS(TransRF!$Q:$Q,TransRF!$T:$T,AK15,TransRF!BB:BB,AL$3)-SUMIFS(TransRF!$Q:$Q,TransRF!$T:$T,AK15,TransRF!$R:$R,AL$3)+SUMIFS(TransIF!$P:$P,TransIF!$U:$U,AK15,TransIF!$R:$R,AL$3)-SUMIFS(TransIF!$P:$P,TransIF!$U:$U,AK15,TransIF!$Q:$Q,AL$3))/(AM$3+AM$2)</f>
        <v>#N/A</v>
      </c>
    </row>
    <row r="16" spans="2:40">
      <c r="B16" s="3" t="s">
        <v>60</v>
      </c>
      <c r="C16" s="108">
        <v>4.3819000000000004E-2</v>
      </c>
      <c r="D16" s="118"/>
      <c r="E16" s="108" t="e">
        <f ca="1">+(C16*D$3+D16-SUMIFS(BaseCompleta!$F:$F,BaseCompleta!$Q:$Q,B16,BaseCompleta!$B:$B,C$3,BaseCompleta!$J:$J,0)+SUMIFS(TransRF!$Q:$Q,TransRF!$T:$T,B16,TransRF!S:S,C$3)-SUMIFS(TransRF!$Q:$Q,TransRF!$T:$T,B16,TransRF!$R:$R,C$3)+SUMIFS(TransIF!$P:$P,TransIF!$U:$U,B16,TransIF!$R:$R,C$3)-SUMIFS(TransIF!$P:$P,TransIF!$U:$U,B16,TransIF!$Q:$Q,C$3))/(D$3+D$2)</f>
        <v>#N/A</v>
      </c>
      <c r="G16" s="3" t="s">
        <v>76</v>
      </c>
      <c r="H16" s="108">
        <v>2.5733000000000002E-2</v>
      </c>
      <c r="I16" s="118"/>
      <c r="J16" s="108" t="e">
        <f ca="1">+(H16*I$3+I16-SUMIFS(BaseCompleta!$F:$F,BaseCompleta!$Q:$Q,'Emisor Consolidado'!G16,BaseCompleta!$B:$B,H$3,BaseCompleta!$J:$J,0)+SUMIFS(TransRF!$Q:$Q,TransRF!$T:$T,G16,TransRF!X:X,H$3)-SUMIFS(TransRF!$Q:$Q,TransRF!$T:$T,G16,TransRF!$R:$R,H$3)+SUMIFS(TransIF!$P:$P,TransIF!$U:$U,G16,TransIF!$R:$R,H$3)-SUMIFS(TransIF!$P:$P,TransIF!$U:$U,G16,TransIF!$Q:$Q,H$3))/(I$3+I$2)</f>
        <v>#N/A</v>
      </c>
      <c r="L16" s="3" t="s">
        <v>1001</v>
      </c>
      <c r="M16" s="108">
        <v>1.8671E-2</v>
      </c>
      <c r="N16" s="118"/>
      <c r="O16" s="108" t="e">
        <f ca="1">+(M16*N$3+N16-SUMIFS(BaseCompleta!$F:$F,BaseCompleta!$Q:$Q,'Emisor Consolidado'!L16,BaseCompleta!$B:$B,M$3,BaseCompleta!$J:$J,0)+SUMIFS(TransRF!$Q:$Q,TransRF!$T:$T,L16,TransRF!AC:AC,M$3)-SUMIFS(TransRF!$Q:$Q,TransRF!$T:$T,L16,TransRF!$R:$R,M$3)+SUMIFS(TransIF!$P:$P,TransIF!$U:$U,L16,TransIF!$R:$R,M$3)-SUMIFS(TransIF!$P:$P,TransIF!$U:$U,L16,TransIF!$Q:$Q,M$3))/(N$3+N$2)</f>
        <v>#N/A</v>
      </c>
      <c r="Q16" s="3" t="s">
        <v>398</v>
      </c>
      <c r="R16" s="108">
        <v>1.7239000000000001E-2</v>
      </c>
      <c r="S16" s="118"/>
      <c r="T16" s="108" t="e">
        <f ca="1">+(R16*S$3+S16-SUMIFS(BaseCompleta!$F:$F,BaseCompleta!$Q:$Q,'Emisor Consolidado'!Q16,BaseCompleta!$B:$B,R$3,BaseCompleta!$J:$J,0)+SUMIFS(TransRF!$Q:$Q,TransRF!$T:$T,Q16,TransRF!AH:AH,R$3)-SUMIFS(TransRF!$Q:$Q,TransRF!$T:$T,Q16,TransRF!$R:$R,R$3)+SUMIFS(TransIF!$P:$P,TransIF!$U:$U,Q16,TransIF!$R:$R,R$3)-SUMIFS(TransIF!$P:$P,TransIF!$U:$U,Q16,TransIF!$Q:$Q,R$3))/(S$3+S$2)</f>
        <v>#N/A</v>
      </c>
      <c r="V16" s="3" t="s">
        <v>1062</v>
      </c>
      <c r="W16" s="108">
        <v>0.99999199999999999</v>
      </c>
      <c r="X16" s="118"/>
      <c r="Y16" s="108" t="e">
        <f ca="1">+(W16*X$3+X16-SUMIFS(BaseCompleta!$F:$F,BaseCompleta!$Q:$Q,'Emisor Consolidado'!V16,BaseCompleta!$B:$B,W$3,BaseCompleta!$J:$J,0)+SUMIFS(TransRF!$Q:$Q,TransRF!$T:$T,V16,TransRF!AM:AM,W$3)-SUMIFS(TransRF!$Q:$Q,TransRF!$T:$T,V16,TransRF!$R:$R,W$3)+SUMIFS(TransIF!$P:$P,TransIF!$U:$U,V16,TransIF!$R:$R,W$3)-SUMIFS(TransIF!$P:$P,TransIF!$U:$U,V16,TransIF!$Q:$Q,W$3))/(X$3+X$2)</f>
        <v>#N/A</v>
      </c>
      <c r="AA16" s="3" t="s">
        <v>60</v>
      </c>
      <c r="AB16" s="108">
        <v>4.3819000000000004E-2</v>
      </c>
      <c r="AC16" s="118"/>
      <c r="AD16" s="108" t="e">
        <f ca="1">+(AB16*AC$3+AC16-SUMIFS(BaseCompleta!$F:$F,BaseCompleta!$Q:$Q,'Emisor Consolidado'!AA16,BaseCompleta!$B:$B,AB$3,BaseCompleta!$J:$J,0)+SUMIFS(TransRF!$Q:$Q,TransRF!$T:$T,AA16,TransRF!AR:AR,AB$3)-SUMIFS(TransRF!$Q:$Q,TransRF!$T:$T,AA16,TransRF!$R:$R,AB$3)+SUMIFS(TransIF!$P:$P,TransIF!$U:$U,AA16,TransIF!$R:$R,AB$3)-SUMIFS(TransIF!$P:$P,TransIF!$U:$U,AA16,TransIF!$Q:$Q,AB$3))/(AC$3+AC$2)</f>
        <v>#N/A</v>
      </c>
      <c r="AF16" s="3" t="s">
        <v>325</v>
      </c>
      <c r="AG16" s="108">
        <v>3.8540999999999999E-2</v>
      </c>
      <c r="AH16" s="118"/>
      <c r="AI16" s="108" t="e">
        <f ca="1">+(AG16*AH$3+AH16-SUMIFS(BaseCompleta!$F:$F,BaseCompleta!$Q:$Q,'Emisor Consolidado'!AF16,BaseCompleta!$B:$B,AG$3,BaseCompleta!$J:$J,0)+SUMIFS(TransRF!$Q:$Q,TransRF!$T:$T,AF16,TransRF!AW:AW,AG$3)-SUMIFS(TransRF!$Q:$Q,TransRF!$T:$T,AF16,TransRF!$R:$R,AG$3)+SUMIFS(TransIF!$P:$P,TransIF!$U:$U,AF16,TransIF!$R:$R,AG$3)-SUMIFS(TransIF!$P:$P,TransIF!$U:$U,AF16,TransIF!$Q:$Q,AG$3))/(AH$3+AH$2)</f>
        <v>#N/A</v>
      </c>
      <c r="AK16" s="3" t="s">
        <v>77</v>
      </c>
      <c r="AL16" s="108">
        <v>1.2883E-2</v>
      </c>
      <c r="AM16" s="118"/>
      <c r="AN16" s="108" t="e">
        <f ca="1">+(AL16*AM$3+AM16-SUMIFS(BaseCompleta!$F:$F,BaseCompleta!$Q:$Q,'Emisor Consolidado'!AK16,BaseCompleta!$B:$B,AL$3,BaseCompleta!$J:$J,0)+SUMIFS(TransRF!$Q:$Q,TransRF!$T:$T,AK16,TransRF!BB:BB,AL$3)-SUMIFS(TransRF!$Q:$Q,TransRF!$T:$T,AK16,TransRF!$R:$R,AL$3)+SUMIFS(TransIF!$P:$P,TransIF!$U:$U,AK16,TransIF!$R:$R,AL$3)-SUMIFS(TransIF!$P:$P,TransIF!$U:$U,AK16,TransIF!$Q:$Q,AL$3))/(AM$3+AM$2)</f>
        <v>#N/A</v>
      </c>
    </row>
    <row r="17" spans="2:40">
      <c r="B17" s="3" t="s">
        <v>77</v>
      </c>
      <c r="C17" s="108">
        <v>3.1271999999999994E-2</v>
      </c>
      <c r="D17" s="118"/>
      <c r="E17" s="108" t="e">
        <f ca="1">+(C17*D$3+D17-SUMIFS(BaseCompleta!$F:$F,BaseCompleta!$Q:$Q,B17,BaseCompleta!$B:$B,C$3,BaseCompleta!$J:$J,0)+SUMIFS(TransRF!$Q:$Q,TransRF!$T:$T,B17,TransRF!S:S,C$3)-SUMIFS(TransRF!$Q:$Q,TransRF!$T:$T,B17,TransRF!$R:$R,C$3)+SUMIFS(TransIF!$P:$P,TransIF!$U:$U,B17,TransIF!$R:$R,C$3)-SUMIFS(TransIF!$P:$P,TransIF!$U:$U,B17,TransIF!$Q:$Q,C$3))/(D$3+D$2)</f>
        <v>#N/A</v>
      </c>
      <c r="G17" s="3" t="s">
        <v>67</v>
      </c>
      <c r="H17" s="108">
        <v>2.5346E-2</v>
      </c>
      <c r="I17" s="118"/>
      <c r="J17" s="108" t="e">
        <f ca="1">+(H17*I$3+I17-SUMIFS(BaseCompleta!$F:$F,BaseCompleta!$Q:$Q,'Emisor Consolidado'!G17,BaseCompleta!$B:$B,H$3,BaseCompleta!$J:$J,0)+SUMIFS(TransRF!$Q:$Q,TransRF!$T:$T,G17,TransRF!X:X,H$3)-SUMIFS(TransRF!$Q:$Q,TransRF!$T:$T,G17,TransRF!$R:$R,H$3)+SUMIFS(TransIF!$P:$P,TransIF!$U:$U,G17,TransIF!$R:$R,H$3)-SUMIFS(TransIF!$P:$P,TransIF!$U:$U,G17,TransIF!$Q:$Q,H$3))/(I$3+I$2)</f>
        <v>#N/A</v>
      </c>
      <c r="L17" s="3" t="s">
        <v>327</v>
      </c>
      <c r="M17" s="108">
        <v>1.8137000000000004E-2</v>
      </c>
      <c r="N17" s="118"/>
      <c r="O17" s="108" t="e">
        <f ca="1">+(M17*N$3+N17-SUMIFS(BaseCompleta!$F:$F,BaseCompleta!$Q:$Q,'Emisor Consolidado'!L17,BaseCompleta!$B:$B,M$3,BaseCompleta!$J:$J,0)+SUMIFS(TransRF!$Q:$Q,TransRF!$T:$T,L17,TransRF!AC:AC,M$3)-SUMIFS(TransRF!$Q:$Q,TransRF!$T:$T,L17,TransRF!$R:$R,M$3)+SUMIFS(TransIF!$P:$P,TransIF!$U:$U,L17,TransIF!$R:$R,M$3)-SUMIFS(TransIF!$P:$P,TransIF!$U:$U,L17,TransIF!$Q:$Q,M$3))/(N$3+N$2)</f>
        <v>#N/A</v>
      </c>
      <c r="Q17" s="3" t="s">
        <v>325</v>
      </c>
      <c r="R17" s="108">
        <v>1.6841999999999999E-2</v>
      </c>
      <c r="S17" s="118"/>
      <c r="T17" s="108" t="e">
        <f ca="1">+(R17*S$3+S17-SUMIFS(BaseCompleta!$F:$F,BaseCompleta!$Q:$Q,'Emisor Consolidado'!Q17,BaseCompleta!$B:$B,R$3,BaseCompleta!$J:$J,0)+SUMIFS(TransRF!$Q:$Q,TransRF!$T:$T,Q17,TransRF!AH:AH,R$3)-SUMIFS(TransRF!$Q:$Q,TransRF!$T:$T,Q17,TransRF!$R:$R,R$3)+SUMIFS(TransIF!$P:$P,TransIF!$U:$U,Q17,TransIF!$R:$R,R$3)-SUMIFS(TransIF!$P:$P,TransIF!$U:$U,Q17,TransIF!$Q:$Q,R$3))/(S$3+S$2)</f>
        <v>#N/A</v>
      </c>
      <c r="V17"/>
      <c r="W17"/>
      <c r="X17" s="118"/>
      <c r="Y17" s="108" t="e">
        <f ca="1">+(W17*X$3+X17-SUMIFS(BaseCompleta!$F:$F,BaseCompleta!$Q:$Q,'Emisor Consolidado'!V17,BaseCompleta!$B:$B,W$3,BaseCompleta!$J:$J,0)+SUMIFS(TransRF!$Q:$Q,TransRF!$T:$T,V17,TransRF!AM:AM,W$3)-SUMIFS(TransRF!$Q:$Q,TransRF!$T:$T,V17,TransRF!$R:$R,W$3)+SUMIFS(TransIF!$P:$P,TransIF!$U:$U,V17,TransIF!$R:$R,W$3)-SUMIFS(TransIF!$P:$P,TransIF!$U:$U,V17,TransIF!$Q:$Q,W$3))/(X$3+X$2)</f>
        <v>#N/A</v>
      </c>
      <c r="AA17" s="3" t="s">
        <v>77</v>
      </c>
      <c r="AB17" s="108">
        <v>3.1271999999999994E-2</v>
      </c>
      <c r="AC17" s="118"/>
      <c r="AD17" s="108" t="e">
        <f ca="1">+(AB17*AC$3+AC17-SUMIFS(BaseCompleta!$F:$F,BaseCompleta!$Q:$Q,'Emisor Consolidado'!AA17,BaseCompleta!$B:$B,AB$3,BaseCompleta!$J:$J,0)+SUMIFS(TransRF!$Q:$Q,TransRF!$T:$T,AA17,TransRF!AR:AR,AB$3)-SUMIFS(TransRF!$Q:$Q,TransRF!$T:$T,AA17,TransRF!$R:$R,AB$3)+SUMIFS(TransIF!$P:$P,TransIF!$U:$U,AA17,TransIF!$R:$R,AB$3)-SUMIFS(TransIF!$P:$P,TransIF!$U:$U,AA17,TransIF!$Q:$Q,AB$3))/(AC$3+AC$2)</f>
        <v>#N/A</v>
      </c>
      <c r="AF17" s="3" t="s">
        <v>1564</v>
      </c>
      <c r="AG17" s="108">
        <v>3.1920999999999998E-2</v>
      </c>
      <c r="AH17" s="118"/>
      <c r="AI17" s="108" t="e">
        <f ca="1">+(AG17*AH$3+AH17-SUMIFS(BaseCompleta!$F:$F,BaseCompleta!$Q:$Q,'Emisor Consolidado'!AF17,BaseCompleta!$B:$B,AG$3,BaseCompleta!$J:$J,0)+SUMIFS(TransRF!$Q:$Q,TransRF!$T:$T,AF17,TransRF!AW:AW,AG$3)-SUMIFS(TransRF!$Q:$Q,TransRF!$T:$T,AF17,TransRF!$R:$R,AG$3)+SUMIFS(TransIF!$P:$P,TransIF!$U:$U,AF17,TransIF!$R:$R,AG$3)-SUMIFS(TransIF!$P:$P,TransIF!$U:$U,AF17,TransIF!$Q:$Q,AG$3))/(AH$3+AH$2)</f>
        <v>#N/A</v>
      </c>
      <c r="AK17" s="3" t="s">
        <v>68</v>
      </c>
      <c r="AL17" s="108">
        <v>7.724E-3</v>
      </c>
      <c r="AM17" s="118"/>
      <c r="AN17" s="108" t="e">
        <f ca="1">+(AL17*AM$3+AM17-SUMIFS(BaseCompleta!$F:$F,BaseCompleta!$Q:$Q,'Emisor Consolidado'!AK17,BaseCompleta!$B:$B,AL$3,BaseCompleta!$J:$J,0)+SUMIFS(TransRF!$Q:$Q,TransRF!$T:$T,AK17,TransRF!BB:BB,AL$3)-SUMIFS(TransRF!$Q:$Q,TransRF!$T:$T,AK17,TransRF!$R:$R,AL$3)+SUMIFS(TransIF!$P:$P,TransIF!$U:$U,AK17,TransIF!$R:$R,AL$3)-SUMIFS(TransIF!$P:$P,TransIF!$U:$U,AK17,TransIF!$Q:$Q,AL$3))/(AM$3+AM$2)</f>
        <v>#N/A</v>
      </c>
    </row>
    <row r="18" spans="2:40">
      <c r="B18" s="3" t="s">
        <v>2098</v>
      </c>
      <c r="C18" s="108">
        <v>2.6020000000000001E-2</v>
      </c>
      <c r="D18" s="118"/>
      <c r="E18" s="108" t="e">
        <f ca="1">+(C18*D$3+D18-SUMIFS(BaseCompleta!$F:$F,BaseCompleta!$Q:$Q,B18,BaseCompleta!$B:$B,C$3,BaseCompleta!$J:$J,0)+SUMIFS(TransRF!$Q:$Q,TransRF!$T:$T,B18,TransRF!S:S,C$3)-SUMIFS(TransRF!$Q:$Q,TransRF!$T:$T,B18,TransRF!$R:$R,C$3)+SUMIFS(TransIF!$P:$P,TransIF!$U:$U,B18,TransIF!$R:$R,C$3)-SUMIFS(TransIF!$P:$P,TransIF!$U:$U,B18,TransIF!$Q:$Q,C$3))/(D$3+D$2)</f>
        <v>#N/A</v>
      </c>
      <c r="G18" s="3" t="s">
        <v>487</v>
      </c>
      <c r="H18" s="108">
        <v>2.4934000000000005E-2</v>
      </c>
      <c r="I18" s="118"/>
      <c r="J18" s="108" t="e">
        <f ca="1">+(H18*I$3+I18-SUMIFS(BaseCompleta!$F:$F,BaseCompleta!$Q:$Q,'Emisor Consolidado'!G18,BaseCompleta!$B:$B,H$3,BaseCompleta!$J:$J,0)+SUMIFS(TransRF!$Q:$Q,TransRF!$T:$T,G18,TransRF!X:X,H$3)-SUMIFS(TransRF!$Q:$Q,TransRF!$T:$T,G18,TransRF!$R:$R,H$3)+SUMIFS(TransIF!$P:$P,TransIF!$U:$U,G18,TransIF!$R:$R,H$3)-SUMIFS(TransIF!$P:$P,TransIF!$U:$U,G18,TransIF!$Q:$Q,H$3))/(I$3+I$2)</f>
        <v>#N/A</v>
      </c>
      <c r="L18" s="3" t="s">
        <v>836</v>
      </c>
      <c r="M18" s="108">
        <v>1.7004999999999999E-2</v>
      </c>
      <c r="N18" s="118"/>
      <c r="O18" s="108" t="e">
        <f ca="1">+(M18*N$3+N18-SUMIFS(BaseCompleta!$F:$F,BaseCompleta!$Q:$Q,'Emisor Consolidado'!L18,BaseCompleta!$B:$B,M$3,BaseCompleta!$J:$J,0)+SUMIFS(TransRF!$Q:$Q,TransRF!$T:$T,L18,TransRF!AC:AC,M$3)-SUMIFS(TransRF!$Q:$Q,TransRF!$T:$T,L18,TransRF!$R:$R,M$3)+SUMIFS(TransIF!$P:$P,TransIF!$U:$U,L18,TransIF!$R:$R,M$3)-SUMIFS(TransIF!$P:$P,TransIF!$U:$U,L18,TransIF!$Q:$Q,M$3))/(N$3+N$2)</f>
        <v>#N/A</v>
      </c>
      <c r="Q18" s="3" t="s">
        <v>1464</v>
      </c>
      <c r="R18" s="108">
        <v>1.5783999999999999E-2</v>
      </c>
      <c r="S18" s="118"/>
      <c r="T18" s="108" t="e">
        <f ca="1">+(R18*S$3+S18-SUMIFS(BaseCompleta!$F:$F,BaseCompleta!$Q:$Q,'Emisor Consolidado'!Q18,BaseCompleta!$B:$B,R$3,BaseCompleta!$J:$J,0)+SUMIFS(TransRF!$Q:$Q,TransRF!$T:$T,Q18,TransRF!AH:AH,R$3)-SUMIFS(TransRF!$Q:$Q,TransRF!$T:$T,Q18,TransRF!$R:$R,R$3)+SUMIFS(TransIF!$P:$P,TransIF!$U:$U,Q18,TransIF!$R:$R,R$3)-SUMIFS(TransIF!$P:$P,TransIF!$U:$U,Q18,TransIF!$Q:$Q,R$3))/(S$3+S$2)</f>
        <v>#N/A</v>
      </c>
      <c r="V18"/>
      <c r="W18"/>
      <c r="X18" s="118"/>
      <c r="Y18" s="108" t="e">
        <f ca="1">+(W18*X$3+X18-SUMIFS(BaseCompleta!$F:$F,BaseCompleta!$Q:$Q,'Emisor Consolidado'!V18,BaseCompleta!$B:$B,W$3,BaseCompleta!$J:$J,0)+SUMIFS(TransRF!$Q:$Q,TransRF!$T:$T,V18,TransRF!AM:AM,W$3)-SUMIFS(TransRF!$Q:$Q,TransRF!$T:$T,V18,TransRF!$R:$R,W$3)+SUMIFS(TransIF!$P:$P,TransIF!$U:$U,V18,TransIF!$R:$R,W$3)-SUMIFS(TransIF!$P:$P,TransIF!$U:$U,V18,TransIF!$Q:$Q,W$3))/(X$3+X$2)</f>
        <v>#N/A</v>
      </c>
      <c r="AA18" s="3" t="s">
        <v>2098</v>
      </c>
      <c r="AB18" s="108">
        <v>2.6020000000000001E-2</v>
      </c>
      <c r="AC18" s="118"/>
      <c r="AD18" s="108" t="e">
        <f ca="1">+(AB18*AC$3+AC18-SUMIFS(BaseCompleta!$F:$F,BaseCompleta!$Q:$Q,'Emisor Consolidado'!AA18,BaseCompleta!$B:$B,AB$3,BaseCompleta!$J:$J,0)+SUMIFS(TransRF!$Q:$Q,TransRF!$T:$T,AA18,TransRF!AR:AR,AB$3)-SUMIFS(TransRF!$Q:$Q,TransRF!$T:$T,AA18,TransRF!$R:$R,AB$3)+SUMIFS(TransIF!$P:$P,TransIF!$U:$U,AA18,TransIF!$R:$R,AB$3)-SUMIFS(TransIF!$P:$P,TransIF!$U:$U,AA18,TransIF!$Q:$Q,AB$3))/(AC$3+AC$2)</f>
        <v>#N/A</v>
      </c>
      <c r="AF18" s="3" t="s">
        <v>88</v>
      </c>
      <c r="AG18" s="108">
        <v>2.8948000000000002E-2</v>
      </c>
      <c r="AH18" s="118"/>
      <c r="AI18" s="108" t="e">
        <f ca="1">+(AG18*AH$3+AH18-SUMIFS(BaseCompleta!$F:$F,BaseCompleta!$Q:$Q,'Emisor Consolidado'!AF18,BaseCompleta!$B:$B,AG$3,BaseCompleta!$J:$J,0)+SUMIFS(TransRF!$Q:$Q,TransRF!$T:$T,AF18,TransRF!AW:AW,AG$3)-SUMIFS(TransRF!$Q:$Q,TransRF!$T:$T,AF18,TransRF!$R:$R,AG$3)+SUMIFS(TransIF!$P:$P,TransIF!$U:$U,AF18,TransIF!$R:$R,AG$3)-SUMIFS(TransIF!$P:$P,TransIF!$U:$U,AF18,TransIF!$Q:$Q,AG$3))/(AH$3+AH$2)</f>
        <v>#N/A</v>
      </c>
      <c r="AK18" s="3" t="s">
        <v>1062</v>
      </c>
      <c r="AL18" s="108">
        <v>0.99998399999999998</v>
      </c>
      <c r="AM18" s="118"/>
      <c r="AN18" s="108" t="e">
        <f ca="1">+(AL18*AM$3+AM18-SUMIFS(BaseCompleta!$F:$F,BaseCompleta!$Q:$Q,'Emisor Consolidado'!AK18,BaseCompleta!$B:$B,AL$3,BaseCompleta!$J:$J,0)+SUMIFS(TransRF!$Q:$Q,TransRF!$T:$T,AK18,TransRF!BB:BB,AL$3)-SUMIFS(TransRF!$Q:$Q,TransRF!$T:$T,AK18,TransRF!$R:$R,AL$3)+SUMIFS(TransIF!$P:$P,TransIF!$U:$U,AK18,TransIF!$R:$R,AL$3)-SUMIFS(TransIF!$P:$P,TransIF!$U:$U,AK18,TransIF!$Q:$Q,AL$3))/(AM$3+AM$2)</f>
        <v>#N/A</v>
      </c>
    </row>
    <row r="19" spans="2:40">
      <c r="B19" s="3" t="s">
        <v>61</v>
      </c>
      <c r="C19" s="108">
        <v>2.1443E-2</v>
      </c>
      <c r="D19" s="118"/>
      <c r="E19" s="108" t="e">
        <f ca="1">+(C19*D$3+D19-SUMIFS(BaseCompleta!$F:$F,BaseCompleta!$Q:$Q,B19,BaseCompleta!$B:$B,C$3,BaseCompleta!$J:$J,0)+SUMIFS(TransRF!$Q:$Q,TransRF!$T:$T,B19,TransRF!S:S,C$3)-SUMIFS(TransRF!$Q:$Q,TransRF!$T:$T,B19,TransRF!$R:$R,C$3)+SUMIFS(TransIF!$P:$P,TransIF!$U:$U,B19,TransIF!$R:$R,C$3)-SUMIFS(TransIF!$P:$P,TransIF!$U:$U,B19,TransIF!$Q:$Q,C$3))/(D$3+D$2)</f>
        <v>#N/A</v>
      </c>
      <c r="G19" s="3" t="s">
        <v>88</v>
      </c>
      <c r="H19" s="108">
        <v>2.2362E-2</v>
      </c>
      <c r="I19" s="118"/>
      <c r="J19" s="108" t="e">
        <f ca="1">+(H19*I$3+I19-SUMIFS(BaseCompleta!$F:$F,BaseCompleta!$Q:$Q,'Emisor Consolidado'!G19,BaseCompleta!$B:$B,H$3,BaseCompleta!$J:$J,0)+SUMIFS(TransRF!$Q:$Q,TransRF!$T:$T,G19,TransRF!X:X,H$3)-SUMIFS(TransRF!$Q:$Q,TransRF!$T:$T,G19,TransRF!$R:$R,H$3)+SUMIFS(TransIF!$P:$P,TransIF!$U:$U,G19,TransIF!$R:$R,H$3)-SUMIFS(TransIF!$P:$P,TransIF!$U:$U,G19,TransIF!$Q:$Q,H$3))/(I$3+I$2)</f>
        <v>#N/A</v>
      </c>
      <c r="L19" s="3" t="s">
        <v>56</v>
      </c>
      <c r="M19" s="108">
        <v>1.6126000000000001E-2</v>
      </c>
      <c r="N19" s="118"/>
      <c r="O19" s="108" t="e">
        <f ca="1">+(M19*N$3+N19-SUMIFS(BaseCompleta!$F:$F,BaseCompleta!$Q:$Q,'Emisor Consolidado'!L19,BaseCompleta!$B:$B,M$3,BaseCompleta!$J:$J,0)+SUMIFS(TransRF!$Q:$Q,TransRF!$T:$T,L19,TransRF!AC:AC,M$3)-SUMIFS(TransRF!$Q:$Q,TransRF!$T:$T,L19,TransRF!$R:$R,M$3)+SUMIFS(TransIF!$P:$P,TransIF!$U:$U,L19,TransIF!$R:$R,M$3)-SUMIFS(TransIF!$P:$P,TransIF!$U:$U,L19,TransIF!$Q:$Q,M$3))/(N$3+N$2)</f>
        <v>#N/A</v>
      </c>
      <c r="Q19" s="3" t="s">
        <v>84</v>
      </c>
      <c r="R19" s="108">
        <v>1.5710999999999999E-2</v>
      </c>
      <c r="S19" s="118"/>
      <c r="T19" s="108" t="e">
        <f ca="1">+(R19*S$3+S19-SUMIFS(BaseCompleta!$F:$F,BaseCompleta!$Q:$Q,'Emisor Consolidado'!Q19,BaseCompleta!$B:$B,R$3,BaseCompleta!$J:$J,0)+SUMIFS(TransRF!$Q:$Q,TransRF!$T:$T,Q19,TransRF!AH:AH,R$3)-SUMIFS(TransRF!$Q:$Q,TransRF!$T:$T,Q19,TransRF!$R:$R,R$3)+SUMIFS(TransIF!$P:$P,TransIF!$U:$U,Q19,TransIF!$R:$R,R$3)-SUMIFS(TransIF!$P:$P,TransIF!$U:$U,Q19,TransIF!$Q:$Q,R$3))/(S$3+S$2)</f>
        <v>#N/A</v>
      </c>
      <c r="V19"/>
      <c r="W19"/>
      <c r="AA19" s="3" t="s">
        <v>61</v>
      </c>
      <c r="AB19" s="108">
        <v>2.1443E-2</v>
      </c>
      <c r="AC19" s="118"/>
      <c r="AD19" s="108" t="e">
        <f ca="1">+(AB19*AC$3+AC19-SUMIFS(BaseCompleta!$F:$F,BaseCompleta!$Q:$Q,'Emisor Consolidado'!AA19,BaseCompleta!$B:$B,AB$3,BaseCompleta!$J:$J,0)+SUMIFS(TransRF!$Q:$Q,TransRF!$T:$T,AA19,TransRF!AR:AR,AB$3)-SUMIFS(TransRF!$Q:$Q,TransRF!$T:$T,AA19,TransRF!$R:$R,AB$3)+SUMIFS(TransIF!$P:$P,TransIF!$U:$U,AA19,TransIF!$R:$R,AB$3)-SUMIFS(TransIF!$P:$P,TransIF!$U:$U,AA19,TransIF!$Q:$Q,AB$3))/(AC$3+AC$2)</f>
        <v>#N/A</v>
      </c>
      <c r="AF19" s="3" t="s">
        <v>2098</v>
      </c>
      <c r="AG19" s="108">
        <v>2.8395E-2</v>
      </c>
      <c r="AH19" s="118"/>
      <c r="AI19" s="108" t="e">
        <f ca="1">+(AG19*AH$3+AH19-SUMIFS(BaseCompleta!$F:$F,BaseCompleta!$Q:$Q,'Emisor Consolidado'!AF19,BaseCompleta!$B:$B,AG$3,BaseCompleta!$J:$J,0)+SUMIFS(TransRF!$Q:$Q,TransRF!$T:$T,AF19,TransRF!AW:AW,AG$3)-SUMIFS(TransRF!$Q:$Q,TransRF!$T:$T,AF19,TransRF!$R:$R,AG$3)+SUMIFS(TransIF!$P:$P,TransIF!$U:$U,AF19,TransIF!$R:$R,AG$3)-SUMIFS(TransIF!$P:$P,TransIF!$U:$U,AF19,TransIF!$Q:$Q,AG$3))/(AH$3+AH$2)</f>
        <v>#N/A</v>
      </c>
      <c r="AK19"/>
      <c r="AL19"/>
      <c r="AM19" s="118"/>
      <c r="AN19" s="108" t="e">
        <f ca="1">+(AL19*AM$3+AM19-SUMIFS(BaseCompleta!$F:$F,BaseCompleta!$Q:$Q,'Emisor Consolidado'!AK19,BaseCompleta!$B:$B,AL$3,BaseCompleta!$J:$J,0)+SUMIFS(TransRF!$Q:$Q,TransRF!$T:$T,AK19,TransRF!BB:BB,AL$3)-SUMIFS(TransRF!$Q:$Q,TransRF!$T:$T,AK19,TransRF!$R:$R,AL$3)+SUMIFS(TransIF!$P:$P,TransIF!$U:$U,AK19,TransIF!$R:$R,AL$3)-SUMIFS(TransIF!$P:$P,TransIF!$U:$U,AK19,TransIF!$Q:$Q,AL$3))/(AM$3+AM$2)</f>
        <v>#N/A</v>
      </c>
    </row>
    <row r="20" spans="2:40">
      <c r="B20" s="3" t="s">
        <v>66</v>
      </c>
      <c r="C20" s="108">
        <v>1.9592999999999999E-2</v>
      </c>
      <c r="D20" s="118"/>
      <c r="E20" s="108" t="e">
        <f ca="1">+(C20*D$3+D20-SUMIFS(BaseCompleta!$F:$F,BaseCompleta!$Q:$Q,B20,BaseCompleta!$B:$B,C$3,BaseCompleta!$J:$J,0)+SUMIFS(TransRF!$Q:$Q,TransRF!$T:$T,B20,TransRF!S:S,C$3)-SUMIFS(TransRF!$Q:$Q,TransRF!$T:$T,B20,TransRF!$R:$R,C$3)+SUMIFS(TransIF!$P:$P,TransIF!$U:$U,B20,TransIF!$R:$R,C$3)-SUMIFS(TransIF!$P:$P,TransIF!$U:$U,B20,TransIF!$Q:$Q,C$3))/(D$3+D$2)</f>
        <v>#N/A</v>
      </c>
      <c r="G20" s="3" t="s">
        <v>622</v>
      </c>
      <c r="H20" s="108">
        <v>2.0969000000000002E-2</v>
      </c>
      <c r="I20" s="118"/>
      <c r="J20" s="108" t="e">
        <f ca="1">+(H20*I$3+I20-SUMIFS(BaseCompleta!$F:$F,BaseCompleta!$Q:$Q,'Emisor Consolidado'!G20,BaseCompleta!$B:$B,H$3,BaseCompleta!$J:$J,0)+SUMIFS(TransRF!$Q:$Q,TransRF!$T:$T,G20,TransRF!X:X,H$3)-SUMIFS(TransRF!$Q:$Q,TransRF!$T:$T,G20,TransRF!$R:$R,H$3)+SUMIFS(TransIF!$P:$P,TransIF!$U:$U,G20,TransIF!$R:$R,H$3)-SUMIFS(TransIF!$P:$P,TransIF!$U:$U,G20,TransIF!$Q:$Q,H$3))/(I$3+I$2)</f>
        <v>#N/A</v>
      </c>
      <c r="L20" s="3" t="s">
        <v>84</v>
      </c>
      <c r="M20" s="108">
        <v>1.5918999999999999E-2</v>
      </c>
      <c r="N20" s="118"/>
      <c r="O20" s="108" t="e">
        <f ca="1">+(M20*N$3+N20-SUMIFS(BaseCompleta!$F:$F,BaseCompleta!$Q:$Q,'Emisor Consolidado'!L20,BaseCompleta!$B:$B,M$3,BaseCompleta!$J:$J,0)+SUMIFS(TransRF!$Q:$Q,TransRF!$T:$T,L20,TransRF!AC:AC,M$3)-SUMIFS(TransRF!$Q:$Q,TransRF!$T:$T,L20,TransRF!$R:$R,M$3)+SUMIFS(TransIF!$P:$P,TransIF!$U:$U,L20,TransIF!$R:$R,M$3)-SUMIFS(TransIF!$P:$P,TransIF!$U:$U,L20,TransIF!$Q:$Q,M$3))/(N$3+N$2)</f>
        <v>#N/A</v>
      </c>
      <c r="Q20" s="3" t="s">
        <v>61</v>
      </c>
      <c r="R20" s="108">
        <v>1.4983000000000002E-2</v>
      </c>
      <c r="S20" s="118"/>
      <c r="T20" s="108" t="e">
        <f ca="1">+(R20*S$3+S20-SUMIFS(BaseCompleta!$F:$F,BaseCompleta!$Q:$Q,'Emisor Consolidado'!Q20,BaseCompleta!$B:$B,R$3,BaseCompleta!$J:$J,0)+SUMIFS(TransRF!$Q:$Q,TransRF!$T:$T,Q20,TransRF!AH:AH,R$3)-SUMIFS(TransRF!$Q:$Q,TransRF!$T:$T,Q20,TransRF!$R:$R,R$3)+SUMIFS(TransIF!$P:$P,TransIF!$U:$U,Q20,TransIF!$R:$R,R$3)-SUMIFS(TransIF!$P:$P,TransIF!$U:$U,Q20,TransIF!$Q:$Q,R$3))/(S$3+S$2)</f>
        <v>#N/A</v>
      </c>
      <c r="V20"/>
      <c r="W20"/>
      <c r="AA20" s="3" t="s">
        <v>66</v>
      </c>
      <c r="AB20" s="108">
        <v>1.9592999999999999E-2</v>
      </c>
      <c r="AC20" s="118"/>
      <c r="AD20" s="108" t="e">
        <f ca="1">+(AB20*AC$3+AC20-SUMIFS(BaseCompleta!$F:$F,BaseCompleta!$Q:$Q,'Emisor Consolidado'!AA20,BaseCompleta!$B:$B,AB$3,BaseCompleta!$J:$J,0)+SUMIFS(TransRF!$Q:$Q,TransRF!$T:$T,AA20,TransRF!AR:AR,AB$3)-SUMIFS(TransRF!$Q:$Q,TransRF!$T:$T,AA20,TransRF!$R:$R,AB$3)+SUMIFS(TransIF!$P:$P,TransIF!$U:$U,AA20,TransIF!$R:$R,AB$3)-SUMIFS(TransIF!$P:$P,TransIF!$U:$U,AA20,TransIF!$Q:$Q,AB$3))/(AC$3+AC$2)</f>
        <v>#N/A</v>
      </c>
      <c r="AF20" s="3" t="s">
        <v>1430</v>
      </c>
      <c r="AG20" s="108">
        <v>1.6815999999999998E-2</v>
      </c>
      <c r="AH20" s="118"/>
      <c r="AI20" s="108" t="e">
        <f ca="1">+(AG20*AH$3+AH20-SUMIFS(BaseCompleta!$F:$F,BaseCompleta!$Q:$Q,'Emisor Consolidado'!AF20,BaseCompleta!$B:$B,AG$3,BaseCompleta!$J:$J,0)+SUMIFS(TransRF!$Q:$Q,TransRF!$T:$T,AF20,TransRF!AW:AW,AG$3)-SUMIFS(TransRF!$Q:$Q,TransRF!$T:$T,AF20,TransRF!$R:$R,AG$3)+SUMIFS(TransIF!$P:$P,TransIF!$U:$U,AF20,TransIF!$R:$R,AG$3)-SUMIFS(TransIF!$P:$P,TransIF!$U:$U,AF20,TransIF!$Q:$Q,AG$3))/(AH$3+AH$2)</f>
        <v>#N/A</v>
      </c>
      <c r="AK20"/>
      <c r="AL20"/>
      <c r="AM20" s="118"/>
      <c r="AN20" s="108" t="e">
        <f ca="1">+(AL20*AM$3+AM20-SUMIFS(BaseCompleta!$F:$F,BaseCompleta!$Q:$Q,'Emisor Consolidado'!AK20,BaseCompleta!$B:$B,AL$3,BaseCompleta!$J:$J,0)+SUMIFS(TransRF!$Q:$Q,TransRF!$T:$T,AK20,TransRF!BB:BB,AL$3)-SUMIFS(TransRF!$Q:$Q,TransRF!$T:$T,AK20,TransRF!$R:$R,AL$3)+SUMIFS(TransIF!$P:$P,TransIF!$U:$U,AK20,TransIF!$R:$R,AL$3)-SUMIFS(TransIF!$P:$P,TransIF!$U:$U,AK20,TransIF!$Q:$Q,AL$3))/(AM$3+AM$2)</f>
        <v>#N/A</v>
      </c>
    </row>
    <row r="21" spans="2:40">
      <c r="B21" s="3" t="s">
        <v>57</v>
      </c>
      <c r="C21" s="108">
        <v>1.7961000000000001E-2</v>
      </c>
      <c r="D21" s="118"/>
      <c r="E21" s="108" t="e">
        <f ca="1">+(C21*D$3+D21-SUMIFS(BaseCompleta!$F:$F,BaseCompleta!$Q:$Q,B21,BaseCompleta!$B:$B,C$3,BaseCompleta!$J:$J,0)+SUMIFS(TransRF!$Q:$Q,TransRF!$T:$T,B21,TransRF!S:S,C$3)-SUMIFS(TransRF!$Q:$Q,TransRF!$T:$T,B21,TransRF!$R:$R,C$3)+SUMIFS(TransIF!$P:$P,TransIF!$U:$U,B21,TransIF!$R:$R,C$3)-SUMIFS(TransIF!$P:$P,TransIF!$U:$U,B21,TransIF!$Q:$Q,C$3))/(D$3+D$2)</f>
        <v>#N/A</v>
      </c>
      <c r="G21" s="3" t="s">
        <v>691</v>
      </c>
      <c r="H21" s="108">
        <v>2.0646000000000001E-2</v>
      </c>
      <c r="I21" s="118"/>
      <c r="J21" s="108" t="e">
        <f ca="1">+(H21*I$3+I21-SUMIFS(BaseCompleta!$F:$F,BaseCompleta!$Q:$Q,'Emisor Consolidado'!G21,BaseCompleta!$B:$B,H$3,BaseCompleta!$J:$J,0)+SUMIFS(TransRF!$Q:$Q,TransRF!$T:$T,G21,TransRF!X:X,H$3)-SUMIFS(TransRF!$Q:$Q,TransRF!$T:$T,G21,TransRF!$R:$R,H$3)+SUMIFS(TransIF!$P:$P,TransIF!$U:$U,G21,TransIF!$R:$R,H$3)-SUMIFS(TransIF!$P:$P,TransIF!$U:$U,G21,TransIF!$Q:$Q,H$3))/(I$3+I$2)</f>
        <v>#N/A</v>
      </c>
      <c r="L21" s="3" t="s">
        <v>53</v>
      </c>
      <c r="M21" s="108">
        <v>1.5900000000000001E-2</v>
      </c>
      <c r="N21" s="118"/>
      <c r="O21" s="108" t="e">
        <f ca="1">+(M21*N$3+N21-SUMIFS(BaseCompleta!$F:$F,BaseCompleta!$Q:$Q,'Emisor Consolidado'!L21,BaseCompleta!$B:$B,M$3,BaseCompleta!$J:$J,0)+SUMIFS(TransRF!$Q:$Q,TransRF!$T:$T,L21,TransRF!AC:AC,M$3)-SUMIFS(TransRF!$Q:$Q,TransRF!$T:$T,L21,TransRF!$R:$R,M$3)+SUMIFS(TransIF!$P:$P,TransIF!$U:$U,L21,TransIF!$R:$R,M$3)-SUMIFS(TransIF!$P:$P,TransIF!$U:$U,L21,TransIF!$Q:$Q,M$3))/(N$3+N$2)</f>
        <v>#N/A</v>
      </c>
      <c r="Q21" s="3" t="s">
        <v>329</v>
      </c>
      <c r="R21" s="108">
        <v>1.4245000000000001E-2</v>
      </c>
      <c r="S21" s="118"/>
      <c r="T21" s="108" t="e">
        <f ca="1">+(R21*S$3+S21-SUMIFS(BaseCompleta!$F:$F,BaseCompleta!$Q:$Q,'Emisor Consolidado'!Q21,BaseCompleta!$B:$B,R$3,BaseCompleta!$J:$J,0)+SUMIFS(TransRF!$Q:$Q,TransRF!$T:$T,Q21,TransRF!AH:AH,R$3)-SUMIFS(TransRF!$Q:$Q,TransRF!$T:$T,Q21,TransRF!$R:$R,R$3)+SUMIFS(TransIF!$P:$P,TransIF!$U:$U,Q21,TransIF!$R:$R,R$3)-SUMIFS(TransIF!$P:$P,TransIF!$U:$U,Q21,TransIF!$Q:$Q,R$3))/(S$3+S$2)</f>
        <v>#N/A</v>
      </c>
      <c r="V21"/>
      <c r="W21"/>
      <c r="AA21" s="3" t="s">
        <v>57</v>
      </c>
      <c r="AB21" s="108">
        <v>1.7961000000000001E-2</v>
      </c>
      <c r="AC21" s="118"/>
      <c r="AD21" s="108" t="e">
        <f ca="1">+(AB21*AC$3+AC21-SUMIFS(BaseCompleta!$F:$F,BaseCompleta!$Q:$Q,'Emisor Consolidado'!AA21,BaseCompleta!$B:$B,AB$3,BaseCompleta!$J:$J,0)+SUMIFS(TransRF!$Q:$Q,TransRF!$T:$T,AA21,TransRF!AR:AR,AB$3)-SUMIFS(TransRF!$Q:$Q,TransRF!$T:$T,AA21,TransRF!$R:$R,AB$3)+SUMIFS(TransIF!$P:$P,TransIF!$U:$U,AA21,TransIF!$R:$R,AB$3)-SUMIFS(TransIF!$P:$P,TransIF!$U:$U,AA21,TransIF!$Q:$Q,AB$3))/(AC$3+AC$2)</f>
        <v>#N/A</v>
      </c>
      <c r="AF21" s="3" t="s">
        <v>59</v>
      </c>
      <c r="AG21" s="108">
        <v>1.2808999999999999E-2</v>
      </c>
      <c r="AH21" s="118"/>
      <c r="AI21" s="108" t="e">
        <f ca="1">+(AG21*AH$3+AH21-SUMIFS(BaseCompleta!$F:$F,BaseCompleta!$Q:$Q,'Emisor Consolidado'!AF21,BaseCompleta!$B:$B,AG$3,BaseCompleta!$J:$J,0)+SUMIFS(TransRF!$Q:$Q,TransRF!$T:$T,AF21,TransRF!AW:AW,AG$3)-SUMIFS(TransRF!$Q:$Q,TransRF!$T:$T,AF21,TransRF!$R:$R,AG$3)+SUMIFS(TransIF!$P:$P,TransIF!$U:$U,AF21,TransIF!$R:$R,AG$3)-SUMIFS(TransIF!$P:$P,TransIF!$U:$U,AF21,TransIF!$Q:$Q,AG$3))/(AH$3+AH$2)</f>
        <v>#N/A</v>
      </c>
      <c r="AK21"/>
      <c r="AL21"/>
    </row>
    <row r="22" spans="2:40">
      <c r="B22" s="3" t="s">
        <v>76</v>
      </c>
      <c r="C22" s="108">
        <v>1.6705999999999999E-2</v>
      </c>
      <c r="D22" s="118"/>
      <c r="E22" s="108" t="e">
        <f ca="1">+(C22*D$3+D22-SUMIFS(BaseCompleta!$F:$F,BaseCompleta!$Q:$Q,B22,BaseCompleta!$B:$B,C$3,BaseCompleta!$J:$J,0)+SUMIFS(TransRF!$Q:$Q,TransRF!$T:$T,B22,TransRF!S:S,C$3)-SUMIFS(TransRF!$Q:$Q,TransRF!$T:$T,B22,TransRF!$R:$R,C$3)+SUMIFS(TransIF!$P:$P,TransIF!$U:$U,B22,TransIF!$R:$R,C$3)-SUMIFS(TransIF!$P:$P,TransIF!$U:$U,B22,TransIF!$Q:$Q,C$3))/(D$3+D$2)</f>
        <v>#N/A</v>
      </c>
      <c r="G22" s="3" t="s">
        <v>68</v>
      </c>
      <c r="H22" s="108">
        <v>1.8024000000000002E-2</v>
      </c>
      <c r="I22" s="118"/>
      <c r="J22" s="108" t="e">
        <f ca="1">+(H22*I$3+I22-SUMIFS(BaseCompleta!$F:$F,BaseCompleta!$Q:$Q,'Emisor Consolidado'!G22,BaseCompleta!$B:$B,H$3,BaseCompleta!$J:$J,0)+SUMIFS(TransRF!$Q:$Q,TransRF!$T:$T,G22,TransRF!X:X,H$3)-SUMIFS(TransRF!$Q:$Q,TransRF!$T:$T,G22,TransRF!$R:$R,H$3)+SUMIFS(TransIF!$P:$P,TransIF!$U:$U,G22,TransIF!$R:$R,H$3)-SUMIFS(TransIF!$P:$P,TransIF!$U:$U,G22,TransIF!$Q:$Q,H$3))/(I$3+I$2)</f>
        <v>#N/A</v>
      </c>
      <c r="L22" s="3" t="s">
        <v>60</v>
      </c>
      <c r="M22" s="108">
        <v>1.5709000000000001E-2</v>
      </c>
      <c r="N22" s="118"/>
      <c r="O22" s="108" t="e">
        <f ca="1">+(M22*N$3+N22-SUMIFS(BaseCompleta!$F:$F,BaseCompleta!$Q:$Q,'Emisor Consolidado'!L22,BaseCompleta!$B:$B,M$3,BaseCompleta!$J:$J,0)+SUMIFS(TransRF!$Q:$Q,TransRF!$T:$T,L22,TransRF!AC:AC,M$3)-SUMIFS(TransRF!$Q:$Q,TransRF!$T:$T,L22,TransRF!$R:$R,M$3)+SUMIFS(TransIF!$P:$P,TransIF!$U:$U,L22,TransIF!$R:$R,M$3)-SUMIFS(TransIF!$P:$P,TransIF!$U:$U,L22,TransIF!$Q:$Q,M$3))/(N$3+N$2)</f>
        <v>#N/A</v>
      </c>
      <c r="Q22" s="3" t="s">
        <v>53</v>
      </c>
      <c r="R22" s="108">
        <v>1.4097E-2</v>
      </c>
      <c r="S22" s="118"/>
      <c r="T22" s="108" t="e">
        <f ca="1">+(R22*S$3+S22-SUMIFS(BaseCompleta!$F:$F,BaseCompleta!$Q:$Q,'Emisor Consolidado'!Q22,BaseCompleta!$B:$B,R$3,BaseCompleta!$J:$J,0)+SUMIFS(TransRF!$Q:$Q,TransRF!$T:$T,Q22,TransRF!AH:AH,R$3)-SUMIFS(TransRF!$Q:$Q,TransRF!$T:$T,Q22,TransRF!$R:$R,R$3)+SUMIFS(TransIF!$P:$P,TransIF!$U:$U,Q22,TransIF!$R:$R,R$3)-SUMIFS(TransIF!$P:$P,TransIF!$U:$U,Q22,TransIF!$Q:$Q,R$3))/(S$3+S$2)</f>
        <v>#N/A</v>
      </c>
      <c r="V22"/>
      <c r="W22"/>
      <c r="AA22" s="3" t="s">
        <v>76</v>
      </c>
      <c r="AB22" s="108">
        <v>1.6705999999999999E-2</v>
      </c>
      <c r="AC22" s="118"/>
      <c r="AD22" s="108" t="e">
        <f ca="1">+(AB22*AC$3+AC22-SUMIFS(BaseCompleta!$F:$F,BaseCompleta!$Q:$Q,'Emisor Consolidado'!AA22,BaseCompleta!$B:$B,AB$3,BaseCompleta!$J:$J,0)+SUMIFS(TransRF!$Q:$Q,TransRF!$T:$T,AA22,TransRF!AR:AR,AB$3)-SUMIFS(TransRF!$Q:$Q,TransRF!$T:$T,AA22,TransRF!$R:$R,AB$3)+SUMIFS(TransIF!$P:$P,TransIF!$U:$U,AA22,TransIF!$R:$R,AB$3)-SUMIFS(TransIF!$P:$P,TransIF!$U:$U,AA22,TransIF!$Q:$Q,AB$3))/(AC$3+AC$2)</f>
        <v>#N/A</v>
      </c>
      <c r="AF22" s="3" t="s">
        <v>68</v>
      </c>
      <c r="AG22" s="108">
        <v>8.0059999999999992E-3</v>
      </c>
      <c r="AK22"/>
      <c r="AL22"/>
    </row>
    <row r="23" spans="2:40">
      <c r="B23" s="3" t="s">
        <v>430</v>
      </c>
      <c r="C23" s="108">
        <v>1.3555999999999999E-2</v>
      </c>
      <c r="D23" s="118"/>
      <c r="E23" s="108" t="e">
        <f ca="1">+(C23*D$3+D23-SUMIFS(BaseCompleta!$F:$F,BaseCompleta!$Q:$Q,B23,BaseCompleta!$B:$B,C$3,BaseCompleta!$J:$J,0)+SUMIFS(TransRF!$Q:$Q,TransRF!$T:$T,B23,TransRF!S:S,C$3)-SUMIFS(TransRF!$Q:$Q,TransRF!$T:$T,B23,TransRF!$R:$R,C$3)+SUMIFS(TransIF!$P:$P,TransIF!$U:$U,B23,TransIF!$R:$R,C$3)-SUMIFS(TransIF!$P:$P,TransIF!$U:$U,B23,TransIF!$Q:$Q,C$3))/(D$3+D$2)</f>
        <v>#N/A</v>
      </c>
      <c r="G23" s="3" t="s">
        <v>522</v>
      </c>
      <c r="H23" s="108">
        <v>1.7891000000000001E-2</v>
      </c>
      <c r="I23" s="118"/>
      <c r="J23" s="108" t="e">
        <f ca="1">+(H23*I$3+I23-SUMIFS(BaseCompleta!$F:$F,BaseCompleta!$Q:$Q,'Emisor Consolidado'!G23,BaseCompleta!$B:$B,H$3,BaseCompleta!$J:$J,0)+SUMIFS(TransRF!$Q:$Q,TransRF!$T:$T,G23,TransRF!X:X,H$3)-SUMIFS(TransRF!$Q:$Q,TransRF!$T:$T,G23,TransRF!$R:$R,H$3)+SUMIFS(TransIF!$P:$P,TransIF!$U:$U,G23,TransIF!$R:$R,H$3)-SUMIFS(TransIF!$P:$P,TransIF!$U:$U,G23,TransIF!$Q:$Q,H$3))/(I$3+I$2)</f>
        <v>#N/A</v>
      </c>
      <c r="L23" s="3" t="s">
        <v>1464</v>
      </c>
      <c r="M23" s="108">
        <v>1.5099000000000001E-2</v>
      </c>
      <c r="N23" s="118"/>
      <c r="O23" s="108" t="e">
        <f ca="1">+(M23*N$3+N23-SUMIFS(BaseCompleta!$F:$F,BaseCompleta!$Q:$Q,'Emisor Consolidado'!L23,BaseCompleta!$B:$B,M$3,BaseCompleta!$J:$J,0)+SUMIFS(TransRF!$Q:$Q,TransRF!$T:$T,L23,TransRF!AC:AC,M$3)-SUMIFS(TransRF!$Q:$Q,TransRF!$T:$T,L23,TransRF!$R:$R,M$3)+SUMIFS(TransIF!$P:$P,TransIF!$U:$U,L23,TransIF!$R:$R,M$3)-SUMIFS(TransIF!$P:$P,TransIF!$U:$U,L23,TransIF!$Q:$Q,M$3))/(N$3+N$2)</f>
        <v>#N/A</v>
      </c>
      <c r="Q23" s="3" t="s">
        <v>904</v>
      </c>
      <c r="R23" s="108">
        <v>1.4087000000000001E-2</v>
      </c>
      <c r="S23" s="118"/>
      <c r="T23" s="108" t="e">
        <f ca="1">+(R23*S$3+S23-SUMIFS(BaseCompleta!$F:$F,BaseCompleta!$Q:$Q,'Emisor Consolidado'!Q23,BaseCompleta!$B:$B,R$3,BaseCompleta!$J:$J,0)+SUMIFS(TransRF!$Q:$Q,TransRF!$T:$T,Q23,TransRF!AH:AH,R$3)-SUMIFS(TransRF!$Q:$Q,TransRF!$T:$T,Q23,TransRF!$R:$R,R$3)+SUMIFS(TransIF!$P:$P,TransIF!$U:$U,Q23,TransIF!$R:$R,R$3)-SUMIFS(TransIF!$P:$P,TransIF!$U:$U,Q23,TransIF!$Q:$Q,R$3))/(S$3+S$2)</f>
        <v>#N/A</v>
      </c>
      <c r="V23"/>
      <c r="W23"/>
      <c r="AA23" s="3" t="s">
        <v>430</v>
      </c>
      <c r="AB23" s="108">
        <v>1.3555999999999999E-2</v>
      </c>
      <c r="AC23" s="118"/>
      <c r="AD23" s="108" t="e">
        <f ca="1">+(AB23*AC$3+AC23-SUMIFS(BaseCompleta!$F:$F,BaseCompleta!$Q:$Q,'Emisor Consolidado'!AA23,BaseCompleta!$B:$B,AB$3,BaseCompleta!$J:$J,0)+SUMIFS(TransRF!$Q:$Q,TransRF!$T:$T,AA23,TransRF!AR:AR,AB$3)-SUMIFS(TransRF!$Q:$Q,TransRF!$T:$T,AA23,TransRF!$R:$R,AB$3)+SUMIFS(TransIF!$P:$P,TransIF!$U:$U,AA23,TransIF!$R:$R,AB$3)-SUMIFS(TransIF!$P:$P,TransIF!$U:$U,AA23,TransIF!$Q:$Q,AB$3))/(AC$3+AC$2)</f>
        <v>#N/A</v>
      </c>
      <c r="AF23" s="3" t="s">
        <v>28</v>
      </c>
      <c r="AG23" s="108">
        <v>7.9299999999999998E-4</v>
      </c>
      <c r="AK23"/>
      <c r="AL23"/>
    </row>
    <row r="24" spans="2:40">
      <c r="B24" s="3" t="s">
        <v>71</v>
      </c>
      <c r="C24" s="108">
        <v>1.3358E-2</v>
      </c>
      <c r="D24" s="118"/>
      <c r="E24" s="108" t="e">
        <f ca="1">+(C24*D$3+D24-SUMIFS(BaseCompleta!$F:$F,BaseCompleta!$Q:$Q,B24,BaseCompleta!$B:$B,C$3,BaseCompleta!$J:$J,0)+SUMIFS(TransRF!$Q:$Q,TransRF!$T:$T,B24,TransRF!S:S,C$3)-SUMIFS(TransRF!$Q:$Q,TransRF!$T:$T,B24,TransRF!$R:$R,C$3)+SUMIFS(TransIF!$P:$P,TransIF!$U:$U,B24,TransIF!$R:$R,C$3)-SUMIFS(TransIF!$P:$P,TransIF!$U:$U,B24,TransIF!$Q:$Q,C$3))/(D$3+D$2)</f>
        <v>#N/A</v>
      </c>
      <c r="G24" s="3" t="s">
        <v>327</v>
      </c>
      <c r="H24" s="108">
        <v>1.7161000000000003E-2</v>
      </c>
      <c r="I24" s="118"/>
      <c r="J24" s="108" t="e">
        <f ca="1">+(H24*I$3+I24-SUMIFS(BaseCompleta!$F:$F,BaseCompleta!$Q:$Q,'Emisor Consolidado'!G24,BaseCompleta!$B:$B,H$3,BaseCompleta!$J:$J,0)+SUMIFS(TransRF!$Q:$Q,TransRF!$T:$T,G24,TransRF!X:X,H$3)-SUMIFS(TransRF!$Q:$Q,TransRF!$T:$T,G24,TransRF!$R:$R,H$3)+SUMIFS(TransIF!$P:$P,TransIF!$U:$U,G24,TransIF!$R:$R,H$3)-SUMIFS(TransIF!$P:$P,TransIF!$U:$U,G24,TransIF!$Q:$Q,H$3))/(I$3+I$2)</f>
        <v>#N/A</v>
      </c>
      <c r="L24" s="3" t="s">
        <v>329</v>
      </c>
      <c r="M24" s="108">
        <v>1.4770999999999999E-2</v>
      </c>
      <c r="N24" s="118"/>
      <c r="O24" s="108" t="e">
        <f ca="1">+(M24*N$3+N24-SUMIFS(BaseCompleta!$F:$F,BaseCompleta!$Q:$Q,'Emisor Consolidado'!L24,BaseCompleta!$B:$B,M$3,BaseCompleta!$J:$J,0)+SUMIFS(TransRF!$Q:$Q,TransRF!$T:$T,L24,TransRF!AC:AC,M$3)-SUMIFS(TransRF!$Q:$Q,TransRF!$T:$T,L24,TransRF!$R:$R,M$3)+SUMIFS(TransIF!$P:$P,TransIF!$U:$U,L24,TransIF!$R:$R,M$3)-SUMIFS(TransIF!$P:$P,TransIF!$U:$U,L24,TransIF!$Q:$Q,M$3))/(N$3+N$2)</f>
        <v>#N/A</v>
      </c>
      <c r="Q24" s="3" t="s">
        <v>60</v>
      </c>
      <c r="R24" s="108">
        <v>1.4079999999999999E-2</v>
      </c>
      <c r="S24" s="118"/>
      <c r="T24" s="108" t="e">
        <f ca="1">+(R24*S$3+S24-SUMIFS(BaseCompleta!$F:$F,BaseCompleta!$Q:$Q,'Emisor Consolidado'!Q24,BaseCompleta!$B:$B,R$3,BaseCompleta!$J:$J,0)+SUMIFS(TransRF!$Q:$Q,TransRF!$T:$T,Q24,TransRF!AH:AH,R$3)-SUMIFS(TransRF!$Q:$Q,TransRF!$T:$T,Q24,TransRF!$R:$R,R$3)+SUMIFS(TransIF!$P:$P,TransIF!$U:$U,Q24,TransIF!$R:$R,R$3)-SUMIFS(TransIF!$P:$P,TransIF!$U:$U,Q24,TransIF!$Q:$Q,R$3))/(S$3+S$2)</f>
        <v>#N/A</v>
      </c>
      <c r="V24"/>
      <c r="W24"/>
      <c r="AA24" s="3" t="s">
        <v>71</v>
      </c>
      <c r="AB24" s="108">
        <v>1.3358E-2</v>
      </c>
      <c r="AC24" s="118"/>
      <c r="AD24" s="108" t="e">
        <f ca="1">+(AB24*AC$3+AC24-SUMIFS(BaseCompleta!$F:$F,BaseCompleta!$Q:$Q,'Emisor Consolidado'!AA24,BaseCompleta!$B:$B,AB$3,BaseCompleta!$J:$J,0)+SUMIFS(TransRF!$Q:$Q,TransRF!$T:$T,AA24,TransRF!AR:AR,AB$3)-SUMIFS(TransRF!$Q:$Q,TransRF!$T:$T,AA24,TransRF!$R:$R,AB$3)+SUMIFS(TransIF!$P:$P,TransIF!$U:$U,AA24,TransIF!$R:$R,AB$3)-SUMIFS(TransIF!$P:$P,TransIF!$U:$U,AA24,TransIF!$Q:$Q,AB$3))/(AC$3+AC$2)</f>
        <v>#N/A</v>
      </c>
      <c r="AF24" s="3" t="s">
        <v>1062</v>
      </c>
      <c r="AG24" s="108">
        <v>0.99993199999999993</v>
      </c>
    </row>
    <row r="25" spans="2:40">
      <c r="B25" s="3" t="s">
        <v>579</v>
      </c>
      <c r="C25" s="108">
        <v>1.1653999999999999E-2</v>
      </c>
      <c r="D25" s="118"/>
      <c r="E25" s="108" t="e">
        <f ca="1">+(C25*D$3+D25-SUMIFS(BaseCompleta!$F:$F,BaseCompleta!$Q:$Q,B25,BaseCompleta!$B:$B,C$3,BaseCompleta!$J:$J,0)+SUMIFS(TransRF!$Q:$Q,TransRF!$T:$T,B25,TransRF!S:S,C$3)-SUMIFS(TransRF!$Q:$Q,TransRF!$T:$T,B25,TransRF!$R:$R,C$3)+SUMIFS(TransIF!$P:$P,TransIF!$U:$U,B25,TransIF!$R:$R,C$3)-SUMIFS(TransIF!$P:$P,TransIF!$U:$U,B25,TransIF!$Q:$Q,C$3))/(D$3+D$2)</f>
        <v>#N/A</v>
      </c>
      <c r="G25" s="3" t="s">
        <v>58</v>
      </c>
      <c r="H25" s="108">
        <v>1.6792000000000001E-2</v>
      </c>
      <c r="I25" s="118"/>
      <c r="J25" s="108" t="e">
        <f ca="1">+(H25*I$3+I25-SUMIFS(BaseCompleta!$F:$F,BaseCompleta!$Q:$Q,'Emisor Consolidado'!G25,BaseCompleta!$B:$B,H$3,BaseCompleta!$J:$J,0)+SUMIFS(TransRF!$Q:$Q,TransRF!$T:$T,G25,TransRF!X:X,H$3)-SUMIFS(TransRF!$Q:$Q,TransRF!$T:$T,G25,TransRF!$R:$R,H$3)+SUMIFS(TransIF!$P:$P,TransIF!$U:$U,G25,TransIF!$R:$R,H$3)-SUMIFS(TransIF!$P:$P,TransIF!$U:$U,G25,TransIF!$Q:$Q,H$3))/(I$3+I$2)</f>
        <v>#N/A</v>
      </c>
      <c r="L25" s="3" t="s">
        <v>57</v>
      </c>
      <c r="M25" s="108">
        <v>1.4388999999999997E-2</v>
      </c>
      <c r="N25" s="118"/>
      <c r="O25" s="108" t="e">
        <f ca="1">+(M25*N$3+N25-SUMIFS(BaseCompleta!$F:$F,BaseCompleta!$Q:$Q,'Emisor Consolidado'!L25,BaseCompleta!$B:$B,M$3,BaseCompleta!$J:$J,0)+SUMIFS(TransRF!$Q:$Q,TransRF!$T:$T,L25,TransRF!AC:AC,M$3)-SUMIFS(TransRF!$Q:$Q,TransRF!$T:$T,L25,TransRF!$R:$R,M$3)+SUMIFS(TransIF!$P:$P,TransIF!$U:$U,L25,TransIF!$R:$R,M$3)-SUMIFS(TransIF!$P:$P,TransIF!$U:$U,L25,TransIF!$Q:$Q,M$3))/(N$3+N$2)</f>
        <v>#N/A</v>
      </c>
      <c r="Q25" s="3" t="s">
        <v>1001</v>
      </c>
      <c r="R25" s="108">
        <v>1.2841999999999999E-2</v>
      </c>
      <c r="S25" s="118"/>
      <c r="T25" s="108" t="e">
        <f ca="1">+(R25*S$3+S25-SUMIFS(BaseCompleta!$F:$F,BaseCompleta!$Q:$Q,'Emisor Consolidado'!Q25,BaseCompleta!$B:$B,R$3,BaseCompleta!$J:$J,0)+SUMIFS(TransRF!$Q:$Q,TransRF!$T:$T,Q25,TransRF!AH:AH,R$3)-SUMIFS(TransRF!$Q:$Q,TransRF!$T:$T,Q25,TransRF!$R:$R,R$3)+SUMIFS(TransIF!$P:$P,TransIF!$U:$U,Q25,TransIF!$R:$R,R$3)-SUMIFS(TransIF!$P:$P,TransIF!$U:$U,Q25,TransIF!$Q:$Q,R$3))/(S$3+S$2)</f>
        <v>#N/A</v>
      </c>
      <c r="V25"/>
      <c r="W25"/>
      <c r="AA25" s="3" t="s">
        <v>579</v>
      </c>
      <c r="AB25" s="108">
        <v>1.1653999999999999E-2</v>
      </c>
      <c r="AF25"/>
      <c r="AG25"/>
    </row>
    <row r="26" spans="2:40">
      <c r="B26" s="3" t="s">
        <v>822</v>
      </c>
      <c r="C26" s="108">
        <v>1.1421000000000001E-2</v>
      </c>
      <c r="D26" s="118"/>
      <c r="E26" s="108" t="e">
        <f ca="1">+(C26*D$3+D26-SUMIFS(BaseCompleta!$F:$F,BaseCompleta!$Q:$Q,B26,BaseCompleta!$B:$B,C$3,BaseCompleta!$J:$J,0)+SUMIFS(TransRF!$Q:$Q,TransRF!$T:$T,B26,TransRF!S:S,C$3)-SUMIFS(TransRF!$Q:$Q,TransRF!$T:$T,B26,TransRF!$R:$R,C$3)+SUMIFS(TransIF!$P:$P,TransIF!$U:$U,B26,TransIF!$R:$R,C$3)-SUMIFS(TransIF!$P:$P,TransIF!$U:$U,B26,TransIF!$Q:$Q,C$3))/(D$3+D$2)</f>
        <v>#N/A</v>
      </c>
      <c r="G26" s="3" t="s">
        <v>778</v>
      </c>
      <c r="H26" s="108">
        <v>1.6395E-2</v>
      </c>
      <c r="I26" s="118"/>
      <c r="J26" s="108" t="e">
        <f ca="1">+(H26*I$3+I26-SUMIFS(BaseCompleta!$F:$F,BaseCompleta!$Q:$Q,'Emisor Consolidado'!G26,BaseCompleta!$B:$B,H$3,BaseCompleta!$J:$J,0)+SUMIFS(TransRF!$Q:$Q,TransRF!$T:$T,G26,TransRF!X:X,H$3)-SUMIFS(TransRF!$Q:$Q,TransRF!$T:$T,G26,TransRF!$R:$R,H$3)+SUMIFS(TransIF!$P:$P,TransIF!$U:$U,G26,TransIF!$R:$R,H$3)-SUMIFS(TransIF!$P:$P,TransIF!$U:$U,G26,TransIF!$Q:$Q,H$3))/(I$3+I$2)</f>
        <v>#N/A</v>
      </c>
      <c r="L26" s="3" t="s">
        <v>1254</v>
      </c>
      <c r="M26" s="108">
        <v>1.3991E-2</v>
      </c>
      <c r="N26" s="118"/>
      <c r="O26" s="108" t="e">
        <f ca="1">+(M26*N$3+N26-SUMIFS(BaseCompleta!$F:$F,BaseCompleta!$Q:$Q,'Emisor Consolidado'!L26,BaseCompleta!$B:$B,M$3,BaseCompleta!$J:$J,0)+SUMIFS(TransRF!$Q:$Q,TransRF!$T:$T,L26,TransRF!AC:AC,M$3)-SUMIFS(TransRF!$Q:$Q,TransRF!$T:$T,L26,TransRF!$R:$R,M$3)+SUMIFS(TransIF!$P:$P,TransIF!$U:$U,L26,TransIF!$R:$R,M$3)-SUMIFS(TransIF!$P:$P,TransIF!$U:$U,L26,TransIF!$Q:$Q,M$3))/(N$3+N$2)</f>
        <v>#N/A</v>
      </c>
      <c r="Q26" s="3" t="s">
        <v>851</v>
      </c>
      <c r="R26" s="108">
        <v>1.2373E-2</v>
      </c>
      <c r="S26" s="118"/>
      <c r="T26" s="108" t="e">
        <f ca="1">+(R26*S$3+S26-SUMIFS(BaseCompleta!$F:$F,BaseCompleta!$Q:$Q,'Emisor Consolidado'!Q26,BaseCompleta!$B:$B,R$3,BaseCompleta!$J:$J,0)+SUMIFS(TransRF!$Q:$Q,TransRF!$T:$T,Q26,TransRF!AH:AH,R$3)-SUMIFS(TransRF!$Q:$Q,TransRF!$T:$T,Q26,TransRF!$R:$R,R$3)+SUMIFS(TransIF!$P:$P,TransIF!$U:$U,Q26,TransIF!$R:$R,R$3)-SUMIFS(TransIF!$P:$P,TransIF!$U:$U,Q26,TransIF!$Q:$Q,R$3))/(S$3+S$2)</f>
        <v>#N/A</v>
      </c>
      <c r="AA26" s="3" t="s">
        <v>822</v>
      </c>
      <c r="AB26" s="108">
        <v>1.1421000000000001E-2</v>
      </c>
    </row>
    <row r="27" spans="2:40">
      <c r="B27" s="3" t="s">
        <v>382</v>
      </c>
      <c r="C27" s="108">
        <v>1.1049E-2</v>
      </c>
      <c r="D27" s="118"/>
      <c r="E27" s="108" t="e">
        <f ca="1">+(C27*D$3+D27-SUMIFS(BaseCompleta!$F:$F,BaseCompleta!$Q:$Q,B27,BaseCompleta!$B:$B,C$3,BaseCompleta!$J:$J,0)+SUMIFS(TransRF!$Q:$Q,TransRF!$T:$T,B27,TransRF!S:S,C$3)-SUMIFS(TransRF!$Q:$Q,TransRF!$T:$T,B27,TransRF!$R:$R,C$3)+SUMIFS(TransIF!$P:$P,TransIF!$U:$U,B27,TransIF!$R:$R,C$3)-SUMIFS(TransIF!$P:$P,TransIF!$U:$U,B27,TransIF!$Q:$Q,C$3))/(D$3+D$2)</f>
        <v>#N/A</v>
      </c>
      <c r="G27" s="3" t="s">
        <v>398</v>
      </c>
      <c r="H27" s="108">
        <v>1.5523E-2</v>
      </c>
      <c r="I27" s="118"/>
      <c r="J27" s="108" t="e">
        <f ca="1">+(H27*I$3+I27-SUMIFS(BaseCompleta!$F:$F,BaseCompleta!$Q:$Q,'Emisor Consolidado'!G27,BaseCompleta!$B:$B,H$3,BaseCompleta!$J:$J,0)+SUMIFS(TransRF!$Q:$Q,TransRF!$T:$T,G27,TransRF!X:X,H$3)-SUMIFS(TransRF!$Q:$Q,TransRF!$T:$T,G27,TransRF!$R:$R,H$3)+SUMIFS(TransIF!$P:$P,TransIF!$U:$U,G27,TransIF!$R:$R,H$3)-SUMIFS(TransIF!$P:$P,TransIF!$U:$U,G27,TransIF!$Q:$Q,H$3))/(I$3+I$2)</f>
        <v>#N/A</v>
      </c>
      <c r="L27" s="3" t="s">
        <v>851</v>
      </c>
      <c r="M27" s="108">
        <v>1.3531E-2</v>
      </c>
      <c r="N27" s="118"/>
      <c r="O27" s="108" t="e">
        <f ca="1">+(M27*N$3+N27-SUMIFS(BaseCompleta!$F:$F,BaseCompleta!$Q:$Q,'Emisor Consolidado'!L27,BaseCompleta!$B:$B,M$3,BaseCompleta!$J:$J,0)+SUMIFS(TransRF!$Q:$Q,TransRF!$T:$T,L27,TransRF!AC:AC,M$3)-SUMIFS(TransRF!$Q:$Q,TransRF!$T:$T,L27,TransRF!$R:$R,M$3)+SUMIFS(TransIF!$P:$P,TransIF!$U:$U,L27,TransIF!$R:$R,M$3)-SUMIFS(TransIF!$P:$P,TransIF!$U:$U,L27,TransIF!$Q:$Q,M$3))/(N$3+N$2)</f>
        <v>#N/A</v>
      </c>
      <c r="Q27" s="3" t="s">
        <v>522</v>
      </c>
      <c r="R27" s="108">
        <v>1.1324000000000001E-2</v>
      </c>
      <c r="S27" s="118"/>
      <c r="T27" s="108" t="e">
        <f ca="1">+(R27*S$3+S27-SUMIFS(BaseCompleta!$F:$F,BaseCompleta!$Q:$Q,'Emisor Consolidado'!Q27,BaseCompleta!$B:$B,R$3,BaseCompleta!$J:$J,0)+SUMIFS(TransRF!$Q:$Q,TransRF!$T:$T,Q27,TransRF!AH:AH,R$3)-SUMIFS(TransRF!$Q:$Q,TransRF!$T:$T,Q27,TransRF!$R:$R,R$3)+SUMIFS(TransIF!$P:$P,TransIF!$U:$U,Q27,TransIF!$R:$R,R$3)-SUMIFS(TransIF!$P:$P,TransIF!$U:$U,Q27,TransIF!$Q:$Q,R$3))/(S$3+S$2)</f>
        <v>#N/A</v>
      </c>
      <c r="AA27" s="3" t="s">
        <v>382</v>
      </c>
      <c r="AB27" s="108">
        <v>1.1049E-2</v>
      </c>
    </row>
    <row r="28" spans="2:40">
      <c r="B28" s="3" t="s">
        <v>466</v>
      </c>
      <c r="C28" s="108">
        <v>1.0166E-2</v>
      </c>
      <c r="D28" s="118"/>
      <c r="E28" s="108" t="e">
        <f ca="1">+(C28*D$3+D28-SUMIFS(BaseCompleta!$F:$F,BaseCompleta!$Q:$Q,B28,BaseCompleta!$B:$B,C$3,BaseCompleta!$J:$J,0)+SUMIFS(TransRF!$Q:$Q,TransRF!$T:$T,B28,TransRF!S:S,C$3)-SUMIFS(TransRF!$Q:$Q,TransRF!$T:$T,B28,TransRF!$R:$R,C$3)+SUMIFS(TransIF!$P:$P,TransIF!$U:$U,B28,TransIF!$R:$R,C$3)-SUMIFS(TransIF!$P:$P,TransIF!$U:$U,B28,TransIF!$Q:$Q,C$3))/(D$3+D$2)</f>
        <v>#N/A</v>
      </c>
      <c r="G28" s="3" t="s">
        <v>422</v>
      </c>
      <c r="H28" s="108">
        <v>1.5408999999999999E-2</v>
      </c>
      <c r="I28" s="118"/>
      <c r="J28" s="108" t="e">
        <f ca="1">+(H28*I$3+I28-SUMIFS(BaseCompleta!$F:$F,BaseCompleta!$Q:$Q,'Emisor Consolidado'!G28,BaseCompleta!$B:$B,H$3,BaseCompleta!$J:$J,0)+SUMIFS(TransRF!$Q:$Q,TransRF!$T:$T,G28,TransRF!X:X,H$3)-SUMIFS(TransRF!$Q:$Q,TransRF!$T:$T,G28,TransRF!$R:$R,H$3)+SUMIFS(TransIF!$P:$P,TransIF!$U:$U,G28,TransIF!$R:$R,H$3)-SUMIFS(TransIF!$P:$P,TransIF!$U:$U,G28,TransIF!$Q:$Q,H$3))/(I$3+I$2)</f>
        <v>#N/A</v>
      </c>
      <c r="L28" s="3" t="s">
        <v>85</v>
      </c>
      <c r="M28" s="108">
        <v>1.239E-2</v>
      </c>
      <c r="N28" s="118"/>
      <c r="O28" s="108" t="e">
        <f ca="1">+(M28*N$3+N28-SUMIFS(BaseCompleta!$F:$F,BaseCompleta!$Q:$Q,'Emisor Consolidado'!L28,BaseCompleta!$B:$B,M$3,BaseCompleta!$J:$J,0)+SUMIFS(TransRF!$Q:$Q,TransRF!$T:$T,L28,TransRF!AC:AC,M$3)-SUMIFS(TransRF!$Q:$Q,TransRF!$T:$T,L28,TransRF!$R:$R,M$3)+SUMIFS(TransIF!$P:$P,TransIF!$U:$U,L28,TransIF!$R:$R,M$3)-SUMIFS(TransIF!$P:$P,TransIF!$U:$U,L28,TransIF!$Q:$Q,M$3))/(N$3+N$2)</f>
        <v>#N/A</v>
      </c>
      <c r="Q28" s="3" t="s">
        <v>487</v>
      </c>
      <c r="R28" s="108">
        <v>1.1126E-2</v>
      </c>
      <c r="S28" s="118"/>
      <c r="T28" s="108" t="e">
        <f ca="1">+(R28*S$3+S28-SUMIFS(BaseCompleta!$F:$F,BaseCompleta!$Q:$Q,'Emisor Consolidado'!Q28,BaseCompleta!$B:$B,R$3,BaseCompleta!$J:$J,0)+SUMIFS(TransRF!$Q:$Q,TransRF!$T:$T,Q28,TransRF!AH:AH,R$3)-SUMIFS(TransRF!$Q:$Q,TransRF!$T:$T,Q28,TransRF!$R:$R,R$3)+SUMIFS(TransIF!$P:$P,TransIF!$U:$U,Q28,TransIF!$R:$R,R$3)-SUMIFS(TransIF!$P:$P,TransIF!$U:$U,Q28,TransIF!$Q:$Q,R$3))/(S$3+S$2)</f>
        <v>#N/A</v>
      </c>
      <c r="AA28" s="3" t="s">
        <v>466</v>
      </c>
      <c r="AB28" s="108">
        <v>1.0166E-2</v>
      </c>
    </row>
    <row r="29" spans="2:40">
      <c r="B29" s="3" t="s">
        <v>574</v>
      </c>
      <c r="C29" s="108">
        <v>7.9179999999999997E-3</v>
      </c>
      <c r="D29" s="118"/>
      <c r="E29" s="108" t="e">
        <f ca="1">+(C29*D$3+D29-SUMIFS(BaseCompleta!$F:$F,BaseCompleta!$Q:$Q,B29,BaseCompleta!$B:$B,C$3,BaseCompleta!$J:$J,0)+SUMIFS(TransRF!$Q:$Q,TransRF!$T:$T,B29,TransRF!S:S,C$3)-SUMIFS(TransRF!$Q:$Q,TransRF!$T:$T,B29,TransRF!$R:$R,C$3)+SUMIFS(TransIF!$P:$P,TransIF!$U:$U,B29,TransIF!$R:$R,C$3)-SUMIFS(TransIF!$P:$P,TransIF!$U:$U,B29,TransIF!$Q:$Q,C$3))/(D$3+D$2)</f>
        <v>#N/A</v>
      </c>
      <c r="G29" s="3" t="s">
        <v>435</v>
      </c>
      <c r="H29" s="108">
        <v>1.5286000000000001E-2</v>
      </c>
      <c r="I29" s="118"/>
      <c r="J29" s="108" t="e">
        <f ca="1">+(H29*I$3+I29-SUMIFS(BaseCompleta!$F:$F,BaseCompleta!$Q:$Q,'Emisor Consolidado'!G29,BaseCompleta!$B:$B,H$3,BaseCompleta!$J:$J,0)+SUMIFS(TransRF!$Q:$Q,TransRF!$T:$T,G29,TransRF!X:X,H$3)-SUMIFS(TransRF!$Q:$Q,TransRF!$T:$T,G29,TransRF!$R:$R,H$3)+SUMIFS(TransIF!$P:$P,TransIF!$U:$U,G29,TransIF!$R:$R,H$3)-SUMIFS(TransIF!$P:$P,TransIF!$U:$U,G29,TransIF!$Q:$Q,H$3))/(I$3+I$2)</f>
        <v>#N/A</v>
      </c>
      <c r="L29" s="3" t="s">
        <v>1223</v>
      </c>
      <c r="M29" s="108">
        <v>9.4439999999999993E-3</v>
      </c>
      <c r="N29" s="118"/>
      <c r="O29" s="108" t="e">
        <f ca="1">+(M29*N$3+N29-SUMIFS(BaseCompleta!$F:$F,BaseCompleta!$Q:$Q,'Emisor Consolidado'!L29,BaseCompleta!$B:$B,M$3,BaseCompleta!$J:$J,0)+SUMIFS(TransRF!$Q:$Q,TransRF!$T:$T,L29,TransRF!AC:AC,M$3)-SUMIFS(TransRF!$Q:$Q,TransRF!$T:$T,L29,TransRF!$R:$R,M$3)+SUMIFS(TransIF!$P:$P,TransIF!$U:$U,L29,TransIF!$R:$R,M$3)-SUMIFS(TransIF!$P:$P,TransIF!$U:$U,L29,TransIF!$Q:$Q,M$3))/(N$3+N$2)</f>
        <v>#N/A</v>
      </c>
      <c r="Q29" s="3" t="s">
        <v>435</v>
      </c>
      <c r="R29" s="108">
        <v>1.0697999999999999E-2</v>
      </c>
      <c r="S29" s="118"/>
      <c r="T29" s="108" t="e">
        <f ca="1">+(R29*S$3+S29-SUMIFS(BaseCompleta!$F:$F,BaseCompleta!$Q:$Q,'Emisor Consolidado'!Q29,BaseCompleta!$B:$B,R$3,BaseCompleta!$J:$J,0)+SUMIFS(TransRF!$Q:$Q,TransRF!$T:$T,Q29,TransRF!AH:AH,R$3)-SUMIFS(TransRF!$Q:$Q,TransRF!$T:$T,Q29,TransRF!$R:$R,R$3)+SUMIFS(TransIF!$P:$P,TransIF!$U:$U,Q29,TransIF!$R:$R,R$3)-SUMIFS(TransIF!$P:$P,TransIF!$U:$U,Q29,TransIF!$Q:$Q,R$3))/(S$3+S$2)</f>
        <v>#N/A</v>
      </c>
      <c r="AA29" s="3" t="s">
        <v>574</v>
      </c>
      <c r="AB29" s="108">
        <v>7.9179999999999997E-3</v>
      </c>
    </row>
    <row r="30" spans="2:40">
      <c r="B30" s="3" t="s">
        <v>328</v>
      </c>
      <c r="C30" s="108">
        <v>7.4619999999999999E-3</v>
      </c>
      <c r="D30" s="118"/>
      <c r="E30" s="108" t="e">
        <f ca="1">+(C30*D$3+D30-SUMIFS(BaseCompleta!$F:$F,BaseCompleta!$Q:$Q,B30,BaseCompleta!$B:$B,C$3,BaseCompleta!$J:$J,0)+SUMIFS(TransRF!$Q:$Q,TransRF!$T:$T,B30,TransRF!S:S,C$3)-SUMIFS(TransRF!$Q:$Q,TransRF!$T:$T,B30,TransRF!$R:$R,C$3)+SUMIFS(TransIF!$P:$P,TransIF!$U:$U,B30,TransIF!$R:$R,C$3)-SUMIFS(TransIF!$P:$P,TransIF!$U:$U,B30,TransIF!$Q:$Q,C$3))/(D$3+D$2)</f>
        <v>#N/A</v>
      </c>
      <c r="G30" s="3" t="s">
        <v>85</v>
      </c>
      <c r="H30" s="108">
        <v>1.3976000000000001E-2</v>
      </c>
      <c r="I30" s="118"/>
      <c r="J30" s="108" t="e">
        <f ca="1">+(H30*I$3+I30-SUMIFS(BaseCompleta!$F:$F,BaseCompleta!$Q:$Q,'Emisor Consolidado'!G30,BaseCompleta!$B:$B,H$3,BaseCompleta!$J:$J,0)+SUMIFS(TransRF!$Q:$Q,TransRF!$T:$T,G30,TransRF!X:X,H$3)-SUMIFS(TransRF!$Q:$Q,TransRF!$T:$T,G30,TransRF!$R:$R,H$3)+SUMIFS(TransIF!$P:$P,TransIF!$U:$U,G30,TransIF!$R:$R,H$3)-SUMIFS(TransIF!$P:$P,TransIF!$U:$U,G30,TransIF!$Q:$Q,H$3))/(I$3+I$2)</f>
        <v>#N/A</v>
      </c>
      <c r="L30" s="3" t="s">
        <v>1479</v>
      </c>
      <c r="M30" s="108">
        <v>8.3580000000000008E-3</v>
      </c>
      <c r="N30" s="118"/>
      <c r="O30" s="108" t="e">
        <f ca="1">+(M30*N$3+N30-SUMIFS(BaseCompleta!$F:$F,BaseCompleta!$Q:$Q,'Emisor Consolidado'!L30,BaseCompleta!$B:$B,M$3,BaseCompleta!$J:$J,0)+SUMIFS(TransRF!$Q:$Q,TransRF!$T:$T,L30,TransRF!AC:AC,M$3)-SUMIFS(TransRF!$Q:$Q,TransRF!$T:$T,L30,TransRF!$R:$R,M$3)+SUMIFS(TransIF!$P:$P,TransIF!$U:$U,L30,TransIF!$R:$R,M$3)-SUMIFS(TransIF!$P:$P,TransIF!$U:$U,L30,TransIF!$Q:$Q,M$3))/(N$3+N$2)</f>
        <v>#N/A</v>
      </c>
      <c r="Q30" s="3" t="s">
        <v>77</v>
      </c>
      <c r="R30" s="108">
        <v>1.0469999999999998E-2</v>
      </c>
      <c r="S30" s="118"/>
      <c r="T30" s="108" t="e">
        <f ca="1">+(R30*S$3+S30-SUMIFS(BaseCompleta!$F:$F,BaseCompleta!$Q:$Q,'Emisor Consolidado'!Q30,BaseCompleta!$B:$B,R$3,BaseCompleta!$J:$J,0)+SUMIFS(TransRF!$Q:$Q,TransRF!$T:$T,Q30,TransRF!AH:AH,R$3)-SUMIFS(TransRF!$Q:$Q,TransRF!$T:$T,Q30,TransRF!$R:$R,R$3)+SUMIFS(TransIF!$P:$P,TransIF!$U:$U,Q30,TransIF!$R:$R,R$3)-SUMIFS(TransIF!$P:$P,TransIF!$U:$U,Q30,TransIF!$Q:$Q,R$3))/(S$3+S$2)</f>
        <v>#N/A</v>
      </c>
      <c r="AA30" s="3" t="s">
        <v>328</v>
      </c>
      <c r="AB30" s="108">
        <v>7.4619999999999999E-3</v>
      </c>
    </row>
    <row r="31" spans="2:40">
      <c r="B31" s="3" t="s">
        <v>536</v>
      </c>
      <c r="C31" s="108">
        <v>7.1120000000000003E-3</v>
      </c>
      <c r="D31" s="118"/>
      <c r="E31" s="108" t="e">
        <f ca="1">+(C31*D$3+D31-SUMIFS(BaseCompleta!$F:$F,BaseCompleta!$Q:$Q,B31,BaseCompleta!$B:$B,C$3,BaseCompleta!$J:$J,0)+SUMIFS(TransRF!$Q:$Q,TransRF!$T:$T,B31,TransRF!S:S,C$3)-SUMIFS(TransRF!$Q:$Q,TransRF!$T:$T,B31,TransRF!$R:$R,C$3)+SUMIFS(TransIF!$P:$P,TransIF!$U:$U,B31,TransIF!$R:$R,C$3)-SUMIFS(TransIF!$P:$P,TransIF!$U:$U,B31,TransIF!$Q:$Q,C$3))/(D$3+D$2)</f>
        <v>#N/A</v>
      </c>
      <c r="G31" s="3" t="s">
        <v>60</v>
      </c>
      <c r="H31" s="108">
        <v>1.3707E-2</v>
      </c>
      <c r="I31" s="118"/>
      <c r="J31" s="108" t="e">
        <f ca="1">+(H31*I$3+I31-SUMIFS(BaseCompleta!$F:$F,BaseCompleta!$Q:$Q,'Emisor Consolidado'!G31,BaseCompleta!$B:$B,H$3,BaseCompleta!$J:$J,0)+SUMIFS(TransRF!$Q:$Q,TransRF!$T:$T,G31,TransRF!X:X,H$3)-SUMIFS(TransRF!$Q:$Q,TransRF!$T:$T,G31,TransRF!$R:$R,H$3)+SUMIFS(TransIF!$P:$P,TransIF!$U:$U,G31,TransIF!$R:$R,H$3)-SUMIFS(TransIF!$P:$P,TransIF!$U:$U,G31,TransIF!$Q:$Q,H$3))/(I$3+I$2)</f>
        <v>#N/A</v>
      </c>
      <c r="L31" s="3" t="s">
        <v>435</v>
      </c>
      <c r="M31" s="108">
        <v>7.9059999999999998E-3</v>
      </c>
      <c r="N31" s="118"/>
      <c r="O31" s="108" t="e">
        <f ca="1">+(M31*N$3+N31-SUMIFS(BaseCompleta!$F:$F,BaseCompleta!$Q:$Q,'Emisor Consolidado'!L31,BaseCompleta!$B:$B,M$3,BaseCompleta!$J:$J,0)+SUMIFS(TransRF!$Q:$Q,TransRF!$T:$T,L31,TransRF!AC:AC,M$3)-SUMIFS(TransRF!$Q:$Q,TransRF!$T:$T,L31,TransRF!$R:$R,M$3)+SUMIFS(TransIF!$P:$P,TransIF!$U:$U,L31,TransIF!$R:$R,M$3)-SUMIFS(TransIF!$P:$P,TransIF!$U:$U,L31,TransIF!$Q:$Q,M$3))/(N$3+N$2)</f>
        <v>#N/A</v>
      </c>
      <c r="Q31" s="3" t="s">
        <v>622</v>
      </c>
      <c r="R31" s="108">
        <v>1.0332999999999998E-2</v>
      </c>
      <c r="S31" s="118"/>
      <c r="T31" s="108" t="e">
        <f ca="1">+(R31*S$3+S31-SUMIFS(BaseCompleta!$F:$F,BaseCompleta!$Q:$Q,'Emisor Consolidado'!Q31,BaseCompleta!$B:$B,R$3,BaseCompleta!$J:$J,0)+SUMIFS(TransRF!$Q:$Q,TransRF!$T:$T,Q31,TransRF!AH:AH,R$3)-SUMIFS(TransRF!$Q:$Q,TransRF!$T:$T,Q31,TransRF!$R:$R,R$3)+SUMIFS(TransIF!$P:$P,TransIF!$U:$U,Q31,TransIF!$R:$R,R$3)-SUMIFS(TransIF!$P:$P,TransIF!$U:$U,Q31,TransIF!$Q:$Q,R$3))/(S$3+S$2)</f>
        <v>#N/A</v>
      </c>
      <c r="AA31" s="3" t="s">
        <v>536</v>
      </c>
      <c r="AB31" s="108">
        <v>7.1120000000000003E-3</v>
      </c>
    </row>
    <row r="32" spans="2:40">
      <c r="B32" s="3" t="s">
        <v>329</v>
      </c>
      <c r="C32" s="108">
        <v>6.3509999999999999E-3</v>
      </c>
      <c r="D32" s="118"/>
      <c r="E32" s="108" t="e">
        <f ca="1">+(C32*D$3+D32-SUMIFS(BaseCompleta!$F:$F,BaseCompleta!$Q:$Q,B32,BaseCompleta!$B:$B,C$3,BaseCompleta!$J:$J,0)+SUMIFS(TransRF!$Q:$Q,TransRF!$T:$T,B32,TransRF!S:S,C$3)-SUMIFS(TransRF!$Q:$Q,TransRF!$T:$T,B32,TransRF!$R:$R,C$3)+SUMIFS(TransIF!$P:$P,TransIF!$U:$U,B32,TransIF!$R:$R,C$3)-SUMIFS(TransIF!$P:$P,TransIF!$U:$U,B32,TransIF!$Q:$Q,C$3))/(D$3+D$2)</f>
        <v>#N/A</v>
      </c>
      <c r="G32" s="3" t="s">
        <v>83</v>
      </c>
      <c r="H32" s="108">
        <v>1.3500999999999999E-2</v>
      </c>
      <c r="I32" s="118"/>
      <c r="J32" s="108" t="e">
        <f ca="1">+(H32*I$3+I32-SUMIFS(BaseCompleta!$F:$F,BaseCompleta!$Q:$Q,'Emisor Consolidado'!G32,BaseCompleta!$B:$B,H$3,BaseCompleta!$J:$J,0)+SUMIFS(TransRF!$Q:$Q,TransRF!$T:$T,G32,TransRF!X:X,H$3)-SUMIFS(TransRF!$Q:$Q,TransRF!$T:$T,G32,TransRF!$R:$R,H$3)+SUMIFS(TransIF!$P:$P,TransIF!$U:$U,G32,TransIF!$R:$R,H$3)-SUMIFS(TransIF!$P:$P,TransIF!$U:$U,G32,TransIF!$Q:$Q,H$3))/(I$3+I$2)</f>
        <v>#N/A</v>
      </c>
      <c r="L32" s="3" t="s">
        <v>531</v>
      </c>
      <c r="M32" s="108">
        <v>7.515E-3</v>
      </c>
      <c r="N32" s="118"/>
      <c r="O32" s="108" t="e">
        <f ca="1">+(M32*N$3+N32-SUMIFS(BaseCompleta!$F:$F,BaseCompleta!$Q:$Q,'Emisor Consolidado'!L32,BaseCompleta!$B:$B,M$3,BaseCompleta!$J:$J,0)+SUMIFS(TransRF!$Q:$Q,TransRF!$T:$T,L32,TransRF!AC:AC,M$3)-SUMIFS(TransRF!$Q:$Q,TransRF!$T:$T,L32,TransRF!$R:$R,M$3)+SUMIFS(TransIF!$P:$P,TransIF!$U:$U,L32,TransIF!$R:$R,M$3)-SUMIFS(TransIF!$P:$P,TransIF!$U:$U,L32,TransIF!$Q:$Q,M$3))/(N$3+N$2)</f>
        <v>#N/A</v>
      </c>
      <c r="Q32" s="3" t="s">
        <v>286</v>
      </c>
      <c r="R32" s="108">
        <v>1.0122000000000001E-2</v>
      </c>
      <c r="S32" s="118"/>
      <c r="T32" s="108" t="e">
        <f ca="1">+(R32*S$3+S32-SUMIFS(BaseCompleta!$F:$F,BaseCompleta!$Q:$Q,'Emisor Consolidado'!Q32,BaseCompleta!$B:$B,R$3,BaseCompleta!$J:$J,0)+SUMIFS(TransRF!$Q:$Q,TransRF!$T:$T,Q32,TransRF!AH:AH,R$3)-SUMIFS(TransRF!$Q:$Q,TransRF!$T:$T,Q32,TransRF!$R:$R,R$3)+SUMIFS(TransIF!$P:$P,TransIF!$U:$U,Q32,TransIF!$R:$R,R$3)-SUMIFS(TransIF!$P:$P,TransIF!$U:$U,Q32,TransIF!$Q:$Q,R$3))/(S$3+S$2)</f>
        <v>#N/A</v>
      </c>
      <c r="AA32" s="3" t="s">
        <v>329</v>
      </c>
      <c r="AB32" s="108">
        <v>6.3509999999999999E-3</v>
      </c>
    </row>
    <row r="33" spans="2:28">
      <c r="B33" s="3" t="s">
        <v>327</v>
      </c>
      <c r="C33" s="108">
        <v>5.7489999999999998E-3</v>
      </c>
      <c r="D33" s="118"/>
      <c r="E33" s="108" t="e">
        <f ca="1">+(C33*D$3+D33-SUMIFS(BaseCompleta!$F:$F,BaseCompleta!$Q:$Q,B33,BaseCompleta!$B:$B,C$3,BaseCompleta!$J:$J,0)+SUMIFS(TransRF!$Q:$Q,TransRF!$T:$T,B33,TransRF!S:S,C$3)-SUMIFS(TransRF!$Q:$Q,TransRF!$T:$T,B33,TransRF!$R:$R,C$3)+SUMIFS(TransIF!$P:$P,TransIF!$U:$U,B33,TransIF!$R:$R,C$3)-SUMIFS(TransIF!$P:$P,TransIF!$U:$U,B33,TransIF!$Q:$Q,C$3))/(D$3+D$2)</f>
        <v>#N/A</v>
      </c>
      <c r="G33" s="3" t="s">
        <v>851</v>
      </c>
      <c r="H33" s="108">
        <v>1.3083000000000001E-2</v>
      </c>
      <c r="I33" s="118"/>
      <c r="J33" s="108" t="e">
        <f ca="1">+(H33*I$3+I33-SUMIFS(BaseCompleta!$F:$F,BaseCompleta!$Q:$Q,'Emisor Consolidado'!G33,BaseCompleta!$B:$B,H$3,BaseCompleta!$J:$J,0)+SUMIFS(TransRF!$Q:$Q,TransRF!$T:$T,G33,TransRF!X:X,H$3)-SUMIFS(TransRF!$Q:$Q,TransRF!$T:$T,G33,TransRF!$R:$R,H$3)+SUMIFS(TransIF!$P:$P,TransIF!$U:$U,G33,TransIF!$R:$R,H$3)-SUMIFS(TransIF!$P:$P,TransIF!$U:$U,G33,TransIF!$Q:$Q,H$3))/(I$3+I$2)</f>
        <v>#N/A</v>
      </c>
      <c r="L33" s="3" t="s">
        <v>88</v>
      </c>
      <c r="M33" s="108">
        <v>6.6889999999999996E-3</v>
      </c>
      <c r="N33" s="118"/>
      <c r="O33" s="108" t="e">
        <f ca="1">+(M33*N$3+N33-SUMIFS(BaseCompleta!$F:$F,BaseCompleta!$Q:$Q,'Emisor Consolidado'!L33,BaseCompleta!$B:$B,M$3,BaseCompleta!$J:$J,0)+SUMIFS(TransRF!$Q:$Q,TransRF!$T:$T,L33,TransRF!AC:AC,M$3)-SUMIFS(TransRF!$Q:$Q,TransRF!$T:$T,L33,TransRF!$R:$R,M$3)+SUMIFS(TransIF!$P:$P,TransIF!$U:$U,L33,TransIF!$R:$R,M$3)-SUMIFS(TransIF!$P:$P,TransIF!$U:$U,L33,TransIF!$Q:$Q,M$3))/(N$3+N$2)</f>
        <v>#N/A</v>
      </c>
      <c r="Q33" s="3" t="s">
        <v>82</v>
      </c>
      <c r="R33" s="108">
        <v>9.9959999999999979E-3</v>
      </c>
      <c r="S33" s="118"/>
      <c r="T33" s="108" t="e">
        <f ca="1">+(R33*S$3+S33-SUMIFS(BaseCompleta!$F:$F,BaseCompleta!$Q:$Q,'Emisor Consolidado'!Q33,BaseCompleta!$B:$B,R$3,BaseCompleta!$J:$J,0)+SUMIFS(TransRF!$Q:$Q,TransRF!$T:$T,Q33,TransRF!AH:AH,R$3)-SUMIFS(TransRF!$Q:$Q,TransRF!$T:$T,Q33,TransRF!$R:$R,R$3)+SUMIFS(TransIF!$P:$P,TransIF!$U:$U,Q33,TransIF!$R:$R,R$3)-SUMIFS(TransIF!$P:$P,TransIF!$U:$U,Q33,TransIF!$Q:$Q,R$3))/(S$3+S$2)</f>
        <v>#N/A</v>
      </c>
      <c r="AA33" s="3" t="s">
        <v>327</v>
      </c>
      <c r="AB33" s="108">
        <v>5.7489999999999998E-3</v>
      </c>
    </row>
    <row r="34" spans="2:28">
      <c r="B34" s="3" t="s">
        <v>1006</v>
      </c>
      <c r="C34" s="108">
        <v>5.2030000000000002E-3</v>
      </c>
      <c r="D34" s="118"/>
      <c r="E34" s="108" t="e">
        <f ca="1">+(C34*D$3+D34-SUMIFS(BaseCompleta!$F:$F,BaseCompleta!$Q:$Q,B34,BaseCompleta!$B:$B,C$3,BaseCompleta!$J:$J,0)+SUMIFS(TransRF!$Q:$Q,TransRF!$T:$T,B34,TransRF!S:S,C$3)-SUMIFS(TransRF!$Q:$Q,TransRF!$T:$T,B34,TransRF!$R:$R,C$3)+SUMIFS(TransIF!$P:$P,TransIF!$U:$U,B34,TransIF!$R:$R,C$3)-SUMIFS(TransIF!$P:$P,TransIF!$U:$U,B34,TransIF!$Q:$Q,C$3))/(D$3+D$2)</f>
        <v>#N/A</v>
      </c>
      <c r="G34" s="3" t="s">
        <v>328</v>
      </c>
      <c r="H34" s="108">
        <v>1.2871E-2</v>
      </c>
      <c r="I34" s="118"/>
      <c r="J34" s="108" t="e">
        <f ca="1">+(H34*I$3+I34-SUMIFS(BaseCompleta!$F:$F,BaseCompleta!$Q:$Q,'Emisor Consolidado'!G34,BaseCompleta!$B:$B,H$3,BaseCompleta!$J:$J,0)+SUMIFS(TransRF!$Q:$Q,TransRF!$T:$T,G34,TransRF!X:X,H$3)-SUMIFS(TransRF!$Q:$Q,TransRF!$T:$T,G34,TransRF!$R:$R,H$3)+SUMIFS(TransIF!$P:$P,TransIF!$U:$U,G34,TransIF!$R:$R,H$3)-SUMIFS(TransIF!$P:$P,TransIF!$U:$U,G34,TransIF!$Q:$Q,H$3))/(I$3+I$2)</f>
        <v>#N/A</v>
      </c>
      <c r="L34" s="3" t="s">
        <v>691</v>
      </c>
      <c r="M34" s="108">
        <v>6.4229999999999999E-3</v>
      </c>
      <c r="N34" s="118"/>
      <c r="O34" s="108" t="e">
        <f ca="1">+(M34*N$3+N34-SUMIFS(BaseCompleta!$F:$F,BaseCompleta!$Q:$Q,'Emisor Consolidado'!L34,BaseCompleta!$B:$B,M$3,BaseCompleta!$J:$J,0)+SUMIFS(TransRF!$Q:$Q,TransRF!$T:$T,L34,TransRF!AC:AC,M$3)-SUMIFS(TransRF!$Q:$Q,TransRF!$T:$T,L34,TransRF!$R:$R,M$3)+SUMIFS(TransIF!$P:$P,TransIF!$U:$U,L34,TransIF!$R:$R,M$3)-SUMIFS(TransIF!$P:$P,TransIF!$U:$U,L34,TransIF!$Q:$Q,M$3))/(N$3+N$2)</f>
        <v>#N/A</v>
      </c>
      <c r="Q34" s="3" t="s">
        <v>85</v>
      </c>
      <c r="R34" s="108">
        <v>8.9820000000000004E-3</v>
      </c>
      <c r="S34" s="118"/>
      <c r="T34" s="108" t="e">
        <f ca="1">+(R34*S$3+S34-SUMIFS(BaseCompleta!$F:$F,BaseCompleta!$Q:$Q,'Emisor Consolidado'!Q34,BaseCompleta!$B:$B,R$3,BaseCompleta!$J:$J,0)+SUMIFS(TransRF!$Q:$Q,TransRF!$T:$T,Q34,TransRF!AH:AH,R$3)-SUMIFS(TransRF!$Q:$Q,TransRF!$T:$T,Q34,TransRF!$R:$R,R$3)+SUMIFS(TransIF!$P:$P,TransIF!$U:$U,Q34,TransIF!$R:$R,R$3)-SUMIFS(TransIF!$P:$P,TransIF!$U:$U,Q34,TransIF!$Q:$Q,R$3))/(S$3+S$2)</f>
        <v>#N/A</v>
      </c>
      <c r="AA34" s="3" t="s">
        <v>1006</v>
      </c>
      <c r="AB34" s="108">
        <v>5.2030000000000002E-3</v>
      </c>
    </row>
    <row r="35" spans="2:28">
      <c r="B35" s="3" t="s">
        <v>471</v>
      </c>
      <c r="C35" s="108">
        <v>4.8299999999999992E-3</v>
      </c>
      <c r="D35" s="118"/>
      <c r="E35" s="108" t="e">
        <f ca="1">+(C35*D$3+D35-SUMIFS(BaseCompleta!$F:$F,BaseCompleta!$Q:$Q,B35,BaseCompleta!$B:$B,C$3,BaseCompleta!$J:$J,0)+SUMIFS(TransRF!$Q:$Q,TransRF!$T:$T,B35,TransRF!S:S,C$3)-SUMIFS(TransRF!$Q:$Q,TransRF!$T:$T,B35,TransRF!$R:$R,C$3)+SUMIFS(TransIF!$P:$P,TransIF!$U:$U,B35,TransIF!$R:$R,C$3)-SUMIFS(TransIF!$P:$P,TransIF!$U:$U,B35,TransIF!$Q:$Q,C$3))/(D$3+D$2)</f>
        <v>#N/A</v>
      </c>
      <c r="G35" s="3" t="s">
        <v>329</v>
      </c>
      <c r="H35" s="108">
        <v>1.2806E-2</v>
      </c>
      <c r="I35" s="118"/>
      <c r="J35" s="108" t="e">
        <f ca="1">+(H35*I$3+I35-SUMIFS(BaseCompleta!$F:$F,BaseCompleta!$Q:$Q,'Emisor Consolidado'!G35,BaseCompleta!$B:$B,H$3,BaseCompleta!$J:$J,0)+SUMIFS(TransRF!$Q:$Q,TransRF!$T:$T,G35,TransRF!X:X,H$3)-SUMIFS(TransRF!$Q:$Q,TransRF!$T:$T,G35,TransRF!$R:$R,H$3)+SUMIFS(TransIF!$P:$P,TransIF!$U:$U,G35,TransIF!$R:$R,H$3)-SUMIFS(TransIF!$P:$P,TransIF!$U:$U,G35,TransIF!$Q:$Q,H$3))/(I$3+I$2)</f>
        <v>#N/A</v>
      </c>
      <c r="L35" s="3" t="s">
        <v>809</v>
      </c>
      <c r="M35" s="108">
        <v>5.1480000000000007E-3</v>
      </c>
      <c r="N35" s="118"/>
      <c r="O35" s="108" t="e">
        <f ca="1">+(M35*N$3+N35-SUMIFS(BaseCompleta!$F:$F,BaseCompleta!$Q:$Q,'Emisor Consolidado'!L35,BaseCompleta!$B:$B,M$3,BaseCompleta!$J:$J,0)+SUMIFS(TransRF!$Q:$Q,TransRF!$T:$T,L35,TransRF!AC:AC,M$3)-SUMIFS(TransRF!$Q:$Q,TransRF!$T:$T,L35,TransRF!$R:$R,M$3)+SUMIFS(TransIF!$P:$P,TransIF!$U:$U,L35,TransIF!$R:$R,M$3)-SUMIFS(TransIF!$P:$P,TransIF!$U:$U,L35,TransIF!$Q:$Q,M$3))/(N$3+N$2)</f>
        <v>#N/A</v>
      </c>
      <c r="Q35" s="3" t="s">
        <v>74</v>
      </c>
      <c r="R35" s="108">
        <v>8.3639999999999982E-3</v>
      </c>
      <c r="S35" s="118"/>
      <c r="T35" s="108" t="e">
        <f ca="1">+(R35*S$3+S35-SUMIFS(BaseCompleta!$F:$F,BaseCompleta!$Q:$Q,'Emisor Consolidado'!Q35,BaseCompleta!$B:$B,R$3,BaseCompleta!$J:$J,0)+SUMIFS(TransRF!$Q:$Q,TransRF!$T:$T,Q35,TransRF!AH:AH,R$3)-SUMIFS(TransRF!$Q:$Q,TransRF!$T:$T,Q35,TransRF!$R:$R,R$3)+SUMIFS(TransIF!$P:$P,TransIF!$U:$U,Q35,TransIF!$R:$R,R$3)-SUMIFS(TransIF!$P:$P,TransIF!$U:$U,Q35,TransIF!$Q:$Q,R$3))/(S$3+S$2)</f>
        <v>#N/A</v>
      </c>
      <c r="AA35" s="3" t="s">
        <v>471</v>
      </c>
      <c r="AB35" s="108">
        <v>4.8299999999999992E-3</v>
      </c>
    </row>
    <row r="36" spans="2:28">
      <c r="B36" s="3" t="s">
        <v>622</v>
      </c>
      <c r="C36" s="108">
        <v>3.8579999999999999E-3</v>
      </c>
      <c r="D36" s="118"/>
      <c r="E36" s="108" t="e">
        <f ca="1">+(C36*D$3+D36-SUMIFS(BaseCompleta!$F:$F,BaseCompleta!$Q:$Q,B36,BaseCompleta!$B:$B,C$3,BaseCompleta!$J:$J,0)+SUMIFS(TransRF!$Q:$Q,TransRF!$T:$T,B36,TransRF!S:S,C$3)-SUMIFS(TransRF!$Q:$Q,TransRF!$T:$T,B36,TransRF!$R:$R,C$3)+SUMIFS(TransIF!$P:$P,TransIF!$U:$U,B36,TransIF!$R:$R,C$3)-SUMIFS(TransIF!$P:$P,TransIF!$U:$U,B36,TransIF!$Q:$Q,C$3))/(D$3+D$2)</f>
        <v>#N/A</v>
      </c>
      <c r="G36" s="3" t="s">
        <v>325</v>
      </c>
      <c r="H36" s="108">
        <v>1.2494999999999999E-2</v>
      </c>
      <c r="I36" s="118"/>
      <c r="J36" s="108" t="e">
        <f ca="1">+(H36*I$3+I36-SUMIFS(BaseCompleta!$F:$F,BaseCompleta!$Q:$Q,'Emisor Consolidado'!G36,BaseCompleta!$B:$B,H$3,BaseCompleta!$J:$J,0)+SUMIFS(TransRF!$Q:$Q,TransRF!$T:$T,G36,TransRF!X:X,H$3)-SUMIFS(TransRF!$Q:$Q,TransRF!$T:$T,G36,TransRF!$R:$R,H$3)+SUMIFS(TransIF!$P:$P,TransIF!$U:$U,G36,TransIF!$R:$R,H$3)-SUMIFS(TransIF!$P:$P,TransIF!$U:$U,G36,TransIF!$Q:$Q,H$3))/(I$3+I$2)</f>
        <v>#N/A</v>
      </c>
      <c r="L36" s="3" t="s">
        <v>822</v>
      </c>
      <c r="M36" s="108">
        <v>4.5380000000000004E-3</v>
      </c>
      <c r="N36" s="118"/>
      <c r="O36" s="108" t="e">
        <f ca="1">+(M36*N$3+N36-SUMIFS(BaseCompleta!$F:$F,BaseCompleta!$Q:$Q,'Emisor Consolidado'!L36,BaseCompleta!$B:$B,M$3,BaseCompleta!$J:$J,0)+SUMIFS(TransRF!$Q:$Q,TransRF!$T:$T,L36,TransRF!AC:AC,M$3)-SUMIFS(TransRF!$Q:$Q,TransRF!$T:$T,L36,TransRF!$R:$R,M$3)+SUMIFS(TransIF!$P:$P,TransIF!$U:$U,L36,TransIF!$R:$R,M$3)-SUMIFS(TransIF!$P:$P,TransIF!$U:$U,L36,TransIF!$Q:$Q,M$3))/(N$3+N$2)</f>
        <v>#N/A</v>
      </c>
      <c r="Q36" s="3" t="s">
        <v>390</v>
      </c>
      <c r="R36" s="108">
        <v>8.2740000000000001E-3</v>
      </c>
      <c r="S36" s="118"/>
      <c r="T36" s="108" t="e">
        <f ca="1">+(R36*S$3+S36-SUMIFS(BaseCompleta!$F:$F,BaseCompleta!$Q:$Q,'Emisor Consolidado'!Q36,BaseCompleta!$B:$B,R$3,BaseCompleta!$J:$J,0)+SUMIFS(TransRF!$Q:$Q,TransRF!$T:$T,Q36,TransRF!AH:AH,R$3)-SUMIFS(TransRF!$Q:$Q,TransRF!$T:$T,Q36,TransRF!$R:$R,R$3)+SUMIFS(TransIF!$P:$P,TransIF!$U:$U,Q36,TransIF!$R:$R,R$3)-SUMIFS(TransIF!$P:$P,TransIF!$U:$U,Q36,TransIF!$Q:$Q,R$3))/(S$3+S$2)</f>
        <v>#N/A</v>
      </c>
      <c r="AA36" s="3" t="s">
        <v>622</v>
      </c>
      <c r="AB36" s="108">
        <v>3.8579999999999999E-3</v>
      </c>
    </row>
    <row r="37" spans="2:28">
      <c r="B37" s="3" t="s">
        <v>531</v>
      </c>
      <c r="C37" s="108">
        <v>3.4710000000000001E-3</v>
      </c>
      <c r="D37" s="118"/>
      <c r="E37" s="108" t="e">
        <f ca="1">+(C37*D$3+D37-SUMIFS(BaseCompleta!$F:$F,BaseCompleta!$Q:$Q,B37,BaseCompleta!$B:$B,C$3,BaseCompleta!$J:$J,0)+SUMIFS(TransRF!$Q:$Q,TransRF!$T:$T,B37,TransRF!S:S,C$3)-SUMIFS(TransRF!$Q:$Q,TransRF!$T:$T,B37,TransRF!$R:$R,C$3)+SUMIFS(TransIF!$P:$P,TransIF!$U:$U,B37,TransIF!$R:$R,C$3)-SUMIFS(TransIF!$P:$P,TransIF!$U:$U,B37,TransIF!$Q:$Q,C$3))/(D$3+D$2)</f>
        <v>#N/A</v>
      </c>
      <c r="G37" s="3" t="s">
        <v>28</v>
      </c>
      <c r="H37" s="108">
        <v>1.2126000000000001E-2</v>
      </c>
      <c r="I37" s="118"/>
      <c r="J37" s="108" t="e">
        <f ca="1">+(H37*I$3+I37-SUMIFS(BaseCompleta!$F:$F,BaseCompleta!$Q:$Q,'Emisor Consolidado'!G37,BaseCompleta!$B:$B,H$3,BaseCompleta!$J:$J,0)+SUMIFS(TransRF!$Q:$Q,TransRF!$T:$T,G37,TransRF!X:X,H$3)-SUMIFS(TransRF!$Q:$Q,TransRF!$T:$T,G37,TransRF!$R:$R,H$3)+SUMIFS(TransIF!$P:$P,TransIF!$U:$U,G37,TransIF!$R:$R,H$3)-SUMIFS(TransIF!$P:$P,TransIF!$U:$U,G37,TransIF!$Q:$Q,H$3))/(I$3+I$2)</f>
        <v>#N/A</v>
      </c>
      <c r="L37" s="3" t="s">
        <v>68</v>
      </c>
      <c r="M37" s="108">
        <v>4.1549999999999998E-3</v>
      </c>
      <c r="N37" s="118"/>
      <c r="O37" s="108" t="e">
        <f ca="1">+(M37*N$3+N37-SUMIFS(BaseCompleta!$F:$F,BaseCompleta!$Q:$Q,'Emisor Consolidado'!L37,BaseCompleta!$B:$B,M$3,BaseCompleta!$J:$J,0)+SUMIFS(TransRF!$Q:$Q,TransRF!$T:$T,L37,TransRF!AC:AC,M$3)-SUMIFS(TransRF!$Q:$Q,TransRF!$T:$T,L37,TransRF!$R:$R,M$3)+SUMIFS(TransIF!$P:$P,TransIF!$U:$U,L37,TransIF!$R:$R,M$3)-SUMIFS(TransIF!$P:$P,TransIF!$U:$U,L37,TransIF!$Q:$Q,M$3))/(N$3+N$2)</f>
        <v>#N/A</v>
      </c>
      <c r="Q37" s="3" t="s">
        <v>1918</v>
      </c>
      <c r="R37" s="108">
        <v>7.9889999999999996E-3</v>
      </c>
      <c r="S37" s="118"/>
      <c r="T37" s="108" t="e">
        <f ca="1">+(R37*S$3+S37-SUMIFS(BaseCompleta!$F:$F,BaseCompleta!$Q:$Q,'Emisor Consolidado'!Q37,BaseCompleta!$B:$B,R$3,BaseCompleta!$J:$J,0)+SUMIFS(TransRF!$Q:$Q,TransRF!$T:$T,Q37,TransRF!AH:AH,R$3)-SUMIFS(TransRF!$Q:$Q,TransRF!$T:$T,Q37,TransRF!$R:$R,R$3)+SUMIFS(TransIF!$P:$P,TransIF!$U:$U,Q37,TransIF!$R:$R,R$3)-SUMIFS(TransIF!$P:$P,TransIF!$U:$U,Q37,TransIF!$Q:$Q,R$3))/(S$3+S$2)</f>
        <v>#N/A</v>
      </c>
      <c r="AA37" s="3" t="s">
        <v>531</v>
      </c>
      <c r="AB37" s="108">
        <v>3.4710000000000001E-3</v>
      </c>
    </row>
    <row r="38" spans="2:28">
      <c r="B38" s="3" t="s">
        <v>487</v>
      </c>
      <c r="C38" s="108">
        <v>2.5730000000000002E-3</v>
      </c>
      <c r="D38" s="118"/>
      <c r="E38" s="108" t="e">
        <f ca="1">+(C38*D$3+D38-SUMIFS(BaseCompleta!$F:$F,BaseCompleta!$Q:$Q,B38,BaseCompleta!$B:$B,C$3,BaseCompleta!$J:$J,0)+SUMIFS(TransRF!$Q:$Q,TransRF!$T:$T,B38,TransRF!S:S,C$3)-SUMIFS(TransRF!$Q:$Q,TransRF!$T:$T,B38,TransRF!$R:$R,C$3)+SUMIFS(TransIF!$P:$P,TransIF!$U:$U,B38,TransIF!$R:$R,C$3)-SUMIFS(TransIF!$P:$P,TransIF!$U:$U,B38,TransIF!$Q:$Q,C$3))/(D$3+D$2)</f>
        <v>#N/A</v>
      </c>
      <c r="G38" s="3" t="s">
        <v>286</v>
      </c>
      <c r="H38" s="108">
        <v>1.2012999999999999E-2</v>
      </c>
      <c r="I38" s="118"/>
      <c r="J38" s="108" t="e">
        <f ca="1">+(H38*I$3+I38-SUMIFS(BaseCompleta!$F:$F,BaseCompleta!$Q:$Q,'Emisor Consolidado'!G38,BaseCompleta!$B:$B,H$3,BaseCompleta!$J:$J,0)+SUMIFS(TransRF!$Q:$Q,TransRF!$T:$T,G38,TransRF!X:X,H$3)-SUMIFS(TransRF!$Q:$Q,TransRF!$T:$T,G38,TransRF!$R:$R,H$3)+SUMIFS(TransIF!$P:$P,TransIF!$U:$U,G38,TransIF!$R:$R,H$3)-SUMIFS(TransIF!$P:$P,TransIF!$U:$U,G38,TransIF!$Q:$Q,H$3))/(I$3+I$2)</f>
        <v>#N/A</v>
      </c>
      <c r="L38" s="3" t="s">
        <v>1597</v>
      </c>
      <c r="M38" s="108">
        <v>3.8570000000000002E-3</v>
      </c>
      <c r="N38" s="118"/>
      <c r="O38" s="108" t="e">
        <f ca="1">+(M38*N$3+N38-SUMIFS(BaseCompleta!$F:$F,BaseCompleta!$Q:$Q,'Emisor Consolidado'!L38,BaseCompleta!$B:$B,M$3,BaseCompleta!$J:$J,0)+SUMIFS(TransRF!$Q:$Q,TransRF!$T:$T,L38,TransRF!AC:AC,M$3)-SUMIFS(TransRF!$Q:$Q,TransRF!$T:$T,L38,TransRF!$R:$R,M$3)+SUMIFS(TransIF!$P:$P,TransIF!$U:$U,L38,TransIF!$R:$R,M$3)-SUMIFS(TransIF!$P:$P,TransIF!$U:$U,L38,TransIF!$Q:$Q,M$3))/(N$3+N$2)</f>
        <v>#N/A</v>
      </c>
      <c r="Q38" s="3" t="s">
        <v>70</v>
      </c>
      <c r="R38" s="108">
        <v>7.3130000000000009E-3</v>
      </c>
      <c r="S38" s="118"/>
      <c r="T38" s="108" t="e">
        <f ca="1">+(R38*S$3+S38-SUMIFS(BaseCompleta!$F:$F,BaseCompleta!$Q:$Q,'Emisor Consolidado'!Q38,BaseCompleta!$B:$B,R$3,BaseCompleta!$J:$J,0)+SUMIFS(TransRF!$Q:$Q,TransRF!$T:$T,Q38,TransRF!AH:AH,R$3)-SUMIFS(TransRF!$Q:$Q,TransRF!$T:$T,Q38,TransRF!$R:$R,R$3)+SUMIFS(TransIF!$P:$P,TransIF!$U:$U,Q38,TransIF!$R:$R,R$3)-SUMIFS(TransIF!$P:$P,TransIF!$U:$U,Q38,TransIF!$Q:$Q,R$3))/(S$3+S$2)</f>
        <v>#N/A</v>
      </c>
      <c r="AA38" s="3" t="s">
        <v>487</v>
      </c>
      <c r="AB38" s="108">
        <v>2.5730000000000002E-3</v>
      </c>
    </row>
    <row r="39" spans="2:28">
      <c r="B39" s="3" t="s">
        <v>1258</v>
      </c>
      <c r="C39" s="108">
        <v>1.872E-3</v>
      </c>
      <c r="D39" s="118"/>
      <c r="E39" s="108" t="e">
        <f ca="1">+(C39*D$3+D39-SUMIFS(BaseCompleta!$F:$F,BaseCompleta!$Q:$Q,B39,BaseCompleta!$B:$B,C$3,BaseCompleta!$J:$J,0)+SUMIFS(TransRF!$Q:$Q,TransRF!$T:$T,B39,TransRF!S:S,C$3)-SUMIFS(TransRF!$Q:$Q,TransRF!$T:$T,B39,TransRF!$R:$R,C$3)+SUMIFS(TransIF!$P:$P,TransIF!$U:$U,B39,TransIF!$R:$R,C$3)-SUMIFS(TransIF!$P:$P,TransIF!$U:$U,B39,TransIF!$Q:$Q,C$3))/(D$3+D$2)</f>
        <v>#N/A</v>
      </c>
      <c r="G39" s="3" t="s">
        <v>653</v>
      </c>
      <c r="H39" s="108">
        <v>1.1938000000000001E-2</v>
      </c>
      <c r="I39" s="118"/>
      <c r="J39" s="108" t="e">
        <f ca="1">+(H39*I$3+I39-SUMIFS(BaseCompleta!$F:$F,BaseCompleta!$Q:$Q,'Emisor Consolidado'!G39,BaseCompleta!$B:$B,H$3,BaseCompleta!$J:$J,0)+SUMIFS(TransRF!$Q:$Q,TransRF!$T:$T,G39,TransRF!X:X,H$3)-SUMIFS(TransRF!$Q:$Q,TransRF!$T:$T,G39,TransRF!$R:$R,H$3)+SUMIFS(TransIF!$P:$P,TransIF!$U:$U,G39,TransIF!$R:$R,H$3)-SUMIFS(TransIF!$P:$P,TransIF!$U:$U,G39,TransIF!$Q:$Q,H$3))/(I$3+I$2)</f>
        <v>#N/A</v>
      </c>
      <c r="L39" s="3" t="s">
        <v>778</v>
      </c>
      <c r="M39" s="108">
        <v>3.5869999999999999E-3</v>
      </c>
      <c r="N39" s="118"/>
      <c r="O39" s="108" t="e">
        <f ca="1">+(M39*N$3+N39-SUMIFS(BaseCompleta!$F:$F,BaseCompleta!$Q:$Q,'Emisor Consolidado'!L39,BaseCompleta!$B:$B,M$3,BaseCompleta!$J:$J,0)+SUMIFS(TransRF!$Q:$Q,TransRF!$T:$T,L39,TransRF!AC:AC,M$3)-SUMIFS(TransRF!$Q:$Q,TransRF!$T:$T,L39,TransRF!$R:$R,M$3)+SUMIFS(TransIF!$P:$P,TransIF!$U:$U,L39,TransIF!$R:$R,M$3)-SUMIFS(TransIF!$P:$P,TransIF!$U:$U,L39,TransIF!$Q:$Q,M$3))/(N$3+N$2)</f>
        <v>#N/A</v>
      </c>
      <c r="Q39" s="3" t="s">
        <v>68</v>
      </c>
      <c r="R39" s="108">
        <v>7.1729999999999997E-3</v>
      </c>
      <c r="S39" s="118"/>
      <c r="T39" s="108" t="e">
        <f ca="1">+(R39*S$3+S39-SUMIFS(BaseCompleta!$F:$F,BaseCompleta!$Q:$Q,'Emisor Consolidado'!Q39,BaseCompleta!$B:$B,R$3,BaseCompleta!$J:$J,0)+SUMIFS(TransRF!$Q:$Q,TransRF!$T:$T,Q39,TransRF!AH:AH,R$3)-SUMIFS(TransRF!$Q:$Q,TransRF!$T:$T,Q39,TransRF!$R:$R,R$3)+SUMIFS(TransIF!$P:$P,TransIF!$U:$U,Q39,TransIF!$R:$R,R$3)-SUMIFS(TransIF!$P:$P,TransIF!$U:$U,Q39,TransIF!$Q:$Q,R$3))/(S$3+S$2)</f>
        <v>#N/A</v>
      </c>
      <c r="AA39" s="3" t="s">
        <v>1258</v>
      </c>
      <c r="AB39" s="108">
        <v>1.872E-3</v>
      </c>
    </row>
    <row r="40" spans="2:28">
      <c r="B40" s="3" t="s">
        <v>544</v>
      </c>
      <c r="C40" s="108">
        <v>1.7229999999999999E-3</v>
      </c>
      <c r="D40" s="118"/>
      <c r="E40" s="108" t="e">
        <f ca="1">+(C40*D$3+D40-SUMIFS(BaseCompleta!$F:$F,BaseCompleta!$Q:$Q,B40,BaseCompleta!$B:$B,C$3,BaseCompleta!$J:$J,0)+SUMIFS(TransRF!$Q:$Q,TransRF!$T:$T,B40,TransRF!S:S,C$3)-SUMIFS(TransRF!$Q:$Q,TransRF!$T:$T,B40,TransRF!$R:$R,C$3)+SUMIFS(TransIF!$P:$P,TransIF!$U:$U,B40,TransIF!$R:$R,C$3)-SUMIFS(TransIF!$P:$P,TransIF!$U:$U,B40,TransIF!$Q:$Q,C$3))/(D$3+D$2)</f>
        <v>#N/A</v>
      </c>
      <c r="G40" s="3" t="s">
        <v>70</v>
      </c>
      <c r="H40" s="108">
        <v>1.1528999999999999E-2</v>
      </c>
      <c r="I40" s="118"/>
      <c r="J40" s="108" t="e">
        <f ca="1">+(H40*I$3+I40-SUMIFS(BaseCompleta!$F:$F,BaseCompleta!$Q:$Q,'Emisor Consolidado'!G40,BaseCompleta!$B:$B,H$3,BaseCompleta!$J:$J,0)+SUMIFS(TransRF!$Q:$Q,TransRF!$T:$T,G40,TransRF!X:X,H$3)-SUMIFS(TransRF!$Q:$Q,TransRF!$T:$T,G40,TransRF!$R:$R,H$3)+SUMIFS(TransIF!$P:$P,TransIF!$U:$U,G40,TransIF!$R:$R,H$3)-SUMIFS(TransIF!$P:$P,TransIF!$U:$U,G40,TransIF!$Q:$Q,H$3))/(I$3+I$2)</f>
        <v>#N/A</v>
      </c>
      <c r="L40" s="3" t="s">
        <v>841</v>
      </c>
      <c r="M40" s="108">
        <v>3.4480000000000001E-3</v>
      </c>
      <c r="N40" s="118"/>
      <c r="O40" s="108" t="e">
        <f ca="1">+(M40*N$3+N40-SUMIFS(BaseCompleta!$F:$F,BaseCompleta!$Q:$Q,'Emisor Consolidado'!L40,BaseCompleta!$B:$B,M$3,BaseCompleta!$J:$J,0)+SUMIFS(TransRF!$Q:$Q,TransRF!$T:$T,L40,TransRF!AC:AC,M$3)-SUMIFS(TransRF!$Q:$Q,TransRF!$T:$T,L40,TransRF!$R:$R,M$3)+SUMIFS(TransIF!$P:$P,TransIF!$U:$U,L40,TransIF!$R:$R,M$3)-SUMIFS(TransIF!$P:$P,TransIF!$U:$U,L40,TransIF!$Q:$Q,M$3))/(N$3+N$2)</f>
        <v>#N/A</v>
      </c>
      <c r="Q40" s="3" t="s">
        <v>2098</v>
      </c>
      <c r="R40" s="108">
        <v>6.7910000000000002E-3</v>
      </c>
      <c r="S40" s="118"/>
      <c r="T40" s="108" t="e">
        <f ca="1">+(R40*S$3+S40-SUMIFS(BaseCompleta!$F:$F,BaseCompleta!$Q:$Q,'Emisor Consolidado'!Q40,BaseCompleta!$B:$B,R$3,BaseCompleta!$J:$J,0)+SUMIFS(TransRF!$Q:$Q,TransRF!$T:$T,Q40,TransRF!AH:AH,R$3)-SUMIFS(TransRF!$Q:$Q,TransRF!$T:$T,Q40,TransRF!$R:$R,R$3)+SUMIFS(TransIF!$P:$P,TransIF!$U:$U,Q40,TransIF!$R:$R,R$3)-SUMIFS(TransIF!$P:$P,TransIF!$U:$U,Q40,TransIF!$Q:$Q,R$3))/(S$3+S$2)</f>
        <v>#N/A</v>
      </c>
      <c r="AA40" s="3" t="s">
        <v>544</v>
      </c>
      <c r="AB40" s="108">
        <v>1.7229999999999999E-3</v>
      </c>
    </row>
    <row r="41" spans="2:28">
      <c r="B41" s="3" t="s">
        <v>87</v>
      </c>
      <c r="C41" s="108">
        <v>1.606E-3</v>
      </c>
      <c r="D41" s="118"/>
      <c r="E41" s="108" t="e">
        <f ca="1">+(C41*D$3+D41-SUMIFS(BaseCompleta!$F:$F,BaseCompleta!$Q:$Q,B41,BaseCompleta!$B:$B,C$3,BaseCompleta!$J:$J,0)+SUMIFS(TransRF!$Q:$Q,TransRF!$T:$T,B41,TransRF!S:S,C$3)-SUMIFS(TransRF!$Q:$Q,TransRF!$T:$T,B41,TransRF!$R:$R,C$3)+SUMIFS(TransIF!$P:$P,TransIF!$U:$U,B41,TransIF!$R:$R,C$3)-SUMIFS(TransIF!$P:$P,TransIF!$U:$U,B41,TransIF!$Q:$Q,C$3))/(D$3+D$2)</f>
        <v>#N/A</v>
      </c>
      <c r="G41" s="3" t="s">
        <v>81</v>
      </c>
      <c r="H41" s="108">
        <v>9.9249999999999998E-3</v>
      </c>
      <c r="I41" s="118"/>
      <c r="J41" s="108" t="e">
        <f ca="1">+(H41*I$3+I41-SUMIFS(BaseCompleta!$F:$F,BaseCompleta!$Q:$Q,'Emisor Consolidado'!G41,BaseCompleta!$B:$B,H$3,BaseCompleta!$J:$J,0)+SUMIFS(TransRF!$Q:$Q,TransRF!$T:$T,G41,TransRF!X:X,H$3)-SUMIFS(TransRF!$Q:$Q,TransRF!$T:$T,G41,TransRF!$R:$R,H$3)+SUMIFS(TransIF!$P:$P,TransIF!$U:$U,G41,TransIF!$R:$R,H$3)-SUMIFS(TransIF!$P:$P,TransIF!$U:$U,G41,TransIF!$Q:$Q,H$3))/(I$3+I$2)</f>
        <v>#N/A</v>
      </c>
      <c r="L41" s="3" t="s">
        <v>937</v>
      </c>
      <c r="M41" s="108">
        <v>3.4299999999999999E-3</v>
      </c>
      <c r="N41" s="118"/>
      <c r="O41" s="108" t="e">
        <f ca="1">+(M41*N$3+N41-SUMIFS(BaseCompleta!$F:$F,BaseCompleta!$Q:$Q,'Emisor Consolidado'!L41,BaseCompleta!$B:$B,M$3,BaseCompleta!$J:$J,0)+SUMIFS(TransRF!$Q:$Q,TransRF!$T:$T,L41,TransRF!AC:AC,M$3)-SUMIFS(TransRF!$Q:$Q,TransRF!$T:$T,L41,TransRF!$R:$R,M$3)+SUMIFS(TransIF!$P:$P,TransIF!$U:$U,L41,TransIF!$R:$R,M$3)-SUMIFS(TransIF!$P:$P,TransIF!$U:$U,L41,TransIF!$Q:$Q,M$3))/(N$3+N$2)</f>
        <v>#N/A</v>
      </c>
      <c r="Q41" s="3" t="s">
        <v>88</v>
      </c>
      <c r="R41" s="108">
        <v>6.6530000000000009E-3</v>
      </c>
      <c r="S41" s="118"/>
      <c r="T41" s="108" t="e">
        <f ca="1">+(R41*S$3+S41-SUMIFS(BaseCompleta!$F:$F,BaseCompleta!$Q:$Q,'Emisor Consolidado'!Q41,BaseCompleta!$B:$B,R$3,BaseCompleta!$J:$J,0)+SUMIFS(TransRF!$Q:$Q,TransRF!$T:$T,Q41,TransRF!AH:AH,R$3)-SUMIFS(TransRF!$Q:$Q,TransRF!$T:$T,Q41,TransRF!$R:$R,R$3)+SUMIFS(TransIF!$P:$P,TransIF!$U:$U,Q41,TransIF!$R:$R,R$3)-SUMIFS(TransIF!$P:$P,TransIF!$U:$U,Q41,TransIF!$Q:$Q,R$3))/(S$3+S$2)</f>
        <v>#N/A</v>
      </c>
      <c r="AA41" s="3" t="s">
        <v>87</v>
      </c>
      <c r="AB41" s="108">
        <v>1.606E-3</v>
      </c>
    </row>
    <row r="42" spans="2:28">
      <c r="B42" s="3" t="s">
        <v>1251</v>
      </c>
      <c r="C42" s="108">
        <v>1.482E-3</v>
      </c>
      <c r="D42" s="118"/>
      <c r="E42" s="108" t="e">
        <f ca="1">+(C42*D$3+D42-SUMIFS(BaseCompleta!$F:$F,BaseCompleta!$Q:$Q,B42,BaseCompleta!$B:$B,C$3,BaseCompleta!$J:$J,0)+SUMIFS(TransRF!$Q:$Q,TransRF!$T:$T,B42,TransRF!S:S,C$3)-SUMIFS(TransRF!$Q:$Q,TransRF!$T:$T,B42,TransRF!$R:$R,C$3)+SUMIFS(TransIF!$P:$P,TransIF!$U:$U,B42,TransIF!$R:$R,C$3)-SUMIFS(TransIF!$P:$P,TransIF!$U:$U,B42,TransIF!$Q:$Q,C$3))/(D$3+D$2)</f>
        <v>#N/A</v>
      </c>
      <c r="G42" s="3" t="s">
        <v>531</v>
      </c>
      <c r="H42" s="108">
        <v>9.8080000000000007E-3</v>
      </c>
      <c r="I42" s="118"/>
      <c r="J42" s="108" t="e">
        <f ca="1">+(H42*I$3+I42-SUMIFS(BaseCompleta!$F:$F,BaseCompleta!$Q:$Q,'Emisor Consolidado'!G42,BaseCompleta!$B:$B,H$3,BaseCompleta!$J:$J,0)+SUMIFS(TransRF!$Q:$Q,TransRF!$T:$T,G42,TransRF!X:X,H$3)-SUMIFS(TransRF!$Q:$Q,TransRF!$T:$T,G42,TransRF!$R:$R,H$3)+SUMIFS(TransIF!$P:$P,TransIF!$U:$U,G42,TransIF!$R:$R,H$3)-SUMIFS(TransIF!$P:$P,TransIF!$U:$U,G42,TransIF!$Q:$Q,H$3))/(I$3+I$2)</f>
        <v>#N/A</v>
      </c>
      <c r="L42" s="3" t="s">
        <v>61</v>
      </c>
      <c r="M42" s="108">
        <v>3.0969999999999999E-3</v>
      </c>
      <c r="N42" s="118"/>
      <c r="O42" s="108" t="e">
        <f ca="1">+(M42*N$3+N42-SUMIFS(BaseCompleta!$F:$F,BaseCompleta!$Q:$Q,'Emisor Consolidado'!L42,BaseCompleta!$B:$B,M$3,BaseCompleta!$J:$J,0)+SUMIFS(TransRF!$Q:$Q,TransRF!$T:$T,L42,TransRF!AC:AC,M$3)-SUMIFS(TransRF!$Q:$Q,TransRF!$T:$T,L42,TransRF!$R:$R,M$3)+SUMIFS(TransIF!$P:$P,TransIF!$U:$U,L42,TransIF!$R:$R,M$3)-SUMIFS(TransIF!$P:$P,TransIF!$U:$U,L42,TransIF!$Q:$Q,M$3))/(N$3+N$2)</f>
        <v>#N/A</v>
      </c>
      <c r="Q42" s="3" t="s">
        <v>67</v>
      </c>
      <c r="R42" s="108">
        <v>5.9019999999999993E-3</v>
      </c>
      <c r="S42" s="118"/>
      <c r="T42" s="108" t="e">
        <f ca="1">+(R42*S$3+S42-SUMIFS(BaseCompleta!$F:$F,BaseCompleta!$Q:$Q,'Emisor Consolidado'!Q42,BaseCompleta!$B:$B,R$3,BaseCompleta!$J:$J,0)+SUMIFS(TransRF!$Q:$Q,TransRF!$T:$T,Q42,TransRF!AH:AH,R$3)-SUMIFS(TransRF!$Q:$Q,TransRF!$T:$T,Q42,TransRF!$R:$R,R$3)+SUMIFS(TransIF!$P:$P,TransIF!$U:$U,Q42,TransIF!$R:$R,R$3)-SUMIFS(TransIF!$P:$P,TransIF!$U:$U,Q42,TransIF!$Q:$Q,R$3))/(S$3+S$2)</f>
        <v>#N/A</v>
      </c>
      <c r="AA42" s="3" t="s">
        <v>1251</v>
      </c>
      <c r="AB42" s="108">
        <v>1.482E-3</v>
      </c>
    </row>
    <row r="43" spans="2:28">
      <c r="B43" s="3" t="s">
        <v>845</v>
      </c>
      <c r="C43" s="108">
        <v>1.0250000000000001E-3</v>
      </c>
      <c r="D43" s="118"/>
      <c r="E43" s="108" t="e">
        <f ca="1">+(C43*D$3+D43-SUMIFS(BaseCompleta!$F:$F,BaseCompleta!$Q:$Q,B43,BaseCompleta!$B:$B,C$3,BaseCompleta!$J:$J,0)+SUMIFS(TransRF!$Q:$Q,TransRF!$T:$T,B43,TransRF!S:S,C$3)-SUMIFS(TransRF!$Q:$Q,TransRF!$T:$T,B43,TransRF!$R:$R,C$3)+SUMIFS(TransIF!$P:$P,TransIF!$U:$U,B43,TransIF!$R:$R,C$3)-SUMIFS(TransIF!$P:$P,TransIF!$U:$U,B43,TransIF!$Q:$Q,C$3))/(D$3+D$2)</f>
        <v>#N/A</v>
      </c>
      <c r="G43" s="3" t="s">
        <v>471</v>
      </c>
      <c r="H43" s="108">
        <v>9.585999999999999E-3</v>
      </c>
      <c r="I43" s="118"/>
      <c r="J43" s="108" t="e">
        <f ca="1">+(H43*I$3+I43-SUMIFS(BaseCompleta!$F:$F,BaseCompleta!$Q:$Q,'Emisor Consolidado'!G43,BaseCompleta!$B:$B,H$3,BaseCompleta!$J:$J,0)+SUMIFS(TransRF!$Q:$Q,TransRF!$T:$T,G43,TransRF!X:X,H$3)-SUMIFS(TransRF!$Q:$Q,TransRF!$T:$T,G43,TransRF!$R:$R,H$3)+SUMIFS(TransIF!$P:$P,TransIF!$U:$U,G43,TransIF!$R:$R,H$3)-SUMIFS(TransIF!$P:$P,TransIF!$U:$U,G43,TransIF!$Q:$Q,H$3))/(I$3+I$2)</f>
        <v>#N/A</v>
      </c>
      <c r="L43" s="3" t="s">
        <v>28</v>
      </c>
      <c r="M43" s="108">
        <v>3.0800000000000003E-3</v>
      </c>
      <c r="N43" s="118"/>
      <c r="O43" s="108" t="e">
        <f ca="1">+(M43*N$3+N43-SUMIFS(BaseCompleta!$F:$F,BaseCompleta!$Q:$Q,'Emisor Consolidado'!L43,BaseCompleta!$B:$B,M$3,BaseCompleta!$J:$J,0)+SUMIFS(TransRF!$Q:$Q,TransRF!$T:$T,L43,TransRF!AC:AC,M$3)-SUMIFS(TransRF!$Q:$Q,TransRF!$T:$T,L43,TransRF!$R:$R,M$3)+SUMIFS(TransIF!$P:$P,TransIF!$U:$U,L43,TransIF!$R:$R,M$3)-SUMIFS(TransIF!$P:$P,TransIF!$U:$U,L43,TransIF!$Q:$Q,M$3))/(N$3+N$2)</f>
        <v>#N/A</v>
      </c>
      <c r="Q43" s="3" t="s">
        <v>778</v>
      </c>
      <c r="R43" s="108">
        <v>4.5950000000000001E-3</v>
      </c>
      <c r="S43" s="118"/>
      <c r="T43" s="108" t="e">
        <f ca="1">+(R43*S$3+S43-SUMIFS(BaseCompleta!$F:$F,BaseCompleta!$Q:$Q,'Emisor Consolidado'!Q43,BaseCompleta!$B:$B,R$3,BaseCompleta!$J:$J,0)+SUMIFS(TransRF!$Q:$Q,TransRF!$T:$T,Q43,TransRF!AH:AH,R$3)-SUMIFS(TransRF!$Q:$Q,TransRF!$T:$T,Q43,TransRF!$R:$R,R$3)+SUMIFS(TransIF!$P:$P,TransIF!$U:$U,Q43,TransIF!$R:$R,R$3)-SUMIFS(TransIF!$P:$P,TransIF!$U:$U,Q43,TransIF!$Q:$Q,R$3))/(S$3+S$2)</f>
        <v>#N/A</v>
      </c>
      <c r="AA43" s="3" t="s">
        <v>845</v>
      </c>
      <c r="AB43" s="108">
        <v>1.0250000000000001E-3</v>
      </c>
    </row>
    <row r="44" spans="2:28">
      <c r="B44" s="3" t="s">
        <v>422</v>
      </c>
      <c r="C44" s="108">
        <v>3.8999999999999999E-4</v>
      </c>
      <c r="D44" s="118"/>
      <c r="E44" s="108" t="e">
        <f ca="1">+(C44*D$3+D44-SUMIFS(BaseCompleta!$F:$F,BaseCompleta!$Q:$Q,B44,BaseCompleta!$B:$B,C$3,BaseCompleta!$J:$J,0)+SUMIFS(TransRF!$Q:$Q,TransRF!$T:$T,B44,TransRF!S:S,C$3)-SUMIFS(TransRF!$Q:$Q,TransRF!$T:$T,B44,TransRF!$R:$R,C$3)+SUMIFS(TransIF!$P:$P,TransIF!$U:$U,B44,TransIF!$R:$R,C$3)-SUMIFS(TransIF!$P:$P,TransIF!$U:$U,B44,TransIF!$Q:$Q,C$3))/(D$3+D$2)</f>
        <v>#N/A</v>
      </c>
      <c r="G44" s="3" t="s">
        <v>673</v>
      </c>
      <c r="H44" s="108">
        <v>9.5829999999999995E-3</v>
      </c>
      <c r="I44" s="118"/>
      <c r="J44" s="108" t="e">
        <f ca="1">+(H44*I$3+I44-SUMIFS(BaseCompleta!$F:$F,BaseCompleta!$Q:$Q,'Emisor Consolidado'!G44,BaseCompleta!$B:$B,H$3,BaseCompleta!$J:$J,0)+SUMIFS(TransRF!$Q:$Q,TransRF!$T:$T,G44,TransRF!X:X,H$3)-SUMIFS(TransRF!$Q:$Q,TransRF!$T:$T,G44,TransRF!$R:$R,H$3)+SUMIFS(TransIF!$P:$P,TransIF!$U:$U,G44,TransIF!$R:$R,H$3)-SUMIFS(TransIF!$P:$P,TransIF!$U:$U,G44,TransIF!$Q:$Q,H$3))/(I$3+I$2)</f>
        <v>#N/A</v>
      </c>
      <c r="L44" s="3" t="s">
        <v>522</v>
      </c>
      <c r="M44" s="108">
        <v>3.0439999999999998E-3</v>
      </c>
      <c r="N44" s="118"/>
      <c r="O44" s="108" t="e">
        <f ca="1">+(M44*N$3+N44-SUMIFS(BaseCompleta!$F:$F,BaseCompleta!$Q:$Q,'Emisor Consolidado'!L44,BaseCompleta!$B:$B,M$3,BaseCompleta!$J:$J,0)+SUMIFS(TransRF!$Q:$Q,TransRF!$T:$T,L44,TransRF!AC:AC,M$3)-SUMIFS(TransRF!$Q:$Q,TransRF!$T:$T,L44,TransRF!$R:$R,M$3)+SUMIFS(TransIF!$P:$P,TransIF!$U:$U,L44,TransIF!$R:$R,M$3)-SUMIFS(TransIF!$P:$P,TransIF!$U:$U,L44,TransIF!$Q:$Q,M$3))/(N$3+N$2)</f>
        <v>#N/A</v>
      </c>
      <c r="Q44" s="3" t="s">
        <v>83</v>
      </c>
      <c r="R44" s="108">
        <v>4.5859999999999998E-3</v>
      </c>
      <c r="S44" s="118"/>
      <c r="T44" s="108" t="e">
        <f ca="1">+(R44*S$3+S44-SUMIFS(BaseCompleta!$F:$F,BaseCompleta!$Q:$Q,'Emisor Consolidado'!Q44,BaseCompleta!$B:$B,R$3,BaseCompleta!$J:$J,0)+SUMIFS(TransRF!$Q:$Q,TransRF!$T:$T,Q44,TransRF!AH:AH,R$3)-SUMIFS(TransRF!$Q:$Q,TransRF!$T:$T,Q44,TransRF!$R:$R,R$3)+SUMIFS(TransIF!$P:$P,TransIF!$U:$U,Q44,TransIF!$R:$R,R$3)-SUMIFS(TransIF!$P:$P,TransIF!$U:$U,Q44,TransIF!$Q:$Q,R$3))/(S$3+S$2)</f>
        <v>#N/A</v>
      </c>
      <c r="AA44" s="3" t="s">
        <v>422</v>
      </c>
      <c r="AB44" s="108">
        <v>3.8999999999999999E-4</v>
      </c>
    </row>
    <row r="45" spans="2:28">
      <c r="B45" s="3" t="s">
        <v>1062</v>
      </c>
      <c r="C45" s="108">
        <v>0.999946</v>
      </c>
      <c r="E45" s="218"/>
      <c r="G45" s="3" t="s">
        <v>1031</v>
      </c>
      <c r="H45" s="108">
        <v>9.358E-3</v>
      </c>
      <c r="I45" s="118"/>
      <c r="J45" s="108" t="e">
        <f ca="1">+(H45*I$3+I45-SUMIFS(BaseCompleta!$F:$F,BaseCompleta!$Q:$Q,'Emisor Consolidado'!G45,BaseCompleta!$B:$B,H$3,BaseCompleta!$J:$J,0)+SUMIFS(TransRF!$Q:$Q,TransRF!$T:$T,G45,TransRF!X:X,H$3)-SUMIFS(TransRF!$Q:$Q,TransRF!$T:$T,G45,TransRF!$R:$R,H$3)+SUMIFS(TransIF!$P:$P,TransIF!$U:$U,G45,TransIF!$R:$R,H$3)-SUMIFS(TransIF!$P:$P,TransIF!$U:$U,G45,TransIF!$Q:$Q,H$3))/(I$3+I$2)</f>
        <v>#N/A</v>
      </c>
      <c r="L45" s="3" t="s">
        <v>69</v>
      </c>
      <c r="M45" s="108">
        <v>2.7459999999999997E-3</v>
      </c>
      <c r="N45" s="118"/>
      <c r="O45" s="108" t="e">
        <f ca="1">+(M45*N$3+N45-SUMIFS(BaseCompleta!$F:$F,BaseCompleta!$Q:$Q,'Emisor Consolidado'!L45,BaseCompleta!$B:$B,M$3,BaseCompleta!$J:$J,0)+SUMIFS(TransRF!$Q:$Q,TransRF!$T:$T,L45,TransRF!AC:AC,M$3)-SUMIFS(TransRF!$Q:$Q,TransRF!$T:$T,L45,TransRF!$R:$R,M$3)+SUMIFS(TransIF!$P:$P,TransIF!$U:$U,L45,TransIF!$R:$R,M$3)-SUMIFS(TransIF!$P:$P,TransIF!$U:$U,L45,TransIF!$Q:$Q,M$3))/(N$3+N$2)</f>
        <v>#N/A</v>
      </c>
      <c r="Q45" s="3" t="s">
        <v>822</v>
      </c>
      <c r="R45" s="108">
        <v>4.3410000000000002E-3</v>
      </c>
      <c r="S45" s="118"/>
      <c r="T45" s="108" t="e">
        <f ca="1">+(R45*S$3+S45-SUMIFS(BaseCompleta!$F:$F,BaseCompleta!$Q:$Q,'Emisor Consolidado'!Q45,BaseCompleta!$B:$B,R$3,BaseCompleta!$J:$J,0)+SUMIFS(TransRF!$Q:$Q,TransRF!$T:$T,Q45,TransRF!AH:AH,R$3)-SUMIFS(TransRF!$Q:$Q,TransRF!$T:$T,Q45,TransRF!$R:$R,R$3)+SUMIFS(TransIF!$P:$P,TransIF!$U:$U,Q45,TransIF!$R:$R,R$3)-SUMIFS(TransIF!$P:$P,TransIF!$U:$U,Q45,TransIF!$Q:$Q,R$3))/(S$3+S$2)</f>
        <v>#N/A</v>
      </c>
      <c r="AA45" s="3" t="s">
        <v>1062</v>
      </c>
      <c r="AB45" s="108">
        <v>0.999946</v>
      </c>
    </row>
    <row r="46" spans="2:28">
      <c r="B46"/>
      <c r="C46"/>
      <c r="E46" s="218"/>
      <c r="G46" s="3" t="s">
        <v>1464</v>
      </c>
      <c r="H46" s="108">
        <v>8.6859999999999993E-3</v>
      </c>
      <c r="I46" s="118"/>
      <c r="J46" s="108" t="e">
        <f ca="1">+(H46*I$3+I46-SUMIFS(BaseCompleta!$F:$F,BaseCompleta!$Q:$Q,'Emisor Consolidado'!G46,BaseCompleta!$B:$B,H$3,BaseCompleta!$J:$J,0)+SUMIFS(TransRF!$Q:$Q,TransRF!$T:$T,G46,TransRF!X:X,H$3)-SUMIFS(TransRF!$Q:$Q,TransRF!$T:$T,G46,TransRF!$R:$R,H$3)+SUMIFS(TransIF!$P:$P,TransIF!$U:$U,G46,TransIF!$R:$R,H$3)-SUMIFS(TransIF!$P:$P,TransIF!$U:$U,G46,TransIF!$Q:$Q,H$3))/(I$3+I$2)</f>
        <v>#N/A</v>
      </c>
      <c r="L46" s="3" t="s">
        <v>866</v>
      </c>
      <c r="M46" s="108">
        <v>2.4659999999999999E-3</v>
      </c>
      <c r="N46" s="118"/>
      <c r="O46" s="108" t="e">
        <f ca="1">+(M46*N$3+N46-SUMIFS(BaseCompleta!$F:$F,BaseCompleta!$Q:$Q,'Emisor Consolidado'!L46,BaseCompleta!$B:$B,M$3,BaseCompleta!$J:$J,0)+SUMIFS(TransRF!$Q:$Q,TransRF!$T:$T,L46,TransRF!AC:AC,M$3)-SUMIFS(TransRF!$Q:$Q,TransRF!$T:$T,L46,TransRF!$R:$R,M$3)+SUMIFS(TransIF!$P:$P,TransIF!$U:$U,L46,TransIF!$R:$R,M$3)-SUMIFS(TransIF!$P:$P,TransIF!$U:$U,L46,TransIF!$Q:$Q,M$3))/(N$3+N$2)</f>
        <v>#N/A</v>
      </c>
      <c r="Q46" s="3" t="s">
        <v>59</v>
      </c>
      <c r="R46" s="108">
        <v>4.2430000000000002E-3</v>
      </c>
      <c r="S46" s="118"/>
      <c r="T46" s="108" t="e">
        <f ca="1">+(R46*S$3+S46-SUMIFS(BaseCompleta!$F:$F,BaseCompleta!$Q:$Q,'Emisor Consolidado'!Q46,BaseCompleta!$B:$B,R$3,BaseCompleta!$J:$J,0)+SUMIFS(TransRF!$Q:$Q,TransRF!$T:$T,Q46,TransRF!AH:AH,R$3)-SUMIFS(TransRF!$Q:$Q,TransRF!$T:$T,Q46,TransRF!$R:$R,R$3)+SUMIFS(TransIF!$P:$P,TransIF!$U:$U,Q46,TransIF!$R:$R,R$3)-SUMIFS(TransIF!$P:$P,TransIF!$U:$U,Q46,TransIF!$Q:$Q,R$3))/(S$3+S$2)</f>
        <v>#N/A</v>
      </c>
    </row>
    <row r="47" spans="2:28">
      <c r="B47"/>
      <c r="C47"/>
      <c r="G47" s="3" t="s">
        <v>2098</v>
      </c>
      <c r="H47" s="108">
        <v>8.6219999999999995E-3</v>
      </c>
      <c r="I47" s="118"/>
      <c r="J47" s="108" t="e">
        <f ca="1">+(H47*I$3+I47-SUMIFS(BaseCompleta!$F:$F,BaseCompleta!$Q:$Q,'Emisor Consolidado'!G47,BaseCompleta!$B:$B,H$3,BaseCompleta!$J:$J,0)+SUMIFS(TransRF!$Q:$Q,TransRF!$T:$T,G47,TransRF!X:X,H$3)-SUMIFS(TransRF!$Q:$Q,TransRF!$T:$T,G47,TransRF!$R:$R,H$3)+SUMIFS(TransIF!$P:$P,TransIF!$U:$U,G47,TransIF!$R:$R,H$3)-SUMIFS(TransIF!$P:$P,TransIF!$U:$U,G47,TransIF!$Q:$Q,H$3))/(I$3+I$2)</f>
        <v>#N/A</v>
      </c>
      <c r="L47" s="3" t="s">
        <v>918</v>
      </c>
      <c r="M47" s="108">
        <v>2.3900000000000002E-3</v>
      </c>
      <c r="N47" s="118"/>
      <c r="O47" s="108" t="e">
        <f ca="1">+(M47*N$3+N47-SUMIFS(BaseCompleta!$F:$F,BaseCompleta!$Q:$Q,'Emisor Consolidado'!L47,BaseCompleta!$B:$B,M$3,BaseCompleta!$J:$J,0)+SUMIFS(TransRF!$Q:$Q,TransRF!$T:$T,L47,TransRF!AC:AC,M$3)-SUMIFS(TransRF!$Q:$Q,TransRF!$T:$T,L47,TransRF!$R:$R,M$3)+SUMIFS(TransIF!$P:$P,TransIF!$U:$U,L47,TransIF!$R:$R,M$3)-SUMIFS(TransIF!$P:$P,TransIF!$U:$U,L47,TransIF!$Q:$Q,M$3))/(N$3+N$2)</f>
        <v>#N/A</v>
      </c>
      <c r="Q47" s="3" t="s">
        <v>28</v>
      </c>
      <c r="R47" s="108">
        <v>4.1050000000000001E-3</v>
      </c>
      <c r="S47" s="118"/>
      <c r="T47" s="108" t="e">
        <f ca="1">+(R47*S$3+S47-SUMIFS(BaseCompleta!$F:$F,BaseCompleta!$Q:$Q,'Emisor Consolidado'!Q47,BaseCompleta!$B:$B,R$3,BaseCompleta!$J:$J,0)+SUMIFS(TransRF!$Q:$Q,TransRF!$T:$T,Q47,TransRF!AH:AH,R$3)-SUMIFS(TransRF!$Q:$Q,TransRF!$T:$T,Q47,TransRF!$R:$R,R$3)+SUMIFS(TransIF!$P:$P,TransIF!$U:$U,Q47,TransIF!$R:$R,R$3)-SUMIFS(TransIF!$P:$P,TransIF!$U:$U,Q47,TransIF!$Q:$Q,R$3))/(S$3+S$2)</f>
        <v>#N/A</v>
      </c>
    </row>
    <row r="48" spans="2:28">
      <c r="G48" s="3" t="s">
        <v>86</v>
      </c>
      <c r="H48" s="108">
        <v>6.8050000000000003E-3</v>
      </c>
      <c r="I48" s="118"/>
      <c r="J48" s="108" t="e">
        <f ca="1">+(H48*I$3+I48-SUMIFS(BaseCompleta!$F:$F,BaseCompleta!$Q:$Q,'Emisor Consolidado'!G48,BaseCompleta!$B:$B,H$3,BaseCompleta!$J:$J,0)+SUMIFS(TransRF!$Q:$Q,TransRF!$T:$T,G48,TransRF!X:X,H$3)-SUMIFS(TransRF!$Q:$Q,TransRF!$T:$T,G48,TransRF!$R:$R,H$3)+SUMIFS(TransIF!$P:$P,TransIF!$U:$U,G48,TransIF!$R:$R,H$3)-SUMIFS(TransIF!$P:$P,TransIF!$U:$U,G48,TransIF!$Q:$Q,H$3))/(I$3+I$2)</f>
        <v>#N/A</v>
      </c>
      <c r="L48" s="3" t="s">
        <v>899</v>
      </c>
      <c r="M48" s="108">
        <v>2.3150000000000002E-3</v>
      </c>
      <c r="N48" s="118"/>
      <c r="O48" s="108" t="e">
        <f ca="1">+(M48*N$3+N48-SUMIFS(BaseCompleta!$F:$F,BaseCompleta!$Q:$Q,'Emisor Consolidado'!L48,BaseCompleta!$B:$B,M$3,BaseCompleta!$J:$J,0)+SUMIFS(TransRF!$Q:$Q,TransRF!$T:$T,L48,TransRF!AC:AC,M$3)-SUMIFS(TransRF!$Q:$Q,TransRF!$T:$T,L48,TransRF!$R:$R,M$3)+SUMIFS(TransIF!$P:$P,TransIF!$U:$U,L48,TransIF!$R:$R,M$3)-SUMIFS(TransIF!$P:$P,TransIF!$U:$U,L48,TransIF!$Q:$Q,M$3))/(N$3+N$2)</f>
        <v>#N/A</v>
      </c>
      <c r="Q48" s="3" t="s">
        <v>1223</v>
      </c>
      <c r="R48" s="108">
        <v>4.0029999999999996E-3</v>
      </c>
      <c r="S48" s="118"/>
      <c r="T48" s="108" t="e">
        <f ca="1">+(R48*S$3+S48-SUMIFS(BaseCompleta!$F:$F,BaseCompleta!$Q:$Q,'Emisor Consolidado'!Q48,BaseCompleta!$B:$B,R$3,BaseCompleta!$J:$J,0)+SUMIFS(TransRF!$Q:$Q,TransRF!$T:$T,Q48,TransRF!AH:AH,R$3)-SUMIFS(TransRF!$Q:$Q,TransRF!$T:$T,Q48,TransRF!$R:$R,R$3)+SUMIFS(TransIF!$P:$P,TransIF!$U:$U,Q48,TransIF!$R:$R,R$3)-SUMIFS(TransIF!$P:$P,TransIF!$U:$U,Q48,TransIF!$Q:$Q,R$3))/(S$3+S$2)</f>
        <v>#N/A</v>
      </c>
    </row>
    <row r="49" spans="7:20">
      <c r="G49" s="3" t="s">
        <v>714</v>
      </c>
      <c r="H49" s="108">
        <v>5.5360000000000001E-3</v>
      </c>
      <c r="I49" s="118"/>
      <c r="J49" s="108" t="e">
        <f ca="1">+(H49*I$3+I49-SUMIFS(BaseCompleta!$F:$F,BaseCompleta!$Q:$Q,'Emisor Consolidado'!G49,BaseCompleta!$B:$B,H$3,BaseCompleta!$J:$J,0)+SUMIFS(TransRF!$Q:$Q,TransRF!$T:$T,G49,TransRF!X:X,H$3)-SUMIFS(TransRF!$Q:$Q,TransRF!$T:$T,G49,TransRF!$R:$R,H$3)+SUMIFS(TransIF!$P:$P,TransIF!$U:$U,G49,TransIF!$R:$R,H$3)-SUMIFS(TransIF!$P:$P,TransIF!$U:$U,G49,TransIF!$Q:$Q,H$3))/(I$3+I$2)</f>
        <v>#N/A</v>
      </c>
      <c r="L49" s="3" t="s">
        <v>1901</v>
      </c>
      <c r="M49" s="108">
        <v>2.1789999999999999E-3</v>
      </c>
      <c r="N49" s="118"/>
      <c r="O49" s="108" t="e">
        <f ca="1">+(M49*N$3+N49-SUMIFS(BaseCompleta!$F:$F,BaseCompleta!$Q:$Q,'Emisor Consolidado'!L49,BaseCompleta!$B:$B,M$3,BaseCompleta!$J:$J,0)+SUMIFS(TransRF!$Q:$Q,TransRF!$T:$T,L49,TransRF!AC:AC,M$3)-SUMIFS(TransRF!$Q:$Q,TransRF!$T:$T,L49,TransRF!$R:$R,M$3)+SUMIFS(TransIF!$P:$P,TransIF!$U:$U,L49,TransIF!$R:$R,M$3)-SUMIFS(TransIF!$P:$P,TransIF!$U:$U,L49,TransIF!$Q:$Q,M$3))/(N$3+N$2)</f>
        <v>#N/A</v>
      </c>
      <c r="Q49" s="3" t="s">
        <v>86</v>
      </c>
      <c r="R49" s="108">
        <v>3.9220000000000001E-3</v>
      </c>
      <c r="S49" s="118"/>
      <c r="T49" s="108" t="e">
        <f ca="1">+(R49*S$3+S49-SUMIFS(BaseCompleta!$F:$F,BaseCompleta!$Q:$Q,'Emisor Consolidado'!Q49,BaseCompleta!$B:$B,R$3,BaseCompleta!$J:$J,0)+SUMIFS(TransRF!$Q:$Q,TransRF!$T:$T,Q49,TransRF!AH:AH,R$3)-SUMIFS(TransRF!$Q:$Q,TransRF!$T:$T,Q49,TransRF!$R:$R,R$3)+SUMIFS(TransIF!$P:$P,TransIF!$U:$U,Q49,TransIF!$R:$R,R$3)-SUMIFS(TransIF!$P:$P,TransIF!$U:$U,Q49,TransIF!$Q:$Q,R$3))/(S$3+S$2)</f>
        <v>#N/A</v>
      </c>
    </row>
    <row r="50" spans="7:20">
      <c r="G50" s="3" t="s">
        <v>466</v>
      </c>
      <c r="H50" s="108">
        <v>5.3470000000000002E-3</v>
      </c>
      <c r="I50" s="118"/>
      <c r="J50" s="108" t="e">
        <f ca="1">+(H50*I$3+I50-SUMIFS(BaseCompleta!$F:$F,BaseCompleta!$Q:$Q,'Emisor Consolidado'!G50,BaseCompleta!$B:$B,H$3,BaseCompleta!$J:$J,0)+SUMIFS(TransRF!$Q:$Q,TransRF!$T:$T,G50,TransRF!X:X,H$3)-SUMIFS(TransRF!$Q:$Q,TransRF!$T:$T,G50,TransRF!$R:$R,H$3)+SUMIFS(TransIF!$P:$P,TransIF!$U:$U,G50,TransIF!$R:$R,H$3)-SUMIFS(TransIF!$P:$P,TransIF!$U:$U,G50,TransIF!$Q:$Q,H$3))/(I$3+I$2)</f>
        <v>#N/A</v>
      </c>
      <c r="L50" s="3" t="s">
        <v>390</v>
      </c>
      <c r="M50" s="108">
        <v>2.1470000000000005E-3</v>
      </c>
      <c r="N50" s="118"/>
      <c r="O50" s="108" t="e">
        <f ca="1">+(M50*N$3+N50-SUMIFS(BaseCompleta!$F:$F,BaseCompleta!$Q:$Q,'Emisor Consolidado'!L50,BaseCompleta!$B:$B,M$3,BaseCompleta!$J:$J,0)+SUMIFS(TransRF!$Q:$Q,TransRF!$T:$T,L50,TransRF!AC:AC,M$3)-SUMIFS(TransRF!$Q:$Q,TransRF!$T:$T,L50,TransRF!$R:$R,M$3)+SUMIFS(TransIF!$P:$P,TransIF!$U:$U,L50,TransIF!$R:$R,M$3)-SUMIFS(TransIF!$P:$P,TransIF!$U:$U,L50,TransIF!$Q:$Q,M$3))/(N$3+N$2)</f>
        <v>#N/A</v>
      </c>
      <c r="Q50" s="3" t="s">
        <v>653</v>
      </c>
      <c r="R50" s="108">
        <v>3.9100000000000003E-3</v>
      </c>
      <c r="S50" s="118"/>
      <c r="T50" s="108" t="e">
        <f ca="1">+(R50*S$3+S50-SUMIFS(BaseCompleta!$F:$F,BaseCompleta!$Q:$Q,'Emisor Consolidado'!Q50,BaseCompleta!$B:$B,R$3,BaseCompleta!$J:$J,0)+SUMIFS(TransRF!$Q:$Q,TransRF!$T:$T,Q50,TransRF!AH:AH,R$3)-SUMIFS(TransRF!$Q:$Q,TransRF!$T:$T,Q50,TransRF!$R:$R,R$3)+SUMIFS(TransIF!$P:$P,TransIF!$U:$U,Q50,TransIF!$R:$R,R$3)-SUMIFS(TransIF!$P:$P,TransIF!$U:$U,Q50,TransIF!$Q:$Q,R$3))/(S$3+S$2)</f>
        <v>#N/A</v>
      </c>
    </row>
    <row r="51" spans="7:20">
      <c r="G51" s="3" t="s">
        <v>1918</v>
      </c>
      <c r="H51" s="108">
        <v>5.1339999999999997E-3</v>
      </c>
      <c r="I51" s="118"/>
      <c r="J51" s="108" t="e">
        <f ca="1">+(H51*I$3+I51-SUMIFS(BaseCompleta!$F:$F,BaseCompleta!$Q:$Q,'Emisor Consolidado'!G51,BaseCompleta!$B:$B,H$3,BaseCompleta!$J:$J,0)+SUMIFS(TransRF!$Q:$Q,TransRF!$T:$T,G51,TransRF!X:X,H$3)-SUMIFS(TransRF!$Q:$Q,TransRF!$T:$T,G51,TransRF!$R:$R,H$3)+SUMIFS(TransIF!$P:$P,TransIF!$U:$U,G51,TransIF!$R:$R,H$3)-SUMIFS(TransIF!$P:$P,TransIF!$U:$U,G51,TransIF!$Q:$Q,H$3))/(I$3+I$2)</f>
        <v>#N/A</v>
      </c>
      <c r="L51" s="3" t="s">
        <v>286</v>
      </c>
      <c r="M51" s="108">
        <v>2.1289999999999998E-3</v>
      </c>
      <c r="N51" s="118"/>
      <c r="O51" s="108" t="e">
        <f ca="1">+(M51*N$3+N51-SUMIFS(BaseCompleta!$F:$F,BaseCompleta!$Q:$Q,'Emisor Consolidado'!L51,BaseCompleta!$B:$B,M$3,BaseCompleta!$J:$J,0)+SUMIFS(TransRF!$Q:$Q,TransRF!$T:$T,L51,TransRF!AC:AC,M$3)-SUMIFS(TransRF!$Q:$Q,TransRF!$T:$T,L51,TransRF!$R:$R,M$3)+SUMIFS(TransIF!$P:$P,TransIF!$U:$U,L51,TransIF!$R:$R,M$3)-SUMIFS(TransIF!$P:$P,TransIF!$U:$U,L51,TransIF!$Q:$Q,M$3))/(N$3+N$2)</f>
        <v>#N/A</v>
      </c>
      <c r="Q51" s="3" t="s">
        <v>422</v>
      </c>
      <c r="R51" s="108">
        <v>3.725E-3</v>
      </c>
      <c r="S51" s="118"/>
      <c r="T51" s="108" t="e">
        <f ca="1">+(R51*S$3+S51-SUMIFS(BaseCompleta!$F:$F,BaseCompleta!$Q:$Q,'Emisor Consolidado'!Q51,BaseCompleta!$B:$B,R$3,BaseCompleta!$J:$J,0)+SUMIFS(TransRF!$Q:$Q,TransRF!$T:$T,Q51,TransRF!AH:AH,R$3)-SUMIFS(TransRF!$Q:$Q,TransRF!$T:$T,Q51,TransRF!$R:$R,R$3)+SUMIFS(TransIF!$P:$P,TransIF!$U:$U,Q51,TransIF!$R:$R,R$3)-SUMIFS(TransIF!$P:$P,TransIF!$U:$U,Q51,TransIF!$Q:$Q,R$3))/(S$3+S$2)</f>
        <v>#N/A</v>
      </c>
    </row>
    <row r="52" spans="7:20">
      <c r="G52" s="3" t="s">
        <v>633</v>
      </c>
      <c r="H52" s="108">
        <v>5.0559999999999997E-3</v>
      </c>
      <c r="I52" s="118"/>
      <c r="J52" s="108" t="e">
        <f ca="1">+(H52*I$3+I52-SUMIFS(BaseCompleta!$F:$F,BaseCompleta!$Q:$Q,'Emisor Consolidado'!G52,BaseCompleta!$B:$B,H$3,BaseCompleta!$J:$J,0)+SUMIFS(TransRF!$Q:$Q,TransRF!$T:$T,G52,TransRF!X:X,H$3)-SUMIFS(TransRF!$Q:$Q,TransRF!$T:$T,G52,TransRF!$R:$R,H$3)+SUMIFS(TransIF!$P:$P,TransIF!$U:$U,G52,TransIF!$R:$R,H$3)-SUMIFS(TransIF!$P:$P,TransIF!$U:$U,G52,TransIF!$Q:$Q,H$3))/(I$3+I$2)</f>
        <v>#N/A</v>
      </c>
      <c r="L52" s="3" t="s">
        <v>422</v>
      </c>
      <c r="M52" s="108">
        <v>2.1089999999999998E-3</v>
      </c>
      <c r="N52" s="118"/>
      <c r="O52" s="108" t="e">
        <f ca="1">+(M52*N$3+N52-SUMIFS(BaseCompleta!$F:$F,BaseCompleta!$Q:$Q,'Emisor Consolidado'!L52,BaseCompleta!$B:$B,M$3,BaseCompleta!$J:$J,0)+SUMIFS(TransRF!$Q:$Q,TransRF!$T:$T,L52,TransRF!AC:AC,M$3)-SUMIFS(TransRF!$Q:$Q,TransRF!$T:$T,L52,TransRF!$R:$R,M$3)+SUMIFS(TransIF!$P:$P,TransIF!$U:$U,L52,TransIF!$R:$R,M$3)-SUMIFS(TransIF!$P:$P,TransIF!$U:$U,L52,TransIF!$Q:$Q,M$3))/(N$3+N$2)</f>
        <v>#N/A</v>
      </c>
      <c r="Q52" s="3" t="s">
        <v>691</v>
      </c>
      <c r="R52" s="108">
        <v>3.653E-3</v>
      </c>
      <c r="S52" s="118"/>
      <c r="T52" s="108" t="e">
        <f ca="1">+(R52*S$3+S52-SUMIFS(BaseCompleta!$F:$F,BaseCompleta!$Q:$Q,'Emisor Consolidado'!Q52,BaseCompleta!$B:$B,R$3,BaseCompleta!$J:$J,0)+SUMIFS(TransRF!$Q:$Q,TransRF!$T:$T,Q52,TransRF!AH:AH,R$3)-SUMIFS(TransRF!$Q:$Q,TransRF!$T:$T,Q52,TransRF!$R:$R,R$3)+SUMIFS(TransIF!$P:$P,TransIF!$U:$U,Q52,TransIF!$R:$R,R$3)-SUMIFS(TransIF!$P:$P,TransIF!$U:$U,Q52,TransIF!$Q:$Q,R$3))/(S$3+S$2)</f>
        <v>#N/A</v>
      </c>
    </row>
    <row r="53" spans="7:20">
      <c r="G53" s="3" t="s">
        <v>1223</v>
      </c>
      <c r="H53" s="108">
        <v>4.8520000000000004E-3</v>
      </c>
      <c r="I53" s="118"/>
      <c r="J53" s="108" t="e">
        <f ca="1">+(H53*I$3+I53-SUMIFS(BaseCompleta!$F:$F,BaseCompleta!$Q:$Q,'Emisor Consolidado'!G53,BaseCompleta!$B:$B,H$3,BaseCompleta!$J:$J,0)+SUMIFS(TransRF!$Q:$Q,TransRF!$T:$T,G53,TransRF!X:X,H$3)-SUMIFS(TransRF!$Q:$Q,TransRF!$T:$T,G53,TransRF!$R:$R,H$3)+SUMIFS(TransIF!$P:$P,TransIF!$U:$U,G53,TransIF!$R:$R,H$3)-SUMIFS(TransIF!$P:$P,TransIF!$U:$U,G53,TransIF!$Q:$Q,H$3))/(I$3+I$2)</f>
        <v>#N/A</v>
      </c>
      <c r="L53" s="3" t="s">
        <v>827</v>
      </c>
      <c r="M53" s="108">
        <v>2.016E-3</v>
      </c>
      <c r="N53" s="118"/>
      <c r="O53" s="108" t="e">
        <f ca="1">+(M53*N$3+N53-SUMIFS(BaseCompleta!$F:$F,BaseCompleta!$Q:$Q,'Emisor Consolidado'!L53,BaseCompleta!$B:$B,M$3,BaseCompleta!$J:$J,0)+SUMIFS(TransRF!$Q:$Q,TransRF!$T:$T,L53,TransRF!AC:AC,M$3)-SUMIFS(TransRF!$Q:$Q,TransRF!$T:$T,L53,TransRF!$R:$R,M$3)+SUMIFS(TransIF!$P:$P,TransIF!$U:$U,L53,TransIF!$R:$R,M$3)-SUMIFS(TransIF!$P:$P,TransIF!$U:$U,L53,TransIF!$Q:$Q,M$3))/(N$3+N$2)</f>
        <v>#N/A</v>
      </c>
      <c r="Q53" s="3" t="s">
        <v>328</v>
      </c>
      <c r="R53" s="108">
        <v>3.0379999999999999E-3</v>
      </c>
      <c r="S53" s="118"/>
      <c r="T53" s="108" t="e">
        <f ca="1">+(R53*S$3+S53-SUMIFS(BaseCompleta!$F:$F,BaseCompleta!$Q:$Q,'Emisor Consolidado'!Q53,BaseCompleta!$B:$B,R$3,BaseCompleta!$J:$J,0)+SUMIFS(TransRF!$Q:$Q,TransRF!$T:$T,Q53,TransRF!AH:AH,R$3)-SUMIFS(TransRF!$Q:$Q,TransRF!$T:$T,Q53,TransRF!$R:$R,R$3)+SUMIFS(TransIF!$P:$P,TransIF!$U:$U,Q53,TransIF!$R:$R,R$3)-SUMIFS(TransIF!$P:$P,TransIF!$U:$U,Q53,TransIF!$Q:$Q,R$3))/(S$3+S$2)</f>
        <v>#N/A</v>
      </c>
    </row>
    <row r="54" spans="7:20">
      <c r="G54" s="3" t="s">
        <v>56</v>
      </c>
      <c r="H54" s="108">
        <v>4.365E-3</v>
      </c>
      <c r="I54" s="118"/>
      <c r="J54" s="108" t="e">
        <f ca="1">+(H54*I$3+I54-SUMIFS(BaseCompleta!$F:$F,BaseCompleta!$Q:$Q,'Emisor Consolidado'!G54,BaseCompleta!$B:$B,H$3,BaseCompleta!$J:$J,0)+SUMIFS(TransRF!$Q:$Q,TransRF!$T:$T,G54,TransRF!X:X,H$3)-SUMIFS(TransRF!$Q:$Q,TransRF!$T:$T,G54,TransRF!$R:$R,H$3)+SUMIFS(TransIF!$P:$P,TransIF!$U:$U,G54,TransIF!$R:$R,H$3)-SUMIFS(TransIF!$P:$P,TransIF!$U:$U,G54,TransIF!$Q:$Q,H$3))/(I$3+I$2)</f>
        <v>#N/A</v>
      </c>
      <c r="L54" s="3" t="s">
        <v>1539</v>
      </c>
      <c r="M54" s="108">
        <v>1.818E-3</v>
      </c>
      <c r="N54" s="118"/>
      <c r="O54" s="108" t="e">
        <f ca="1">+(M54*N$3+N54-SUMIFS(BaseCompleta!$F:$F,BaseCompleta!$Q:$Q,'Emisor Consolidado'!L54,BaseCompleta!$B:$B,M$3,BaseCompleta!$J:$J,0)+SUMIFS(TransRF!$Q:$Q,TransRF!$T:$T,L54,TransRF!AC:AC,M$3)-SUMIFS(TransRF!$Q:$Q,TransRF!$T:$T,L54,TransRF!$R:$R,M$3)+SUMIFS(TransIF!$P:$P,TransIF!$U:$U,L54,TransIF!$R:$R,M$3)-SUMIFS(TransIF!$P:$P,TransIF!$U:$U,L54,TransIF!$Q:$Q,M$3))/(N$3+N$2)</f>
        <v>#N/A</v>
      </c>
      <c r="Q54" s="3" t="s">
        <v>836</v>
      </c>
      <c r="R54" s="108">
        <v>2.9789999999999999E-3</v>
      </c>
      <c r="S54" s="118"/>
      <c r="T54" s="108" t="e">
        <f ca="1">+(R54*S$3+S54-SUMIFS(BaseCompleta!$F:$F,BaseCompleta!$Q:$Q,'Emisor Consolidado'!Q54,BaseCompleta!$B:$B,R$3,BaseCompleta!$J:$J,0)+SUMIFS(TransRF!$Q:$Q,TransRF!$T:$T,Q54,TransRF!AH:AH,R$3)-SUMIFS(TransRF!$Q:$Q,TransRF!$T:$T,Q54,TransRF!$R:$R,R$3)+SUMIFS(TransIF!$P:$P,TransIF!$U:$U,Q54,TransIF!$R:$R,R$3)-SUMIFS(TransIF!$P:$P,TransIF!$U:$U,Q54,TransIF!$Q:$Q,R$3))/(S$3+S$2)</f>
        <v>#N/A</v>
      </c>
    </row>
    <row r="55" spans="7:20">
      <c r="G55" s="3" t="s">
        <v>84</v>
      </c>
      <c r="H55" s="108">
        <v>4.3350000000000003E-3</v>
      </c>
      <c r="I55" s="118"/>
      <c r="J55" s="108" t="e">
        <f ca="1">+(H55*I$3+I55-SUMIFS(BaseCompleta!$F:$F,BaseCompleta!$Q:$Q,'Emisor Consolidado'!G55,BaseCompleta!$B:$B,H$3,BaseCompleta!$J:$J,0)+SUMIFS(TransRF!$Q:$Q,TransRF!$T:$T,G55,TransRF!X:X,H$3)-SUMIFS(TransRF!$Q:$Q,TransRF!$T:$T,G55,TransRF!$R:$R,H$3)+SUMIFS(TransIF!$P:$P,TransIF!$U:$U,G55,TransIF!$R:$R,H$3)-SUMIFS(TransIF!$P:$P,TransIF!$U:$U,G55,TransIF!$Q:$Q,H$3))/(I$3+I$2)</f>
        <v>#N/A</v>
      </c>
      <c r="L55" s="3" t="s">
        <v>1021</v>
      </c>
      <c r="M55" s="108">
        <v>1.8029999999999999E-3</v>
      </c>
      <c r="N55" s="118"/>
      <c r="O55" s="108" t="e">
        <f ca="1">+(M55*N$3+N55-SUMIFS(BaseCompleta!$F:$F,BaseCompleta!$Q:$Q,'Emisor Consolidado'!L55,BaseCompleta!$B:$B,M$3,BaseCompleta!$J:$J,0)+SUMIFS(TransRF!$Q:$Q,TransRF!$T:$T,L55,TransRF!AC:AC,M$3)-SUMIFS(TransRF!$Q:$Q,TransRF!$T:$T,L55,TransRF!$R:$R,M$3)+SUMIFS(TransIF!$P:$P,TransIF!$U:$U,L55,TransIF!$R:$R,M$3)-SUMIFS(TransIF!$P:$P,TransIF!$U:$U,L55,TransIF!$Q:$Q,M$3))/(N$3+N$2)</f>
        <v>#N/A</v>
      </c>
      <c r="Q55" s="3" t="s">
        <v>80</v>
      </c>
      <c r="R55" s="108">
        <v>2.784E-3</v>
      </c>
      <c r="S55" s="118"/>
      <c r="T55" s="108" t="e">
        <f ca="1">+(R55*S$3+S55-SUMIFS(BaseCompleta!$F:$F,BaseCompleta!$Q:$Q,'Emisor Consolidado'!Q55,BaseCompleta!$B:$B,R$3,BaseCompleta!$J:$J,0)+SUMIFS(TransRF!$Q:$Q,TransRF!$T:$T,Q55,TransRF!AH:AH,R$3)-SUMIFS(TransRF!$Q:$Q,TransRF!$T:$T,Q55,TransRF!$R:$R,R$3)+SUMIFS(TransIF!$P:$P,TransIF!$U:$U,Q55,TransIF!$R:$R,R$3)-SUMIFS(TransIF!$P:$P,TransIF!$U:$U,Q55,TransIF!$Q:$Q,R$3))/(S$3+S$2)</f>
        <v>#N/A</v>
      </c>
    </row>
    <row r="56" spans="7:20">
      <c r="G56" s="3" t="s">
        <v>82</v>
      </c>
      <c r="H56" s="108">
        <v>3.663E-3</v>
      </c>
      <c r="I56" s="118"/>
      <c r="J56" s="108" t="e">
        <f ca="1">+(H56*I$3+I56-SUMIFS(BaseCompleta!$F:$F,BaseCompleta!$Q:$Q,'Emisor Consolidado'!G56,BaseCompleta!$B:$B,H$3,BaseCompleta!$J:$J,0)+SUMIFS(TransRF!$Q:$Q,TransRF!$T:$T,G56,TransRF!X:X,H$3)-SUMIFS(TransRF!$Q:$Q,TransRF!$T:$T,G56,TransRF!$R:$R,H$3)+SUMIFS(TransIF!$P:$P,TransIF!$U:$U,G56,TransIF!$R:$R,H$3)-SUMIFS(TransIF!$P:$P,TransIF!$U:$U,G56,TransIF!$Q:$Q,H$3))/(I$3+I$2)</f>
        <v>#N/A</v>
      </c>
      <c r="L56" s="3" t="s">
        <v>893</v>
      </c>
      <c r="M56" s="108">
        <v>1.645E-3</v>
      </c>
      <c r="N56" s="118"/>
      <c r="O56" s="108" t="e">
        <f ca="1">+(M56*N$3+N56-SUMIFS(BaseCompleta!$F:$F,BaseCompleta!$Q:$Q,'Emisor Consolidado'!L56,BaseCompleta!$B:$B,M$3,BaseCompleta!$J:$J,0)+SUMIFS(TransRF!$Q:$Q,TransRF!$T:$T,L56,TransRF!AC:AC,M$3)-SUMIFS(TransRF!$Q:$Q,TransRF!$T:$T,L56,TransRF!$R:$R,M$3)+SUMIFS(TransIF!$P:$P,TransIF!$U:$U,L56,TransIF!$R:$R,M$3)-SUMIFS(TransIF!$P:$P,TransIF!$U:$U,L56,TransIF!$Q:$Q,M$3))/(N$3+N$2)</f>
        <v>#N/A</v>
      </c>
      <c r="Q56" s="3" t="s">
        <v>809</v>
      </c>
      <c r="R56" s="108">
        <v>2.4330000000000003E-3</v>
      </c>
      <c r="S56" s="118"/>
      <c r="T56" s="108" t="e">
        <f ca="1">+(R56*S$3+S56-SUMIFS(BaseCompleta!$F:$F,BaseCompleta!$Q:$Q,'Emisor Consolidado'!Q56,BaseCompleta!$B:$B,R$3,BaseCompleta!$J:$J,0)+SUMIFS(TransRF!$Q:$Q,TransRF!$T:$T,Q56,TransRF!AH:AH,R$3)-SUMIFS(TransRF!$Q:$Q,TransRF!$T:$T,Q56,TransRF!$R:$R,R$3)+SUMIFS(TransIF!$P:$P,TransIF!$U:$U,Q56,TransIF!$R:$R,R$3)-SUMIFS(TransIF!$P:$P,TransIF!$U:$U,Q56,TransIF!$Q:$Q,R$3))/(S$3+S$2)</f>
        <v>#N/A</v>
      </c>
    </row>
    <row r="57" spans="7:20">
      <c r="G57" s="3" t="s">
        <v>79</v>
      </c>
      <c r="H57" s="108">
        <v>3.6340000000000001E-3</v>
      </c>
      <c r="I57" s="118"/>
      <c r="J57" s="108" t="e">
        <f ca="1">+(H57*I$3+I57-SUMIFS(BaseCompleta!$F:$F,BaseCompleta!$Q:$Q,'Emisor Consolidado'!G57,BaseCompleta!$B:$B,H$3,BaseCompleta!$J:$J,0)+SUMIFS(TransRF!$Q:$Q,TransRF!$T:$T,G57,TransRF!X:X,H$3)-SUMIFS(TransRF!$Q:$Q,TransRF!$T:$T,G57,TransRF!$R:$R,H$3)+SUMIFS(TransIF!$P:$P,TransIF!$U:$U,G57,TransIF!$R:$R,H$3)-SUMIFS(TransIF!$P:$P,TransIF!$U:$U,G57,TransIF!$Q:$Q,H$3))/(I$3+I$2)</f>
        <v>#N/A</v>
      </c>
      <c r="L57" s="3" t="s">
        <v>861</v>
      </c>
      <c r="M57" s="108">
        <v>1.6059999999999998E-3</v>
      </c>
      <c r="N57" s="118"/>
      <c r="O57" s="108" t="e">
        <f ca="1">+(M57*N$3+N57-SUMIFS(BaseCompleta!$F:$F,BaseCompleta!$Q:$Q,'Emisor Consolidado'!L57,BaseCompleta!$B:$B,M$3,BaseCompleta!$J:$J,0)+SUMIFS(TransRF!$Q:$Q,TransRF!$T:$T,L57,TransRF!AC:AC,M$3)-SUMIFS(TransRF!$Q:$Q,TransRF!$T:$T,L57,TransRF!$R:$R,M$3)+SUMIFS(TransIF!$P:$P,TransIF!$U:$U,L57,TransIF!$R:$R,M$3)-SUMIFS(TransIF!$P:$P,TransIF!$U:$U,L57,TransIF!$Q:$Q,M$3))/(N$3+N$2)</f>
        <v>#N/A</v>
      </c>
      <c r="Q57" s="3" t="s">
        <v>471</v>
      </c>
      <c r="R57" s="108">
        <v>1.9659999999999999E-3</v>
      </c>
      <c r="S57" s="118"/>
      <c r="T57" s="108" t="e">
        <f ca="1">+(R57*S$3+S57-SUMIFS(BaseCompleta!$F:$F,BaseCompleta!$Q:$Q,'Emisor Consolidado'!Q57,BaseCompleta!$B:$B,R$3,BaseCompleta!$J:$J,0)+SUMIFS(TransRF!$Q:$Q,TransRF!$T:$T,Q57,TransRF!AH:AH,R$3)-SUMIFS(TransRF!$Q:$Q,TransRF!$T:$T,Q57,TransRF!$R:$R,R$3)+SUMIFS(TransIF!$P:$P,TransIF!$U:$U,Q57,TransIF!$R:$R,R$3)-SUMIFS(TransIF!$P:$P,TransIF!$U:$U,Q57,TransIF!$Q:$Q,R$3))/(S$3+S$2)</f>
        <v>#N/A</v>
      </c>
    </row>
    <row r="58" spans="7:20">
      <c r="G58" s="3" t="s">
        <v>1262</v>
      </c>
      <c r="H58" s="108">
        <v>3.3089999999999999E-3</v>
      </c>
      <c r="I58" s="118"/>
      <c r="J58" s="108" t="e">
        <f ca="1">+(H58*I$3+I58-SUMIFS(BaseCompleta!$F:$F,BaseCompleta!$Q:$Q,'Emisor Consolidado'!G58,BaseCompleta!$B:$B,H$3,BaseCompleta!$J:$J,0)+SUMIFS(TransRF!$Q:$Q,TransRF!$T:$T,G58,TransRF!X:X,H$3)-SUMIFS(TransRF!$Q:$Q,TransRF!$T:$T,G58,TransRF!$R:$R,H$3)+SUMIFS(TransIF!$P:$P,TransIF!$U:$U,G58,TransIF!$R:$R,H$3)-SUMIFS(TransIF!$P:$P,TransIF!$U:$U,G58,TransIF!$Q:$Q,H$3))/(I$3+I$2)</f>
        <v>#N/A</v>
      </c>
      <c r="L58" s="3" t="s">
        <v>1366</v>
      </c>
      <c r="M58" s="108">
        <v>1.56E-3</v>
      </c>
      <c r="N58" s="118"/>
      <c r="O58" s="108" t="e">
        <f ca="1">+(M58*N$3+N58-SUMIFS(BaseCompleta!$F:$F,BaseCompleta!$Q:$Q,'Emisor Consolidado'!L58,BaseCompleta!$B:$B,M$3,BaseCompleta!$J:$J,0)+SUMIFS(TransRF!$Q:$Q,TransRF!$T:$T,L58,TransRF!AC:AC,M$3)-SUMIFS(TransRF!$Q:$Q,TransRF!$T:$T,L58,TransRF!$R:$R,M$3)+SUMIFS(TransIF!$P:$P,TransIF!$U:$U,L58,TransIF!$R:$R,M$3)-SUMIFS(TransIF!$P:$P,TransIF!$U:$U,L58,TransIF!$Q:$Q,M$3))/(N$3+N$2)</f>
        <v>#N/A</v>
      </c>
      <c r="Q58" s="3" t="s">
        <v>79</v>
      </c>
      <c r="R58" s="108">
        <v>1.9380000000000001E-3</v>
      </c>
      <c r="S58" s="118"/>
      <c r="T58" s="108" t="e">
        <f ca="1">+(R58*S$3+S58-SUMIFS(BaseCompleta!$F:$F,BaseCompleta!$Q:$Q,'Emisor Consolidado'!Q58,BaseCompleta!$B:$B,R$3,BaseCompleta!$J:$J,0)+SUMIFS(TransRF!$Q:$Q,TransRF!$T:$T,Q58,TransRF!AH:AH,R$3)-SUMIFS(TransRF!$Q:$Q,TransRF!$T:$T,Q58,TransRF!$R:$R,R$3)+SUMIFS(TransIF!$P:$P,TransIF!$U:$U,Q58,TransIF!$R:$R,R$3)-SUMIFS(TransIF!$P:$P,TransIF!$U:$U,Q58,TransIF!$Q:$Q,R$3))/(S$3+S$2)</f>
        <v>#N/A</v>
      </c>
    </row>
    <row r="59" spans="7:20">
      <c r="G59" s="3" t="s">
        <v>1006</v>
      </c>
      <c r="H59" s="108">
        <v>3.2420000000000001E-3</v>
      </c>
      <c r="I59" s="118"/>
      <c r="J59" s="108" t="e">
        <f ca="1">+(H59*I$3+I59-SUMIFS(BaseCompleta!$F:$F,BaseCompleta!$Q:$Q,'Emisor Consolidado'!G59,BaseCompleta!$B:$B,H$3,BaseCompleta!$J:$J,0)+SUMIFS(TransRF!$Q:$Q,TransRF!$T:$T,G59,TransRF!X:X,H$3)-SUMIFS(TransRF!$Q:$Q,TransRF!$T:$T,G59,TransRF!$R:$R,H$3)+SUMIFS(TransIF!$P:$P,TransIF!$U:$U,G59,TransIF!$R:$R,H$3)-SUMIFS(TransIF!$P:$P,TransIF!$U:$U,G59,TransIF!$Q:$Q,H$3))/(I$3+I$2)</f>
        <v>#N/A</v>
      </c>
      <c r="L59" s="3" t="s">
        <v>1550</v>
      </c>
      <c r="M59" s="108">
        <v>1.537E-3</v>
      </c>
      <c r="N59" s="118"/>
      <c r="O59" s="108" t="e">
        <f ca="1">+(M59*N$3+N59-SUMIFS(BaseCompleta!$F:$F,BaseCompleta!$Q:$Q,'Emisor Consolidado'!L59,BaseCompleta!$B:$B,M$3,BaseCompleta!$J:$J,0)+SUMIFS(TransRF!$Q:$Q,TransRF!$T:$T,L59,TransRF!AC:AC,M$3)-SUMIFS(TransRF!$Q:$Q,TransRF!$T:$T,L59,TransRF!$R:$R,M$3)+SUMIFS(TransIF!$P:$P,TransIF!$U:$U,L59,TransIF!$R:$R,M$3)-SUMIFS(TransIF!$P:$P,TransIF!$U:$U,L59,TransIF!$Q:$Q,M$3))/(N$3+N$2)</f>
        <v>#N/A</v>
      </c>
      <c r="Q59" s="3" t="s">
        <v>531</v>
      </c>
      <c r="R59" s="108">
        <v>1.9129999999999998E-3</v>
      </c>
      <c r="S59" s="118"/>
      <c r="T59" s="108" t="e">
        <f ca="1">+(R59*S$3+S59-SUMIFS(BaseCompleta!$F:$F,BaseCompleta!$Q:$Q,'Emisor Consolidado'!Q59,BaseCompleta!$B:$B,R$3,BaseCompleta!$J:$J,0)+SUMIFS(TransRF!$Q:$Q,TransRF!$T:$T,Q59,TransRF!AH:AH,R$3)-SUMIFS(TransRF!$Q:$Q,TransRF!$T:$T,Q59,TransRF!$R:$R,R$3)+SUMIFS(TransIF!$P:$P,TransIF!$U:$U,Q59,TransIF!$R:$R,R$3)-SUMIFS(TransIF!$P:$P,TransIF!$U:$U,Q59,TransIF!$Q:$Q,R$3))/(S$3+S$2)</f>
        <v>#N/A</v>
      </c>
    </row>
    <row r="60" spans="7:20">
      <c r="G60" s="3" t="s">
        <v>515</v>
      </c>
      <c r="H60" s="108">
        <v>1.596E-3</v>
      </c>
      <c r="I60" s="118"/>
      <c r="J60" s="108" t="e">
        <f ca="1">+(H60*I$3+I60-SUMIFS(BaseCompleta!$F:$F,BaseCompleta!$Q:$Q,'Emisor Consolidado'!G60,BaseCompleta!$B:$B,H$3,BaseCompleta!$J:$J,0)+SUMIFS(TransRF!$Q:$Q,TransRF!$T:$T,G60,TransRF!X:X,H$3)-SUMIFS(TransRF!$Q:$Q,TransRF!$T:$T,G60,TransRF!$R:$R,H$3)+SUMIFS(TransIF!$P:$P,TransIF!$U:$U,G60,TransIF!$R:$R,H$3)-SUMIFS(TransIF!$P:$P,TransIF!$U:$U,G60,TransIF!$Q:$Q,H$3))/(I$3+I$2)</f>
        <v>#N/A</v>
      </c>
      <c r="L60" s="3" t="s">
        <v>653</v>
      </c>
      <c r="M60" s="108">
        <v>1.5139999999999999E-3</v>
      </c>
      <c r="N60" s="118"/>
      <c r="O60" s="108" t="e">
        <f ca="1">+(M60*N$3+N60-SUMIFS(BaseCompleta!$F:$F,BaseCompleta!$Q:$Q,'Emisor Consolidado'!L60,BaseCompleta!$B:$B,M$3,BaseCompleta!$J:$J,0)+SUMIFS(TransRF!$Q:$Q,TransRF!$T:$T,L60,TransRF!AC:AC,M$3)-SUMIFS(TransRF!$Q:$Q,TransRF!$T:$T,L60,TransRF!$R:$R,M$3)+SUMIFS(TransIF!$P:$P,TransIF!$U:$U,L60,TransIF!$R:$R,M$3)-SUMIFS(TransIF!$P:$P,TransIF!$U:$U,L60,TransIF!$Q:$Q,M$3))/(N$3+N$2)</f>
        <v>#N/A</v>
      </c>
      <c r="Q60" s="3" t="s">
        <v>1597</v>
      </c>
      <c r="R60" s="108">
        <v>1.8220000000000001E-3</v>
      </c>
      <c r="S60" s="118"/>
      <c r="T60" s="108" t="e">
        <f ca="1">+(R60*S$3+S60-SUMIFS(BaseCompleta!$F:$F,BaseCompleta!$Q:$Q,'Emisor Consolidado'!Q60,BaseCompleta!$B:$B,R$3,BaseCompleta!$J:$J,0)+SUMIFS(TransRF!$Q:$Q,TransRF!$T:$T,Q60,TransRF!AH:AH,R$3)-SUMIFS(TransRF!$Q:$Q,TransRF!$T:$T,Q60,TransRF!$R:$R,R$3)+SUMIFS(TransIF!$P:$P,TransIF!$U:$U,Q60,TransIF!$R:$R,R$3)-SUMIFS(TransIF!$P:$P,TransIF!$U:$U,Q60,TransIF!$Q:$Q,R$3))/(S$3+S$2)</f>
        <v>#N/A</v>
      </c>
    </row>
    <row r="61" spans="7:20">
      <c r="G61" s="3" t="s">
        <v>544</v>
      </c>
      <c r="H61" s="108">
        <v>1.2689999999999999E-3</v>
      </c>
      <c r="I61" s="118"/>
      <c r="J61" s="108" t="e">
        <f ca="1">+(H61*I$3+I61-SUMIFS(BaseCompleta!$F:$F,BaseCompleta!$Q:$Q,'Emisor Consolidado'!G61,BaseCompleta!$B:$B,H$3,BaseCompleta!$J:$J,0)+SUMIFS(TransRF!$Q:$Q,TransRF!$T:$T,G61,TransRF!X:X,H$3)-SUMIFS(TransRF!$Q:$Q,TransRF!$T:$T,G61,TransRF!$R:$R,H$3)+SUMIFS(TransIF!$P:$P,TransIF!$U:$U,G61,TransIF!$R:$R,H$3)-SUMIFS(TransIF!$P:$P,TransIF!$U:$U,G61,TransIF!$Q:$Q,H$3))/(I$3+I$2)</f>
        <v>#N/A</v>
      </c>
      <c r="L61" s="3" t="s">
        <v>633</v>
      </c>
      <c r="M61" s="108">
        <v>1.2019999999999999E-3</v>
      </c>
      <c r="N61" s="118"/>
      <c r="O61" s="108" t="e">
        <f ca="1">+(M61*N$3+N61-SUMIFS(BaseCompleta!$F:$F,BaseCompleta!$Q:$Q,'Emisor Consolidado'!L61,BaseCompleta!$B:$B,M$3,BaseCompleta!$J:$J,0)+SUMIFS(TransRF!$Q:$Q,TransRF!$T:$T,L61,TransRF!AC:AC,M$3)-SUMIFS(TransRF!$Q:$Q,TransRF!$T:$T,L61,TransRF!$R:$R,M$3)+SUMIFS(TransIF!$P:$P,TransIF!$U:$U,L61,TransIF!$R:$R,M$3)-SUMIFS(TransIF!$P:$P,TransIF!$U:$U,L61,TransIF!$Q:$Q,M$3))/(N$3+N$2)</f>
        <v>#N/A</v>
      </c>
      <c r="Q61" s="3" t="s">
        <v>81</v>
      </c>
      <c r="R61" s="108">
        <v>1.756E-3</v>
      </c>
      <c r="S61" s="118"/>
      <c r="T61" s="108" t="e">
        <f ca="1">+(R61*S$3+S61-SUMIFS(BaseCompleta!$F:$F,BaseCompleta!$Q:$Q,'Emisor Consolidado'!Q61,BaseCompleta!$B:$B,R$3,BaseCompleta!$J:$J,0)+SUMIFS(TransRF!$Q:$Q,TransRF!$T:$T,Q61,TransRF!AH:AH,R$3)-SUMIFS(TransRF!$Q:$Q,TransRF!$T:$T,Q61,TransRF!$R:$R,R$3)+SUMIFS(TransIF!$P:$P,TransIF!$U:$U,Q61,TransIF!$R:$R,R$3)-SUMIFS(TransIF!$P:$P,TransIF!$U:$U,Q61,TransIF!$Q:$Q,R$3))/(S$3+S$2)</f>
        <v>#N/A</v>
      </c>
    </row>
    <row r="62" spans="7:20">
      <c r="G62" s="3" t="s">
        <v>430</v>
      </c>
      <c r="H62" s="108">
        <v>1.108E-3</v>
      </c>
      <c r="I62" s="118"/>
      <c r="J62" s="108" t="e">
        <f ca="1">+(H62*I$3+I62-SUMIFS(BaseCompleta!$F:$F,BaseCompleta!$Q:$Q,'Emisor Consolidado'!G62,BaseCompleta!$B:$B,H$3,BaseCompleta!$J:$J,0)+SUMIFS(TransRF!$Q:$Q,TransRF!$T:$T,G62,TransRF!X:X,H$3)-SUMIFS(TransRF!$Q:$Q,TransRF!$T:$T,G62,TransRF!$R:$R,H$3)+SUMIFS(TransIF!$P:$P,TransIF!$U:$U,G62,TransIF!$R:$R,H$3)-SUMIFS(TransIF!$P:$P,TransIF!$U:$U,G62,TransIF!$Q:$Q,H$3))/(I$3+I$2)</f>
        <v>#N/A</v>
      </c>
      <c r="L62" s="3" t="s">
        <v>487</v>
      </c>
      <c r="M62" s="108">
        <v>1.1689999999999999E-3</v>
      </c>
      <c r="N62" s="118"/>
      <c r="O62" s="108" t="e">
        <f ca="1">+(M62*N$3+N62-SUMIFS(BaseCompleta!$F:$F,BaseCompleta!$Q:$Q,'Emisor Consolidado'!L62,BaseCompleta!$B:$B,M$3,BaseCompleta!$J:$J,0)+SUMIFS(TransRF!$Q:$Q,TransRF!$T:$T,L62,TransRF!AC:AC,M$3)-SUMIFS(TransRF!$Q:$Q,TransRF!$T:$T,L62,TransRF!$R:$R,M$3)+SUMIFS(TransIF!$P:$P,TransIF!$U:$U,L62,TransIF!$R:$R,M$3)-SUMIFS(TransIF!$P:$P,TransIF!$U:$U,L62,TransIF!$Q:$Q,M$3))/(N$3+N$2)</f>
        <v>#N/A</v>
      </c>
      <c r="Q62" s="3" t="s">
        <v>673</v>
      </c>
      <c r="R62" s="108">
        <v>1.696E-3</v>
      </c>
      <c r="S62" s="118"/>
      <c r="T62" s="108" t="e">
        <f ca="1">+(R62*S$3+S62-SUMIFS(BaseCompleta!$F:$F,BaseCompleta!$Q:$Q,'Emisor Consolidado'!Q62,BaseCompleta!$B:$B,R$3,BaseCompleta!$J:$J,0)+SUMIFS(TransRF!$Q:$Q,TransRF!$T:$T,Q62,TransRF!AH:AH,R$3)-SUMIFS(TransRF!$Q:$Q,TransRF!$T:$T,Q62,TransRF!$R:$R,R$3)+SUMIFS(TransIF!$P:$P,TransIF!$U:$U,Q62,TransIF!$R:$R,R$3)-SUMIFS(TransIF!$P:$P,TransIF!$U:$U,Q62,TransIF!$Q:$Q,R$3))/(S$3+S$2)</f>
        <v>#N/A</v>
      </c>
    </row>
    <row r="63" spans="7:20">
      <c r="G63" s="3" t="s">
        <v>766</v>
      </c>
      <c r="H63" s="108">
        <v>1.0970000000000001E-3</v>
      </c>
      <c r="I63" s="118"/>
      <c r="J63" s="108" t="e">
        <f ca="1">+(H63*I$3+I63-SUMIFS(BaseCompleta!$F:$F,BaseCompleta!$Q:$Q,'Emisor Consolidado'!G63,BaseCompleta!$B:$B,H$3,BaseCompleta!$J:$J,0)+SUMIFS(TransRF!$Q:$Q,TransRF!$T:$T,G63,TransRF!X:X,H$3)-SUMIFS(TransRF!$Q:$Q,TransRF!$T:$T,G63,TransRF!$R:$R,H$3)+SUMIFS(TransIF!$P:$P,TransIF!$U:$U,G63,TransIF!$R:$R,H$3)-SUMIFS(TransIF!$P:$P,TransIF!$U:$U,G63,TransIF!$Q:$Q,H$3))/(I$3+I$2)</f>
        <v>#N/A</v>
      </c>
      <c r="L63" s="3" t="s">
        <v>1582</v>
      </c>
      <c r="M63" s="108">
        <v>1.122E-3</v>
      </c>
      <c r="N63" s="118"/>
      <c r="O63" s="108" t="e">
        <f ca="1">+(M63*N$3+N63-SUMIFS(BaseCompleta!$F:$F,BaseCompleta!$Q:$Q,'Emisor Consolidado'!L63,BaseCompleta!$B:$B,M$3,BaseCompleta!$J:$J,0)+SUMIFS(TransRF!$Q:$Q,TransRF!$T:$T,L63,TransRF!AC:AC,M$3)-SUMIFS(TransRF!$Q:$Q,TransRF!$T:$T,L63,TransRF!$R:$R,M$3)+SUMIFS(TransIF!$P:$P,TransIF!$U:$U,L63,TransIF!$R:$R,M$3)-SUMIFS(TransIF!$P:$P,TransIF!$U:$U,L63,TransIF!$Q:$Q,M$3))/(N$3+N$2)</f>
        <v>#N/A</v>
      </c>
      <c r="Q63" s="3" t="s">
        <v>1031</v>
      </c>
      <c r="R63" s="108">
        <v>1.6559999999999999E-3</v>
      </c>
      <c r="S63" s="118"/>
      <c r="T63" s="108" t="e">
        <f ca="1">+(R63*S$3+S63-SUMIFS(BaseCompleta!$F:$F,BaseCompleta!$Q:$Q,'Emisor Consolidado'!Q63,BaseCompleta!$B:$B,R$3,BaseCompleta!$J:$J,0)+SUMIFS(TransRF!$Q:$Q,TransRF!$T:$T,Q63,TransRF!AH:AH,R$3)-SUMIFS(TransRF!$Q:$Q,TransRF!$T:$T,Q63,TransRF!$R:$R,R$3)+SUMIFS(TransIF!$P:$P,TransIF!$U:$U,Q63,TransIF!$R:$R,R$3)-SUMIFS(TransIF!$P:$P,TransIF!$U:$U,Q63,TransIF!$Q:$Q,R$3))/(S$3+S$2)</f>
        <v>#N/A</v>
      </c>
    </row>
    <row r="64" spans="7:20">
      <c r="G64" s="3" t="s">
        <v>1258</v>
      </c>
      <c r="H64" s="108">
        <v>6.8900000000000005E-4</v>
      </c>
      <c r="I64" s="118"/>
      <c r="J64" s="108" t="e">
        <f ca="1">+(H64*I$3+I64-SUMIFS(BaseCompleta!$F:$F,BaseCompleta!$Q:$Q,'Emisor Consolidado'!G64,BaseCompleta!$B:$B,H$3,BaseCompleta!$J:$J,0)+SUMIFS(TransRF!$Q:$Q,TransRF!$T:$T,G64,TransRF!X:X,H$3)-SUMIFS(TransRF!$Q:$Q,TransRF!$T:$T,G64,TransRF!$R:$R,H$3)+SUMIFS(TransIF!$P:$P,TransIF!$U:$U,G64,TransIF!$R:$R,H$3)-SUMIFS(TransIF!$P:$P,TransIF!$U:$U,G64,TransIF!$Q:$Q,H$3))/(I$3+I$2)</f>
        <v>#N/A</v>
      </c>
      <c r="L64" s="3" t="s">
        <v>67</v>
      </c>
      <c r="M64" s="108">
        <v>1.005E-3</v>
      </c>
      <c r="N64" s="118"/>
      <c r="O64" s="108" t="e">
        <f ca="1">+(M64*N$3+N64-SUMIFS(BaseCompleta!$F:$F,BaseCompleta!$Q:$Q,'Emisor Consolidado'!L64,BaseCompleta!$B:$B,M$3,BaseCompleta!$J:$J,0)+SUMIFS(TransRF!$Q:$Q,TransRF!$T:$T,L64,TransRF!AC:AC,M$3)-SUMIFS(TransRF!$Q:$Q,TransRF!$T:$T,L64,TransRF!$R:$R,M$3)+SUMIFS(TransIF!$P:$P,TransIF!$U:$U,L64,TransIF!$R:$R,M$3)-SUMIFS(TransIF!$P:$P,TransIF!$U:$U,L64,TransIF!$Q:$Q,M$3))/(N$3+N$2)</f>
        <v>#N/A</v>
      </c>
      <c r="Q64" s="3" t="s">
        <v>841</v>
      </c>
      <c r="R64" s="108">
        <v>1.629E-3</v>
      </c>
      <c r="S64" s="118"/>
      <c r="T64" s="108" t="e">
        <f ca="1">+(R64*S$3+S64-SUMIFS(BaseCompleta!$F:$F,BaseCompleta!$Q:$Q,'Emisor Consolidado'!Q64,BaseCompleta!$B:$B,R$3,BaseCompleta!$J:$J,0)+SUMIFS(TransRF!$Q:$Q,TransRF!$T:$T,Q64,TransRF!AH:AH,R$3)-SUMIFS(TransRF!$Q:$Q,TransRF!$T:$T,Q64,TransRF!$R:$R,R$3)+SUMIFS(TransIF!$P:$P,TransIF!$U:$U,Q64,TransIF!$R:$R,R$3)-SUMIFS(TransIF!$P:$P,TransIF!$U:$U,Q64,TransIF!$Q:$Q,R$3))/(S$3+S$2)</f>
        <v>#N/A</v>
      </c>
    </row>
    <row r="65" spans="7:20">
      <c r="G65" s="3" t="s">
        <v>596</v>
      </c>
      <c r="H65" s="108">
        <v>2.3800000000000001E-4</v>
      </c>
      <c r="I65" s="118"/>
      <c r="J65" s="108" t="e">
        <f ca="1">+(H65*I$3+I65-SUMIFS(BaseCompleta!$F:$F,BaseCompleta!$Q:$Q,'Emisor Consolidado'!G65,BaseCompleta!$B:$B,H$3,BaseCompleta!$J:$J,0)+SUMIFS(TransRF!$Q:$Q,TransRF!$T:$T,G65,TransRF!X:X,H$3)-SUMIFS(TransRF!$Q:$Q,TransRF!$T:$T,G65,TransRF!$R:$R,H$3)+SUMIFS(TransIF!$P:$P,TransIF!$U:$U,G65,TransIF!$R:$R,H$3)-SUMIFS(TransIF!$P:$P,TransIF!$U:$U,G65,TransIF!$Q:$Q,H$3))/(I$3+I$2)</f>
        <v>#N/A</v>
      </c>
      <c r="L65" s="3" t="s">
        <v>1376</v>
      </c>
      <c r="M65" s="108">
        <v>9.9700000000000006E-4</v>
      </c>
      <c r="N65" s="118"/>
      <c r="O65" s="108" t="e">
        <f ca="1">+(M65*N$3+N65-SUMIFS(BaseCompleta!$F:$F,BaseCompleta!$Q:$Q,'Emisor Consolidado'!L65,BaseCompleta!$B:$B,M$3,BaseCompleta!$J:$J,0)+SUMIFS(TransRF!$Q:$Q,TransRF!$T:$T,L65,TransRF!AC:AC,M$3)-SUMIFS(TransRF!$Q:$Q,TransRF!$T:$T,L65,TransRF!$R:$R,M$3)+SUMIFS(TransIF!$P:$P,TransIF!$U:$U,L65,TransIF!$R:$R,M$3)-SUMIFS(TransIF!$P:$P,TransIF!$U:$U,L65,TransIF!$Q:$Q,M$3))/(N$3+N$2)</f>
        <v>#N/A</v>
      </c>
      <c r="Q65" s="3" t="s">
        <v>937</v>
      </c>
      <c r="R65" s="108">
        <v>1.621E-3</v>
      </c>
      <c r="S65" s="118"/>
      <c r="T65" s="108" t="e">
        <f ca="1">+(R65*S$3+S65-SUMIFS(BaseCompleta!$F:$F,BaseCompleta!$Q:$Q,'Emisor Consolidado'!Q65,BaseCompleta!$B:$B,R$3,BaseCompleta!$J:$J,0)+SUMIFS(TransRF!$Q:$Q,TransRF!$T:$T,Q65,TransRF!AH:AH,R$3)-SUMIFS(TransRF!$Q:$Q,TransRF!$T:$T,Q65,TransRF!$R:$R,R$3)+SUMIFS(TransIF!$P:$P,TransIF!$U:$U,Q65,TransIF!$R:$R,R$3)-SUMIFS(TransIF!$P:$P,TransIF!$U:$U,Q65,TransIF!$Q:$Q,R$3))/(S$3+S$2)</f>
        <v>#N/A</v>
      </c>
    </row>
    <row r="66" spans="7:20">
      <c r="G66" s="3" t="s">
        <v>588</v>
      </c>
      <c r="H66" s="108">
        <v>1.8100000000000001E-4</v>
      </c>
      <c r="I66" s="118"/>
      <c r="J66" s="108" t="e">
        <f ca="1">+(H66*I$3+I66-SUMIFS(BaseCompleta!$F:$F,BaseCompleta!$Q:$Q,'Emisor Consolidado'!G66,BaseCompleta!$B:$B,H$3,BaseCompleta!$J:$J,0)+SUMIFS(TransRF!$Q:$Q,TransRF!$T:$T,G66,TransRF!X:X,H$3)-SUMIFS(TransRF!$Q:$Q,TransRF!$T:$T,G66,TransRF!$R:$R,H$3)+SUMIFS(TransIF!$P:$P,TransIF!$U:$U,G66,TransIF!$R:$R,H$3)-SUMIFS(TransIF!$P:$P,TransIF!$U:$U,G66,TransIF!$Q:$Q,H$3))/(I$3+I$2)</f>
        <v>#N/A</v>
      </c>
      <c r="L66" s="3" t="s">
        <v>856</v>
      </c>
      <c r="M66" s="108">
        <v>9.7199999999999999E-4</v>
      </c>
      <c r="N66" s="118"/>
      <c r="O66" s="108" t="e">
        <f ca="1">+(M66*N$3+N66-SUMIFS(BaseCompleta!$F:$F,BaseCompleta!$Q:$Q,'Emisor Consolidado'!L66,BaseCompleta!$B:$B,M$3,BaseCompleta!$J:$J,0)+SUMIFS(TransRF!$Q:$Q,TransRF!$T:$T,L66,TransRF!AC:AC,M$3)-SUMIFS(TransRF!$Q:$Q,TransRF!$T:$T,L66,TransRF!$R:$R,M$3)+SUMIFS(TransIF!$P:$P,TransIF!$U:$U,L66,TransIF!$R:$R,M$3)-SUMIFS(TransIF!$P:$P,TransIF!$U:$U,L66,TransIF!$Q:$Q,M$3))/(N$3+N$2)</f>
        <v>#N/A</v>
      </c>
      <c r="Q66" s="3" t="s">
        <v>330</v>
      </c>
      <c r="R66" s="108">
        <v>1.5679999999999999E-3</v>
      </c>
      <c r="S66" s="118"/>
      <c r="T66" s="108" t="e">
        <f ca="1">+(R66*S$3+S66-SUMIFS(BaseCompleta!$F:$F,BaseCompleta!$Q:$Q,'Emisor Consolidado'!Q66,BaseCompleta!$B:$B,R$3,BaseCompleta!$J:$J,0)+SUMIFS(TransRF!$Q:$Q,TransRF!$T:$T,Q66,TransRF!AH:AH,R$3)-SUMIFS(TransRF!$Q:$Q,TransRF!$T:$T,Q66,TransRF!$R:$R,R$3)+SUMIFS(TransIF!$P:$P,TransIF!$U:$U,Q66,TransIF!$R:$R,R$3)-SUMIFS(TransIF!$P:$P,TransIF!$U:$U,Q66,TransIF!$Q:$Q,R$3))/(S$3+S$2)</f>
        <v>#N/A</v>
      </c>
    </row>
    <row r="67" spans="7:20">
      <c r="G67" s="3" t="s">
        <v>1062</v>
      </c>
      <c r="H67" s="108">
        <v>0.99992700000000001</v>
      </c>
      <c r="I67" s="118"/>
      <c r="J67" s="108" t="e">
        <f ca="1">+(H67*I$3+I67-SUMIFS(BaseCompleta!$F:$F,BaseCompleta!$Q:$Q,'Emisor Consolidado'!G67,BaseCompleta!$B:$B,H$3,BaseCompleta!$J:$J,0)+SUMIFS(TransRF!$Q:$Q,TransRF!$T:$T,G67,TransRF!X:X,H$3)-SUMIFS(TransRF!$Q:$Q,TransRF!$T:$T,G67,TransRF!$R:$R,H$3)+SUMIFS(TransIF!$P:$P,TransIF!$U:$U,G67,TransIF!$R:$R,H$3)-SUMIFS(TransIF!$P:$P,TransIF!$U:$U,G67,TransIF!$Q:$Q,H$3))/(I$3+I$2)</f>
        <v>#N/A</v>
      </c>
      <c r="L67" s="3" t="s">
        <v>1374</v>
      </c>
      <c r="M67" s="108">
        <v>9.6900000000000003E-4</v>
      </c>
      <c r="N67" s="118"/>
      <c r="O67" s="108" t="e">
        <f ca="1">+(M67*N$3+N67-SUMIFS(BaseCompleta!$F:$F,BaseCompleta!$Q:$Q,'Emisor Consolidado'!L67,BaseCompleta!$B:$B,M$3,BaseCompleta!$J:$J,0)+SUMIFS(TransRF!$Q:$Q,TransRF!$T:$T,L67,TransRF!AC:AC,M$3)-SUMIFS(TransRF!$Q:$Q,TransRF!$T:$T,L67,TransRF!$R:$R,M$3)+SUMIFS(TransIF!$P:$P,TransIF!$U:$U,L67,TransIF!$R:$R,M$3)-SUMIFS(TransIF!$P:$P,TransIF!$U:$U,L67,TransIF!$Q:$Q,M$3))/(N$3+N$2)</f>
        <v>#N/A</v>
      </c>
      <c r="Q67" s="3" t="s">
        <v>633</v>
      </c>
      <c r="R67" s="108">
        <v>1.4630000000000001E-3</v>
      </c>
      <c r="S67" s="118"/>
      <c r="T67" s="108" t="e">
        <f ca="1">+(R67*S$3+S67-SUMIFS(BaseCompleta!$F:$F,BaseCompleta!$Q:$Q,'Emisor Consolidado'!Q67,BaseCompleta!$B:$B,R$3,BaseCompleta!$J:$J,0)+SUMIFS(TransRF!$Q:$Q,TransRF!$T:$T,Q67,TransRF!AH:AH,R$3)-SUMIFS(TransRF!$Q:$Q,TransRF!$T:$T,Q67,TransRF!$R:$R,R$3)+SUMIFS(TransIF!$P:$P,TransIF!$U:$U,Q67,TransIF!$R:$R,R$3)-SUMIFS(TransIF!$P:$P,TransIF!$U:$U,Q67,TransIF!$Q:$Q,R$3))/(S$3+S$2)</f>
        <v>#N/A</v>
      </c>
    </row>
    <row r="68" spans="7:20">
      <c r="G68"/>
      <c r="H68"/>
      <c r="I68" s="118"/>
      <c r="J68" s="108" t="e">
        <f ca="1">+(H68*I$3+I68-SUMIFS(BaseCompleta!$F:$F,BaseCompleta!$Q:$Q,'Emisor Consolidado'!G68,BaseCompleta!$B:$B,H$3,BaseCompleta!$J:$J,0)+SUMIFS(TransRF!$Q:$Q,TransRF!$T:$T,G68,TransRF!X:X,H$3)-SUMIFS(TransRF!$Q:$Q,TransRF!$T:$T,G68,TransRF!$R:$R,H$3)+SUMIFS(TransIF!$P:$P,TransIF!$U:$U,G68,TransIF!$R:$R,H$3)-SUMIFS(TransIF!$P:$P,TransIF!$U:$U,G68,TransIF!$Q:$Q,H$3))/(I$3+I$2)</f>
        <v>#N/A</v>
      </c>
      <c r="L68" s="3" t="s">
        <v>70</v>
      </c>
      <c r="M68" s="108">
        <v>9.3899999999999995E-4</v>
      </c>
      <c r="N68" s="118"/>
      <c r="O68" s="108" t="e">
        <f ca="1">+(M68*N$3+N68-SUMIFS(BaseCompleta!$F:$F,BaseCompleta!$Q:$Q,'Emisor Consolidado'!L68,BaseCompleta!$B:$B,M$3,BaseCompleta!$J:$J,0)+SUMIFS(TransRF!$Q:$Q,TransRF!$T:$T,L68,TransRF!AC:AC,M$3)-SUMIFS(TransRF!$Q:$Q,TransRF!$T:$T,L68,TransRF!$R:$R,M$3)+SUMIFS(TransIF!$P:$P,TransIF!$U:$U,L68,TransIF!$R:$R,M$3)-SUMIFS(TransIF!$P:$P,TransIF!$U:$U,L68,TransIF!$Q:$Q,M$3))/(N$3+N$2)</f>
        <v>#N/A</v>
      </c>
      <c r="Q68" s="3" t="s">
        <v>69</v>
      </c>
      <c r="R68" s="108">
        <v>1.297E-3</v>
      </c>
      <c r="S68" s="118"/>
      <c r="T68" s="108" t="e">
        <f ca="1">+(R68*S$3+S68-SUMIFS(BaseCompleta!$F:$F,BaseCompleta!$Q:$Q,'Emisor Consolidado'!Q68,BaseCompleta!$B:$B,R$3,BaseCompleta!$J:$J,0)+SUMIFS(TransRF!$Q:$Q,TransRF!$T:$T,Q68,TransRF!AH:AH,R$3)-SUMIFS(TransRF!$Q:$Q,TransRF!$T:$T,Q68,TransRF!$R:$R,R$3)+SUMIFS(TransIF!$P:$P,TransIF!$U:$U,Q68,TransIF!$R:$R,R$3)-SUMIFS(TransIF!$P:$P,TransIF!$U:$U,Q68,TransIF!$Q:$Q,R$3))/(S$3+S$2)</f>
        <v>#N/A</v>
      </c>
    </row>
    <row r="69" spans="7:20">
      <c r="G69"/>
      <c r="H69"/>
      <c r="I69" s="118"/>
      <c r="J69" s="108" t="e">
        <f ca="1">+(H69*I$3+I69-SUMIFS(BaseCompleta!$F:$F,BaseCompleta!$Q:$Q,'Emisor Consolidado'!G69,BaseCompleta!$B:$B,H$3,BaseCompleta!$J:$J,0)+SUMIFS(TransRF!$Q:$Q,TransRF!$T:$T,G69,TransRF!X:X,H$3)-SUMIFS(TransRF!$Q:$Q,TransRF!$T:$T,G69,TransRF!$R:$R,H$3)+SUMIFS(TransIF!$P:$P,TransIF!$U:$U,G69,TransIF!$R:$R,H$3)-SUMIFS(TransIF!$P:$P,TransIF!$U:$U,G69,TransIF!$Q:$Q,H$3))/(I$3+I$2)</f>
        <v>#N/A</v>
      </c>
      <c r="L69" s="3" t="s">
        <v>1918</v>
      </c>
      <c r="M69" s="108">
        <v>9.0300000000000005E-4</v>
      </c>
      <c r="N69" s="118"/>
      <c r="O69" s="108" t="e">
        <f ca="1">+(M69*N$3+N69-SUMIFS(BaseCompleta!$F:$F,BaseCompleta!$Q:$Q,'Emisor Consolidado'!L69,BaseCompleta!$B:$B,M$3,BaseCompleta!$J:$J,0)+SUMIFS(TransRF!$Q:$Q,TransRF!$T:$T,L69,TransRF!AC:AC,M$3)-SUMIFS(TransRF!$Q:$Q,TransRF!$T:$T,L69,TransRF!$R:$R,M$3)+SUMIFS(TransIF!$P:$P,TransIF!$U:$U,L69,TransIF!$R:$R,M$3)-SUMIFS(TransIF!$P:$P,TransIF!$U:$U,L69,TransIF!$Q:$Q,M$3))/(N$3+N$2)</f>
        <v>#N/A</v>
      </c>
      <c r="Q69" s="3" t="s">
        <v>866</v>
      </c>
      <c r="R69" s="108">
        <v>1.165E-3</v>
      </c>
      <c r="S69" s="118"/>
      <c r="T69" s="108" t="e">
        <f ca="1">+(R69*S$3+S69-SUMIFS(BaseCompleta!$F:$F,BaseCompleta!$Q:$Q,'Emisor Consolidado'!Q69,BaseCompleta!$B:$B,R$3,BaseCompleta!$J:$J,0)+SUMIFS(TransRF!$Q:$Q,TransRF!$T:$T,Q69,TransRF!AH:AH,R$3)-SUMIFS(TransRF!$Q:$Q,TransRF!$T:$T,Q69,TransRF!$R:$R,R$3)+SUMIFS(TransIF!$P:$P,TransIF!$U:$U,Q69,TransIF!$R:$R,R$3)-SUMIFS(TransIF!$P:$P,TransIF!$U:$U,Q69,TransIF!$Q:$Q,R$3))/(S$3+S$2)</f>
        <v>#N/A</v>
      </c>
    </row>
    <row r="70" spans="7:20">
      <c r="G70"/>
      <c r="H70"/>
      <c r="I70" s="118"/>
      <c r="J70" s="108" t="e">
        <f ca="1">+(H70*I$3+I70-SUMIFS(BaseCompleta!$F:$F,BaseCompleta!$Q:$Q,'Emisor Consolidado'!G70,BaseCompleta!$B:$B,H$3,BaseCompleta!$J:$J,0)+SUMIFS(TransRF!$Q:$Q,TransRF!$T:$T,G70,TransRF!X:X,H$3)-SUMIFS(TransRF!$Q:$Q,TransRF!$T:$T,G70,TransRF!$R:$R,H$3)+SUMIFS(TransIF!$P:$P,TransIF!$U:$U,G70,TransIF!$R:$R,H$3)-SUMIFS(TransIF!$P:$P,TransIF!$U:$U,G70,TransIF!$Q:$Q,H$3))/(I$3+I$2)</f>
        <v>#N/A</v>
      </c>
      <c r="L70" s="3" t="s">
        <v>1362</v>
      </c>
      <c r="M70" s="108">
        <v>9.0299999999999994E-4</v>
      </c>
      <c r="N70" s="118"/>
      <c r="O70" s="108" t="e">
        <f ca="1">+(M70*N$3+N70-SUMIFS(BaseCompleta!$F:$F,BaseCompleta!$Q:$Q,'Emisor Consolidado'!L70,BaseCompleta!$B:$B,M$3,BaseCompleta!$J:$J,0)+SUMIFS(TransRF!$Q:$Q,TransRF!$T:$T,L70,TransRF!AC:AC,M$3)-SUMIFS(TransRF!$Q:$Q,TransRF!$T:$T,L70,TransRF!$R:$R,M$3)+SUMIFS(TransIF!$P:$P,TransIF!$U:$U,L70,TransIF!$R:$R,M$3)-SUMIFS(TransIF!$P:$P,TransIF!$U:$U,L70,TransIF!$Q:$Q,M$3))/(N$3+N$2)</f>
        <v>#N/A</v>
      </c>
      <c r="Q70" s="3" t="s">
        <v>918</v>
      </c>
      <c r="R70" s="108">
        <v>1.129E-3</v>
      </c>
      <c r="S70" s="118"/>
      <c r="T70" s="108" t="e">
        <f ca="1">+(R70*S$3+S70-SUMIFS(BaseCompleta!$F:$F,BaseCompleta!$Q:$Q,'Emisor Consolidado'!Q70,BaseCompleta!$B:$B,R$3,BaseCompleta!$J:$J,0)+SUMIFS(TransRF!$Q:$Q,TransRF!$T:$T,Q70,TransRF!AH:AH,R$3)-SUMIFS(TransRF!$Q:$Q,TransRF!$T:$T,Q70,TransRF!$R:$R,R$3)+SUMIFS(TransIF!$P:$P,TransIF!$U:$U,Q70,TransIF!$R:$R,R$3)-SUMIFS(TransIF!$P:$P,TransIF!$U:$U,Q70,TransIF!$Q:$Q,R$3))/(S$3+S$2)</f>
        <v>#N/A</v>
      </c>
    </row>
    <row r="71" spans="7:20">
      <c r="G71"/>
      <c r="H71"/>
      <c r="L71" s="3" t="s">
        <v>2098</v>
      </c>
      <c r="M71" s="108">
        <v>8.9999999999999998E-4</v>
      </c>
      <c r="N71" s="118"/>
      <c r="O71" s="108" t="e">
        <f ca="1">+(M71*N$3+N71-SUMIFS(BaseCompleta!$F:$F,BaseCompleta!$Q:$Q,'Emisor Consolidado'!L71,BaseCompleta!$B:$B,M$3,BaseCompleta!$J:$J,0)+SUMIFS(TransRF!$Q:$Q,TransRF!$T:$T,L71,TransRF!AC:AC,M$3)-SUMIFS(TransRF!$Q:$Q,TransRF!$T:$T,L71,TransRF!$R:$R,M$3)+SUMIFS(TransIF!$P:$P,TransIF!$U:$U,L71,TransIF!$R:$R,M$3)-SUMIFS(TransIF!$P:$P,TransIF!$U:$U,L71,TransIF!$Q:$Q,M$3))/(N$3+N$2)</f>
        <v>#N/A</v>
      </c>
      <c r="Q71" s="3" t="s">
        <v>466</v>
      </c>
      <c r="R71" s="108">
        <v>1.1169999999999999E-3</v>
      </c>
      <c r="S71" s="118"/>
      <c r="T71" s="108" t="e">
        <f ca="1">+(R71*S$3+S71-SUMIFS(BaseCompleta!$F:$F,BaseCompleta!$Q:$Q,'Emisor Consolidado'!Q71,BaseCompleta!$B:$B,R$3,BaseCompleta!$J:$J,0)+SUMIFS(TransRF!$Q:$Q,TransRF!$T:$T,Q71,TransRF!AH:AH,R$3)-SUMIFS(TransRF!$Q:$Q,TransRF!$T:$T,Q71,TransRF!$R:$R,R$3)+SUMIFS(TransIF!$P:$P,TransIF!$U:$U,Q71,TransIF!$R:$R,R$3)-SUMIFS(TransIF!$P:$P,TransIF!$U:$U,Q71,TransIF!$Q:$Q,R$3))/(S$3+S$2)</f>
        <v>#N/A</v>
      </c>
    </row>
    <row r="72" spans="7:20">
      <c r="G72"/>
      <c r="H72"/>
      <c r="L72" s="3" t="s">
        <v>1231</v>
      </c>
      <c r="M72" s="108">
        <v>8.9900000000000006E-4</v>
      </c>
      <c r="N72" s="118"/>
      <c r="O72" s="108" t="e">
        <f ca="1">+(M72*N$3+N72-SUMIFS(BaseCompleta!$F:$F,BaseCompleta!$Q:$Q,'Emisor Consolidado'!L72,BaseCompleta!$B:$B,M$3,BaseCompleta!$J:$J,0)+SUMIFS(TransRF!$Q:$Q,TransRF!$T:$T,L72,TransRF!AC:AC,M$3)-SUMIFS(TransRF!$Q:$Q,TransRF!$T:$T,L72,TransRF!$R:$R,M$3)+SUMIFS(TransIF!$P:$P,TransIF!$U:$U,L72,TransIF!$R:$R,M$3)-SUMIFS(TransIF!$P:$P,TransIF!$U:$U,L72,TransIF!$Q:$Q,M$3))/(N$3+N$2)</f>
        <v>#N/A</v>
      </c>
      <c r="Q72" s="3" t="s">
        <v>899</v>
      </c>
      <c r="R72" s="108">
        <v>1.0940000000000001E-3</v>
      </c>
      <c r="S72" s="118"/>
      <c r="T72" s="108" t="e">
        <f ca="1">+(R72*S$3+S72-SUMIFS(BaseCompleta!$F:$F,BaseCompleta!$Q:$Q,'Emisor Consolidado'!Q72,BaseCompleta!$B:$B,R$3,BaseCompleta!$J:$J,0)+SUMIFS(TransRF!$Q:$Q,TransRF!$T:$T,Q72,TransRF!AH:AH,R$3)-SUMIFS(TransRF!$Q:$Q,TransRF!$T:$T,Q72,TransRF!$R:$R,R$3)+SUMIFS(TransIF!$P:$P,TransIF!$U:$U,Q72,TransIF!$R:$R,R$3)-SUMIFS(TransIF!$P:$P,TransIF!$U:$U,Q72,TransIF!$Q:$Q,R$3))/(S$3+S$2)</f>
        <v>#N/A</v>
      </c>
    </row>
    <row r="73" spans="7:20">
      <c r="G73"/>
      <c r="H73"/>
      <c r="L73" s="3" t="s">
        <v>1361</v>
      </c>
      <c r="M73" s="108">
        <v>8.5599999999999999E-4</v>
      </c>
      <c r="N73" s="118"/>
      <c r="O73" s="108" t="e">
        <f ca="1">+(M73*N$3+N73-SUMIFS(BaseCompleta!$F:$F,BaseCompleta!$Q:$Q,'Emisor Consolidado'!L73,BaseCompleta!$B:$B,M$3,BaseCompleta!$J:$J,0)+SUMIFS(TransRF!$Q:$Q,TransRF!$T:$T,L73,TransRF!AC:AC,M$3)-SUMIFS(TransRF!$Q:$Q,TransRF!$T:$T,L73,TransRF!$R:$R,M$3)+SUMIFS(TransIF!$P:$P,TransIF!$U:$U,L73,TransIF!$R:$R,M$3)-SUMIFS(TransIF!$P:$P,TransIF!$U:$U,L73,TransIF!$Q:$Q,M$3))/(N$3+N$2)</f>
        <v>#N/A</v>
      </c>
      <c r="Q73" s="3" t="s">
        <v>1901</v>
      </c>
      <c r="R73" s="108">
        <v>1.0300000000000001E-3</v>
      </c>
      <c r="S73" s="118"/>
      <c r="T73" s="108" t="e">
        <f ca="1">+(R73*S$3+S73-SUMIFS(BaseCompleta!$F:$F,BaseCompleta!$Q:$Q,'Emisor Consolidado'!Q73,BaseCompleta!$B:$B,R$3,BaseCompleta!$J:$J,0)+SUMIFS(TransRF!$Q:$Q,TransRF!$T:$T,Q73,TransRF!AH:AH,R$3)-SUMIFS(TransRF!$Q:$Q,TransRF!$T:$T,Q73,TransRF!$R:$R,R$3)+SUMIFS(TransIF!$P:$P,TransIF!$U:$U,Q73,TransIF!$R:$R,R$3)-SUMIFS(TransIF!$P:$P,TransIF!$U:$U,Q73,TransIF!$Q:$Q,R$3))/(S$3+S$2)</f>
        <v>#N/A</v>
      </c>
    </row>
    <row r="74" spans="7:20">
      <c r="L74" s="3" t="s">
        <v>1069</v>
      </c>
      <c r="M74" s="108">
        <v>8.3500000000000002E-4</v>
      </c>
      <c r="N74" s="118"/>
      <c r="O74" s="108" t="e">
        <f ca="1">+(M74*N$3+N74-SUMIFS(BaseCompleta!$F:$F,BaseCompleta!$Q:$Q,'Emisor Consolidado'!L74,BaseCompleta!$B:$B,M$3,BaseCompleta!$J:$J,0)+SUMIFS(TransRF!$Q:$Q,TransRF!$T:$T,L74,TransRF!AC:AC,M$3)-SUMIFS(TransRF!$Q:$Q,TransRF!$T:$T,L74,TransRF!$R:$R,M$3)+SUMIFS(TransIF!$P:$P,TransIF!$U:$U,L74,TransIF!$R:$R,M$3)-SUMIFS(TransIF!$P:$P,TransIF!$U:$U,L74,TransIF!$Q:$Q,M$3))/(N$3+N$2)</f>
        <v>#N/A</v>
      </c>
      <c r="Q74" s="3" t="s">
        <v>714</v>
      </c>
      <c r="R74" s="108">
        <v>9.7999999999999997E-4</v>
      </c>
      <c r="S74" s="118"/>
      <c r="T74" s="108" t="e">
        <f ca="1">+(R74*S$3+S74-SUMIFS(BaseCompleta!$F:$F,BaseCompleta!$Q:$Q,'Emisor Consolidado'!Q74,BaseCompleta!$B:$B,R$3,BaseCompleta!$J:$J,0)+SUMIFS(TransRF!$Q:$Q,TransRF!$T:$T,Q74,TransRF!AH:AH,R$3)-SUMIFS(TransRF!$Q:$Q,TransRF!$T:$T,Q74,TransRF!$R:$R,R$3)+SUMIFS(TransIF!$P:$P,TransIF!$U:$U,Q74,TransIF!$R:$R,R$3)-SUMIFS(TransIF!$P:$P,TransIF!$U:$U,Q74,TransIF!$Q:$Q,R$3))/(S$3+S$2)</f>
        <v>#N/A</v>
      </c>
    </row>
    <row r="75" spans="7:20">
      <c r="L75" s="3" t="s">
        <v>2146</v>
      </c>
      <c r="M75" s="108">
        <v>8.2899999999999988E-4</v>
      </c>
      <c r="N75" s="118"/>
      <c r="O75" s="108" t="e">
        <f ca="1">+(M75*N$3+N75-SUMIFS(BaseCompleta!$F:$F,BaseCompleta!$Q:$Q,'Emisor Consolidado'!L75,BaseCompleta!$B:$B,M$3,BaseCompleta!$J:$J,0)+SUMIFS(TransRF!$Q:$Q,TransRF!$T:$T,L75,TransRF!AC:AC,M$3)-SUMIFS(TransRF!$Q:$Q,TransRF!$T:$T,L75,TransRF!$R:$R,M$3)+SUMIFS(TransIF!$P:$P,TransIF!$U:$U,L75,TransIF!$R:$R,M$3)-SUMIFS(TransIF!$P:$P,TransIF!$U:$U,L75,TransIF!$Q:$Q,M$3))/(N$3+N$2)</f>
        <v>#N/A</v>
      </c>
      <c r="Q75" s="3" t="s">
        <v>827</v>
      </c>
      <c r="R75" s="108">
        <v>9.5299999999999996E-4</v>
      </c>
      <c r="S75" s="118"/>
      <c r="T75" s="108" t="e">
        <f ca="1">+(R75*S$3+S75-SUMIFS(BaseCompleta!$F:$F,BaseCompleta!$Q:$Q,'Emisor Consolidado'!Q75,BaseCompleta!$B:$B,R$3,BaseCompleta!$J:$J,0)+SUMIFS(TransRF!$Q:$Q,TransRF!$T:$T,Q75,TransRF!AH:AH,R$3)-SUMIFS(TransRF!$Q:$Q,TransRF!$T:$T,Q75,TransRF!$R:$R,R$3)+SUMIFS(TransIF!$P:$P,TransIF!$U:$U,Q75,TransIF!$R:$R,R$3)-SUMIFS(TransIF!$P:$P,TransIF!$U:$U,Q75,TransIF!$Q:$Q,R$3))/(S$3+S$2)</f>
        <v>#N/A</v>
      </c>
    </row>
    <row r="76" spans="7:20">
      <c r="L76" s="3" t="s">
        <v>1384</v>
      </c>
      <c r="M76" s="108">
        <v>8.0900000000000004E-4</v>
      </c>
      <c r="N76" s="118"/>
      <c r="O76" s="108" t="e">
        <f ca="1">+(M76*N$3+N76-SUMIFS(BaseCompleta!$F:$F,BaseCompleta!$Q:$Q,'Emisor Consolidado'!L76,BaseCompleta!$B:$B,M$3,BaseCompleta!$J:$J,0)+SUMIFS(TransRF!$Q:$Q,TransRF!$T:$T,L76,TransRF!AC:AC,M$3)-SUMIFS(TransRF!$Q:$Q,TransRF!$T:$T,L76,TransRF!$R:$R,M$3)+SUMIFS(TransIF!$P:$P,TransIF!$U:$U,L76,TransIF!$R:$R,M$3)-SUMIFS(TransIF!$P:$P,TransIF!$U:$U,L76,TransIF!$Q:$Q,M$3))/(N$3+N$2)</f>
        <v>#N/A</v>
      </c>
      <c r="Q76" s="3" t="s">
        <v>1479</v>
      </c>
      <c r="R76" s="108">
        <v>8.8900000000000003E-4</v>
      </c>
      <c r="S76" s="118"/>
      <c r="T76" s="108" t="e">
        <f ca="1">+(R76*S$3+S76-SUMIFS(BaseCompleta!$F:$F,BaseCompleta!$Q:$Q,'Emisor Consolidado'!Q76,BaseCompleta!$B:$B,R$3,BaseCompleta!$J:$J,0)+SUMIFS(TransRF!$Q:$Q,TransRF!$T:$T,Q76,TransRF!AH:AH,R$3)-SUMIFS(TransRF!$Q:$Q,TransRF!$T:$T,Q76,TransRF!$R:$R,R$3)+SUMIFS(TransIF!$P:$P,TransIF!$U:$U,Q76,TransIF!$R:$R,R$3)-SUMIFS(TransIF!$P:$P,TransIF!$U:$U,Q76,TransIF!$Q:$Q,R$3))/(S$3+S$2)</f>
        <v>#N/A</v>
      </c>
    </row>
    <row r="77" spans="7:20">
      <c r="L77" s="3" t="s">
        <v>1354</v>
      </c>
      <c r="M77" s="108">
        <v>8.0099999999999995E-4</v>
      </c>
      <c r="N77" s="118"/>
      <c r="O77" s="108" t="e">
        <f ca="1">+(M77*N$3+N77-SUMIFS(BaseCompleta!$F:$F,BaseCompleta!$Q:$Q,'Emisor Consolidado'!L77,BaseCompleta!$B:$B,M$3,BaseCompleta!$J:$J,0)+SUMIFS(TransRF!$Q:$Q,TransRF!$T:$T,L77,TransRF!AC:AC,M$3)-SUMIFS(TransRF!$Q:$Q,TransRF!$T:$T,L77,TransRF!$R:$R,M$3)+SUMIFS(TransIF!$P:$P,TransIF!$U:$U,L77,TransIF!$R:$R,M$3)-SUMIFS(TransIF!$P:$P,TransIF!$U:$U,L77,TransIF!$Q:$Q,M$3))/(N$3+N$2)</f>
        <v>#N/A</v>
      </c>
      <c r="Q77" s="3" t="s">
        <v>1539</v>
      </c>
      <c r="R77" s="108">
        <v>8.5899999999999995E-4</v>
      </c>
      <c r="S77" s="118"/>
      <c r="T77" s="108" t="e">
        <f ca="1">+(R77*S$3+S77-SUMIFS(BaseCompleta!$F:$F,BaseCompleta!$Q:$Q,'Emisor Consolidado'!Q77,BaseCompleta!$B:$B,R$3,BaseCompleta!$J:$J,0)+SUMIFS(TransRF!$Q:$Q,TransRF!$T:$T,Q77,TransRF!AH:AH,R$3)-SUMIFS(TransRF!$Q:$Q,TransRF!$T:$T,Q77,TransRF!$R:$R,R$3)+SUMIFS(TransIF!$P:$P,TransIF!$U:$U,Q77,TransIF!$R:$R,R$3)-SUMIFS(TransIF!$P:$P,TransIF!$U:$U,Q77,TransIF!$Q:$Q,R$3))/(S$3+S$2)</f>
        <v>#N/A</v>
      </c>
    </row>
    <row r="78" spans="7:20">
      <c r="L78" s="3" t="s">
        <v>1370</v>
      </c>
      <c r="M78" s="108">
        <v>7.9699999999999997E-4</v>
      </c>
      <c r="N78" s="118"/>
      <c r="O78" s="108" t="e">
        <f ca="1">+(M78*N$3+N78-SUMIFS(BaseCompleta!$F:$F,BaseCompleta!$Q:$Q,'Emisor Consolidado'!L78,BaseCompleta!$B:$B,M$3,BaseCompleta!$J:$J,0)+SUMIFS(TransRF!$Q:$Q,TransRF!$T:$T,L78,TransRF!AC:AC,M$3)-SUMIFS(TransRF!$Q:$Q,TransRF!$T:$T,L78,TransRF!$R:$R,M$3)+SUMIFS(TransIF!$P:$P,TransIF!$U:$U,L78,TransIF!$R:$R,M$3)-SUMIFS(TransIF!$P:$P,TransIF!$U:$U,L78,TransIF!$Q:$Q,M$3))/(N$3+N$2)</f>
        <v>#N/A</v>
      </c>
      <c r="Q78" s="3" t="s">
        <v>1021</v>
      </c>
      <c r="R78" s="108">
        <v>8.5199999999999989E-4</v>
      </c>
      <c r="S78" s="118"/>
      <c r="T78" s="108" t="e">
        <f ca="1">+(R78*S$3+S78-SUMIFS(BaseCompleta!$F:$F,BaseCompleta!$Q:$Q,'Emisor Consolidado'!Q78,BaseCompleta!$B:$B,R$3,BaseCompleta!$J:$J,0)+SUMIFS(TransRF!$Q:$Q,TransRF!$T:$T,Q78,TransRF!AH:AH,R$3)-SUMIFS(TransRF!$Q:$Q,TransRF!$T:$T,Q78,TransRF!$R:$R,R$3)+SUMIFS(TransIF!$P:$P,TransIF!$U:$U,Q78,TransIF!$R:$R,R$3)-SUMIFS(TransIF!$P:$P,TransIF!$U:$U,Q78,TransIF!$Q:$Q,R$3))/(S$3+S$2)</f>
        <v>#N/A</v>
      </c>
    </row>
    <row r="79" spans="7:20">
      <c r="L79" s="3" t="s">
        <v>1379</v>
      </c>
      <c r="M79" s="108">
        <v>7.9000000000000001E-4</v>
      </c>
      <c r="N79" s="118"/>
      <c r="O79" s="108" t="e">
        <f ca="1">+(M79*N$3+N79-SUMIFS(BaseCompleta!$F:$F,BaseCompleta!$Q:$Q,'Emisor Consolidado'!L79,BaseCompleta!$B:$B,M$3,BaseCompleta!$J:$J,0)+SUMIFS(TransRF!$Q:$Q,TransRF!$T:$T,L79,TransRF!AC:AC,M$3)-SUMIFS(TransRF!$Q:$Q,TransRF!$T:$T,L79,TransRF!$R:$R,M$3)+SUMIFS(TransIF!$P:$P,TransIF!$U:$U,L79,TransIF!$R:$R,M$3)-SUMIFS(TransIF!$P:$P,TransIF!$U:$U,L79,TransIF!$Q:$Q,M$3))/(N$3+N$2)</f>
        <v>#N/A</v>
      </c>
      <c r="Q79" s="3" t="s">
        <v>1006</v>
      </c>
      <c r="R79" s="108">
        <v>8.0199999999999998E-4</v>
      </c>
      <c r="S79" s="118"/>
      <c r="T79" s="108" t="e">
        <f ca="1">+(R79*S$3+S79-SUMIFS(BaseCompleta!$F:$F,BaseCompleta!$Q:$Q,'Emisor Consolidado'!Q79,BaseCompleta!$B:$B,R$3,BaseCompleta!$J:$J,0)+SUMIFS(TransRF!$Q:$Q,TransRF!$T:$T,Q79,TransRF!AH:AH,R$3)-SUMIFS(TransRF!$Q:$Q,TransRF!$T:$T,Q79,TransRF!$R:$R,R$3)+SUMIFS(TransIF!$P:$P,TransIF!$U:$U,Q79,TransIF!$R:$R,R$3)-SUMIFS(TransIF!$P:$P,TransIF!$U:$U,Q79,TransIF!$Q:$Q,R$3))/(S$3+S$2)</f>
        <v>#N/A</v>
      </c>
    </row>
    <row r="80" spans="7:20">
      <c r="L80" s="3" t="s">
        <v>1365</v>
      </c>
      <c r="M80" s="108">
        <v>7.5799999999999999E-4</v>
      </c>
      <c r="N80" s="118"/>
      <c r="O80" s="108" t="e">
        <f ca="1">+(M80*N$3+N80-SUMIFS(BaseCompleta!$F:$F,BaseCompleta!$Q:$Q,'Emisor Consolidado'!L80,BaseCompleta!$B:$B,M$3,BaseCompleta!$J:$J,0)+SUMIFS(TransRF!$Q:$Q,TransRF!$T:$T,L80,TransRF!AC:AC,M$3)-SUMIFS(TransRF!$Q:$Q,TransRF!$T:$T,L80,TransRF!$R:$R,M$3)+SUMIFS(TransIF!$P:$P,TransIF!$U:$U,L80,TransIF!$R:$R,M$3)-SUMIFS(TransIF!$P:$P,TransIF!$U:$U,L80,TransIF!$Q:$Q,M$3))/(N$3+N$2)</f>
        <v>#N/A</v>
      </c>
      <c r="Q80" s="3" t="s">
        <v>861</v>
      </c>
      <c r="R80" s="108">
        <v>7.5799999999999999E-4</v>
      </c>
      <c r="S80" s="118"/>
      <c r="T80" s="108" t="e">
        <f ca="1">+(R80*S$3+S80-SUMIFS(BaseCompleta!$F:$F,BaseCompleta!$Q:$Q,'Emisor Consolidado'!Q80,BaseCompleta!$B:$B,R$3,BaseCompleta!$J:$J,0)+SUMIFS(TransRF!$Q:$Q,TransRF!$T:$T,Q80,TransRF!AH:AH,R$3)-SUMIFS(TransRF!$Q:$Q,TransRF!$T:$T,Q80,TransRF!$R:$R,R$3)+SUMIFS(TransIF!$P:$P,TransIF!$U:$U,Q80,TransIF!$R:$R,R$3)-SUMIFS(TransIF!$P:$P,TransIF!$U:$U,Q80,TransIF!$Q:$Q,R$3))/(S$3+S$2)</f>
        <v>#N/A</v>
      </c>
    </row>
    <row r="81" spans="12:20">
      <c r="L81" s="3" t="s">
        <v>1782</v>
      </c>
      <c r="M81" s="108">
        <v>7.4899999999999999E-4</v>
      </c>
      <c r="N81" s="118"/>
      <c r="O81" s="108" t="e">
        <f ca="1">+(M81*N$3+N81-SUMIFS(BaseCompleta!$F:$F,BaseCompleta!$Q:$Q,'Emisor Consolidado'!L81,BaseCompleta!$B:$B,M$3,BaseCompleta!$J:$J,0)+SUMIFS(TransRF!$Q:$Q,TransRF!$T:$T,L81,TransRF!AC:AC,M$3)-SUMIFS(TransRF!$Q:$Q,TransRF!$T:$T,L81,TransRF!$R:$R,M$3)+SUMIFS(TransIF!$P:$P,TransIF!$U:$U,L81,TransIF!$R:$R,M$3)-SUMIFS(TransIF!$P:$P,TransIF!$U:$U,L81,TransIF!$Q:$Q,M$3))/(N$3+N$2)</f>
        <v>#N/A</v>
      </c>
      <c r="Q81" s="3" t="s">
        <v>1550</v>
      </c>
      <c r="R81" s="108">
        <v>7.2599999999999997E-4</v>
      </c>
      <c r="S81" s="118"/>
      <c r="T81" s="108" t="e">
        <f ca="1">+(R81*S$3+S81-SUMIFS(BaseCompleta!$F:$F,BaseCompleta!$Q:$Q,'Emisor Consolidado'!Q81,BaseCompleta!$B:$B,R$3,BaseCompleta!$J:$J,0)+SUMIFS(TransRF!$Q:$Q,TransRF!$T:$T,Q81,TransRF!AH:AH,R$3)-SUMIFS(TransRF!$Q:$Q,TransRF!$T:$T,Q81,TransRF!$R:$R,R$3)+SUMIFS(TransIF!$P:$P,TransIF!$U:$U,Q81,TransIF!$R:$R,R$3)-SUMIFS(TransIF!$P:$P,TransIF!$U:$U,Q81,TransIF!$Q:$Q,R$3))/(S$3+S$2)</f>
        <v>#N/A</v>
      </c>
    </row>
    <row r="82" spans="12:20">
      <c r="L82" s="3" t="s">
        <v>1359</v>
      </c>
      <c r="M82" s="108">
        <v>7.4100000000000001E-4</v>
      </c>
      <c r="N82" s="118"/>
      <c r="O82" s="108" t="e">
        <f ca="1">+(M82*N$3+N82-SUMIFS(BaseCompleta!$F:$F,BaseCompleta!$Q:$Q,'Emisor Consolidado'!L82,BaseCompleta!$B:$B,M$3,BaseCompleta!$J:$J,0)+SUMIFS(TransRF!$Q:$Q,TransRF!$T:$T,L82,TransRF!AC:AC,M$3)-SUMIFS(TransRF!$Q:$Q,TransRF!$T:$T,L82,TransRF!$R:$R,M$3)+SUMIFS(TransIF!$P:$P,TransIF!$U:$U,L82,TransIF!$R:$R,M$3)-SUMIFS(TransIF!$P:$P,TransIF!$U:$U,L82,TransIF!$Q:$Q,M$3))/(N$3+N$2)</f>
        <v>#N/A</v>
      </c>
      <c r="Q82" s="3" t="s">
        <v>75</v>
      </c>
      <c r="R82" s="108">
        <v>6.11E-4</v>
      </c>
      <c r="S82" s="118"/>
      <c r="T82" s="108" t="e">
        <f ca="1">+(R82*S$3+S82-SUMIFS(BaseCompleta!$F:$F,BaseCompleta!$Q:$Q,'Emisor Consolidado'!Q82,BaseCompleta!$B:$B,R$3,BaseCompleta!$J:$J,0)+SUMIFS(TransRF!$Q:$Q,TransRF!$T:$T,Q82,TransRF!AH:AH,R$3)-SUMIFS(TransRF!$Q:$Q,TransRF!$T:$T,Q82,TransRF!$R:$R,R$3)+SUMIFS(TransIF!$P:$P,TransIF!$U:$U,Q82,TransIF!$R:$R,R$3)-SUMIFS(TransIF!$P:$P,TransIF!$U:$U,Q82,TransIF!$Q:$Q,R$3))/(S$3+S$2)</f>
        <v>#N/A</v>
      </c>
    </row>
    <row r="83" spans="12:20">
      <c r="L83" s="3" t="s">
        <v>845</v>
      </c>
      <c r="M83" s="108">
        <v>7.3700000000000002E-4</v>
      </c>
      <c r="N83" s="118"/>
      <c r="O83" s="108" t="e">
        <f ca="1">+(M83*N$3+N83-SUMIFS(BaseCompleta!$F:$F,BaseCompleta!$Q:$Q,'Emisor Consolidado'!L83,BaseCompleta!$B:$B,M$3,BaseCompleta!$J:$J,0)+SUMIFS(TransRF!$Q:$Q,TransRF!$T:$T,L83,TransRF!AC:AC,M$3)-SUMIFS(TransRF!$Q:$Q,TransRF!$T:$T,L83,TransRF!$R:$R,M$3)+SUMIFS(TransIF!$P:$P,TransIF!$U:$U,L83,TransIF!$R:$R,M$3)-SUMIFS(TransIF!$P:$P,TransIF!$U:$U,L83,TransIF!$Q:$Q,M$3))/(N$3+N$2)</f>
        <v>#N/A</v>
      </c>
      <c r="Q83" s="3" t="s">
        <v>1262</v>
      </c>
      <c r="R83" s="108">
        <v>5.8500000000000002E-4</v>
      </c>
      <c r="S83" s="118"/>
      <c r="T83" s="108" t="e">
        <f ca="1">+(R83*S$3+S83-SUMIFS(BaseCompleta!$F:$F,BaseCompleta!$Q:$Q,'Emisor Consolidado'!Q83,BaseCompleta!$B:$B,R$3,BaseCompleta!$J:$J,0)+SUMIFS(TransRF!$Q:$Q,TransRF!$T:$T,Q83,TransRF!AH:AH,R$3)-SUMIFS(TransRF!$Q:$Q,TransRF!$T:$T,Q83,TransRF!$R:$R,R$3)+SUMIFS(TransIF!$P:$P,TransIF!$U:$U,Q83,TransIF!$R:$R,R$3)-SUMIFS(TransIF!$P:$P,TransIF!$U:$U,Q83,TransIF!$Q:$Q,R$3))/(S$3+S$2)</f>
        <v>#N/A</v>
      </c>
    </row>
    <row r="84" spans="12:20">
      <c r="L84" s="3" t="s">
        <v>1722</v>
      </c>
      <c r="M84" s="108">
        <v>7.3599999999999989E-4</v>
      </c>
      <c r="N84" s="118"/>
      <c r="O84" s="108" t="e">
        <f ca="1">+(M84*N$3+N84-SUMIFS(BaseCompleta!$F:$F,BaseCompleta!$Q:$Q,'Emisor Consolidado'!L84,BaseCompleta!$B:$B,M$3,BaseCompleta!$J:$J,0)+SUMIFS(TransRF!$Q:$Q,TransRF!$T:$T,L84,TransRF!AC:AC,M$3)-SUMIFS(TransRF!$Q:$Q,TransRF!$T:$T,L84,TransRF!$R:$R,M$3)+SUMIFS(TransIF!$P:$P,TransIF!$U:$U,L84,TransIF!$R:$R,M$3)-SUMIFS(TransIF!$P:$P,TransIF!$U:$U,L84,TransIF!$Q:$Q,M$3))/(N$3+N$2)</f>
        <v>#N/A</v>
      </c>
      <c r="Q84" s="3" t="s">
        <v>1582</v>
      </c>
      <c r="R84" s="108">
        <v>5.2999999999999998E-4</v>
      </c>
      <c r="S84" s="118"/>
      <c r="T84" s="108" t="e">
        <f ca="1">+(R84*S$3+S84-SUMIFS(BaseCompleta!$F:$F,BaseCompleta!$Q:$Q,'Emisor Consolidado'!Q84,BaseCompleta!$B:$B,R$3,BaseCompleta!$J:$J,0)+SUMIFS(TransRF!$Q:$Q,TransRF!$T:$T,Q84,TransRF!AH:AH,R$3)-SUMIFS(TransRF!$Q:$Q,TransRF!$T:$T,Q84,TransRF!$R:$R,R$3)+SUMIFS(TransIF!$P:$P,TransIF!$U:$U,Q84,TransIF!$R:$R,R$3)-SUMIFS(TransIF!$P:$P,TransIF!$U:$U,Q84,TransIF!$Q:$Q,R$3))/(S$3+S$2)</f>
        <v>#N/A</v>
      </c>
    </row>
    <row r="85" spans="12:20">
      <c r="L85" s="3" t="s">
        <v>1692</v>
      </c>
      <c r="M85" s="108">
        <v>7.3300000000000004E-4</v>
      </c>
      <c r="N85" s="118"/>
      <c r="O85" s="108" t="e">
        <f ca="1">+(M85*N$3+N85-SUMIFS(BaseCompleta!$F:$F,BaseCompleta!$Q:$Q,'Emisor Consolidado'!L85,BaseCompleta!$B:$B,M$3,BaseCompleta!$J:$J,0)+SUMIFS(TransRF!$Q:$Q,TransRF!$T:$T,L85,TransRF!AC:AC,M$3)-SUMIFS(TransRF!$Q:$Q,TransRF!$T:$T,L85,TransRF!$R:$R,M$3)+SUMIFS(TransIF!$P:$P,TransIF!$U:$U,L85,TransIF!$R:$R,M$3)-SUMIFS(TransIF!$P:$P,TransIF!$U:$U,L85,TransIF!$Q:$Q,M$3))/(N$3+N$2)</f>
        <v>#N/A</v>
      </c>
      <c r="Q85" s="3" t="s">
        <v>1251</v>
      </c>
      <c r="R85" s="108">
        <v>4.8099999999999998E-4</v>
      </c>
      <c r="S85" s="118"/>
      <c r="T85" s="108" t="e">
        <f ca="1">+(R85*S$3+S85-SUMIFS(BaseCompleta!$F:$F,BaseCompleta!$Q:$Q,'Emisor Consolidado'!Q85,BaseCompleta!$B:$B,R$3,BaseCompleta!$J:$J,0)+SUMIFS(TransRF!$Q:$Q,TransRF!$T:$T,Q85,TransRF!AH:AH,R$3)-SUMIFS(TransRF!$Q:$Q,TransRF!$T:$T,Q85,TransRF!$R:$R,R$3)+SUMIFS(TransIF!$P:$P,TransIF!$U:$U,Q85,TransIF!$R:$R,R$3)-SUMIFS(TransIF!$P:$P,TransIF!$U:$U,Q85,TransIF!$Q:$Q,R$3))/(S$3+S$2)</f>
        <v>#N/A</v>
      </c>
    </row>
    <row r="86" spans="12:20">
      <c r="L86" s="3" t="s">
        <v>1031</v>
      </c>
      <c r="M86" s="108">
        <v>7.2599999999999997E-4</v>
      </c>
      <c r="N86" s="118"/>
      <c r="O86" s="108" t="e">
        <f ca="1">+(M86*N$3+N86-SUMIFS(BaseCompleta!$F:$F,BaseCompleta!$Q:$Q,'Emisor Consolidado'!L86,BaseCompleta!$B:$B,M$3,BaseCompleta!$J:$J,0)+SUMIFS(TransRF!$Q:$Q,TransRF!$T:$T,L86,TransRF!AC:AC,M$3)-SUMIFS(TransRF!$Q:$Q,TransRF!$T:$T,L86,TransRF!$R:$R,M$3)+SUMIFS(TransIF!$P:$P,TransIF!$U:$U,L86,TransIF!$R:$R,M$3)-SUMIFS(TransIF!$P:$P,TransIF!$U:$U,L86,TransIF!$Q:$Q,M$3))/(N$3+N$2)</f>
        <v>#N/A</v>
      </c>
      <c r="Q86" s="3" t="s">
        <v>856</v>
      </c>
      <c r="R86" s="108">
        <v>4.5899999999999999E-4</v>
      </c>
      <c r="S86" s="118"/>
      <c r="T86" s="108" t="e">
        <f ca="1">+(R86*S$3+S86-SUMIFS(BaseCompleta!$F:$F,BaseCompleta!$Q:$Q,'Emisor Consolidado'!Q86,BaseCompleta!$B:$B,R$3,BaseCompleta!$J:$J,0)+SUMIFS(TransRF!$Q:$Q,TransRF!$T:$T,Q86,TransRF!AH:AH,R$3)-SUMIFS(TransRF!$Q:$Q,TransRF!$T:$T,Q86,TransRF!$R:$R,R$3)+SUMIFS(TransIF!$P:$P,TransIF!$U:$U,Q86,TransIF!$R:$R,R$3)-SUMIFS(TransIF!$P:$P,TransIF!$U:$U,Q86,TransIF!$Q:$Q,R$3))/(S$3+S$2)</f>
        <v>#N/A</v>
      </c>
    </row>
    <row r="87" spans="12:20">
      <c r="L87" s="3" t="s">
        <v>1373</v>
      </c>
      <c r="M87" s="108">
        <v>7.2199999999999999E-4</v>
      </c>
      <c r="N87" s="118"/>
      <c r="O87" s="108" t="e">
        <f ca="1">+(M87*N$3+N87-SUMIFS(BaseCompleta!$F:$F,BaseCompleta!$Q:$Q,'Emisor Consolidado'!L87,BaseCompleta!$B:$B,M$3,BaseCompleta!$J:$J,0)+SUMIFS(TransRF!$Q:$Q,TransRF!$T:$T,L87,TransRF!AC:AC,M$3)-SUMIFS(TransRF!$Q:$Q,TransRF!$T:$T,L87,TransRF!$R:$R,M$3)+SUMIFS(TransIF!$P:$P,TransIF!$U:$U,L87,TransIF!$R:$R,M$3)-SUMIFS(TransIF!$P:$P,TransIF!$U:$U,L87,TransIF!$Q:$Q,M$3))/(N$3+N$2)</f>
        <v>#N/A</v>
      </c>
      <c r="Q87" s="3" t="s">
        <v>1231</v>
      </c>
      <c r="R87" s="108">
        <v>4.2499999999999998E-4</v>
      </c>
      <c r="S87" s="118"/>
      <c r="T87" s="108" t="e">
        <f ca="1">+(R87*S$3+S87-SUMIFS(BaseCompleta!$F:$F,BaseCompleta!$Q:$Q,'Emisor Consolidado'!Q87,BaseCompleta!$B:$B,R$3,BaseCompleta!$J:$J,0)+SUMIFS(TransRF!$Q:$Q,TransRF!$T:$T,Q87,TransRF!AH:AH,R$3)-SUMIFS(TransRF!$Q:$Q,TransRF!$T:$T,Q87,TransRF!$R:$R,R$3)+SUMIFS(TransIF!$P:$P,TransIF!$U:$U,Q87,TransIF!$R:$R,R$3)-SUMIFS(TransIF!$P:$P,TransIF!$U:$U,Q87,TransIF!$Q:$Q,R$3))/(S$3+S$2)</f>
        <v>#N/A</v>
      </c>
    </row>
    <row r="88" spans="12:20">
      <c r="L88" s="3" t="s">
        <v>1360</v>
      </c>
      <c r="M88" s="108">
        <v>7.1699999999999997E-4</v>
      </c>
      <c r="N88" s="118"/>
      <c r="O88" s="108" t="e">
        <f ca="1">+(M88*N$3+N88-SUMIFS(BaseCompleta!$F:$F,BaseCompleta!$Q:$Q,'Emisor Consolidado'!L88,BaseCompleta!$B:$B,M$3,BaseCompleta!$J:$J,0)+SUMIFS(TransRF!$Q:$Q,TransRF!$T:$T,L88,TransRF!AC:AC,M$3)-SUMIFS(TransRF!$Q:$Q,TransRF!$T:$T,L88,TransRF!$R:$R,M$3)+SUMIFS(TransIF!$P:$P,TransIF!$U:$U,L88,TransIF!$R:$R,M$3)-SUMIFS(TransIF!$P:$P,TransIF!$U:$U,L88,TransIF!$Q:$Q,M$3))/(N$3+N$2)</f>
        <v>#N/A</v>
      </c>
      <c r="Q88" s="3" t="s">
        <v>71</v>
      </c>
      <c r="R88" s="108">
        <v>4.1199999999999999E-4</v>
      </c>
      <c r="S88" s="118"/>
      <c r="T88" s="108" t="e">
        <f ca="1">+(R88*S$3+S88-SUMIFS(BaseCompleta!$F:$F,BaseCompleta!$Q:$Q,'Emisor Consolidado'!Q88,BaseCompleta!$B:$B,R$3,BaseCompleta!$J:$J,0)+SUMIFS(TransRF!$Q:$Q,TransRF!$T:$T,Q88,TransRF!AH:AH,R$3)-SUMIFS(TransRF!$Q:$Q,TransRF!$T:$T,Q88,TransRF!$R:$R,R$3)+SUMIFS(TransIF!$P:$P,TransIF!$U:$U,Q88,TransIF!$R:$R,R$3)-SUMIFS(TransIF!$P:$P,TransIF!$U:$U,Q88,TransIF!$Q:$Q,R$3))/(S$3+S$2)</f>
        <v>#N/A</v>
      </c>
    </row>
    <row r="89" spans="12:20">
      <c r="L89" s="3" t="s">
        <v>795</v>
      </c>
      <c r="M89" s="108">
        <v>7.1699999999999997E-4</v>
      </c>
      <c r="N89" s="118"/>
      <c r="O89" s="108" t="e">
        <f ca="1">+(M89*N$3+N89-SUMIFS(BaseCompleta!$F:$F,BaseCompleta!$Q:$Q,'Emisor Consolidado'!L89,BaseCompleta!$B:$B,M$3,BaseCompleta!$J:$J,0)+SUMIFS(TransRF!$Q:$Q,TransRF!$T:$T,L89,TransRF!AC:AC,M$3)-SUMIFS(TransRF!$Q:$Q,TransRF!$T:$T,L89,TransRF!$R:$R,M$3)+SUMIFS(TransIF!$P:$P,TransIF!$U:$U,L89,TransIF!$R:$R,M$3)-SUMIFS(TransIF!$P:$P,TransIF!$U:$U,L89,TransIF!$Q:$Q,M$3))/(N$3+N$2)</f>
        <v>#N/A</v>
      </c>
      <c r="Q89" s="3" t="s">
        <v>766</v>
      </c>
      <c r="R89" s="108">
        <v>3.8400000000000001E-4</v>
      </c>
      <c r="S89" s="118"/>
      <c r="T89" s="108" t="e">
        <f ca="1">+(R89*S$3+S89-SUMIFS(BaseCompleta!$F:$F,BaseCompleta!$Q:$Q,'Emisor Consolidado'!Q89,BaseCompleta!$B:$B,R$3,BaseCompleta!$J:$J,0)+SUMIFS(TransRF!$Q:$Q,TransRF!$T:$T,Q89,TransRF!AH:AH,R$3)-SUMIFS(TransRF!$Q:$Q,TransRF!$T:$T,Q89,TransRF!$R:$R,R$3)+SUMIFS(TransIF!$P:$P,TransIF!$U:$U,Q89,TransIF!$R:$R,R$3)-SUMIFS(TransIF!$P:$P,TransIF!$U:$U,Q89,TransIF!$Q:$Q,R$3))/(S$3+S$2)</f>
        <v>#N/A</v>
      </c>
    </row>
    <row r="90" spans="12:20">
      <c r="L90" s="3" t="s">
        <v>1934</v>
      </c>
      <c r="M90" s="108">
        <v>6.9999999999999999E-4</v>
      </c>
      <c r="N90" s="118"/>
      <c r="O90" s="108" t="e">
        <f ca="1">+(M90*N$3+N90-SUMIFS(BaseCompleta!$F:$F,BaseCompleta!$Q:$Q,'Emisor Consolidado'!L90,BaseCompleta!$B:$B,M$3,BaseCompleta!$J:$J,0)+SUMIFS(TransRF!$Q:$Q,TransRF!$T:$T,L90,TransRF!AC:AC,M$3)-SUMIFS(TransRF!$Q:$Q,TransRF!$T:$T,L90,TransRF!$R:$R,M$3)+SUMIFS(TransIF!$P:$P,TransIF!$U:$U,L90,TransIF!$R:$R,M$3)-SUMIFS(TransIF!$P:$P,TransIF!$U:$U,L90,TransIF!$Q:$Q,M$3))/(N$3+N$2)</f>
        <v>#N/A</v>
      </c>
      <c r="Q90" s="3" t="s">
        <v>430</v>
      </c>
      <c r="R90" s="108">
        <v>3.8299999999999999E-4</v>
      </c>
      <c r="S90" s="118"/>
      <c r="T90" s="108" t="e">
        <f ca="1">+(R90*S$3+S90-SUMIFS(BaseCompleta!$F:$F,BaseCompleta!$Q:$Q,'Emisor Consolidado'!Q90,BaseCompleta!$B:$B,R$3,BaseCompleta!$J:$J,0)+SUMIFS(TransRF!$Q:$Q,TransRF!$T:$T,Q90,TransRF!AH:AH,R$3)-SUMIFS(TransRF!$Q:$Q,TransRF!$T:$T,Q90,TransRF!$R:$R,R$3)+SUMIFS(TransIF!$P:$P,TransIF!$U:$U,Q90,TransIF!$R:$R,R$3)-SUMIFS(TransIF!$P:$P,TransIF!$U:$U,Q90,TransIF!$Q:$Q,R$3))/(S$3+S$2)</f>
        <v>#N/A</v>
      </c>
    </row>
    <row r="91" spans="12:20">
      <c r="L91" s="3" t="s">
        <v>879</v>
      </c>
      <c r="M91" s="108">
        <v>6.9700000000000003E-4</v>
      </c>
      <c r="N91" s="118"/>
      <c r="O91" s="108" t="e">
        <f ca="1">+(M91*N$3+N91-SUMIFS(BaseCompleta!$F:$F,BaseCompleta!$Q:$Q,'Emisor Consolidado'!L91,BaseCompleta!$B:$B,M$3,BaseCompleta!$J:$J,0)+SUMIFS(TransRF!$Q:$Q,TransRF!$T:$T,L91,TransRF!AC:AC,M$3)-SUMIFS(TransRF!$Q:$Q,TransRF!$T:$T,L91,TransRF!$R:$R,M$3)+SUMIFS(TransIF!$P:$P,TransIF!$U:$U,L91,TransIF!$R:$R,M$3)-SUMIFS(TransIF!$P:$P,TransIF!$U:$U,L91,TransIF!$Q:$Q,M$3))/(N$3+N$2)</f>
        <v>#N/A</v>
      </c>
      <c r="Q91" s="3" t="s">
        <v>1069</v>
      </c>
      <c r="R91" s="108">
        <v>3.6000000000000002E-4</v>
      </c>
      <c r="S91" s="118"/>
      <c r="T91" s="108" t="e">
        <f ca="1">+(R91*S$3+S91-SUMIFS(BaseCompleta!$F:$F,BaseCompleta!$Q:$Q,'Emisor Consolidado'!Q91,BaseCompleta!$B:$B,R$3,BaseCompleta!$J:$J,0)+SUMIFS(TransRF!$Q:$Q,TransRF!$T:$T,Q91,TransRF!AH:AH,R$3)-SUMIFS(TransRF!$Q:$Q,TransRF!$T:$T,Q91,TransRF!$R:$R,R$3)+SUMIFS(TransIF!$P:$P,TransIF!$U:$U,Q91,TransIF!$R:$R,R$3)-SUMIFS(TransIF!$P:$P,TransIF!$U:$U,Q91,TransIF!$Q:$Q,R$3))/(S$3+S$2)</f>
        <v>#N/A</v>
      </c>
    </row>
    <row r="92" spans="12:20">
      <c r="L92" s="3" t="s">
        <v>1368</v>
      </c>
      <c r="M92" s="108">
        <v>6.6E-4</v>
      </c>
      <c r="N92" s="118"/>
      <c r="O92" s="108" t="e">
        <f ca="1">+(M92*N$3+N92-SUMIFS(BaseCompleta!$F:$F,BaseCompleta!$Q:$Q,'Emisor Consolidado'!L92,BaseCompleta!$B:$B,M$3,BaseCompleta!$J:$J,0)+SUMIFS(TransRF!$Q:$Q,TransRF!$T:$T,L92,TransRF!AC:AC,M$3)-SUMIFS(TransRF!$Q:$Q,TransRF!$T:$T,L92,TransRF!$R:$R,M$3)+SUMIFS(TransIF!$P:$P,TransIF!$U:$U,L92,TransIF!$R:$R,M$3)-SUMIFS(TransIF!$P:$P,TransIF!$U:$U,L92,TransIF!$Q:$Q,M$3))/(N$3+N$2)</f>
        <v>#N/A</v>
      </c>
      <c r="Q92" s="3" t="s">
        <v>845</v>
      </c>
      <c r="R92" s="108">
        <v>3.5500000000000001E-4</v>
      </c>
      <c r="S92" s="118"/>
      <c r="T92" s="108" t="e">
        <f ca="1">+(R92*S$3+S92-SUMIFS(BaseCompleta!$F:$F,BaseCompleta!$Q:$Q,'Emisor Consolidado'!Q92,BaseCompleta!$B:$B,R$3,BaseCompleta!$J:$J,0)+SUMIFS(TransRF!$Q:$Q,TransRF!$T:$T,Q92,TransRF!AH:AH,R$3)-SUMIFS(TransRF!$Q:$Q,TransRF!$T:$T,Q92,TransRF!$R:$R,R$3)+SUMIFS(TransIF!$P:$P,TransIF!$U:$U,Q92,TransIF!$R:$R,R$3)-SUMIFS(TransIF!$P:$P,TransIF!$U:$U,Q92,TransIF!$Q:$Q,R$3))/(S$3+S$2)</f>
        <v>#N/A</v>
      </c>
    </row>
    <row r="93" spans="12:20">
      <c r="L93" s="3" t="s">
        <v>1868</v>
      </c>
      <c r="M93" s="108">
        <v>6.5499999999999998E-4</v>
      </c>
      <c r="N93" s="118"/>
      <c r="O93" s="108" t="e">
        <f ca="1">+(M93*N$3+N93-SUMIFS(BaseCompleta!$F:$F,BaseCompleta!$Q:$Q,'Emisor Consolidado'!L93,BaseCompleta!$B:$B,M$3,BaseCompleta!$J:$J,0)+SUMIFS(TransRF!$Q:$Q,TransRF!$T:$T,L93,TransRF!AC:AC,M$3)-SUMIFS(TransRF!$Q:$Q,TransRF!$T:$T,L93,TransRF!$R:$R,M$3)+SUMIFS(TransIF!$P:$P,TransIF!$U:$U,L93,TransIF!$R:$R,M$3)-SUMIFS(TransIF!$P:$P,TransIF!$U:$U,L93,TransIF!$Q:$Q,M$3))/(N$3+N$2)</f>
        <v>#N/A</v>
      </c>
      <c r="Q93" s="3" t="s">
        <v>795</v>
      </c>
      <c r="R93" s="108">
        <v>3.39E-4</v>
      </c>
      <c r="S93" s="118"/>
      <c r="T93" s="108" t="e">
        <f ca="1">+(R93*S$3+S93-SUMIFS(BaseCompleta!$F:$F,BaseCompleta!$Q:$Q,'Emisor Consolidado'!Q93,BaseCompleta!$B:$B,R$3,BaseCompleta!$J:$J,0)+SUMIFS(TransRF!$Q:$Q,TransRF!$T:$T,Q93,TransRF!AH:AH,R$3)-SUMIFS(TransRF!$Q:$Q,TransRF!$T:$T,Q93,TransRF!$R:$R,R$3)+SUMIFS(TransIF!$P:$P,TransIF!$U:$U,Q93,TransIF!$R:$R,R$3)-SUMIFS(TransIF!$P:$P,TransIF!$U:$U,Q93,TransIF!$Q:$Q,R$3))/(S$3+S$2)</f>
        <v>#N/A</v>
      </c>
    </row>
    <row r="94" spans="12:20">
      <c r="L94" s="3" t="s">
        <v>1924</v>
      </c>
      <c r="M94" s="108">
        <v>6.4899999999999995E-4</v>
      </c>
      <c r="N94" s="118"/>
      <c r="O94" s="108" t="e">
        <f ca="1">+(M94*N$3+N94-SUMIFS(BaseCompleta!$F:$F,BaseCompleta!$Q:$Q,'Emisor Consolidado'!L94,BaseCompleta!$B:$B,M$3,BaseCompleta!$J:$J,0)+SUMIFS(TransRF!$Q:$Q,TransRF!$T:$T,L94,TransRF!AC:AC,M$3)-SUMIFS(TransRF!$Q:$Q,TransRF!$T:$T,L94,TransRF!$R:$R,M$3)+SUMIFS(TransIF!$P:$P,TransIF!$U:$U,L94,TransIF!$R:$R,M$3)-SUMIFS(TransIF!$P:$P,TransIF!$U:$U,L94,TransIF!$Q:$Q,M$3))/(N$3+N$2)</f>
        <v>#N/A</v>
      </c>
      <c r="Q94" s="3" t="s">
        <v>879</v>
      </c>
      <c r="R94" s="108">
        <v>3.2899999999999997E-4</v>
      </c>
      <c r="S94" s="118"/>
      <c r="T94" s="108" t="e">
        <f ca="1">+(R94*S$3+S94-SUMIFS(BaseCompleta!$F:$F,BaseCompleta!$Q:$Q,'Emisor Consolidado'!Q94,BaseCompleta!$B:$B,R$3,BaseCompleta!$J:$J,0)+SUMIFS(TransRF!$Q:$Q,TransRF!$T:$T,Q94,TransRF!AH:AH,R$3)-SUMIFS(TransRF!$Q:$Q,TransRF!$T:$T,Q94,TransRF!$R:$R,R$3)+SUMIFS(TransIF!$P:$P,TransIF!$U:$U,Q94,TransIF!$R:$R,R$3)-SUMIFS(TransIF!$P:$P,TransIF!$U:$U,Q94,TransIF!$Q:$Q,R$3))/(S$3+S$2)</f>
        <v>#N/A</v>
      </c>
    </row>
    <row r="95" spans="12:20">
      <c r="L95" s="3" t="s">
        <v>1953</v>
      </c>
      <c r="M95" s="108">
        <v>6.2799999999999998E-4</v>
      </c>
      <c r="N95" s="118"/>
      <c r="O95" s="108" t="e">
        <f ca="1">+(M95*N$3+N95-SUMIFS(BaseCompleta!$F:$F,BaseCompleta!$Q:$Q,'Emisor Consolidado'!L95,BaseCompleta!$B:$B,M$3,BaseCompleta!$J:$J,0)+SUMIFS(TransRF!$Q:$Q,TransRF!$T:$T,L95,TransRF!AC:AC,M$3)-SUMIFS(TransRF!$Q:$Q,TransRF!$T:$T,L95,TransRF!$R:$R,M$3)+SUMIFS(TransIF!$P:$P,TransIF!$U:$U,L95,TransIF!$R:$R,M$3)-SUMIFS(TransIF!$P:$P,TransIF!$U:$U,L95,TransIF!$Q:$Q,M$3))/(N$3+N$2)</f>
        <v>#N/A</v>
      </c>
      <c r="Q95" s="3" t="s">
        <v>1924</v>
      </c>
      <c r="R95" s="108">
        <v>3.0699999999999998E-4</v>
      </c>
      <c r="S95" s="118"/>
      <c r="T95" s="108" t="e">
        <f ca="1">+(R95*S$3+S95-SUMIFS(BaseCompleta!$F:$F,BaseCompleta!$Q:$Q,'Emisor Consolidado'!Q95,BaseCompleta!$B:$B,R$3,BaseCompleta!$J:$J,0)+SUMIFS(TransRF!$Q:$Q,TransRF!$T:$T,Q95,TransRF!AH:AH,R$3)-SUMIFS(TransRF!$Q:$Q,TransRF!$T:$T,Q95,TransRF!$R:$R,R$3)+SUMIFS(TransIF!$P:$P,TransIF!$U:$U,Q95,TransIF!$R:$R,R$3)-SUMIFS(TransIF!$P:$P,TransIF!$U:$U,Q95,TransIF!$Q:$Q,R$3))/(S$3+S$2)</f>
        <v>#N/A</v>
      </c>
    </row>
    <row r="96" spans="12:20">
      <c r="L96" s="3" t="s">
        <v>1862</v>
      </c>
      <c r="M96" s="108">
        <v>6.2299999999999996E-4</v>
      </c>
      <c r="N96" s="118"/>
      <c r="O96" s="108" t="e">
        <f ca="1">+(M96*N$3+N96-SUMIFS(BaseCompleta!$F:$F,BaseCompleta!$Q:$Q,'Emisor Consolidado'!L96,BaseCompleta!$B:$B,M$3,BaseCompleta!$J:$J,0)+SUMIFS(TransRF!$Q:$Q,TransRF!$T:$T,L96,TransRF!AC:AC,M$3)-SUMIFS(TransRF!$Q:$Q,TransRF!$T:$T,L96,TransRF!$R:$R,M$3)+SUMIFS(TransIF!$P:$P,TransIF!$U:$U,L96,TransIF!$R:$R,M$3)-SUMIFS(TransIF!$P:$P,TransIF!$U:$U,L96,TransIF!$Q:$Q,M$3))/(N$3+N$2)</f>
        <v>#N/A</v>
      </c>
      <c r="Q96" s="3" t="s">
        <v>515</v>
      </c>
      <c r="R96" s="108">
        <v>2.8200000000000002E-4</v>
      </c>
      <c r="S96" s="118"/>
      <c r="T96" s="108" t="e">
        <f ca="1">+(R96*S$3+S96-SUMIFS(BaseCompleta!$F:$F,BaseCompleta!$Q:$Q,'Emisor Consolidado'!Q96,BaseCompleta!$B:$B,R$3,BaseCompleta!$J:$J,0)+SUMIFS(TransRF!$Q:$Q,TransRF!$T:$T,Q96,TransRF!AH:AH,R$3)-SUMIFS(TransRF!$Q:$Q,TransRF!$T:$T,Q96,TransRF!$R:$R,R$3)+SUMIFS(TransIF!$P:$P,TransIF!$U:$U,Q96,TransIF!$R:$R,R$3)-SUMIFS(TransIF!$P:$P,TransIF!$U:$U,Q96,TransIF!$Q:$Q,R$3))/(S$3+S$2)</f>
        <v>#N/A</v>
      </c>
    </row>
    <row r="97" spans="12:20">
      <c r="L97" s="3" t="s">
        <v>1663</v>
      </c>
      <c r="M97" s="108">
        <v>6.2100000000000002E-4</v>
      </c>
      <c r="N97" s="118"/>
      <c r="O97" s="108" t="e">
        <f ca="1">+(M97*N$3+N97-SUMIFS(BaseCompleta!$F:$F,BaseCompleta!$Q:$Q,'Emisor Consolidado'!L97,BaseCompleta!$B:$B,M$3,BaseCompleta!$J:$J,0)+SUMIFS(TransRF!$Q:$Q,TransRF!$T:$T,L97,TransRF!AC:AC,M$3)-SUMIFS(TransRF!$Q:$Q,TransRF!$T:$T,L97,TransRF!$R:$R,M$3)+SUMIFS(TransIF!$P:$P,TransIF!$U:$U,L97,TransIF!$R:$R,M$3)-SUMIFS(TransIF!$P:$P,TransIF!$U:$U,L97,TransIF!$Q:$Q,M$3))/(N$3+N$2)</f>
        <v>#N/A</v>
      </c>
      <c r="Q97" s="3" t="s">
        <v>893</v>
      </c>
      <c r="R97" s="108">
        <v>2.5700000000000001E-4</v>
      </c>
      <c r="S97" s="118"/>
      <c r="T97" s="108" t="e">
        <f ca="1">+(R97*S$3+S97-SUMIFS(BaseCompleta!$F:$F,BaseCompleta!$Q:$Q,'Emisor Consolidado'!Q97,BaseCompleta!$B:$B,R$3,BaseCompleta!$J:$J,0)+SUMIFS(TransRF!$Q:$Q,TransRF!$T:$T,Q97,TransRF!AH:AH,R$3)-SUMIFS(TransRF!$Q:$Q,TransRF!$T:$T,Q97,TransRF!$R:$R,R$3)+SUMIFS(TransIF!$P:$P,TransIF!$U:$U,Q97,TransIF!$R:$R,R$3)-SUMIFS(TransIF!$P:$P,TransIF!$U:$U,Q97,TransIF!$Q:$Q,R$3))/(S$3+S$2)</f>
        <v>#N/A</v>
      </c>
    </row>
    <row r="98" spans="12:20">
      <c r="L98" s="3" t="s">
        <v>86</v>
      </c>
      <c r="M98" s="108">
        <v>6.0499999999999996E-4</v>
      </c>
      <c r="N98" s="118"/>
      <c r="O98" s="108" t="e">
        <f ca="1">+(M98*N$3+N98-SUMIFS(BaseCompleta!$F:$F,BaseCompleta!$Q:$Q,'Emisor Consolidado'!L98,BaseCompleta!$B:$B,M$3,BaseCompleta!$J:$J,0)+SUMIFS(TransRF!$Q:$Q,TransRF!$T:$T,L98,TransRF!AC:AC,M$3)-SUMIFS(TransRF!$Q:$Q,TransRF!$T:$T,L98,TransRF!$R:$R,M$3)+SUMIFS(TransIF!$P:$P,TransIF!$U:$U,L98,TransIF!$R:$R,M$3)-SUMIFS(TransIF!$P:$P,TransIF!$U:$U,L98,TransIF!$Q:$Q,M$3))/(N$3+N$2)</f>
        <v>#N/A</v>
      </c>
      <c r="Q98" s="3" t="s">
        <v>65</v>
      </c>
      <c r="R98" s="108">
        <v>2.42E-4</v>
      </c>
      <c r="S98" s="118"/>
      <c r="T98" s="108" t="e">
        <f ca="1">+(R98*S$3+S98-SUMIFS(BaseCompleta!$F:$F,BaseCompleta!$Q:$Q,'Emisor Consolidado'!Q98,BaseCompleta!$B:$B,R$3,BaseCompleta!$J:$J,0)+SUMIFS(TransRF!$Q:$Q,TransRF!$T:$T,Q98,TransRF!AH:AH,R$3)-SUMIFS(TransRF!$Q:$Q,TransRF!$T:$T,Q98,TransRF!$R:$R,R$3)+SUMIFS(TransIF!$P:$P,TransIF!$U:$U,Q98,TransIF!$R:$R,R$3)-SUMIFS(TransIF!$P:$P,TransIF!$U:$U,Q98,TransIF!$Q:$Q,R$3))/(S$3+S$2)</f>
        <v>#N/A</v>
      </c>
    </row>
    <row r="99" spans="12:20">
      <c r="L99" s="3" t="s">
        <v>1787</v>
      </c>
      <c r="M99" s="108">
        <v>5.9599999999999996E-4</v>
      </c>
      <c r="N99" s="118"/>
      <c r="O99" s="108" t="e">
        <f ca="1">+(M99*N$3+N99-SUMIFS(BaseCompleta!$F:$F,BaseCompleta!$Q:$Q,'Emisor Consolidado'!L99,BaseCompleta!$B:$B,M$3,BaseCompleta!$J:$J,0)+SUMIFS(TransRF!$Q:$Q,TransRF!$T:$T,L99,TransRF!AC:AC,M$3)-SUMIFS(TransRF!$Q:$Q,TransRF!$T:$T,L99,TransRF!$R:$R,M$3)+SUMIFS(TransIF!$P:$P,TransIF!$U:$U,L99,TransIF!$R:$R,M$3)-SUMIFS(TransIF!$P:$P,TransIF!$U:$U,L99,TransIF!$Q:$Q,M$3))/(N$3+N$2)</f>
        <v>#N/A</v>
      </c>
      <c r="Q99" s="3" t="s">
        <v>544</v>
      </c>
      <c r="R99" s="108">
        <v>2.3699999999999999E-4</v>
      </c>
      <c r="S99" s="118"/>
      <c r="T99" s="108" t="e">
        <f ca="1">+(R99*S$3+S99-SUMIFS(BaseCompleta!$F:$F,BaseCompleta!$Q:$Q,'Emisor Consolidado'!Q99,BaseCompleta!$B:$B,R$3,BaseCompleta!$J:$J,0)+SUMIFS(TransRF!$Q:$Q,TransRF!$T:$T,Q99,TransRF!AH:AH,R$3)-SUMIFS(TransRF!$Q:$Q,TransRF!$T:$T,Q99,TransRF!$R:$R,R$3)+SUMIFS(TransIF!$P:$P,TransIF!$U:$U,Q99,TransIF!$R:$R,R$3)-SUMIFS(TransIF!$P:$P,TransIF!$U:$U,Q99,TransIF!$Q:$Q,R$3))/(S$3+S$2)</f>
        <v>#N/A</v>
      </c>
    </row>
    <row r="100" spans="12:20">
      <c r="L100" s="3" t="s">
        <v>1375</v>
      </c>
      <c r="M100" s="108">
        <v>5.9299999999999999E-4</v>
      </c>
      <c r="N100" s="118"/>
      <c r="O100" s="108" t="e">
        <f ca="1">+(M100*N$3+N100-SUMIFS(BaseCompleta!$F:$F,BaseCompleta!$Q:$Q,'Emisor Consolidado'!L100,BaseCompleta!$B:$B,M$3,BaseCompleta!$J:$J,0)+SUMIFS(TransRF!$Q:$Q,TransRF!$T:$T,L100,TransRF!AC:AC,M$3)-SUMIFS(TransRF!$Q:$Q,TransRF!$T:$T,L100,TransRF!$R:$R,M$3)+SUMIFS(TransIF!$P:$P,TransIF!$U:$U,L100,TransIF!$R:$R,M$3)-SUMIFS(TransIF!$P:$P,TransIF!$U:$U,L100,TransIF!$Q:$Q,M$3))/(N$3+N$2)</f>
        <v>#N/A</v>
      </c>
      <c r="Q100" s="3" t="s">
        <v>64</v>
      </c>
      <c r="R100" s="108">
        <v>2.34E-4</v>
      </c>
      <c r="S100" s="118"/>
      <c r="T100" s="108" t="e">
        <f ca="1">+(R100*S$3+S100-SUMIFS(BaseCompleta!$F:$F,BaseCompleta!$Q:$Q,'Emisor Consolidado'!Q100,BaseCompleta!$B:$B,R$3,BaseCompleta!$J:$J,0)+SUMIFS(TransRF!$Q:$Q,TransRF!$T:$T,Q100,TransRF!AH:AH,R$3)-SUMIFS(TransRF!$Q:$Q,TransRF!$T:$T,Q100,TransRF!$R:$R,R$3)+SUMIFS(TransIF!$P:$P,TransIF!$U:$U,Q100,TransIF!$R:$R,R$3)-SUMIFS(TransIF!$P:$P,TransIF!$U:$U,Q100,TransIF!$Q:$Q,R$3))/(S$3+S$2)</f>
        <v>#N/A</v>
      </c>
    </row>
    <row r="101" spans="12:20">
      <c r="L101" s="3" t="s">
        <v>685</v>
      </c>
      <c r="M101" s="108">
        <v>5.9199999999999997E-4</v>
      </c>
      <c r="N101" s="118"/>
      <c r="O101" s="108" t="e">
        <f ca="1">+(M101*N$3+N101-SUMIFS(BaseCompleta!$F:$F,BaseCompleta!$Q:$Q,'Emisor Consolidado'!L101,BaseCompleta!$B:$B,M$3,BaseCompleta!$J:$J,0)+SUMIFS(TransRF!$Q:$Q,TransRF!$T:$T,L101,TransRF!AC:AC,M$3)-SUMIFS(TransRF!$Q:$Q,TransRF!$T:$T,L101,TransRF!$R:$R,M$3)+SUMIFS(TransIF!$P:$P,TransIF!$U:$U,L101,TransIF!$R:$R,M$3)-SUMIFS(TransIF!$P:$P,TransIF!$U:$U,L101,TransIF!$Q:$Q,M$3))/(N$3+N$2)</f>
        <v>#N/A</v>
      </c>
      <c r="Q101" s="3" t="s">
        <v>63</v>
      </c>
      <c r="R101" s="108">
        <v>2.1800000000000001E-4</v>
      </c>
      <c r="S101" s="118"/>
      <c r="T101" s="108" t="e">
        <f ca="1">+(R101*S$3+S101-SUMIFS(BaseCompleta!$F:$F,BaseCompleta!$Q:$Q,'Emisor Consolidado'!Q101,BaseCompleta!$B:$B,R$3,BaseCompleta!$J:$J,0)+SUMIFS(TransRF!$Q:$Q,TransRF!$T:$T,Q101,TransRF!AH:AH,R$3)-SUMIFS(TransRF!$Q:$Q,TransRF!$T:$T,Q101,TransRF!$R:$R,R$3)+SUMIFS(TransIF!$P:$P,TransIF!$U:$U,Q101,TransIF!$R:$R,R$3)-SUMIFS(TransIF!$P:$P,TransIF!$U:$U,Q101,TransIF!$Q:$Q,R$3))/(S$3+S$2)</f>
        <v>#N/A</v>
      </c>
    </row>
    <row r="102" spans="12:20">
      <c r="L102" s="3" t="s">
        <v>1905</v>
      </c>
      <c r="M102" s="108">
        <v>5.9099999999999995E-4</v>
      </c>
      <c r="N102" s="118"/>
      <c r="O102" s="108" t="e">
        <f ca="1">+(M102*N$3+N102-SUMIFS(BaseCompleta!$F:$F,BaseCompleta!$Q:$Q,'Emisor Consolidado'!L102,BaseCompleta!$B:$B,M$3,BaseCompleta!$J:$J,0)+SUMIFS(TransRF!$Q:$Q,TransRF!$T:$T,L102,TransRF!AC:AC,M$3)-SUMIFS(TransRF!$Q:$Q,TransRF!$T:$T,L102,TransRF!$R:$R,M$3)+SUMIFS(TransIF!$P:$P,TransIF!$U:$U,L102,TransIF!$R:$R,M$3)-SUMIFS(TransIF!$P:$P,TransIF!$U:$U,L102,TransIF!$Q:$Q,M$3))/(N$3+N$2)</f>
        <v>#N/A</v>
      </c>
      <c r="Q102" s="3" t="s">
        <v>87</v>
      </c>
      <c r="R102" s="108">
        <v>1.8100000000000001E-4</v>
      </c>
      <c r="S102" s="118"/>
      <c r="T102" s="108" t="e">
        <f ca="1">+(R102*S$3+S102-SUMIFS(BaseCompleta!$F:$F,BaseCompleta!$Q:$Q,'Emisor Consolidado'!Q102,BaseCompleta!$B:$B,R$3,BaseCompleta!$J:$J,0)+SUMIFS(TransRF!$Q:$Q,TransRF!$T:$T,Q102,TransRF!AH:AH,R$3)-SUMIFS(TransRF!$Q:$Q,TransRF!$T:$T,Q102,TransRF!$R:$R,R$3)+SUMIFS(TransIF!$P:$P,TransIF!$U:$U,Q102,TransIF!$R:$R,R$3)-SUMIFS(TransIF!$P:$P,TransIF!$U:$U,Q102,TransIF!$Q:$Q,R$3))/(S$3+S$2)</f>
        <v>#N/A</v>
      </c>
    </row>
    <row r="103" spans="12:20">
      <c r="L103" s="3" t="s">
        <v>1357</v>
      </c>
      <c r="M103" s="108">
        <v>5.9000000000000003E-4</v>
      </c>
      <c r="N103" s="118"/>
      <c r="O103" s="108" t="e">
        <f ca="1">+(M103*N$3+N103-SUMIFS(BaseCompleta!$F:$F,BaseCompleta!$Q:$Q,'Emisor Consolidado'!L103,BaseCompleta!$B:$B,M$3,BaseCompleta!$J:$J,0)+SUMIFS(TransRF!$Q:$Q,TransRF!$T:$T,L103,TransRF!AC:AC,M$3)-SUMIFS(TransRF!$Q:$Q,TransRF!$T:$T,L103,TransRF!$R:$R,M$3)+SUMIFS(TransIF!$P:$P,TransIF!$U:$U,L103,TransIF!$R:$R,M$3)-SUMIFS(TransIF!$P:$P,TransIF!$U:$U,L103,TransIF!$Q:$Q,M$3))/(N$3+N$2)</f>
        <v>#N/A</v>
      </c>
      <c r="Q103" s="3" t="s">
        <v>1466</v>
      </c>
      <c r="R103" s="108">
        <v>1.4300000000000001E-4</v>
      </c>
      <c r="S103" s="118"/>
      <c r="T103" s="108" t="e">
        <f ca="1">+(R103*S$3+S103-SUMIFS(BaseCompleta!$F:$F,BaseCompleta!$Q:$Q,'Emisor Consolidado'!Q103,BaseCompleta!$B:$B,R$3,BaseCompleta!$J:$J,0)+SUMIFS(TransRF!$Q:$Q,TransRF!$T:$T,Q103,TransRF!AH:AH,R$3)-SUMIFS(TransRF!$Q:$Q,TransRF!$T:$T,Q103,TransRF!$R:$R,R$3)+SUMIFS(TransIF!$P:$P,TransIF!$U:$U,Q103,TransIF!$R:$R,R$3)-SUMIFS(TransIF!$P:$P,TransIF!$U:$U,Q103,TransIF!$Q:$Q,R$3))/(S$3+S$2)</f>
        <v>#N/A</v>
      </c>
    </row>
    <row r="104" spans="12:20">
      <c r="L104" s="3" t="s">
        <v>1477</v>
      </c>
      <c r="M104" s="108">
        <v>5.9000000000000003E-4</v>
      </c>
      <c r="N104" s="118"/>
      <c r="O104" s="108" t="e">
        <f ca="1">+(M104*N$3+N104-SUMIFS(BaseCompleta!$F:$F,BaseCompleta!$Q:$Q,'Emisor Consolidado'!L104,BaseCompleta!$B:$B,M$3,BaseCompleta!$J:$J,0)+SUMIFS(TransRF!$Q:$Q,TransRF!$T:$T,L104,TransRF!AC:AC,M$3)-SUMIFS(TransRF!$Q:$Q,TransRF!$T:$T,L104,TransRF!$R:$R,M$3)+SUMIFS(TransIF!$P:$P,TransIF!$U:$U,L104,TransIF!$R:$R,M$3)-SUMIFS(TransIF!$P:$P,TransIF!$U:$U,L104,TransIF!$Q:$Q,M$3))/(N$3+N$2)</f>
        <v>#N/A</v>
      </c>
      <c r="Q104" s="3" t="s">
        <v>940</v>
      </c>
      <c r="R104" s="108">
        <v>1.4300000000000001E-4</v>
      </c>
      <c r="S104" s="118"/>
      <c r="T104" s="108" t="e">
        <f ca="1">+(R104*S$3+S104-SUMIFS(BaseCompleta!$F:$F,BaseCompleta!$Q:$Q,'Emisor Consolidado'!Q104,BaseCompleta!$B:$B,R$3,BaseCompleta!$J:$J,0)+SUMIFS(TransRF!$Q:$Q,TransRF!$T:$T,Q104,TransRF!AH:AH,R$3)-SUMIFS(TransRF!$Q:$Q,TransRF!$T:$T,Q104,TransRF!$R:$R,R$3)+SUMIFS(TransIF!$P:$P,TransIF!$U:$U,Q104,TransIF!$R:$R,R$3)-SUMIFS(TransIF!$P:$P,TransIF!$U:$U,Q104,TransIF!$Q:$Q,R$3))/(S$3+S$2)</f>
        <v>#N/A</v>
      </c>
    </row>
    <row r="105" spans="12:20">
      <c r="L105" s="3" t="s">
        <v>1383</v>
      </c>
      <c r="M105" s="108">
        <v>5.6300000000000002E-4</v>
      </c>
      <c r="N105" s="118"/>
      <c r="O105" s="108" t="e">
        <f ca="1">+(M105*N$3+N105-SUMIFS(BaseCompleta!$F:$F,BaseCompleta!$Q:$Q,'Emisor Consolidado'!L105,BaseCompleta!$B:$B,M$3,BaseCompleta!$J:$J,0)+SUMIFS(TransRF!$Q:$Q,TransRF!$T:$T,L105,TransRF!AC:AC,M$3)-SUMIFS(TransRF!$Q:$Q,TransRF!$T:$T,L105,TransRF!$R:$R,M$3)+SUMIFS(TransIF!$P:$P,TransIF!$U:$U,L105,TransIF!$R:$R,M$3)-SUMIFS(TransIF!$P:$P,TransIF!$U:$U,L105,TransIF!$Q:$Q,M$3))/(N$3+N$2)</f>
        <v>#N/A</v>
      </c>
      <c r="Q105" s="3" t="s">
        <v>1258</v>
      </c>
      <c r="R105" s="108">
        <v>1.35E-4</v>
      </c>
      <c r="S105" s="118"/>
      <c r="T105" s="108" t="e">
        <f ca="1">+(R105*S$3+S105-SUMIFS(BaseCompleta!$F:$F,BaseCompleta!$Q:$Q,'Emisor Consolidado'!Q105,BaseCompleta!$B:$B,R$3,BaseCompleta!$J:$J,0)+SUMIFS(TransRF!$Q:$Q,TransRF!$T:$T,Q105,TransRF!AH:AH,R$3)-SUMIFS(TransRF!$Q:$Q,TransRF!$T:$T,Q105,TransRF!$R:$R,R$3)+SUMIFS(TransIF!$P:$P,TransIF!$U:$U,Q105,TransIF!$R:$R,R$3)-SUMIFS(TransIF!$P:$P,TransIF!$U:$U,Q105,TransIF!$Q:$Q,R$3))/(S$3+S$2)</f>
        <v>#N/A</v>
      </c>
    </row>
    <row r="106" spans="12:20">
      <c r="L106" s="3" t="s">
        <v>1369</v>
      </c>
      <c r="M106" s="108">
        <v>5.5800000000000001E-4</v>
      </c>
      <c r="N106" s="118"/>
      <c r="O106" s="108" t="e">
        <f ca="1">+(M106*N$3+N106-SUMIFS(BaseCompleta!$F:$F,BaseCompleta!$Q:$Q,'Emisor Consolidado'!L106,BaseCompleta!$B:$B,M$3,BaseCompleta!$J:$J,0)+SUMIFS(TransRF!$Q:$Q,TransRF!$T:$T,L106,TransRF!AC:AC,M$3)-SUMIFS(TransRF!$Q:$Q,TransRF!$T:$T,L106,TransRF!$R:$R,M$3)+SUMIFS(TransIF!$P:$P,TransIF!$U:$U,L106,TransIF!$R:$R,M$3)-SUMIFS(TransIF!$P:$P,TransIF!$U:$U,L106,TransIF!$Q:$Q,M$3))/(N$3+N$2)</f>
        <v>#N/A</v>
      </c>
      <c r="Q106" s="3" t="s">
        <v>579</v>
      </c>
      <c r="R106" s="108">
        <v>8.2000000000000001E-5</v>
      </c>
      <c r="S106" s="118"/>
      <c r="T106" s="108" t="e">
        <f ca="1">+(R106*S$3+S106-SUMIFS(BaseCompleta!$F:$F,BaseCompleta!$Q:$Q,'Emisor Consolidado'!Q106,BaseCompleta!$B:$B,R$3,BaseCompleta!$J:$J,0)+SUMIFS(TransRF!$Q:$Q,TransRF!$T:$T,Q106,TransRF!AH:AH,R$3)-SUMIFS(TransRF!$Q:$Q,TransRF!$T:$T,Q106,TransRF!$R:$R,R$3)+SUMIFS(TransIF!$P:$P,TransIF!$U:$U,Q106,TransIF!$R:$R,R$3)-SUMIFS(TransIF!$P:$P,TransIF!$U:$U,Q106,TransIF!$Q:$Q,R$3))/(S$3+S$2)</f>
        <v>#N/A</v>
      </c>
    </row>
    <row r="107" spans="12:20">
      <c r="L107" s="3" t="s">
        <v>1363</v>
      </c>
      <c r="M107" s="108">
        <v>5.5699999999999999E-4</v>
      </c>
      <c r="N107" s="118"/>
      <c r="O107" s="108" t="e">
        <f ca="1">+(M107*N$3+N107-SUMIFS(BaseCompleta!$F:$F,BaseCompleta!$Q:$Q,'Emisor Consolidado'!L107,BaseCompleta!$B:$B,M$3,BaseCompleta!$J:$J,0)+SUMIFS(TransRF!$Q:$Q,TransRF!$T:$T,L107,TransRF!AC:AC,M$3)-SUMIFS(TransRF!$Q:$Q,TransRF!$T:$T,L107,TransRF!$R:$R,M$3)+SUMIFS(TransIF!$P:$P,TransIF!$U:$U,L107,TransIF!$R:$R,M$3)-SUMIFS(TransIF!$P:$P,TransIF!$U:$U,L107,TransIF!$Q:$Q,M$3))/(N$3+N$2)</f>
        <v>#N/A</v>
      </c>
      <c r="Q107" s="3" t="s">
        <v>382</v>
      </c>
      <c r="R107" s="108">
        <v>7.7999999999999999E-5</v>
      </c>
      <c r="S107" s="118"/>
      <c r="T107" s="108" t="e">
        <f ca="1">+(R107*S$3+S107-SUMIFS(BaseCompleta!$F:$F,BaseCompleta!$Q:$Q,'Emisor Consolidado'!Q107,BaseCompleta!$B:$B,R$3,BaseCompleta!$J:$J,0)+SUMIFS(TransRF!$Q:$Q,TransRF!$T:$T,Q107,TransRF!AH:AH,R$3)-SUMIFS(TransRF!$Q:$Q,TransRF!$T:$T,Q107,TransRF!$R:$R,R$3)+SUMIFS(TransIF!$P:$P,TransIF!$U:$U,Q107,TransIF!$R:$R,R$3)-SUMIFS(TransIF!$P:$P,TransIF!$U:$U,Q107,TransIF!$Q:$Q,R$3))/(S$3+S$2)</f>
        <v>#N/A</v>
      </c>
    </row>
    <row r="108" spans="12:20">
      <c r="L108" s="3" t="s">
        <v>1429</v>
      </c>
      <c r="M108" s="108">
        <v>5.2499999999999997E-4</v>
      </c>
      <c r="N108" s="118"/>
      <c r="O108" s="108" t="e">
        <f ca="1">+(M108*N$3+N108-SUMIFS(BaseCompleta!$F:$F,BaseCompleta!$Q:$Q,'Emisor Consolidado'!L108,BaseCompleta!$B:$B,M$3,BaseCompleta!$J:$J,0)+SUMIFS(TransRF!$Q:$Q,TransRF!$T:$T,L108,TransRF!AC:AC,M$3)-SUMIFS(TransRF!$Q:$Q,TransRF!$T:$T,L108,TransRF!$R:$R,M$3)+SUMIFS(TransIF!$P:$P,TransIF!$U:$U,L108,TransIF!$R:$R,M$3)-SUMIFS(TransIF!$P:$P,TransIF!$U:$U,L108,TransIF!$Q:$Q,M$3))/(N$3+N$2)</f>
        <v>#N/A</v>
      </c>
      <c r="Q108" s="3" t="s">
        <v>912</v>
      </c>
      <c r="R108" s="108">
        <v>6.4999999999999994E-5</v>
      </c>
      <c r="S108" s="118"/>
      <c r="T108" s="108" t="e">
        <f ca="1">+(R108*S$3+S108-SUMIFS(BaseCompleta!$F:$F,BaseCompleta!$Q:$Q,'Emisor Consolidado'!Q108,BaseCompleta!$B:$B,R$3,BaseCompleta!$J:$J,0)+SUMIFS(TransRF!$Q:$Q,TransRF!$T:$T,Q108,TransRF!AH:AH,R$3)-SUMIFS(TransRF!$Q:$Q,TransRF!$T:$T,Q108,TransRF!$R:$R,R$3)+SUMIFS(TransIF!$P:$P,TransIF!$U:$U,Q108,TransIF!$R:$R,R$3)-SUMIFS(TransIF!$P:$P,TransIF!$U:$U,Q108,TransIF!$Q:$Q,R$3))/(S$3+S$2)</f>
        <v>#N/A</v>
      </c>
    </row>
    <row r="109" spans="12:20">
      <c r="L109" s="3" t="s">
        <v>1377</v>
      </c>
      <c r="M109" s="108">
        <v>5.1900000000000004E-4</v>
      </c>
      <c r="N109" s="118"/>
      <c r="O109" s="108" t="e">
        <f ca="1">+(M109*N$3+N109-SUMIFS(BaseCompleta!$F:$F,BaseCompleta!$Q:$Q,'Emisor Consolidado'!L109,BaseCompleta!$B:$B,M$3,BaseCompleta!$J:$J,0)+SUMIFS(TransRF!$Q:$Q,TransRF!$T:$T,L109,TransRF!AC:AC,M$3)-SUMIFS(TransRF!$Q:$Q,TransRF!$T:$T,L109,TransRF!$R:$R,M$3)+SUMIFS(TransIF!$P:$P,TransIF!$U:$U,L109,TransIF!$R:$R,M$3)-SUMIFS(TransIF!$P:$P,TransIF!$U:$U,L109,TransIF!$Q:$Q,M$3))/(N$3+N$2)</f>
        <v>#N/A</v>
      </c>
      <c r="Q109" s="3" t="s">
        <v>574</v>
      </c>
      <c r="R109" s="108">
        <v>5.5999999999999999E-5</v>
      </c>
      <c r="S109" s="118"/>
      <c r="T109" s="108" t="e">
        <f ca="1">+(R109*S$3+S109-SUMIFS(BaseCompleta!$F:$F,BaseCompleta!$Q:$Q,'Emisor Consolidado'!Q109,BaseCompleta!$B:$B,R$3,BaseCompleta!$J:$J,0)+SUMIFS(TransRF!$Q:$Q,TransRF!$T:$T,Q109,TransRF!AH:AH,R$3)-SUMIFS(TransRF!$Q:$Q,TransRF!$T:$T,Q109,TransRF!$R:$R,R$3)+SUMIFS(TransIF!$P:$P,TransIF!$U:$U,Q109,TransIF!$R:$R,R$3)-SUMIFS(TransIF!$P:$P,TransIF!$U:$U,Q109,TransIF!$Q:$Q,R$3))/(S$3+S$2)</f>
        <v>#N/A</v>
      </c>
    </row>
    <row r="110" spans="12:20">
      <c r="L110" s="3" t="s">
        <v>328</v>
      </c>
      <c r="M110" s="108">
        <v>5.1000000000000004E-4</v>
      </c>
      <c r="N110" s="118"/>
      <c r="O110" s="108" t="e">
        <f ca="1">+(M110*N$3+N110-SUMIFS(BaseCompleta!$F:$F,BaseCompleta!$Q:$Q,'Emisor Consolidado'!L110,BaseCompleta!$B:$B,M$3,BaseCompleta!$J:$J,0)+SUMIFS(TransRF!$Q:$Q,TransRF!$T:$T,L110,TransRF!AC:AC,M$3)-SUMIFS(TransRF!$Q:$Q,TransRF!$T:$T,L110,TransRF!$R:$R,M$3)+SUMIFS(TransIF!$P:$P,TransIF!$U:$U,L110,TransIF!$R:$R,M$3)-SUMIFS(TransIF!$P:$P,TransIF!$U:$U,L110,TransIF!$Q:$Q,M$3))/(N$3+N$2)</f>
        <v>#N/A</v>
      </c>
      <c r="Q110" s="3" t="s">
        <v>536</v>
      </c>
      <c r="R110" s="108">
        <v>5.0000000000000002E-5</v>
      </c>
      <c r="S110" s="118"/>
      <c r="T110" s="108" t="e">
        <f ca="1">+(R110*S$3+S110-SUMIFS(BaseCompleta!$F:$F,BaseCompleta!$Q:$Q,'Emisor Consolidado'!Q110,BaseCompleta!$B:$B,R$3,BaseCompleta!$J:$J,0)+SUMIFS(TransRF!$Q:$Q,TransRF!$T:$T,Q110,TransRF!AH:AH,R$3)-SUMIFS(TransRF!$Q:$Q,TransRF!$T:$T,Q110,TransRF!$R:$R,R$3)+SUMIFS(TransIF!$P:$P,TransIF!$U:$U,Q110,TransIF!$R:$R,R$3)-SUMIFS(TransIF!$P:$P,TransIF!$U:$U,Q110,TransIF!$Q:$Q,R$3))/(S$3+S$2)</f>
        <v>#N/A</v>
      </c>
    </row>
    <row r="111" spans="12:20">
      <c r="L111" s="3" t="s">
        <v>64</v>
      </c>
      <c r="M111" s="108">
        <v>4.95E-4</v>
      </c>
      <c r="N111" s="118"/>
      <c r="O111" s="108" t="e">
        <f ca="1">+(M111*N$3+N111-SUMIFS(BaseCompleta!$F:$F,BaseCompleta!$Q:$Q,'Emisor Consolidado'!L111,BaseCompleta!$B:$B,M$3,BaseCompleta!$J:$J,0)+SUMIFS(TransRF!$Q:$Q,TransRF!$T:$T,L111,TransRF!AC:AC,M$3)-SUMIFS(TransRF!$Q:$Q,TransRF!$T:$T,L111,TransRF!$R:$R,M$3)+SUMIFS(TransIF!$P:$P,TransIF!$U:$U,L111,TransIF!$R:$R,M$3)-SUMIFS(TransIF!$P:$P,TransIF!$U:$U,L111,TransIF!$Q:$Q,M$3))/(N$3+N$2)</f>
        <v>#N/A</v>
      </c>
      <c r="Q111" s="3" t="s">
        <v>1927</v>
      </c>
      <c r="R111" s="108">
        <v>4.6999999999999997E-5</v>
      </c>
      <c r="S111" s="118"/>
      <c r="T111" s="108" t="e">
        <f ca="1">+(R111*S$3+S111-SUMIFS(BaseCompleta!$F:$F,BaseCompleta!$Q:$Q,'Emisor Consolidado'!Q111,BaseCompleta!$B:$B,R$3,BaseCompleta!$J:$J,0)+SUMIFS(TransRF!$Q:$Q,TransRF!$T:$T,Q111,TransRF!AH:AH,R$3)-SUMIFS(TransRF!$Q:$Q,TransRF!$T:$T,Q111,TransRF!$R:$R,R$3)+SUMIFS(TransIF!$P:$P,TransIF!$U:$U,Q111,TransIF!$R:$R,R$3)-SUMIFS(TransIF!$P:$P,TransIF!$U:$U,Q111,TransIF!$Q:$Q,R$3))/(S$3+S$2)</f>
        <v>#N/A</v>
      </c>
    </row>
    <row r="112" spans="12:20">
      <c r="L112" s="3" t="s">
        <v>1733</v>
      </c>
      <c r="M112" s="108">
        <v>4.9100000000000001E-4</v>
      </c>
      <c r="N112" s="118"/>
      <c r="O112" s="108" t="e">
        <f ca="1">+(M112*N$3+N112-SUMIFS(BaseCompleta!$F:$F,BaseCompleta!$Q:$Q,'Emisor Consolidado'!L112,BaseCompleta!$B:$B,M$3,BaseCompleta!$J:$J,0)+SUMIFS(TransRF!$Q:$Q,TransRF!$T:$T,L112,TransRF!AC:AC,M$3)-SUMIFS(TransRF!$Q:$Q,TransRF!$T:$T,L112,TransRF!$R:$R,M$3)+SUMIFS(TransIF!$P:$P,TransIF!$U:$U,L112,TransIF!$R:$R,M$3)-SUMIFS(TransIF!$P:$P,TransIF!$U:$U,L112,TransIF!$Q:$Q,M$3))/(N$3+N$2)</f>
        <v>#N/A</v>
      </c>
      <c r="Q112" s="3" t="s">
        <v>596</v>
      </c>
      <c r="R112" s="108">
        <v>4.1999999999999998E-5</v>
      </c>
      <c r="S112" s="118"/>
      <c r="T112" s="108" t="e">
        <f ca="1">+(R112*S$3+S112-SUMIFS(BaseCompleta!$F:$F,BaseCompleta!$Q:$Q,'Emisor Consolidado'!Q112,BaseCompleta!$B:$B,R$3,BaseCompleta!$J:$J,0)+SUMIFS(TransRF!$Q:$Q,TransRF!$T:$T,Q112,TransRF!AH:AH,R$3)-SUMIFS(TransRF!$Q:$Q,TransRF!$T:$T,Q112,TransRF!$R:$R,R$3)+SUMIFS(TransIF!$P:$P,TransIF!$U:$U,Q112,TransIF!$R:$R,R$3)-SUMIFS(TransIF!$P:$P,TransIF!$U:$U,Q112,TransIF!$Q:$Q,R$3))/(S$3+S$2)</f>
        <v>#N/A</v>
      </c>
    </row>
    <row r="113" spans="12:20">
      <c r="L113" s="3" t="s">
        <v>63</v>
      </c>
      <c r="M113" s="108">
        <v>4.6099999999999998E-4</v>
      </c>
      <c r="N113" s="118"/>
      <c r="O113" s="108" t="e">
        <f ca="1">+(M113*N$3+N113-SUMIFS(BaseCompleta!$F:$F,BaseCompleta!$Q:$Q,'Emisor Consolidado'!L113,BaseCompleta!$B:$B,M$3,BaseCompleta!$J:$J,0)+SUMIFS(TransRF!$Q:$Q,TransRF!$T:$T,L113,TransRF!AC:AC,M$3)-SUMIFS(TransRF!$Q:$Q,TransRF!$T:$T,L113,TransRF!$R:$R,M$3)+SUMIFS(TransIF!$P:$P,TransIF!$U:$U,L113,TransIF!$R:$R,M$3)-SUMIFS(TransIF!$P:$P,TransIF!$U:$U,L113,TransIF!$Q:$Q,M$3))/(N$3+N$2)</f>
        <v>#N/A</v>
      </c>
      <c r="Q113" s="3" t="s">
        <v>588</v>
      </c>
      <c r="R113" s="108">
        <v>3.1999999999999999E-5</v>
      </c>
      <c r="S113" s="118"/>
      <c r="T113" s="108" t="e">
        <f ca="1">+(R113*S$3+S113-SUMIFS(BaseCompleta!$F:$F,BaseCompleta!$Q:$Q,'Emisor Consolidado'!Q113,BaseCompleta!$B:$B,R$3,BaseCompleta!$J:$J,0)+SUMIFS(TransRF!$Q:$Q,TransRF!$T:$T,Q113,TransRF!AH:AH,R$3)-SUMIFS(TransRF!$Q:$Q,TransRF!$T:$T,Q113,TransRF!$R:$R,R$3)+SUMIFS(TransIF!$P:$P,TransIF!$U:$U,Q113,TransIF!$R:$R,R$3)-SUMIFS(TransIF!$P:$P,TransIF!$U:$U,Q113,TransIF!$Q:$Q,R$3))/(S$3+S$2)</f>
        <v>#N/A</v>
      </c>
    </row>
    <row r="114" spans="12:20">
      <c r="L114" s="3" t="s">
        <v>1378</v>
      </c>
      <c r="M114" s="108">
        <v>4.5600000000000003E-4</v>
      </c>
      <c r="N114" s="118"/>
      <c r="O114" s="108" t="e">
        <f ca="1">+(M114*N$3+N114-SUMIFS(BaseCompleta!$F:$F,BaseCompleta!$Q:$Q,'Emisor Consolidado'!L114,BaseCompleta!$B:$B,M$3,BaseCompleta!$J:$J,0)+SUMIFS(TransRF!$Q:$Q,TransRF!$T:$T,L114,TransRF!AC:AC,M$3)-SUMIFS(TransRF!$Q:$Q,TransRF!$T:$T,L114,TransRF!$R:$R,M$3)+SUMIFS(TransIF!$P:$P,TransIF!$U:$U,L114,TransIF!$R:$R,M$3)-SUMIFS(TransIF!$P:$P,TransIF!$U:$U,L114,TransIF!$Q:$Q,M$3))/(N$3+N$2)</f>
        <v>#N/A</v>
      </c>
      <c r="Q114" s="3" t="s">
        <v>2113</v>
      </c>
      <c r="R114" s="108">
        <v>1.0000000000000001E-5</v>
      </c>
      <c r="S114" s="118"/>
      <c r="T114" s="108" t="e">
        <f ca="1">+(R114*S$3+S114-SUMIFS(BaseCompleta!$F:$F,BaseCompleta!$Q:$Q,'Emisor Consolidado'!Q114,BaseCompleta!$B:$B,R$3,BaseCompleta!$J:$J,0)+SUMIFS(TransRF!$Q:$Q,TransRF!$T:$T,Q114,TransRF!AH:AH,R$3)-SUMIFS(TransRF!$Q:$Q,TransRF!$T:$T,Q114,TransRF!$R:$R,R$3)+SUMIFS(TransIF!$P:$P,TransIF!$U:$U,Q114,TransIF!$R:$R,R$3)-SUMIFS(TransIF!$P:$P,TransIF!$U:$U,Q114,TransIF!$Q:$Q,R$3))/(S$3+S$2)</f>
        <v>#N/A</v>
      </c>
    </row>
    <row r="115" spans="12:20">
      <c r="L115" s="3" t="s">
        <v>849</v>
      </c>
      <c r="M115" s="108">
        <v>4.1100000000000002E-4</v>
      </c>
      <c r="N115" s="118"/>
      <c r="O115" s="108" t="e">
        <f ca="1">+(M115*N$3+N115-SUMIFS(BaseCompleta!$F:$F,BaseCompleta!$Q:$Q,'Emisor Consolidado'!L115,BaseCompleta!$B:$B,M$3,BaseCompleta!$J:$J,0)+SUMIFS(TransRF!$Q:$Q,TransRF!$T:$T,L115,TransRF!AC:AC,M$3)-SUMIFS(TransRF!$Q:$Q,TransRF!$T:$T,L115,TransRF!$R:$R,M$3)+SUMIFS(TransIF!$P:$P,TransIF!$U:$U,L115,TransIF!$R:$R,M$3)-SUMIFS(TransIF!$P:$P,TransIF!$U:$U,L115,TransIF!$Q:$Q,M$3))/(N$3+N$2)</f>
        <v>#N/A</v>
      </c>
      <c r="Q115" s="3" t="s">
        <v>929</v>
      </c>
      <c r="R115" s="108">
        <v>6.9999999999999999E-6</v>
      </c>
    </row>
    <row r="116" spans="12:20">
      <c r="L116" s="3" t="s">
        <v>766</v>
      </c>
      <c r="M116" s="108">
        <v>4.0200000000000001E-4</v>
      </c>
      <c r="N116" s="118"/>
      <c r="O116" s="108" t="e">
        <f ca="1">+(M116*N$3+N116-SUMIFS(BaseCompleta!$F:$F,BaseCompleta!$Q:$Q,'Emisor Consolidado'!L116,BaseCompleta!$B:$B,M$3,BaseCompleta!$J:$J,0)+SUMIFS(TransRF!$Q:$Q,TransRF!$T:$T,L116,TransRF!AC:AC,M$3)-SUMIFS(TransRF!$Q:$Q,TransRF!$T:$T,L116,TransRF!$R:$R,M$3)+SUMIFS(TransIF!$P:$P,TransIF!$U:$U,L116,TransIF!$R:$R,M$3)-SUMIFS(TransIF!$P:$P,TransIF!$U:$U,L116,TransIF!$Q:$Q,M$3))/(N$3+N$2)</f>
        <v>#N/A</v>
      </c>
      <c r="Q116" s="3" t="s">
        <v>1062</v>
      </c>
      <c r="R116" s="108">
        <v>0.99991200000000002</v>
      </c>
    </row>
    <row r="117" spans="12:20">
      <c r="L117" s="3" t="s">
        <v>1855</v>
      </c>
      <c r="M117" s="108">
        <v>3.6999999999999999E-4</v>
      </c>
      <c r="N117" s="118"/>
      <c r="O117" s="108" t="e">
        <f ca="1">+(M117*N$3+N117-SUMIFS(BaseCompleta!$F:$F,BaseCompleta!$Q:$Q,'Emisor Consolidado'!L117,BaseCompleta!$B:$B,M$3,BaseCompleta!$J:$J,0)+SUMIFS(TransRF!$Q:$Q,TransRF!$T:$T,L117,TransRF!AC:AC,M$3)-SUMIFS(TransRF!$Q:$Q,TransRF!$T:$T,L117,TransRF!$R:$R,M$3)+SUMIFS(TransIF!$P:$P,TransIF!$U:$U,L117,TransIF!$R:$R,M$3)-SUMIFS(TransIF!$P:$P,TransIF!$U:$U,L117,TransIF!$Q:$Q,M$3))/(N$3+N$2)</f>
        <v>#N/A</v>
      </c>
      <c r="Q117"/>
      <c r="R117"/>
    </row>
    <row r="118" spans="12:20">
      <c r="L118" s="3" t="s">
        <v>1382</v>
      </c>
      <c r="M118" s="108">
        <v>3.4600000000000001E-4</v>
      </c>
      <c r="N118" s="118"/>
      <c r="O118" s="108" t="e">
        <f ca="1">+(M118*N$3+N118-SUMIFS(BaseCompleta!$F:$F,BaseCompleta!$Q:$Q,'Emisor Consolidado'!L118,BaseCompleta!$B:$B,M$3,BaseCompleta!$J:$J,0)+SUMIFS(TransRF!$Q:$Q,TransRF!$T:$T,L118,TransRF!AC:AC,M$3)-SUMIFS(TransRF!$Q:$Q,TransRF!$T:$T,L118,TransRF!$R:$R,M$3)+SUMIFS(TransIF!$P:$P,TransIF!$U:$U,L118,TransIF!$R:$R,M$3)-SUMIFS(TransIF!$P:$P,TransIF!$U:$U,L118,TransIF!$Q:$Q,M$3))/(N$3+N$2)</f>
        <v>#N/A</v>
      </c>
      <c r="Q118"/>
      <c r="R118"/>
    </row>
    <row r="119" spans="12:20">
      <c r="L119" s="3" t="s">
        <v>1358</v>
      </c>
      <c r="M119" s="108">
        <v>3.4400000000000001E-4</v>
      </c>
      <c r="N119" s="118"/>
      <c r="O119" s="108" t="e">
        <f ca="1">+(M119*N$3+N119-SUMIFS(BaseCompleta!$F:$F,BaseCompleta!$Q:$Q,'Emisor Consolidado'!L119,BaseCompleta!$B:$B,M$3,BaseCompleta!$J:$J,0)+SUMIFS(TransRF!$Q:$Q,TransRF!$T:$T,L119,TransRF!AC:AC,M$3)-SUMIFS(TransRF!$Q:$Q,TransRF!$T:$T,L119,TransRF!$R:$R,M$3)+SUMIFS(TransIF!$P:$P,TransIF!$U:$U,L119,TransIF!$R:$R,M$3)-SUMIFS(TransIF!$P:$P,TransIF!$U:$U,L119,TransIF!$Q:$Q,M$3))/(N$3+N$2)</f>
        <v>#N/A</v>
      </c>
    </row>
    <row r="120" spans="12:20">
      <c r="L120" s="3" t="s">
        <v>1848</v>
      </c>
      <c r="M120" s="108">
        <v>3.4299999999999999E-4</v>
      </c>
      <c r="N120" s="118"/>
      <c r="O120" s="108" t="e">
        <f ca="1">+(M120*N$3+N120-SUMIFS(BaseCompleta!$F:$F,BaseCompleta!$Q:$Q,'Emisor Consolidado'!L120,BaseCompleta!$B:$B,M$3,BaseCompleta!$J:$J,0)+SUMIFS(TransRF!$Q:$Q,TransRF!$T:$T,L120,TransRF!AC:AC,M$3)-SUMIFS(TransRF!$Q:$Q,TransRF!$T:$T,L120,TransRF!$R:$R,M$3)+SUMIFS(TransIF!$P:$P,TransIF!$U:$U,L120,TransIF!$R:$R,M$3)-SUMIFS(TransIF!$P:$P,TransIF!$U:$U,L120,TransIF!$Q:$Q,M$3))/(N$3+N$2)</f>
        <v>#N/A</v>
      </c>
    </row>
    <row r="121" spans="12:20">
      <c r="L121" s="3" t="s">
        <v>940</v>
      </c>
      <c r="M121" s="108">
        <v>3.0400000000000002E-4</v>
      </c>
      <c r="N121" s="118"/>
      <c r="O121" s="108" t="e">
        <f ca="1">+(M121*N$3+N121-SUMIFS(BaseCompleta!$F:$F,BaseCompleta!$Q:$Q,'Emisor Consolidado'!L121,BaseCompleta!$B:$B,M$3,BaseCompleta!$J:$J,0)+SUMIFS(TransRF!$Q:$Q,TransRF!$T:$T,L121,TransRF!AC:AC,M$3)-SUMIFS(TransRF!$Q:$Q,TransRF!$T:$T,L121,TransRF!$R:$R,M$3)+SUMIFS(TransIF!$P:$P,TransIF!$U:$U,L121,TransIF!$R:$R,M$3)-SUMIFS(TransIF!$P:$P,TransIF!$U:$U,L121,TransIF!$Q:$Q,M$3))/(N$3+N$2)</f>
        <v>#N/A</v>
      </c>
    </row>
    <row r="122" spans="12:20">
      <c r="L122" s="3" t="s">
        <v>1466</v>
      </c>
      <c r="M122" s="108">
        <v>3.0299999999999999E-4</v>
      </c>
      <c r="N122" s="118"/>
      <c r="O122" s="108" t="e">
        <f ca="1">+(M122*N$3+N122-SUMIFS(BaseCompleta!$F:$F,BaseCompleta!$Q:$Q,'Emisor Consolidado'!L122,BaseCompleta!$B:$B,M$3,BaseCompleta!$J:$J,0)+SUMIFS(TransRF!$Q:$Q,TransRF!$T:$T,L122,TransRF!AC:AC,M$3)-SUMIFS(TransRF!$Q:$Q,TransRF!$T:$T,L122,TransRF!$R:$R,M$3)+SUMIFS(TransIF!$P:$P,TransIF!$U:$U,L122,TransIF!$R:$R,M$3)-SUMIFS(TransIF!$P:$P,TransIF!$U:$U,L122,TransIF!$Q:$Q,M$3))/(N$3+N$2)</f>
        <v>#N/A</v>
      </c>
    </row>
    <row r="123" spans="12:20">
      <c r="L123" s="3" t="s">
        <v>1428</v>
      </c>
      <c r="M123" s="108">
        <v>3.01E-4</v>
      </c>
      <c r="N123" s="118"/>
      <c r="O123" s="108" t="e">
        <f ca="1">+(M123*N$3+N123-SUMIFS(BaseCompleta!$F:$F,BaseCompleta!$Q:$Q,'Emisor Consolidado'!L123,BaseCompleta!$B:$B,M$3,BaseCompleta!$J:$J,0)+SUMIFS(TransRF!$Q:$Q,TransRF!$T:$T,L123,TransRF!AC:AC,M$3)-SUMIFS(TransRF!$Q:$Q,TransRF!$T:$T,L123,TransRF!$R:$R,M$3)+SUMIFS(TransIF!$P:$P,TransIF!$U:$U,L123,TransIF!$R:$R,M$3)-SUMIFS(TransIF!$P:$P,TransIF!$U:$U,L123,TransIF!$Q:$Q,M$3))/(N$3+N$2)</f>
        <v>#N/A</v>
      </c>
    </row>
    <row r="124" spans="12:20">
      <c r="L124" s="3" t="s">
        <v>1668</v>
      </c>
      <c r="M124" s="108">
        <v>2.9500000000000001E-4</v>
      </c>
      <c r="N124" s="118"/>
      <c r="O124" s="108" t="e">
        <f ca="1">+(M124*N$3+N124-SUMIFS(BaseCompleta!$F:$F,BaseCompleta!$Q:$Q,'Emisor Consolidado'!L124,BaseCompleta!$B:$B,M$3,BaseCompleta!$J:$J,0)+SUMIFS(TransRF!$Q:$Q,TransRF!$T:$T,L124,TransRF!AC:AC,M$3)-SUMIFS(TransRF!$Q:$Q,TransRF!$T:$T,L124,TransRF!$R:$R,M$3)+SUMIFS(TransIF!$P:$P,TransIF!$U:$U,L124,TransIF!$R:$R,M$3)-SUMIFS(TransIF!$P:$P,TransIF!$U:$U,L124,TransIF!$Q:$Q,M$3))/(N$3+N$2)</f>
        <v>#N/A</v>
      </c>
    </row>
    <row r="125" spans="12:20">
      <c r="L125" s="3" t="s">
        <v>1687</v>
      </c>
      <c r="M125" s="108">
        <v>2.92E-4</v>
      </c>
      <c r="N125" s="118"/>
      <c r="O125" s="108" t="e">
        <f ca="1">+(M125*N$3+N125-SUMIFS(BaseCompleta!$F:$F,BaseCompleta!$Q:$Q,'Emisor Consolidado'!L125,BaseCompleta!$B:$B,M$3,BaseCompleta!$J:$J,0)+SUMIFS(TransRF!$Q:$Q,TransRF!$T:$T,L125,TransRF!AC:AC,M$3)-SUMIFS(TransRF!$Q:$Q,TransRF!$T:$T,L125,TransRF!$R:$R,M$3)+SUMIFS(TransIF!$P:$P,TransIF!$U:$U,L125,TransIF!$R:$R,M$3)-SUMIFS(TransIF!$P:$P,TransIF!$U:$U,L125,TransIF!$Q:$Q,M$3))/(N$3+N$2)</f>
        <v>#N/A</v>
      </c>
    </row>
    <row r="126" spans="12:20">
      <c r="L126" s="3" t="s">
        <v>1817</v>
      </c>
      <c r="M126" s="108">
        <v>2.8899999999999998E-4</v>
      </c>
      <c r="N126" s="118"/>
      <c r="O126" s="108" t="e">
        <f ca="1">+(M126*N$3+N126-SUMIFS(BaseCompleta!$F:$F,BaseCompleta!$Q:$Q,'Emisor Consolidado'!L126,BaseCompleta!$B:$B,M$3,BaseCompleta!$J:$J,0)+SUMIFS(TransRF!$Q:$Q,TransRF!$T:$T,L126,TransRF!AC:AC,M$3)-SUMIFS(TransRF!$Q:$Q,TransRF!$T:$T,L126,TransRF!$R:$R,M$3)+SUMIFS(TransIF!$P:$P,TransIF!$U:$U,L126,TransIF!$R:$R,M$3)-SUMIFS(TransIF!$P:$P,TransIF!$U:$U,L126,TransIF!$Q:$Q,M$3))/(N$3+N$2)</f>
        <v>#N/A</v>
      </c>
    </row>
    <row r="127" spans="12:20">
      <c r="L127" s="3" t="s">
        <v>1353</v>
      </c>
      <c r="M127" s="108">
        <v>2.5300000000000002E-4</v>
      </c>
      <c r="N127" s="118"/>
      <c r="O127" s="108" t="e">
        <f ca="1">+(M127*N$3+N127-SUMIFS(BaseCompleta!$F:$F,BaseCompleta!$Q:$Q,'Emisor Consolidado'!L127,BaseCompleta!$B:$B,M$3,BaseCompleta!$J:$J,0)+SUMIFS(TransRF!$Q:$Q,TransRF!$T:$T,L127,TransRF!AC:AC,M$3)-SUMIFS(TransRF!$Q:$Q,TransRF!$T:$T,L127,TransRF!$R:$R,M$3)+SUMIFS(TransIF!$P:$P,TransIF!$U:$U,L127,TransIF!$R:$R,M$3)-SUMIFS(TransIF!$P:$P,TransIF!$U:$U,L127,TransIF!$Q:$Q,M$3))/(N$3+N$2)</f>
        <v>#N/A</v>
      </c>
    </row>
    <row r="128" spans="12:20">
      <c r="L128" s="3" t="s">
        <v>1380</v>
      </c>
      <c r="M128" s="108">
        <v>2.1900000000000001E-4</v>
      </c>
      <c r="N128" s="118"/>
      <c r="O128" s="108" t="e">
        <f ca="1">+(M128*N$3+N128-SUMIFS(BaseCompleta!$F:$F,BaseCompleta!$Q:$Q,'Emisor Consolidado'!L128,BaseCompleta!$B:$B,M$3,BaseCompleta!$J:$J,0)+SUMIFS(TransRF!$Q:$Q,TransRF!$T:$T,L128,TransRF!AC:AC,M$3)-SUMIFS(TransRF!$Q:$Q,TransRF!$T:$T,L128,TransRF!$R:$R,M$3)+SUMIFS(TransIF!$P:$P,TransIF!$U:$U,L128,TransIF!$R:$R,M$3)-SUMIFS(TransIF!$P:$P,TransIF!$U:$U,L128,TransIF!$Q:$Q,M$3))/(N$3+N$2)</f>
        <v>#N/A</v>
      </c>
    </row>
    <row r="129" spans="12:15">
      <c r="L129" s="3" t="s">
        <v>466</v>
      </c>
      <c r="M129" s="108">
        <v>2.0900000000000001E-4</v>
      </c>
      <c r="N129" s="118"/>
      <c r="O129" s="108" t="e">
        <f ca="1">+(M129*N$3+N129-SUMIFS(BaseCompleta!$F:$F,BaseCompleta!$Q:$Q,'Emisor Consolidado'!L129,BaseCompleta!$B:$B,M$3,BaseCompleta!$J:$J,0)+SUMIFS(TransRF!$Q:$Q,TransRF!$T:$T,L129,TransRF!AC:AC,M$3)-SUMIFS(TransRF!$Q:$Q,TransRF!$T:$T,L129,TransRF!$R:$R,M$3)+SUMIFS(TransIF!$P:$P,TransIF!$U:$U,L129,TransIF!$R:$R,M$3)-SUMIFS(TransIF!$P:$P,TransIF!$U:$U,L129,TransIF!$Q:$Q,M$3))/(N$3+N$2)</f>
        <v>#N/A</v>
      </c>
    </row>
    <row r="130" spans="12:15">
      <c r="L130" s="3" t="s">
        <v>1381</v>
      </c>
      <c r="M130" s="108">
        <v>2.03E-4</v>
      </c>
      <c r="N130" s="118"/>
      <c r="O130" s="108" t="e">
        <f ca="1">+(M130*N$3+N130-SUMIFS(BaseCompleta!$F:$F,BaseCompleta!$Q:$Q,'Emisor Consolidado'!L130,BaseCompleta!$B:$B,M$3,BaseCompleta!$J:$J,0)+SUMIFS(TransRF!$Q:$Q,TransRF!$T:$T,L130,TransRF!AC:AC,M$3)-SUMIFS(TransRF!$Q:$Q,TransRF!$T:$T,L130,TransRF!$R:$R,M$3)+SUMIFS(TransIF!$P:$P,TransIF!$U:$U,L130,TransIF!$R:$R,M$3)-SUMIFS(TransIF!$P:$P,TransIF!$U:$U,L130,TransIF!$Q:$Q,M$3))/(N$3+N$2)</f>
        <v>#N/A</v>
      </c>
    </row>
    <row r="131" spans="12:15">
      <c r="L131" s="3" t="s">
        <v>71</v>
      </c>
      <c r="M131" s="108">
        <v>1.75E-4</v>
      </c>
      <c r="N131" s="118"/>
      <c r="O131" s="108" t="e">
        <f ca="1">+(M131*N$3+N131-SUMIFS(BaseCompleta!$F:$F,BaseCompleta!$Q:$Q,'Emisor Consolidado'!L131,BaseCompleta!$B:$B,M$3,BaseCompleta!$J:$J,0)+SUMIFS(TransRF!$Q:$Q,TransRF!$T:$T,L131,TransRF!AC:AC,M$3)-SUMIFS(TransRF!$Q:$Q,TransRF!$T:$T,L131,TransRF!$R:$R,M$3)+SUMIFS(TransIF!$P:$P,TransIF!$U:$U,L131,TransIF!$R:$R,M$3)-SUMIFS(TransIF!$P:$P,TransIF!$U:$U,L131,TransIF!$Q:$Q,M$3))/(N$3+N$2)</f>
        <v>#N/A</v>
      </c>
    </row>
    <row r="132" spans="12:15">
      <c r="L132" s="3" t="s">
        <v>1796</v>
      </c>
      <c r="M132" s="108">
        <v>1.6699999999999999E-4</v>
      </c>
      <c r="N132" s="118"/>
      <c r="O132" s="108" t="e">
        <f ca="1">+(M132*N$3+N132-SUMIFS(BaseCompleta!$F:$F,BaseCompleta!$Q:$Q,'Emisor Consolidado'!L132,BaseCompleta!$B:$B,M$3,BaseCompleta!$J:$J,0)+SUMIFS(TransRF!$Q:$Q,TransRF!$T:$T,L132,TransRF!AC:AC,M$3)-SUMIFS(TransRF!$Q:$Q,TransRF!$T:$T,L132,TransRF!$R:$R,M$3)+SUMIFS(TransIF!$P:$P,TransIF!$U:$U,L132,TransIF!$R:$R,M$3)-SUMIFS(TransIF!$P:$P,TransIF!$U:$U,L132,TransIF!$Q:$Q,M$3))/(N$3+N$2)</f>
        <v>#N/A</v>
      </c>
    </row>
    <row r="133" spans="12:15">
      <c r="L133" s="3" t="s">
        <v>1371</v>
      </c>
      <c r="M133" s="108">
        <v>1.56E-4</v>
      </c>
      <c r="N133" s="118"/>
      <c r="O133" s="108" t="e">
        <f ca="1">+(M133*N$3+N133-SUMIFS(BaseCompleta!$F:$F,BaseCompleta!$Q:$Q,'Emisor Consolidado'!L133,BaseCompleta!$B:$B,M$3,BaseCompleta!$J:$J,0)+SUMIFS(TransRF!$Q:$Q,TransRF!$T:$T,L133,TransRF!AC:AC,M$3)-SUMIFS(TransRF!$Q:$Q,TransRF!$T:$T,L133,TransRF!$R:$R,M$3)+SUMIFS(TransIF!$P:$P,TransIF!$U:$U,L133,TransIF!$R:$R,M$3)-SUMIFS(TransIF!$P:$P,TransIF!$U:$U,L133,TransIF!$Q:$Q,M$3))/(N$3+N$2)</f>
        <v>#N/A</v>
      </c>
    </row>
    <row r="134" spans="12:15">
      <c r="L134" s="3" t="s">
        <v>912</v>
      </c>
      <c r="M134" s="108">
        <v>1.37E-4</v>
      </c>
      <c r="N134" s="118"/>
      <c r="O134" s="108" t="e">
        <f ca="1">+(M134*N$3+N134-SUMIFS(BaseCompleta!$F:$F,BaseCompleta!$Q:$Q,'Emisor Consolidado'!L134,BaseCompleta!$B:$B,M$3,BaseCompleta!$J:$J,0)+SUMIFS(TransRF!$Q:$Q,TransRF!$T:$T,L134,TransRF!AC:AC,M$3)-SUMIFS(TransRF!$Q:$Q,TransRF!$T:$T,L134,TransRF!$R:$R,M$3)+SUMIFS(TransIF!$P:$P,TransIF!$U:$U,L134,TransIF!$R:$R,M$3)-SUMIFS(TransIF!$P:$P,TransIF!$U:$U,L134,TransIF!$Q:$Q,M$3))/(N$3+N$2)</f>
        <v>#N/A</v>
      </c>
    </row>
    <row r="135" spans="12:15">
      <c r="L135" s="3" t="s">
        <v>2121</v>
      </c>
      <c r="M135" s="108">
        <v>1.18E-4</v>
      </c>
      <c r="N135" s="118"/>
      <c r="O135" s="108" t="e">
        <f ca="1">+(M135*N$3+N135-SUMIFS(BaseCompleta!$F:$F,BaseCompleta!$Q:$Q,'Emisor Consolidado'!L135,BaseCompleta!$B:$B,M$3,BaseCompleta!$J:$J,0)+SUMIFS(TransRF!$Q:$Q,TransRF!$T:$T,L135,TransRF!AC:AC,M$3)-SUMIFS(TransRF!$Q:$Q,TransRF!$T:$T,L135,TransRF!$R:$R,M$3)+SUMIFS(TransIF!$P:$P,TransIF!$U:$U,L135,TransIF!$R:$R,M$3)-SUMIFS(TransIF!$P:$P,TransIF!$U:$U,L135,TransIF!$Q:$Q,M$3))/(N$3+N$2)</f>
        <v>#N/A</v>
      </c>
    </row>
    <row r="136" spans="12:15">
      <c r="L136" s="3" t="s">
        <v>1927</v>
      </c>
      <c r="M136" s="108">
        <v>9.8999999999999994E-5</v>
      </c>
      <c r="N136" s="118"/>
      <c r="O136" s="108" t="e">
        <f ca="1">+(M136*N$3+N136-SUMIFS(BaseCompleta!$F:$F,BaseCompleta!$Q:$Q,'Emisor Consolidado'!L136,BaseCompleta!$B:$B,M$3,BaseCompleta!$J:$J,0)+SUMIFS(TransRF!$Q:$Q,TransRF!$T:$T,L136,TransRF!AC:AC,M$3)-SUMIFS(TransRF!$Q:$Q,TransRF!$T:$T,L136,TransRF!$R:$R,M$3)+SUMIFS(TransIF!$P:$P,TransIF!$U:$U,L136,TransIF!$R:$R,M$3)-SUMIFS(TransIF!$P:$P,TransIF!$U:$U,L136,TransIF!$Q:$Q,M$3))/(N$3+N$2)</f>
        <v>#N/A</v>
      </c>
    </row>
    <row r="137" spans="12:15">
      <c r="L137" s="3" t="s">
        <v>430</v>
      </c>
      <c r="M137" s="108">
        <v>8.6000000000000003E-5</v>
      </c>
      <c r="N137" s="118"/>
      <c r="O137" s="108" t="e">
        <f ca="1">+(M137*N$3+N137-SUMIFS(BaseCompleta!$F:$F,BaseCompleta!$Q:$Q,'Emisor Consolidado'!L137,BaseCompleta!$B:$B,M$3,BaseCompleta!$J:$J,0)+SUMIFS(TransRF!$Q:$Q,TransRF!$T:$T,L137,TransRF!AC:AC,M$3)-SUMIFS(TransRF!$Q:$Q,TransRF!$T:$T,L137,TransRF!$R:$R,M$3)+SUMIFS(TransIF!$P:$P,TransIF!$U:$U,L137,TransIF!$R:$R,M$3)-SUMIFS(TransIF!$P:$P,TransIF!$U:$U,L137,TransIF!$Q:$Q,M$3))/(N$3+N$2)</f>
        <v>#N/A</v>
      </c>
    </row>
    <row r="138" spans="12:15">
      <c r="L138" s="3" t="s">
        <v>2113</v>
      </c>
      <c r="M138" s="108">
        <v>2.0999999999999999E-5</v>
      </c>
    </row>
    <row r="139" spans="12:15">
      <c r="L139" s="3" t="s">
        <v>929</v>
      </c>
      <c r="M139" s="108">
        <v>1.5E-5</v>
      </c>
    </row>
    <row r="140" spans="12:15">
      <c r="L140" s="3" t="s">
        <v>77</v>
      </c>
      <c r="M140" s="108">
        <v>3.0000000000000001E-6</v>
      </c>
    </row>
    <row r="141" spans="12:15">
      <c r="L141" s="3" t="s">
        <v>74</v>
      </c>
      <c r="M141" s="108">
        <v>3.0000000000000001E-6</v>
      </c>
    </row>
    <row r="142" spans="12:15">
      <c r="L142" s="3" t="s">
        <v>622</v>
      </c>
      <c r="M142" s="108">
        <v>1.9999999999999999E-6</v>
      </c>
    </row>
    <row r="143" spans="12:15">
      <c r="L143" s="3" t="s">
        <v>81</v>
      </c>
      <c r="M143" s="108">
        <v>9.9999999999999995E-7</v>
      </c>
    </row>
    <row r="144" spans="12:15">
      <c r="L144" s="3" t="s">
        <v>83</v>
      </c>
      <c r="M144" s="108">
        <v>9.9999999999999995E-7</v>
      </c>
    </row>
    <row r="145" spans="12:13">
      <c r="L145" s="3" t="s">
        <v>471</v>
      </c>
      <c r="M145" s="108">
        <v>9.9999999999999995E-7</v>
      </c>
    </row>
    <row r="146" spans="12:13">
      <c r="L146" s="3" t="s">
        <v>673</v>
      </c>
      <c r="M146" s="108">
        <v>9.9999999999999995E-7</v>
      </c>
    </row>
    <row r="147" spans="12:13">
      <c r="L147" s="3" t="s">
        <v>82</v>
      </c>
      <c r="M147" s="108">
        <v>0</v>
      </c>
    </row>
    <row r="148" spans="12:13">
      <c r="L148" s="3" t="s">
        <v>515</v>
      </c>
      <c r="M148" s="108">
        <v>0</v>
      </c>
    </row>
    <row r="149" spans="12:13">
      <c r="L149" s="3" t="s">
        <v>588</v>
      </c>
      <c r="M149" s="108">
        <v>0</v>
      </c>
    </row>
    <row r="150" spans="12:13">
      <c r="L150" s="3" t="s">
        <v>714</v>
      </c>
      <c r="M150" s="108">
        <v>0</v>
      </c>
    </row>
    <row r="151" spans="12:13">
      <c r="L151" s="3" t="s">
        <v>1262</v>
      </c>
      <c r="M151" s="108">
        <v>0</v>
      </c>
    </row>
    <row r="152" spans="12:13">
      <c r="L152" s="3" t="s">
        <v>544</v>
      </c>
      <c r="M152" s="108">
        <v>0</v>
      </c>
    </row>
    <row r="153" spans="12:13">
      <c r="L153" s="3" t="s">
        <v>1006</v>
      </c>
      <c r="M153" s="108">
        <v>0</v>
      </c>
    </row>
    <row r="154" spans="12:13">
      <c r="L154" s="3" t="s">
        <v>1258</v>
      </c>
      <c r="M154" s="108">
        <v>0</v>
      </c>
    </row>
    <row r="155" spans="12:13">
      <c r="L155" s="3" t="s">
        <v>79</v>
      </c>
      <c r="M155" s="108">
        <v>0</v>
      </c>
    </row>
    <row r="156" spans="12:13">
      <c r="L156" s="3" t="s">
        <v>596</v>
      </c>
      <c r="M156" s="108">
        <v>0</v>
      </c>
    </row>
    <row r="157" spans="12:13">
      <c r="L157" s="3" t="s">
        <v>1062</v>
      </c>
      <c r="M157" s="108">
        <v>0.9999469999999997</v>
      </c>
    </row>
    <row r="158" spans="12:13">
      <c r="L158"/>
      <c r="M158"/>
    </row>
    <row r="159" spans="12:13">
      <c r="L159"/>
      <c r="M159"/>
    </row>
    <row r="160" spans="12:13">
      <c r="L160"/>
      <c r="M160"/>
    </row>
  </sheetData>
  <conditionalFormatting sqref="AI6:AI21">
    <cfRule type="cellIs" dxfId="45" priority="25" operator="between">
      <formula>0</formula>
      <formula>0.05</formula>
    </cfRule>
    <cfRule type="cellIs" dxfId="44" priority="26" operator="between">
      <formula>0.05</formula>
      <formula>0.1</formula>
    </cfRule>
    <cfRule type="cellIs" dxfId="43" priority="27" operator="between">
      <formula>0.1</formula>
      <formula>0.15</formula>
    </cfRule>
    <cfRule type="cellIs" dxfId="42" priority="28" operator="greaterThan">
      <formula>0.15</formula>
    </cfRule>
  </conditionalFormatting>
  <conditionalFormatting sqref="Y6:Y18">
    <cfRule type="cellIs" dxfId="41" priority="17" operator="between">
      <formula>0</formula>
      <formula>0.05</formula>
    </cfRule>
    <cfRule type="cellIs" dxfId="40" priority="18" operator="between">
      <formula>0.05</formula>
      <formula>0.1</formula>
    </cfRule>
    <cfRule type="cellIs" dxfId="39" priority="19" operator="between">
      <formula>0.1</formula>
      <formula>0.15</formula>
    </cfRule>
    <cfRule type="cellIs" dxfId="38" priority="20" operator="greaterThan">
      <formula>0.15</formula>
    </cfRule>
  </conditionalFormatting>
  <conditionalFormatting sqref="O6:O137">
    <cfRule type="cellIs" dxfId="37" priority="9" operator="between">
      <formula>0</formula>
      <formula>0.05</formula>
    </cfRule>
    <cfRule type="cellIs" dxfId="36" priority="10" operator="between">
      <formula>0.05</formula>
      <formula>0.1</formula>
    </cfRule>
    <cfRule type="cellIs" dxfId="35" priority="11" operator="between">
      <formula>0.1</formula>
      <formula>0.15</formula>
    </cfRule>
    <cfRule type="cellIs" dxfId="34" priority="12" operator="greaterThan">
      <formula>0.15</formula>
    </cfRule>
  </conditionalFormatting>
  <conditionalFormatting sqref="AN6:AN20">
    <cfRule type="cellIs" dxfId="33" priority="29" operator="between">
      <formula>0</formula>
      <formula>0.05</formula>
    </cfRule>
    <cfRule type="cellIs" dxfId="32" priority="30" operator="between">
      <formula>0.05</formula>
      <formula>0.1</formula>
    </cfRule>
    <cfRule type="cellIs" dxfId="31" priority="31" operator="between">
      <formula>0.1</formula>
      <formula>0.15</formula>
    </cfRule>
    <cfRule type="cellIs" dxfId="30" priority="32" operator="greaterThan">
      <formula>0.15</formula>
    </cfRule>
  </conditionalFormatting>
  <conditionalFormatting sqref="AD6:AD24">
    <cfRule type="cellIs" dxfId="29" priority="21" operator="between">
      <formula>0</formula>
      <formula>0.05</formula>
    </cfRule>
    <cfRule type="cellIs" dxfId="28" priority="22" operator="between">
      <formula>0.05</formula>
      <formula>0.1</formula>
    </cfRule>
    <cfRule type="cellIs" dxfId="27" priority="23" operator="between">
      <formula>0.1</formula>
      <formula>0.15</formula>
    </cfRule>
    <cfRule type="cellIs" dxfId="26" priority="24" operator="greaterThan">
      <formula>0.15</formula>
    </cfRule>
  </conditionalFormatting>
  <conditionalFormatting sqref="T6:T114">
    <cfRule type="cellIs" dxfId="25" priority="13" operator="between">
      <formula>0</formula>
      <formula>0.05</formula>
    </cfRule>
    <cfRule type="cellIs" dxfId="24" priority="14" operator="between">
      <formula>0.05</formula>
      <formula>0.1</formula>
    </cfRule>
    <cfRule type="cellIs" dxfId="23" priority="15" operator="between">
      <formula>0.1</formula>
      <formula>0.15</formula>
    </cfRule>
    <cfRule type="cellIs" dxfId="22" priority="16" operator="greaterThan">
      <formula>0.15</formula>
    </cfRule>
  </conditionalFormatting>
  <conditionalFormatting sqref="J6:J70">
    <cfRule type="cellIs" dxfId="21" priority="5" operator="between">
      <formula>0</formula>
      <formula>0.05</formula>
    </cfRule>
    <cfRule type="cellIs" dxfId="20" priority="6" operator="between">
      <formula>0.05</formula>
      <formula>0.1</formula>
    </cfRule>
    <cfRule type="cellIs" dxfId="19" priority="7" operator="between">
      <formula>0.1</formula>
      <formula>0.15</formula>
    </cfRule>
    <cfRule type="cellIs" dxfId="18" priority="8" operator="greaterThan">
      <formula>0.15</formula>
    </cfRule>
  </conditionalFormatting>
  <conditionalFormatting sqref="E6:E44">
    <cfRule type="cellIs" dxfId="17" priority="1" operator="between">
      <formula>0</formula>
      <formula>0.05</formula>
    </cfRule>
    <cfRule type="cellIs" dxfId="16" priority="2" operator="between">
      <formula>0.05</formula>
      <formula>0.1</formula>
    </cfRule>
    <cfRule type="cellIs" dxfId="15" priority="3" operator="between">
      <formula>0.1</formula>
      <formula>0.15</formula>
    </cfRule>
    <cfRule type="cellIs" dxfId="14" priority="4" operator="greaterThan">
      <formula>0.15</formula>
    </cfRule>
  </conditionalFormatting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12" name="Button 1">
              <controlPr defaultSize="0" print="0" autoFill="0" autoPict="0" macro="[0]!ThisWorkbook.Emisor">
                <anchor moveWithCells="1" sizeWithCells="1">
                  <from>
                    <xdr:col>0</xdr:col>
                    <xdr:colOff>161925</xdr:colOff>
                    <xdr:row>48</xdr:row>
                    <xdr:rowOff>123825</xdr:rowOff>
                  </from>
                  <to>
                    <xdr:col>1</xdr:col>
                    <xdr:colOff>1895475</xdr:colOff>
                    <xdr:row>51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3"/>
  <dimension ref="A1:L600"/>
  <sheetViews>
    <sheetView showGridLines="0" topLeftCell="A244" zoomScale="80" zoomScaleNormal="80" workbookViewId="0">
      <selection activeCell="A274" sqref="A274:G556"/>
    </sheetView>
  </sheetViews>
  <sheetFormatPr baseColWidth="10" defaultRowHeight="14.25"/>
  <cols>
    <col min="1" max="1" width="11" customWidth="1"/>
    <col min="2" max="2" width="17.25" customWidth="1"/>
    <col min="5" max="5" width="11" style="104"/>
    <col min="6" max="6" width="14.5" style="2" customWidth="1"/>
    <col min="9" max="9" width="13.625" customWidth="1"/>
  </cols>
  <sheetData>
    <row r="1" spans="1:12">
      <c r="A1" s="373" t="s">
        <v>0</v>
      </c>
      <c r="B1" s="374" t="s">
        <v>315</v>
      </c>
      <c r="C1" s="374" t="s">
        <v>1585</v>
      </c>
      <c r="D1" s="374" t="s">
        <v>1586</v>
      </c>
      <c r="E1" s="374" t="s">
        <v>91</v>
      </c>
      <c r="F1" s="374" t="s">
        <v>1587</v>
      </c>
      <c r="G1" s="374" t="s">
        <v>1947</v>
      </c>
    </row>
    <row r="2" spans="1:12">
      <c r="A2" s="296">
        <v>43038</v>
      </c>
      <c r="B2" s="297" t="s">
        <v>669</v>
      </c>
      <c r="C2" s="298">
        <v>2.1</v>
      </c>
      <c r="D2" s="298">
        <v>2.1</v>
      </c>
      <c r="E2" s="298">
        <v>4.6298521549484999</v>
      </c>
      <c r="F2" s="299">
        <v>0</v>
      </c>
      <c r="G2" s="299" t="s">
        <v>293</v>
      </c>
      <c r="H2" s="218"/>
      <c r="I2" s="182"/>
      <c r="K2" s="218"/>
      <c r="L2" s="218"/>
    </row>
    <row r="3" spans="1:12">
      <c r="A3" s="296">
        <v>43038</v>
      </c>
      <c r="B3" s="297" t="s">
        <v>771</v>
      </c>
      <c r="C3" s="298">
        <v>2.6</v>
      </c>
      <c r="D3" s="298">
        <v>2.61</v>
      </c>
      <c r="E3" s="298">
        <v>8.1251130171150994</v>
      </c>
      <c r="F3" s="299">
        <v>8.1251130171149262E-4</v>
      </c>
      <c r="G3" s="299" t="s">
        <v>293</v>
      </c>
      <c r="H3" s="218"/>
      <c r="I3" s="182"/>
      <c r="K3" s="218"/>
      <c r="L3" s="218"/>
    </row>
    <row r="4" spans="1:12">
      <c r="A4" s="296">
        <v>43038</v>
      </c>
      <c r="B4" s="297" t="s">
        <v>974</v>
      </c>
      <c r="C4" s="298">
        <v>3.04</v>
      </c>
      <c r="D4" s="298">
        <v>3.04</v>
      </c>
      <c r="E4" s="298">
        <v>15.669071620535</v>
      </c>
      <c r="F4" s="299">
        <v>0</v>
      </c>
      <c r="G4" s="299" t="s">
        <v>293</v>
      </c>
      <c r="H4" s="218"/>
      <c r="I4" s="182"/>
      <c r="K4" s="218"/>
      <c r="L4" s="218"/>
    </row>
    <row r="5" spans="1:12">
      <c r="A5" s="296">
        <v>43038</v>
      </c>
      <c r="B5" s="297" t="s">
        <v>542</v>
      </c>
      <c r="C5" s="298">
        <v>2.02</v>
      </c>
      <c r="D5" s="298">
        <v>2.04</v>
      </c>
      <c r="E5" s="298">
        <v>0.91101855849525004</v>
      </c>
      <c r="F5" s="299">
        <v>1.8220371169905017E-4</v>
      </c>
      <c r="G5" s="299" t="s">
        <v>293</v>
      </c>
      <c r="H5" s="218"/>
      <c r="I5" s="182"/>
    </row>
    <row r="6" spans="1:12">
      <c r="A6" s="296">
        <v>43038</v>
      </c>
      <c r="B6" s="297" t="s">
        <v>1884</v>
      </c>
      <c r="C6" s="298">
        <v>2.94</v>
      </c>
      <c r="D6" s="298">
        <v>2.95</v>
      </c>
      <c r="E6" s="298">
        <v>5.7177338980528001</v>
      </c>
      <c r="F6" s="299">
        <v>5.7177338980529322E-4</v>
      </c>
      <c r="G6" s="299" t="s">
        <v>293</v>
      </c>
      <c r="H6" s="218"/>
      <c r="I6" s="182"/>
    </row>
    <row r="7" spans="1:12">
      <c r="A7" s="296">
        <v>43038</v>
      </c>
      <c r="B7" s="297" t="s">
        <v>1053</v>
      </c>
      <c r="C7" s="298">
        <v>2.06</v>
      </c>
      <c r="D7" s="298">
        <v>2.08</v>
      </c>
      <c r="E7" s="298">
        <v>4.2023962615443997</v>
      </c>
      <c r="F7" s="299">
        <v>8.404792523088807E-4</v>
      </c>
      <c r="G7" s="299" t="s">
        <v>293</v>
      </c>
      <c r="H7" s="218"/>
      <c r="I7" s="182"/>
    </row>
    <row r="8" spans="1:12">
      <c r="A8" s="296">
        <v>43038</v>
      </c>
      <c r="B8" s="297" t="s">
        <v>638</v>
      </c>
      <c r="C8" s="298">
        <v>1.85</v>
      </c>
      <c r="D8" s="298">
        <v>1.85</v>
      </c>
      <c r="E8" s="298">
        <v>3.8127586524960999</v>
      </c>
      <c r="F8" s="299">
        <v>0</v>
      </c>
      <c r="G8" s="299" t="s">
        <v>293</v>
      </c>
      <c r="H8" s="218"/>
      <c r="I8" s="182"/>
    </row>
    <row r="9" spans="1:12">
      <c r="A9" s="296">
        <v>43038</v>
      </c>
      <c r="B9" s="297" t="s">
        <v>688</v>
      </c>
      <c r="C9" s="298">
        <v>2.2999999999999998</v>
      </c>
      <c r="D9" s="298">
        <v>2.2999999999999998</v>
      </c>
      <c r="E9" s="298">
        <v>4.8904907406533003</v>
      </c>
      <c r="F9" s="299">
        <v>0</v>
      </c>
      <c r="G9" s="299" t="s">
        <v>293</v>
      </c>
      <c r="H9" s="218"/>
      <c r="I9" s="182"/>
    </row>
    <row r="10" spans="1:12">
      <c r="A10" s="296">
        <v>43038</v>
      </c>
      <c r="B10" s="297" t="s">
        <v>696</v>
      </c>
      <c r="C10" s="298">
        <v>2.2999999999999998</v>
      </c>
      <c r="D10" s="298">
        <v>2.2999999999999998</v>
      </c>
      <c r="E10" s="298">
        <v>4.7448258768154998</v>
      </c>
      <c r="F10" s="299">
        <v>0</v>
      </c>
      <c r="G10" s="299" t="s">
        <v>293</v>
      </c>
      <c r="H10" s="218"/>
      <c r="I10" s="182"/>
    </row>
    <row r="11" spans="1:12">
      <c r="A11" s="296">
        <v>43038</v>
      </c>
      <c r="B11" s="297" t="s">
        <v>725</v>
      </c>
      <c r="C11" s="298">
        <v>2.3199999999999998</v>
      </c>
      <c r="D11" s="298">
        <v>2.33</v>
      </c>
      <c r="E11" s="298">
        <v>5.9841784680077001</v>
      </c>
      <c r="F11" s="299">
        <v>5.9841784680078386E-4</v>
      </c>
      <c r="G11" s="299" t="s">
        <v>293</v>
      </c>
      <c r="H11" s="218"/>
      <c r="I11" s="182"/>
    </row>
    <row r="12" spans="1:12">
      <c r="A12" s="296">
        <v>43038</v>
      </c>
      <c r="B12" s="297" t="s">
        <v>1598</v>
      </c>
      <c r="C12" s="298">
        <v>2.66</v>
      </c>
      <c r="D12" s="298">
        <v>2.66</v>
      </c>
      <c r="E12" s="298">
        <v>8.1339522088617997</v>
      </c>
      <c r="F12" s="299">
        <v>0</v>
      </c>
      <c r="G12" s="299" t="s">
        <v>293</v>
      </c>
      <c r="H12" s="218"/>
      <c r="I12" s="182"/>
    </row>
    <row r="13" spans="1:12">
      <c r="A13" s="296">
        <v>43038</v>
      </c>
      <c r="B13" s="297" t="s">
        <v>1008</v>
      </c>
      <c r="C13" s="298">
        <v>2.62</v>
      </c>
      <c r="D13" s="298">
        <v>2.65</v>
      </c>
      <c r="E13" s="298">
        <v>8.0937401334705008</v>
      </c>
      <c r="F13" s="299">
        <v>2.428122040041134E-3</v>
      </c>
      <c r="G13" s="299" t="s">
        <v>293</v>
      </c>
      <c r="H13" s="218"/>
      <c r="I13" s="182"/>
    </row>
    <row r="14" spans="1:12">
      <c r="A14" s="296">
        <v>43038</v>
      </c>
      <c r="B14" s="297" t="s">
        <v>886</v>
      </c>
      <c r="C14" s="298">
        <v>2.48</v>
      </c>
      <c r="D14" s="298">
        <v>2.48</v>
      </c>
      <c r="E14" s="298">
        <v>5.6815232824875999</v>
      </c>
      <c r="F14" s="299">
        <v>0</v>
      </c>
      <c r="G14" s="299" t="s">
        <v>293</v>
      </c>
      <c r="H14" s="218"/>
      <c r="I14" s="182"/>
    </row>
    <row r="15" spans="1:12">
      <c r="A15" s="296">
        <v>43038</v>
      </c>
      <c r="B15" s="297" t="s">
        <v>760</v>
      </c>
      <c r="C15" s="298">
        <v>2.71</v>
      </c>
      <c r="D15" s="298">
        <v>2.72</v>
      </c>
      <c r="E15" s="298">
        <v>7.5285116182801</v>
      </c>
      <c r="F15" s="299">
        <v>7.5285116182802734E-4</v>
      </c>
      <c r="G15" s="299" t="s">
        <v>293</v>
      </c>
      <c r="H15" s="218"/>
      <c r="I15" s="182"/>
    </row>
    <row r="16" spans="1:12">
      <c r="A16" s="296">
        <v>43038</v>
      </c>
      <c r="B16" s="297" t="s">
        <v>881</v>
      </c>
      <c r="C16" s="298">
        <v>2.4900000000000002</v>
      </c>
      <c r="D16" s="298">
        <v>2.5099999999999998</v>
      </c>
      <c r="E16" s="298">
        <v>5.3990327912916003</v>
      </c>
      <c r="F16" s="299">
        <v>1.079806558258297E-3</v>
      </c>
      <c r="G16" s="299" t="s">
        <v>293</v>
      </c>
      <c r="H16" s="218"/>
      <c r="I16" s="182"/>
    </row>
    <row r="17" spans="1:9">
      <c r="A17" s="296">
        <v>43038</v>
      </c>
      <c r="B17" s="297" t="s">
        <v>549</v>
      </c>
      <c r="C17" s="298">
        <v>3.95</v>
      </c>
      <c r="D17" s="298">
        <v>3.95</v>
      </c>
      <c r="E17" s="298">
        <v>1.3805452659516</v>
      </c>
      <c r="F17" s="299">
        <v>0</v>
      </c>
      <c r="G17" s="299" t="s">
        <v>293</v>
      </c>
      <c r="H17" s="218"/>
      <c r="I17" s="182"/>
    </row>
    <row r="18" spans="1:9">
      <c r="A18" s="296">
        <v>43038</v>
      </c>
      <c r="B18" s="297" t="s">
        <v>996</v>
      </c>
      <c r="C18" s="298">
        <v>2.93</v>
      </c>
      <c r="D18" s="298">
        <v>2.95</v>
      </c>
      <c r="E18" s="298">
        <v>11.011054122464</v>
      </c>
      <c r="F18" s="299">
        <v>2.2022108244928017E-3</v>
      </c>
      <c r="G18" s="299" t="s">
        <v>293</v>
      </c>
      <c r="H18" s="218"/>
      <c r="I18" s="182"/>
    </row>
    <row r="19" spans="1:9">
      <c r="A19" s="296">
        <v>43038</v>
      </c>
      <c r="B19" s="297" t="s">
        <v>1203</v>
      </c>
      <c r="C19" s="298">
        <v>2.2400000000000002</v>
      </c>
      <c r="D19" s="298">
        <v>2.2400000000000002</v>
      </c>
      <c r="E19" s="298">
        <v>4.0894499613170003</v>
      </c>
      <c r="F19" s="299">
        <v>0</v>
      </c>
      <c r="G19" s="299" t="s">
        <v>293</v>
      </c>
      <c r="H19" s="218"/>
      <c r="I19" s="182"/>
    </row>
    <row r="20" spans="1:9">
      <c r="A20" s="296">
        <v>43038</v>
      </c>
      <c r="B20" s="297" t="s">
        <v>541</v>
      </c>
      <c r="C20" s="298">
        <v>2.79</v>
      </c>
      <c r="D20" s="298">
        <v>2.7</v>
      </c>
      <c r="E20" s="298">
        <v>0.41917808219177999</v>
      </c>
      <c r="F20" s="299">
        <v>-3.7726027397260136E-4</v>
      </c>
      <c r="G20" s="299" t="s">
        <v>293</v>
      </c>
      <c r="H20" s="218"/>
      <c r="I20" s="182"/>
    </row>
    <row r="21" spans="1:9">
      <c r="A21" s="296">
        <v>43038</v>
      </c>
      <c r="B21" s="297" t="s">
        <v>641</v>
      </c>
      <c r="C21" s="298">
        <v>2.0299999999999998</v>
      </c>
      <c r="D21" s="298">
        <v>2.11</v>
      </c>
      <c r="E21" s="298">
        <v>3.4156997785887002</v>
      </c>
      <c r="F21" s="299">
        <v>2.7325598228709626E-3</v>
      </c>
      <c r="G21" s="299" t="s">
        <v>293</v>
      </c>
      <c r="H21" s="218"/>
      <c r="I21" s="182"/>
    </row>
    <row r="22" spans="1:9">
      <c r="A22" s="296">
        <v>43038</v>
      </c>
      <c r="B22" s="297" t="s">
        <v>870</v>
      </c>
      <c r="C22" s="298">
        <v>1.89</v>
      </c>
      <c r="D22" s="298">
        <v>1.88</v>
      </c>
      <c r="E22" s="298">
        <v>4.0117174572767</v>
      </c>
      <c r="F22" s="299">
        <v>-4.0117174572767034E-4</v>
      </c>
      <c r="G22" s="299" t="s">
        <v>293</v>
      </c>
      <c r="H22" s="218"/>
      <c r="I22" s="182"/>
    </row>
    <row r="23" spans="1:9">
      <c r="A23" s="296">
        <v>43038</v>
      </c>
      <c r="B23" s="297" t="s">
        <v>1895</v>
      </c>
      <c r="C23" s="298">
        <v>2.17</v>
      </c>
      <c r="D23" s="298">
        <v>2.1800000000000002</v>
      </c>
      <c r="E23" s="298">
        <v>5.7331843372445004</v>
      </c>
      <c r="F23" s="299">
        <v>5.7331843372446332E-4</v>
      </c>
      <c r="G23" s="299" t="s">
        <v>293</v>
      </c>
      <c r="H23" s="218"/>
      <c r="I23" s="182"/>
    </row>
    <row r="24" spans="1:9">
      <c r="A24" s="296">
        <v>43038</v>
      </c>
      <c r="B24" s="297" t="s">
        <v>746</v>
      </c>
      <c r="C24" s="298">
        <v>2.3199999999999998</v>
      </c>
      <c r="D24" s="298">
        <v>2.34</v>
      </c>
      <c r="E24" s="298">
        <v>6.7734779952597002</v>
      </c>
      <c r="F24" s="299">
        <v>1.3546955990519412E-3</v>
      </c>
      <c r="G24" s="299" t="s">
        <v>293</v>
      </c>
      <c r="H24" s="218"/>
      <c r="I24" s="182"/>
    </row>
    <row r="25" spans="1:9">
      <c r="A25" s="296">
        <v>43038</v>
      </c>
      <c r="B25" s="297" t="s">
        <v>440</v>
      </c>
      <c r="C25" s="298">
        <v>2.64</v>
      </c>
      <c r="D25" s="298">
        <v>2.65</v>
      </c>
      <c r="E25" s="298">
        <v>0.44109589041095998</v>
      </c>
      <c r="F25" s="299">
        <v>4.4109589041095056E-5</v>
      </c>
      <c r="G25" s="299" t="s">
        <v>293</v>
      </c>
      <c r="H25" s="218"/>
      <c r="I25" s="182"/>
    </row>
    <row r="26" spans="1:9">
      <c r="A26" s="296">
        <v>43038</v>
      </c>
      <c r="B26" s="297" t="s">
        <v>494</v>
      </c>
      <c r="C26" s="298">
        <v>1.95</v>
      </c>
      <c r="D26" s="298">
        <v>1.86</v>
      </c>
      <c r="E26" s="298">
        <v>1.9341313508325999</v>
      </c>
      <c r="F26" s="299">
        <v>-1.7407182157493371E-3</v>
      </c>
      <c r="G26" s="299" t="s">
        <v>293</v>
      </c>
      <c r="H26" s="218"/>
      <c r="I26" s="182"/>
    </row>
    <row r="27" spans="1:9">
      <c r="A27" s="296">
        <v>43038</v>
      </c>
      <c r="B27" s="297" t="s">
        <v>1054</v>
      </c>
      <c r="C27" s="298">
        <v>3.47</v>
      </c>
      <c r="D27" s="298">
        <v>3.46</v>
      </c>
      <c r="E27" s="298">
        <v>1.1306387358479</v>
      </c>
      <c r="F27" s="299">
        <v>-1.1306387358479261E-4</v>
      </c>
      <c r="G27" s="299" t="s">
        <v>293</v>
      </c>
      <c r="H27" s="218"/>
      <c r="I27" s="182"/>
    </row>
    <row r="28" spans="1:9">
      <c r="A28" s="296">
        <v>43038</v>
      </c>
      <c r="B28" s="297" t="s">
        <v>546</v>
      </c>
      <c r="C28" s="298">
        <v>1.8</v>
      </c>
      <c r="D28" s="298">
        <v>1.87</v>
      </c>
      <c r="E28" s="298">
        <v>0.66849315068492998</v>
      </c>
      <c r="F28" s="299">
        <v>4.6794520547945143E-4</v>
      </c>
      <c r="G28" s="299" t="s">
        <v>293</v>
      </c>
      <c r="H28" s="218"/>
      <c r="I28" s="182"/>
    </row>
    <row r="29" spans="1:9">
      <c r="A29" s="296">
        <v>43038</v>
      </c>
      <c r="B29" s="297" t="s">
        <v>680</v>
      </c>
      <c r="C29" s="298">
        <v>2.48</v>
      </c>
      <c r="D29" s="298">
        <v>2.4700000000000002</v>
      </c>
      <c r="E29" s="298">
        <v>4.4782458315267997</v>
      </c>
      <c r="F29" s="299">
        <v>-4.478245831526704E-4</v>
      </c>
      <c r="G29" s="299" t="s">
        <v>293</v>
      </c>
      <c r="H29" s="218"/>
      <c r="I29" s="182"/>
    </row>
    <row r="30" spans="1:9">
      <c r="A30" s="296">
        <v>43038</v>
      </c>
      <c r="B30" s="297" t="s">
        <v>739</v>
      </c>
      <c r="C30" s="298">
        <v>2.2200000000000002</v>
      </c>
      <c r="D30" s="298">
        <v>2.23</v>
      </c>
      <c r="E30" s="298">
        <v>6.4886642222789002</v>
      </c>
      <c r="F30" s="299">
        <v>6.4886642222787615E-4</v>
      </c>
      <c r="G30" s="299" t="s">
        <v>293</v>
      </c>
      <c r="H30" s="218"/>
      <c r="I30" s="182"/>
    </row>
    <row r="31" spans="1:9">
      <c r="A31" s="296">
        <v>43038</v>
      </c>
      <c r="B31" s="297" t="s">
        <v>548</v>
      </c>
      <c r="C31" s="298">
        <v>6.78</v>
      </c>
      <c r="D31" s="298">
        <v>6.77</v>
      </c>
      <c r="E31" s="298">
        <v>1.0406240812150001</v>
      </c>
      <c r="F31" s="299">
        <v>-1.0406240812150703E-4</v>
      </c>
      <c r="G31" s="299" t="s">
        <v>293</v>
      </c>
      <c r="H31" s="218"/>
      <c r="I31" s="182"/>
    </row>
    <row r="32" spans="1:9">
      <c r="A32" s="296">
        <v>43038</v>
      </c>
      <c r="B32" s="297" t="s">
        <v>562</v>
      </c>
      <c r="C32" s="298">
        <v>5.63</v>
      </c>
      <c r="D32" s="298">
        <v>5.63</v>
      </c>
      <c r="E32" s="298">
        <v>1.4156599366108999</v>
      </c>
      <c r="F32" s="299">
        <v>0</v>
      </c>
      <c r="G32" s="299" t="s">
        <v>293</v>
      </c>
      <c r="H32" s="218"/>
      <c r="I32" s="182"/>
    </row>
    <row r="33" spans="1:9">
      <c r="A33" s="296">
        <v>43038</v>
      </c>
      <c r="B33" s="297" t="s">
        <v>604</v>
      </c>
      <c r="C33" s="298">
        <v>1.96</v>
      </c>
      <c r="D33" s="298">
        <v>1.94</v>
      </c>
      <c r="E33" s="298">
        <v>2.3812847509167998</v>
      </c>
      <c r="F33" s="299">
        <v>-4.7625695018336037E-4</v>
      </c>
      <c r="G33" s="299" t="s">
        <v>293</v>
      </c>
      <c r="H33" s="218"/>
      <c r="I33" s="182"/>
    </row>
    <row r="34" spans="1:9">
      <c r="A34" s="296">
        <v>43038</v>
      </c>
      <c r="B34" s="297" t="s">
        <v>716</v>
      </c>
      <c r="C34" s="298">
        <v>2.13</v>
      </c>
      <c r="D34" s="298">
        <v>2.13</v>
      </c>
      <c r="E34" s="298">
        <v>5.8104187192410004</v>
      </c>
      <c r="F34" s="299">
        <v>0</v>
      </c>
      <c r="G34" s="299" t="s">
        <v>293</v>
      </c>
      <c r="H34" s="218"/>
      <c r="I34" s="182"/>
    </row>
    <row r="35" spans="1:9">
      <c r="A35" s="296">
        <v>43038</v>
      </c>
      <c r="B35" s="297" t="s">
        <v>504</v>
      </c>
      <c r="C35" s="298">
        <v>4.18</v>
      </c>
      <c r="D35" s="298">
        <v>4.16</v>
      </c>
      <c r="E35" s="298">
        <v>2.9126541263196</v>
      </c>
      <c r="F35" s="299">
        <v>-5.825308252639075E-4</v>
      </c>
      <c r="G35" s="299" t="s">
        <v>293</v>
      </c>
      <c r="H35" s="218"/>
      <c r="I35" s="182"/>
    </row>
    <row r="36" spans="1:9">
      <c r="A36" s="296">
        <v>43038</v>
      </c>
      <c r="B36" s="297" t="s">
        <v>519</v>
      </c>
      <c r="C36" s="298">
        <v>4.78</v>
      </c>
      <c r="D36" s="298">
        <v>4.78</v>
      </c>
      <c r="E36" s="298">
        <v>5.4794520547944998E-3</v>
      </c>
      <c r="F36" s="299">
        <v>0</v>
      </c>
      <c r="G36" s="299" t="s">
        <v>293</v>
      </c>
      <c r="H36" s="218"/>
      <c r="I36" s="182"/>
    </row>
    <row r="37" spans="1:9">
      <c r="A37" s="296">
        <v>43038</v>
      </c>
      <c r="B37" s="297" t="s">
        <v>659</v>
      </c>
      <c r="C37" s="298">
        <v>1.94</v>
      </c>
      <c r="D37" s="298">
        <v>1.94</v>
      </c>
      <c r="E37" s="298">
        <v>4.1359416471130999</v>
      </c>
      <c r="F37" s="299">
        <v>0</v>
      </c>
      <c r="G37" s="299" t="s">
        <v>293</v>
      </c>
      <c r="H37" s="218"/>
      <c r="I37" s="182"/>
    </row>
    <row r="38" spans="1:9">
      <c r="A38" s="296">
        <v>43038</v>
      </c>
      <c r="B38" s="297" t="s">
        <v>437</v>
      </c>
      <c r="C38" s="298">
        <v>2.39</v>
      </c>
      <c r="D38" s="298">
        <v>2.4700000000000002</v>
      </c>
      <c r="E38" s="298">
        <v>0.41917808219177999</v>
      </c>
      <c r="F38" s="299">
        <v>3.353424657534243E-4</v>
      </c>
      <c r="G38" s="299" t="s">
        <v>293</v>
      </c>
      <c r="H38" s="218"/>
      <c r="I38" s="182"/>
    </row>
    <row r="39" spans="1:9">
      <c r="A39" s="296">
        <v>43038</v>
      </c>
      <c r="B39" s="297" t="s">
        <v>729</v>
      </c>
      <c r="C39" s="298">
        <v>2.19</v>
      </c>
      <c r="D39" s="298">
        <v>2.2000000000000002</v>
      </c>
      <c r="E39" s="298">
        <v>6.1443159975433002</v>
      </c>
      <c r="F39" s="299">
        <v>6.144315997543442E-4</v>
      </c>
      <c r="G39" s="299" t="s">
        <v>293</v>
      </c>
      <c r="H39" s="218"/>
      <c r="I39" s="182"/>
    </row>
    <row r="40" spans="1:9">
      <c r="A40" s="296">
        <v>43038</v>
      </c>
      <c r="B40" s="297" t="s">
        <v>748</v>
      </c>
      <c r="C40" s="298">
        <v>2.3199999999999998</v>
      </c>
      <c r="D40" s="298">
        <v>2.34</v>
      </c>
      <c r="E40" s="298">
        <v>6.7029721021243001</v>
      </c>
      <c r="F40" s="299">
        <v>1.3405944204248612E-3</v>
      </c>
      <c r="G40" s="299" t="s">
        <v>293</v>
      </c>
      <c r="H40" s="218"/>
      <c r="I40" s="182"/>
    </row>
    <row r="41" spans="1:9">
      <c r="A41" s="296">
        <v>43038</v>
      </c>
      <c r="B41" s="297" t="s">
        <v>1420</v>
      </c>
      <c r="C41" s="298">
        <v>2.31</v>
      </c>
      <c r="D41" s="298">
        <v>2.3199999999999998</v>
      </c>
      <c r="E41" s="298">
        <v>7.1219590431648001</v>
      </c>
      <c r="F41" s="299">
        <v>7.121959043164648E-4</v>
      </c>
      <c r="G41" s="299" t="s">
        <v>293</v>
      </c>
      <c r="H41" s="218"/>
      <c r="I41" s="182"/>
    </row>
    <row r="42" spans="1:9">
      <c r="A42" s="296">
        <v>43038</v>
      </c>
      <c r="B42" s="297" t="s">
        <v>979</v>
      </c>
      <c r="C42" s="298">
        <v>5.36</v>
      </c>
      <c r="D42" s="298">
        <v>5.37</v>
      </c>
      <c r="E42" s="298">
        <v>2.2507109135315</v>
      </c>
      <c r="F42" s="299">
        <v>2.2507109135314518E-4</v>
      </c>
      <c r="G42" s="299" t="s">
        <v>293</v>
      </c>
      <c r="H42" s="218"/>
      <c r="I42" s="182"/>
    </row>
    <row r="43" spans="1:9">
      <c r="A43" s="296">
        <v>43038</v>
      </c>
      <c r="B43" s="297" t="s">
        <v>415</v>
      </c>
      <c r="C43" s="298">
        <v>4.16</v>
      </c>
      <c r="D43" s="298">
        <v>4.16</v>
      </c>
      <c r="E43" s="298">
        <v>0.61895363790074998</v>
      </c>
      <c r="F43" s="299">
        <v>0</v>
      </c>
      <c r="G43" s="299" t="s">
        <v>293</v>
      </c>
      <c r="H43" s="218"/>
      <c r="I43" s="182"/>
    </row>
    <row r="44" spans="1:9">
      <c r="A44" s="296">
        <v>43038</v>
      </c>
      <c r="B44" s="297" t="s">
        <v>451</v>
      </c>
      <c r="C44" s="298">
        <v>2.83</v>
      </c>
      <c r="D44" s="298">
        <v>2.86</v>
      </c>
      <c r="E44" s="298">
        <v>0.81719141785302996</v>
      </c>
      <c r="F44" s="299">
        <v>2.4515742535590737E-4</v>
      </c>
      <c r="G44" s="299" t="s">
        <v>293</v>
      </c>
      <c r="H44" s="218"/>
      <c r="I44" s="182"/>
    </row>
    <row r="45" spans="1:9">
      <c r="A45" s="296">
        <v>43038</v>
      </c>
      <c r="B45" s="297" t="s">
        <v>1216</v>
      </c>
      <c r="C45" s="298">
        <v>2.2799999999999998</v>
      </c>
      <c r="D45" s="298">
        <v>2.27</v>
      </c>
      <c r="E45" s="298">
        <v>2.8990887004263</v>
      </c>
      <c r="F45" s="299">
        <v>-2.8990887004262379E-4</v>
      </c>
      <c r="G45" s="299" t="s">
        <v>293</v>
      </c>
      <c r="H45" s="218"/>
      <c r="I45" s="182"/>
    </row>
    <row r="46" spans="1:9">
      <c r="A46" s="296">
        <v>43038</v>
      </c>
      <c r="B46" s="297" t="s">
        <v>475</v>
      </c>
      <c r="C46" s="298">
        <v>4.46</v>
      </c>
      <c r="D46" s="298">
        <v>4.46</v>
      </c>
      <c r="E46" s="298">
        <v>1.209033823588</v>
      </c>
      <c r="F46" s="299">
        <v>0</v>
      </c>
      <c r="G46" s="299" t="s">
        <v>293</v>
      </c>
      <c r="H46" s="218"/>
      <c r="I46" s="182"/>
    </row>
    <row r="47" spans="1:9">
      <c r="A47" s="296">
        <v>43038</v>
      </c>
      <c r="B47" s="297" t="s">
        <v>1197</v>
      </c>
      <c r="C47" s="298">
        <v>4.6399999999999997</v>
      </c>
      <c r="D47" s="298">
        <v>4.62</v>
      </c>
      <c r="E47" s="298">
        <v>1.5918594507899</v>
      </c>
      <c r="F47" s="299">
        <v>-3.1837189015797318E-4</v>
      </c>
      <c r="G47" s="299" t="s">
        <v>293</v>
      </c>
      <c r="H47" s="218"/>
      <c r="I47" s="182"/>
    </row>
    <row r="48" spans="1:9">
      <c r="A48" s="296">
        <v>43038</v>
      </c>
      <c r="B48" s="297" t="s">
        <v>1536</v>
      </c>
      <c r="C48" s="298">
        <v>2.4</v>
      </c>
      <c r="D48" s="298">
        <v>2.41</v>
      </c>
      <c r="E48" s="298">
        <v>4.9351126373929999</v>
      </c>
      <c r="F48" s="299">
        <v>4.9351126373931139E-4</v>
      </c>
      <c r="G48" s="299" t="s">
        <v>293</v>
      </c>
      <c r="H48" s="218"/>
      <c r="I48" s="182"/>
    </row>
    <row r="49" spans="1:9">
      <c r="A49" s="296">
        <v>43038</v>
      </c>
      <c r="B49" s="297" t="s">
        <v>1942</v>
      </c>
      <c r="C49" s="298">
        <v>5.14</v>
      </c>
      <c r="D49" s="298">
        <v>5.13</v>
      </c>
      <c r="E49" s="298">
        <v>3.7935520904500999</v>
      </c>
      <c r="F49" s="299">
        <v>-3.7935520904500191E-4</v>
      </c>
      <c r="G49" s="299" t="s">
        <v>293</v>
      </c>
      <c r="H49" s="218"/>
      <c r="I49" s="182"/>
    </row>
    <row r="50" spans="1:9">
      <c r="A50" s="296">
        <v>43038</v>
      </c>
      <c r="B50" s="297" t="s">
        <v>850</v>
      </c>
      <c r="C50" s="298">
        <v>3.54</v>
      </c>
      <c r="D50" s="298">
        <v>3.54</v>
      </c>
      <c r="E50" s="298">
        <v>3.2986541909652001</v>
      </c>
      <c r="F50" s="299">
        <v>0</v>
      </c>
      <c r="G50" s="299" t="s">
        <v>293</v>
      </c>
      <c r="H50" s="218"/>
      <c r="I50" s="182"/>
    </row>
    <row r="51" spans="1:9">
      <c r="A51" s="296">
        <v>43038</v>
      </c>
      <c r="B51" s="297" t="s">
        <v>1019</v>
      </c>
      <c r="C51" s="298">
        <v>3.48</v>
      </c>
      <c r="D51" s="298">
        <v>3.47</v>
      </c>
      <c r="E51" s="298">
        <v>3.4681465417747002</v>
      </c>
      <c r="F51" s="299">
        <v>-3.4681465417746261E-4</v>
      </c>
      <c r="G51" s="299" t="s">
        <v>293</v>
      </c>
      <c r="H51" s="218"/>
      <c r="I51" s="182"/>
    </row>
    <row r="52" spans="1:9">
      <c r="A52" s="296">
        <v>43038</v>
      </c>
      <c r="B52" s="297" t="s">
        <v>1495</v>
      </c>
      <c r="C52" s="298">
        <v>3.03</v>
      </c>
      <c r="D52" s="298">
        <v>3.03</v>
      </c>
      <c r="E52" s="298">
        <v>12.140756766203999</v>
      </c>
      <c r="F52" s="299">
        <v>0</v>
      </c>
      <c r="G52" s="299" t="s">
        <v>293</v>
      </c>
      <c r="H52" s="218"/>
      <c r="I52" s="182"/>
    </row>
    <row r="53" spans="1:9">
      <c r="A53" s="296">
        <v>43038</v>
      </c>
      <c r="B53" s="297" t="s">
        <v>932</v>
      </c>
      <c r="C53" s="298">
        <v>2.7</v>
      </c>
      <c r="D53" s="298">
        <v>2.72</v>
      </c>
      <c r="E53" s="298">
        <v>8.6785785269611999</v>
      </c>
      <c r="F53" s="299">
        <v>1.7357157053922415E-3</v>
      </c>
      <c r="G53" s="299" t="s">
        <v>293</v>
      </c>
      <c r="H53" s="218"/>
      <c r="I53" s="182"/>
    </row>
    <row r="54" spans="1:9">
      <c r="A54" s="296">
        <v>43038</v>
      </c>
      <c r="B54" s="297" t="s">
        <v>710</v>
      </c>
      <c r="C54" s="298">
        <v>2.5299999999999998</v>
      </c>
      <c r="D54" s="298">
        <v>2.5299999999999998</v>
      </c>
      <c r="E54" s="298">
        <v>5.7920191699335</v>
      </c>
      <c r="F54" s="299">
        <v>0</v>
      </c>
      <c r="G54" s="299" t="s">
        <v>293</v>
      </c>
      <c r="H54" s="218"/>
      <c r="I54" s="182"/>
    </row>
    <row r="55" spans="1:9">
      <c r="A55" s="296">
        <v>43038</v>
      </c>
      <c r="B55" s="297" t="s">
        <v>784</v>
      </c>
      <c r="C55" s="298">
        <v>6.81</v>
      </c>
      <c r="D55" s="298">
        <v>6.8</v>
      </c>
      <c r="E55" s="298">
        <v>8.8361157139461994</v>
      </c>
      <c r="F55" s="299">
        <v>-8.8361157139460109E-4</v>
      </c>
      <c r="G55" s="299" t="s">
        <v>293</v>
      </c>
      <c r="H55" s="218"/>
      <c r="I55" s="182"/>
    </row>
    <row r="56" spans="1:9">
      <c r="A56" s="296">
        <v>43038</v>
      </c>
      <c r="B56" s="297" t="s">
        <v>788</v>
      </c>
      <c r="C56" s="298">
        <v>2.73</v>
      </c>
      <c r="D56" s="298">
        <v>2.73</v>
      </c>
      <c r="E56" s="298">
        <v>9.2246177050036007</v>
      </c>
      <c r="F56" s="299">
        <v>0</v>
      </c>
      <c r="G56" s="299" t="s">
        <v>293</v>
      </c>
      <c r="H56" s="218"/>
      <c r="I56" s="182"/>
    </row>
    <row r="57" spans="1:9">
      <c r="A57" s="296">
        <v>43038</v>
      </c>
      <c r="B57" s="297" t="s">
        <v>1504</v>
      </c>
      <c r="C57" s="298">
        <v>2.23</v>
      </c>
      <c r="D57" s="298">
        <v>2.25</v>
      </c>
      <c r="E57" s="298">
        <v>4.3839149291805004</v>
      </c>
      <c r="F57" s="299">
        <v>8.7678298583610079E-4</v>
      </c>
      <c r="G57" s="299" t="s">
        <v>293</v>
      </c>
      <c r="H57" s="218"/>
      <c r="I57" s="182"/>
    </row>
    <row r="58" spans="1:9">
      <c r="A58" s="296">
        <v>43038</v>
      </c>
      <c r="B58" s="297" t="s">
        <v>763</v>
      </c>
      <c r="C58" s="298">
        <v>2.62</v>
      </c>
      <c r="D58" s="298">
        <v>2.64</v>
      </c>
      <c r="E58" s="298">
        <v>7.5575635941805999</v>
      </c>
      <c r="F58" s="299">
        <v>1.5115127188361213E-3</v>
      </c>
      <c r="G58" s="299" t="s">
        <v>293</v>
      </c>
      <c r="H58" s="218"/>
      <c r="I58" s="182"/>
    </row>
    <row r="59" spans="1:9">
      <c r="A59" s="296">
        <v>43038</v>
      </c>
      <c r="B59" s="297" t="s">
        <v>750</v>
      </c>
      <c r="C59" s="298">
        <v>2.44</v>
      </c>
      <c r="D59" s="298">
        <v>2.46</v>
      </c>
      <c r="E59" s="298">
        <v>7.0753167686892002</v>
      </c>
      <c r="F59" s="299">
        <v>1.4150633537378414E-3</v>
      </c>
      <c r="G59" s="299" t="s">
        <v>293</v>
      </c>
      <c r="H59" s="218"/>
      <c r="I59" s="182"/>
    </row>
    <row r="60" spans="1:9">
      <c r="A60" s="296">
        <v>43038</v>
      </c>
      <c r="B60" s="297" t="s">
        <v>547</v>
      </c>
      <c r="C60" s="298">
        <v>1.99</v>
      </c>
      <c r="D60" s="298">
        <v>2.02</v>
      </c>
      <c r="E60" s="298">
        <v>0.74525949921723</v>
      </c>
      <c r="F60" s="299">
        <v>2.2357784976516918E-4</v>
      </c>
      <c r="G60" s="299" t="s">
        <v>293</v>
      </c>
      <c r="H60" s="218"/>
      <c r="I60" s="182"/>
    </row>
    <row r="61" spans="1:9">
      <c r="A61" s="296">
        <v>43038</v>
      </c>
      <c r="B61" s="297" t="s">
        <v>768</v>
      </c>
      <c r="C61" s="298">
        <v>2.35</v>
      </c>
      <c r="D61" s="298">
        <v>2.36</v>
      </c>
      <c r="E61" s="298">
        <v>7.6040205192941999</v>
      </c>
      <c r="F61" s="299">
        <v>7.6040205192940379E-4</v>
      </c>
      <c r="G61" s="299" t="s">
        <v>293</v>
      </c>
      <c r="H61" s="218"/>
      <c r="I61" s="182"/>
    </row>
    <row r="62" spans="1:9">
      <c r="A62" s="296">
        <v>43038</v>
      </c>
      <c r="B62" s="297" t="s">
        <v>630</v>
      </c>
      <c r="C62" s="298">
        <v>5.44</v>
      </c>
      <c r="D62" s="298">
        <v>5.43</v>
      </c>
      <c r="E62" s="298">
        <v>3.1278020589019002</v>
      </c>
      <c r="F62" s="299">
        <v>-3.1278020589021115E-4</v>
      </c>
      <c r="G62" s="299" t="s">
        <v>293</v>
      </c>
      <c r="H62" s="218"/>
      <c r="I62" s="182"/>
    </row>
    <row r="63" spans="1:9">
      <c r="A63" s="296">
        <v>43038</v>
      </c>
      <c r="B63" s="297" t="s">
        <v>1050</v>
      </c>
      <c r="C63" s="298">
        <v>1.95</v>
      </c>
      <c r="D63" s="298">
        <v>1.96</v>
      </c>
      <c r="E63" s="298">
        <v>4.2375500980445002</v>
      </c>
      <c r="F63" s="299">
        <v>4.2375500980445038E-4</v>
      </c>
      <c r="G63" s="299" t="s">
        <v>293</v>
      </c>
      <c r="H63" s="218"/>
      <c r="I63" s="182"/>
    </row>
    <row r="64" spans="1:9">
      <c r="A64" s="296">
        <v>43038</v>
      </c>
      <c r="B64" s="297" t="s">
        <v>553</v>
      </c>
      <c r="C64" s="298">
        <v>1.98</v>
      </c>
      <c r="D64" s="298">
        <v>1.98</v>
      </c>
      <c r="E64" s="298">
        <v>0.91275908101432002</v>
      </c>
      <c r="F64" s="299">
        <v>0</v>
      </c>
      <c r="G64" s="299" t="s">
        <v>293</v>
      </c>
      <c r="H64" s="218"/>
      <c r="I64" s="182"/>
    </row>
    <row r="65" spans="1:9">
      <c r="A65" s="296">
        <v>43038</v>
      </c>
      <c r="B65" s="297" t="s">
        <v>700</v>
      </c>
      <c r="C65" s="298">
        <v>2</v>
      </c>
      <c r="D65" s="298">
        <v>1.97</v>
      </c>
      <c r="E65" s="298">
        <v>4.8438038969801998</v>
      </c>
      <c r="F65" s="299">
        <v>-1.453141169094061E-3</v>
      </c>
      <c r="G65" s="299" t="s">
        <v>293</v>
      </c>
      <c r="H65" s="218"/>
      <c r="I65" s="182"/>
    </row>
    <row r="66" spans="1:9">
      <c r="A66" s="296">
        <v>43038</v>
      </c>
      <c r="B66" s="297" t="s">
        <v>1527</v>
      </c>
      <c r="C66" s="298">
        <v>2.0699999999999998</v>
      </c>
      <c r="D66" s="298">
        <v>2.08</v>
      </c>
      <c r="E66" s="298">
        <v>5.6787725767788997</v>
      </c>
      <c r="F66" s="299">
        <v>5.6787725767790305E-4</v>
      </c>
      <c r="G66" s="299" t="s">
        <v>293</v>
      </c>
      <c r="H66" s="218"/>
      <c r="I66" s="182"/>
    </row>
    <row r="67" spans="1:9">
      <c r="A67" s="296">
        <v>43038</v>
      </c>
      <c r="B67" s="297" t="s">
        <v>1161</v>
      </c>
      <c r="C67" s="298">
        <v>2.75</v>
      </c>
      <c r="D67" s="298">
        <v>2.76</v>
      </c>
      <c r="E67" s="298">
        <v>9.9520861199485005</v>
      </c>
      <c r="F67" s="299">
        <v>9.9520861199482876E-4</v>
      </c>
      <c r="G67" s="299" t="s">
        <v>293</v>
      </c>
      <c r="H67" s="218"/>
      <c r="I67" s="182"/>
    </row>
    <row r="68" spans="1:9">
      <c r="A68" s="296">
        <v>43038</v>
      </c>
      <c r="B68" s="297" t="s">
        <v>993</v>
      </c>
      <c r="C68" s="298">
        <v>1.96</v>
      </c>
      <c r="D68" s="298">
        <v>2</v>
      </c>
      <c r="E68" s="298">
        <v>0.61575570959349002</v>
      </c>
      <c r="F68" s="299">
        <v>2.4630228383739624E-4</v>
      </c>
      <c r="G68" s="299" t="s">
        <v>293</v>
      </c>
      <c r="H68" s="218"/>
      <c r="I68" s="182"/>
    </row>
    <row r="69" spans="1:9">
      <c r="A69" s="296">
        <v>43038</v>
      </c>
      <c r="B69" s="297" t="s">
        <v>563</v>
      </c>
      <c r="C69" s="298">
        <v>1.99</v>
      </c>
      <c r="D69" s="298">
        <v>1.99</v>
      </c>
      <c r="E69" s="298">
        <v>1.3974744411924001</v>
      </c>
      <c r="F69" s="299">
        <v>0</v>
      </c>
      <c r="G69" s="299" t="s">
        <v>293</v>
      </c>
      <c r="H69" s="218"/>
      <c r="I69" s="182"/>
    </row>
    <row r="70" spans="1:9">
      <c r="A70" s="296">
        <v>43038</v>
      </c>
      <c r="B70" s="297" t="s">
        <v>1030</v>
      </c>
      <c r="C70" s="298">
        <v>1.84</v>
      </c>
      <c r="D70" s="298">
        <v>1.87</v>
      </c>
      <c r="E70" s="298">
        <v>0.49601328344211998</v>
      </c>
      <c r="F70" s="299">
        <v>1.4880398503263611E-4</v>
      </c>
      <c r="G70" s="299" t="s">
        <v>293</v>
      </c>
      <c r="H70" s="218"/>
      <c r="I70" s="182"/>
    </row>
    <row r="71" spans="1:9">
      <c r="A71" s="296">
        <v>43038</v>
      </c>
      <c r="B71" s="297" t="s">
        <v>598</v>
      </c>
      <c r="C71" s="298">
        <v>4.33</v>
      </c>
      <c r="D71" s="298">
        <v>4.3</v>
      </c>
      <c r="E71" s="298">
        <v>2.3049437667817001</v>
      </c>
      <c r="F71" s="299">
        <v>-6.9148313003451571E-4</v>
      </c>
      <c r="G71" s="299" t="s">
        <v>293</v>
      </c>
      <c r="H71" s="218"/>
      <c r="I71" s="182"/>
    </row>
    <row r="72" spans="1:9">
      <c r="A72" s="296">
        <v>43038</v>
      </c>
      <c r="B72" s="297" t="s">
        <v>624</v>
      </c>
      <c r="C72" s="298">
        <v>2.0099999999999998</v>
      </c>
      <c r="D72" s="298">
        <v>2.02</v>
      </c>
      <c r="E72" s="298">
        <v>2.7577214980923999</v>
      </c>
      <c r="F72" s="299">
        <v>2.7577214980924636E-4</v>
      </c>
      <c r="G72" s="299" t="s">
        <v>293</v>
      </c>
      <c r="H72" s="218"/>
      <c r="I72" s="182"/>
    </row>
    <row r="73" spans="1:9">
      <c r="A73" s="296">
        <v>43038</v>
      </c>
      <c r="B73" s="297" t="s">
        <v>708</v>
      </c>
      <c r="C73" s="298">
        <v>2.4</v>
      </c>
      <c r="D73" s="298">
        <v>2.4</v>
      </c>
      <c r="E73" s="298">
        <v>5.5641565992222999</v>
      </c>
      <c r="F73" s="299">
        <v>0</v>
      </c>
      <c r="G73" s="299" t="s">
        <v>293</v>
      </c>
      <c r="H73" s="218"/>
      <c r="I73" s="182"/>
    </row>
    <row r="74" spans="1:9">
      <c r="A74" s="296">
        <v>43038</v>
      </c>
      <c r="B74" s="297" t="s">
        <v>743</v>
      </c>
      <c r="C74" s="298">
        <v>2.64</v>
      </c>
      <c r="D74" s="298">
        <v>2.65</v>
      </c>
      <c r="E74" s="298">
        <v>7.1550299598149998</v>
      </c>
      <c r="F74" s="299">
        <v>7.155029959814847E-4</v>
      </c>
      <c r="G74" s="299" t="s">
        <v>293</v>
      </c>
      <c r="H74" s="218"/>
      <c r="I74" s="182"/>
    </row>
    <row r="75" spans="1:9">
      <c r="A75" s="296">
        <v>43038</v>
      </c>
      <c r="B75" s="297" t="s">
        <v>786</v>
      </c>
      <c r="C75" s="298">
        <v>2.75</v>
      </c>
      <c r="D75" s="298">
        <v>2.76</v>
      </c>
      <c r="E75" s="298">
        <v>8.6641694654943997</v>
      </c>
      <c r="F75" s="299">
        <v>8.6641694654942148E-4</v>
      </c>
      <c r="G75" s="299" t="s">
        <v>293</v>
      </c>
      <c r="H75" s="218"/>
      <c r="I75" s="182"/>
    </row>
    <row r="76" spans="1:9">
      <c r="A76" s="296">
        <v>43038</v>
      </c>
      <c r="B76" s="297" t="s">
        <v>960</v>
      </c>
      <c r="C76" s="298">
        <v>2.84</v>
      </c>
      <c r="D76" s="298">
        <v>2.85</v>
      </c>
      <c r="E76" s="298">
        <v>11.83278850272</v>
      </c>
      <c r="F76" s="299">
        <v>1.1832788502720273E-3</v>
      </c>
      <c r="G76" s="299" t="s">
        <v>293</v>
      </c>
      <c r="H76" s="218"/>
      <c r="I76" s="182"/>
    </row>
    <row r="77" spans="1:9">
      <c r="A77" s="296">
        <v>43038</v>
      </c>
      <c r="B77" s="297" t="s">
        <v>500</v>
      </c>
      <c r="C77" s="298">
        <v>1.97</v>
      </c>
      <c r="D77" s="298">
        <v>2.0499999999999998</v>
      </c>
      <c r="E77" s="298">
        <v>2.5644547279644998</v>
      </c>
      <c r="F77" s="299">
        <v>2.0515637823715961E-3</v>
      </c>
      <c r="G77" s="299" t="s">
        <v>293</v>
      </c>
      <c r="H77" s="218"/>
      <c r="I77" s="182"/>
    </row>
    <row r="78" spans="1:9">
      <c r="A78" s="296">
        <v>43038</v>
      </c>
      <c r="B78" s="297" t="s">
        <v>1422</v>
      </c>
      <c r="C78" s="298">
        <v>2.56</v>
      </c>
      <c r="D78" s="298">
        <v>2.6</v>
      </c>
      <c r="E78" s="298">
        <v>7.6504434379321999</v>
      </c>
      <c r="F78" s="299">
        <v>3.0601773751728826E-3</v>
      </c>
      <c r="G78" s="299" t="s">
        <v>1955</v>
      </c>
      <c r="H78" s="218"/>
      <c r="I78" s="182"/>
    </row>
    <row r="79" spans="1:9">
      <c r="A79" s="296">
        <v>43038</v>
      </c>
      <c r="B79" s="297" t="s">
        <v>616</v>
      </c>
      <c r="C79" s="298">
        <v>4.0199999999999996</v>
      </c>
      <c r="D79" s="298">
        <v>4.0199999999999996</v>
      </c>
      <c r="E79" s="298">
        <v>2.6663759784262</v>
      </c>
      <c r="F79" s="299">
        <v>0</v>
      </c>
      <c r="G79" s="299" t="s">
        <v>293</v>
      </c>
      <c r="H79" s="218"/>
      <c r="I79" s="182"/>
    </row>
    <row r="80" spans="1:9">
      <c r="A80" s="296">
        <v>43038</v>
      </c>
      <c r="B80" s="297" t="s">
        <v>1533</v>
      </c>
      <c r="C80" s="298">
        <v>4.3899999999999997</v>
      </c>
      <c r="D80" s="298">
        <v>4.37</v>
      </c>
      <c r="E80" s="298">
        <v>3.5197010677440002</v>
      </c>
      <c r="F80" s="299">
        <v>-7.03940213548785E-4</v>
      </c>
      <c r="G80" s="299" t="s">
        <v>293</v>
      </c>
      <c r="H80" s="218"/>
      <c r="I80" s="182"/>
    </row>
    <row r="81" spans="1:9">
      <c r="A81" s="296">
        <v>43038</v>
      </c>
      <c r="B81" s="297" t="s">
        <v>489</v>
      </c>
      <c r="C81" s="298">
        <v>2.0699999999999998</v>
      </c>
      <c r="D81" s="298">
        <v>2.09</v>
      </c>
      <c r="E81" s="298">
        <v>2.1414582574105001</v>
      </c>
      <c r="F81" s="299">
        <v>4.2829165148210039E-4</v>
      </c>
      <c r="G81" s="299" t="s">
        <v>293</v>
      </c>
      <c r="H81" s="218"/>
      <c r="I81" s="182"/>
    </row>
    <row r="82" spans="1:9">
      <c r="A82" s="296">
        <v>43038</v>
      </c>
      <c r="B82" s="297" t="s">
        <v>13</v>
      </c>
      <c r="C82" s="298">
        <v>3.76</v>
      </c>
      <c r="D82" s="298">
        <v>3.76</v>
      </c>
      <c r="E82" s="298">
        <v>3.8724121894515</v>
      </c>
      <c r="F82" s="299">
        <v>0</v>
      </c>
      <c r="G82" s="299" t="s">
        <v>293</v>
      </c>
      <c r="H82" s="218"/>
      <c r="I82" s="182"/>
    </row>
    <row r="83" spans="1:9">
      <c r="A83" s="296">
        <v>43038</v>
      </c>
      <c r="B83" s="297" t="s">
        <v>14</v>
      </c>
      <c r="C83" s="298">
        <v>3.77</v>
      </c>
      <c r="D83" s="298">
        <v>3.77</v>
      </c>
      <c r="E83" s="298">
        <v>4.6473129985349999</v>
      </c>
      <c r="F83" s="299">
        <v>0</v>
      </c>
      <c r="G83" s="299" t="s">
        <v>293</v>
      </c>
      <c r="H83" s="218"/>
      <c r="I83" s="182"/>
    </row>
    <row r="84" spans="1:9">
      <c r="A84" s="296">
        <v>43038</v>
      </c>
      <c r="B84" s="297" t="s">
        <v>1469</v>
      </c>
      <c r="C84" s="298">
        <v>3.9</v>
      </c>
      <c r="D84" s="298">
        <v>3.9</v>
      </c>
      <c r="E84" s="298">
        <v>3.1847957584976001</v>
      </c>
      <c r="F84" s="299">
        <v>0</v>
      </c>
      <c r="G84" s="299" t="s">
        <v>293</v>
      </c>
      <c r="H84" s="218"/>
      <c r="I84" s="182"/>
    </row>
    <row r="85" spans="1:9">
      <c r="A85" s="296">
        <v>43038</v>
      </c>
      <c r="B85" s="297" t="s">
        <v>1471</v>
      </c>
      <c r="C85" s="298">
        <v>3.86</v>
      </c>
      <c r="D85" s="298">
        <v>3.86</v>
      </c>
      <c r="E85" s="298">
        <v>3.1849611277112002</v>
      </c>
      <c r="F85" s="299">
        <v>0</v>
      </c>
      <c r="G85" s="299" t="s">
        <v>293</v>
      </c>
      <c r="H85" s="218"/>
      <c r="I85" s="182"/>
    </row>
    <row r="86" spans="1:9">
      <c r="A86" s="296">
        <v>43038</v>
      </c>
      <c r="B86" s="297" t="s">
        <v>1880</v>
      </c>
      <c r="C86" s="298">
        <v>3.06</v>
      </c>
      <c r="D86" s="298">
        <v>3.06</v>
      </c>
      <c r="E86" s="298">
        <v>1.8603757587189</v>
      </c>
      <c r="F86" s="299">
        <v>0</v>
      </c>
      <c r="G86" s="299" t="s">
        <v>293</v>
      </c>
      <c r="H86" s="218"/>
      <c r="I86" s="182"/>
    </row>
    <row r="87" spans="1:9">
      <c r="A87" s="296">
        <v>43038</v>
      </c>
      <c r="B87" s="297" t="s">
        <v>558</v>
      </c>
      <c r="C87" s="298">
        <v>3.8</v>
      </c>
      <c r="D87" s="298">
        <v>3.79</v>
      </c>
      <c r="E87" s="298">
        <v>1.3296061536109001</v>
      </c>
      <c r="F87" s="299">
        <v>-1.3296061536108717E-4</v>
      </c>
      <c r="G87" s="299" t="s">
        <v>293</v>
      </c>
      <c r="H87" s="218"/>
      <c r="I87" s="182"/>
    </row>
    <row r="88" spans="1:9">
      <c r="A88" s="296">
        <v>43038</v>
      </c>
      <c r="B88" s="297" t="s">
        <v>426</v>
      </c>
      <c r="C88" s="298">
        <v>2.33</v>
      </c>
      <c r="D88" s="298">
        <v>2.35</v>
      </c>
      <c r="E88" s="298">
        <v>0.50564265225714999</v>
      </c>
      <c r="F88" s="299">
        <v>1.0112853045143008E-4</v>
      </c>
      <c r="G88" s="299" t="s">
        <v>293</v>
      </c>
      <c r="H88" s="218"/>
      <c r="I88" s="182"/>
    </row>
    <row r="89" spans="1:9">
      <c r="A89" s="296">
        <v>43038</v>
      </c>
      <c r="B89" s="297" t="s">
        <v>1237</v>
      </c>
      <c r="C89" s="298">
        <v>2.92</v>
      </c>
      <c r="D89" s="298">
        <v>2.92</v>
      </c>
      <c r="E89" s="298">
        <v>11.280847585775</v>
      </c>
      <c r="F89" s="299">
        <v>0</v>
      </c>
      <c r="G89" s="299" t="s">
        <v>293</v>
      </c>
      <c r="H89" s="218"/>
      <c r="I89" s="182"/>
    </row>
    <row r="90" spans="1:9">
      <c r="A90" s="296">
        <v>43038</v>
      </c>
      <c r="B90" s="297" t="s">
        <v>35</v>
      </c>
      <c r="C90" s="298">
        <v>1.28</v>
      </c>
      <c r="D90" s="298">
        <v>1.28</v>
      </c>
      <c r="E90" s="298">
        <v>4.0911810384880001</v>
      </c>
      <c r="F90" s="299">
        <v>0</v>
      </c>
      <c r="G90" s="299" t="s">
        <v>293</v>
      </c>
      <c r="H90" s="218"/>
      <c r="I90" s="182"/>
    </row>
    <row r="91" spans="1:9">
      <c r="A91" s="296">
        <v>43038</v>
      </c>
      <c r="B91" s="297" t="s">
        <v>194</v>
      </c>
      <c r="C91" s="298">
        <v>1.25</v>
      </c>
      <c r="D91" s="298">
        <v>1.29</v>
      </c>
      <c r="E91" s="298">
        <v>0.74615898183273999</v>
      </c>
      <c r="F91" s="299">
        <v>2.9846359273309623E-4</v>
      </c>
      <c r="G91" s="299" t="s">
        <v>293</v>
      </c>
      <c r="H91" s="218"/>
      <c r="I91" s="182"/>
    </row>
    <row r="92" spans="1:9">
      <c r="A92" s="296">
        <v>43038</v>
      </c>
      <c r="B92" s="297" t="s">
        <v>734</v>
      </c>
      <c r="C92" s="298">
        <v>2.44</v>
      </c>
      <c r="D92" s="298">
        <v>2.46</v>
      </c>
      <c r="E92" s="298">
        <v>6.3980805765986997</v>
      </c>
      <c r="F92" s="299">
        <v>1.2796161153197411E-3</v>
      </c>
      <c r="G92" s="299" t="s">
        <v>293</v>
      </c>
      <c r="H92" s="218"/>
      <c r="I92" s="182"/>
    </row>
    <row r="93" spans="1:9">
      <c r="A93" s="296">
        <v>43038</v>
      </c>
      <c r="B93" s="297" t="s">
        <v>1046</v>
      </c>
      <c r="C93" s="298">
        <v>4.5</v>
      </c>
      <c r="D93" s="298">
        <v>4.4800000000000004</v>
      </c>
      <c r="E93" s="298">
        <v>4.1800059705408996</v>
      </c>
      <c r="F93" s="299">
        <v>-8.3600119410816211E-4</v>
      </c>
      <c r="G93" s="299" t="s">
        <v>293</v>
      </c>
      <c r="H93" s="218"/>
      <c r="I93" s="182"/>
    </row>
    <row r="94" spans="1:9">
      <c r="A94" s="296">
        <v>43038</v>
      </c>
      <c r="B94" s="297" t="s">
        <v>755</v>
      </c>
      <c r="C94" s="298">
        <v>2.3199999999999998</v>
      </c>
      <c r="D94" s="298">
        <v>2.33</v>
      </c>
      <c r="E94" s="298">
        <v>7.3427059481116004</v>
      </c>
      <c r="F94" s="299">
        <v>7.3427059481117696E-4</v>
      </c>
      <c r="G94" s="299" t="s">
        <v>293</v>
      </c>
      <c r="H94" s="218"/>
      <c r="I94" s="182"/>
    </row>
    <row r="95" spans="1:9">
      <c r="A95" s="296">
        <v>43038</v>
      </c>
      <c r="B95" s="297" t="s">
        <v>897</v>
      </c>
      <c r="C95" s="298">
        <v>2.36</v>
      </c>
      <c r="D95" s="298">
        <v>2.37</v>
      </c>
      <c r="E95" s="298">
        <v>6.2528117654097999</v>
      </c>
      <c r="F95" s="299">
        <v>6.2528117654099438E-4</v>
      </c>
      <c r="G95" s="299" t="s">
        <v>293</v>
      </c>
      <c r="H95" s="218"/>
      <c r="I95" s="182"/>
    </row>
    <row r="96" spans="1:9">
      <c r="A96" s="296">
        <v>43038</v>
      </c>
      <c r="B96" s="297" t="s">
        <v>953</v>
      </c>
      <c r="C96" s="298">
        <v>3.22</v>
      </c>
      <c r="D96" s="298">
        <v>3.23</v>
      </c>
      <c r="E96" s="298">
        <v>11.399514634293</v>
      </c>
      <c r="F96" s="299">
        <v>1.1399514634292756E-3</v>
      </c>
      <c r="G96" s="299" t="s">
        <v>293</v>
      </c>
      <c r="H96" s="218"/>
      <c r="I96" s="182"/>
    </row>
    <row r="97" spans="1:9">
      <c r="A97" s="296">
        <v>43038</v>
      </c>
      <c r="B97" s="297" t="s">
        <v>752</v>
      </c>
      <c r="C97" s="298">
        <v>2.36</v>
      </c>
      <c r="D97" s="298">
        <v>2.36</v>
      </c>
      <c r="E97" s="298">
        <v>7.0636428033197003</v>
      </c>
      <c r="F97" s="299">
        <v>0</v>
      </c>
      <c r="G97" s="299" t="s">
        <v>293</v>
      </c>
      <c r="H97" s="218"/>
      <c r="I97" s="182"/>
    </row>
    <row r="98" spans="1:9">
      <c r="A98" s="296">
        <v>43038</v>
      </c>
      <c r="B98" s="297" t="s">
        <v>719</v>
      </c>
      <c r="C98" s="298">
        <v>2.4300000000000002</v>
      </c>
      <c r="D98" s="298">
        <v>2.46</v>
      </c>
      <c r="E98" s="298">
        <v>5.9322649840619004</v>
      </c>
      <c r="F98" s="299">
        <v>1.7796794952185584E-3</v>
      </c>
      <c r="G98" s="299" t="s">
        <v>293</v>
      </c>
      <c r="H98" s="218"/>
      <c r="I98" s="182"/>
    </row>
    <row r="99" spans="1:9">
      <c r="A99" s="296">
        <v>43038</v>
      </c>
      <c r="B99" s="297" t="s">
        <v>1003</v>
      </c>
      <c r="C99" s="298">
        <v>2.11</v>
      </c>
      <c r="D99" s="298">
        <v>2.12</v>
      </c>
      <c r="E99" s="298">
        <v>2.8624659010943998</v>
      </c>
      <c r="F99" s="299">
        <v>2.8624659010944659E-4</v>
      </c>
      <c r="G99" s="299" t="s">
        <v>293</v>
      </c>
      <c r="H99" s="218"/>
      <c r="I99" s="182"/>
    </row>
    <row r="100" spans="1:9">
      <c r="A100" s="296">
        <v>43038</v>
      </c>
      <c r="B100" s="297" t="s">
        <v>847</v>
      </c>
      <c r="C100" s="298">
        <v>4.67</v>
      </c>
      <c r="D100" s="298">
        <v>4.68</v>
      </c>
      <c r="E100" s="298">
        <v>3.0453819015871</v>
      </c>
      <c r="F100" s="299">
        <v>3.0453819015870348E-4</v>
      </c>
      <c r="G100" s="299" t="s">
        <v>293</v>
      </c>
      <c r="H100" s="218"/>
      <c r="I100" s="182"/>
    </row>
    <row r="101" spans="1:9">
      <c r="A101" s="296">
        <v>43038</v>
      </c>
      <c r="B101" s="297" t="s">
        <v>1260</v>
      </c>
      <c r="C101" s="298">
        <v>2.2799999999999998</v>
      </c>
      <c r="D101" s="298">
        <v>2.2999999999999998</v>
      </c>
      <c r="E101" s="298">
        <v>4.6748804906577002</v>
      </c>
      <c r="F101" s="299">
        <v>9.3497609813154089E-4</v>
      </c>
      <c r="G101" s="299" t="s">
        <v>293</v>
      </c>
      <c r="H101" s="218"/>
      <c r="I101" s="182"/>
    </row>
    <row r="102" spans="1:9">
      <c r="A102" s="296">
        <v>43038</v>
      </c>
      <c r="B102" s="297" t="s">
        <v>1255</v>
      </c>
      <c r="C102" s="298">
        <v>2.2000000000000002</v>
      </c>
      <c r="D102" s="298">
        <v>2.2000000000000002</v>
      </c>
      <c r="E102" s="298">
        <v>8.7671232876711996E-2</v>
      </c>
      <c r="F102" s="299">
        <v>0</v>
      </c>
      <c r="G102" s="299" t="s">
        <v>293</v>
      </c>
      <c r="H102" s="218"/>
      <c r="I102" s="182"/>
    </row>
    <row r="103" spans="1:9">
      <c r="A103" s="296">
        <v>43038</v>
      </c>
      <c r="B103" s="297" t="s">
        <v>731</v>
      </c>
      <c r="C103" s="298">
        <v>2.1</v>
      </c>
      <c r="D103" s="298">
        <v>2.1</v>
      </c>
      <c r="E103" s="298">
        <v>6.1501517698125001</v>
      </c>
      <c r="F103" s="299">
        <v>0</v>
      </c>
      <c r="G103" s="299" t="s">
        <v>293</v>
      </c>
      <c r="H103" s="218"/>
      <c r="I103" s="182"/>
    </row>
    <row r="104" spans="1:9">
      <c r="A104" s="296">
        <v>43038</v>
      </c>
      <c r="B104" s="297" t="s">
        <v>1529</v>
      </c>
      <c r="C104" s="298">
        <v>2.2200000000000002</v>
      </c>
      <c r="D104" s="298">
        <v>2.23</v>
      </c>
      <c r="E104" s="298">
        <v>6.6388583090443998</v>
      </c>
      <c r="F104" s="299">
        <v>6.6388583090442579E-4</v>
      </c>
      <c r="G104" s="299" t="s">
        <v>293</v>
      </c>
      <c r="H104" s="218"/>
      <c r="I104" s="182"/>
    </row>
    <row r="105" spans="1:9">
      <c r="A105" s="296">
        <v>43038</v>
      </c>
      <c r="B105" s="297" t="s">
        <v>1501</v>
      </c>
      <c r="C105" s="298">
        <v>2.33</v>
      </c>
      <c r="D105" s="298">
        <v>2.35</v>
      </c>
      <c r="E105" s="298">
        <v>6.7919714777331004</v>
      </c>
      <c r="F105" s="299">
        <v>1.3583942955466212E-3</v>
      </c>
      <c r="G105" s="299" t="s">
        <v>293</v>
      </c>
      <c r="H105" s="218"/>
      <c r="I105" s="182"/>
    </row>
    <row r="106" spans="1:9">
      <c r="A106" s="296">
        <v>43038</v>
      </c>
      <c r="B106" s="297" t="s">
        <v>1220</v>
      </c>
      <c r="C106" s="298">
        <v>2.14</v>
      </c>
      <c r="D106" s="298">
        <v>2.14</v>
      </c>
      <c r="E106" s="298">
        <v>4.6691709371282997</v>
      </c>
      <c r="F106" s="299">
        <v>0</v>
      </c>
      <c r="G106" s="299" t="s">
        <v>293</v>
      </c>
      <c r="H106" s="218"/>
      <c r="I106" s="182"/>
    </row>
    <row r="107" spans="1:9">
      <c r="A107" s="296">
        <v>43038</v>
      </c>
      <c r="B107" s="297" t="s">
        <v>609</v>
      </c>
      <c r="C107" s="298">
        <v>1.93</v>
      </c>
      <c r="D107" s="298">
        <v>1.93</v>
      </c>
      <c r="E107" s="298">
        <v>2.4269310044362999</v>
      </c>
      <c r="F107" s="299">
        <v>0</v>
      </c>
      <c r="G107" s="299" t="s">
        <v>293</v>
      </c>
      <c r="H107" s="218"/>
      <c r="I107" s="182"/>
    </row>
    <row r="108" spans="1:9">
      <c r="A108" s="296">
        <v>43038</v>
      </c>
      <c r="B108" s="297" t="s">
        <v>27</v>
      </c>
      <c r="C108" s="298">
        <v>2.66</v>
      </c>
      <c r="D108" s="298">
        <v>2.67</v>
      </c>
      <c r="E108" s="298">
        <v>8.9765290296786002</v>
      </c>
      <c r="F108" s="299">
        <v>8.9765290296784088E-4</v>
      </c>
      <c r="G108" s="299" t="s">
        <v>293</v>
      </c>
      <c r="H108" s="218"/>
      <c r="I108" s="182"/>
    </row>
    <row r="109" spans="1:9">
      <c r="A109" s="296">
        <v>43038</v>
      </c>
      <c r="B109" s="297" t="s">
        <v>968</v>
      </c>
      <c r="C109" s="298">
        <v>2.96</v>
      </c>
      <c r="D109" s="298">
        <v>2.97</v>
      </c>
      <c r="E109" s="298">
        <v>13.766231698193</v>
      </c>
      <c r="F109" s="299">
        <v>1.3766231698193318E-3</v>
      </c>
      <c r="G109" s="299" t="s">
        <v>293</v>
      </c>
      <c r="H109" s="218"/>
      <c r="I109" s="182"/>
    </row>
    <row r="110" spans="1:9">
      <c r="A110" s="296">
        <v>43038</v>
      </c>
      <c r="B110" s="297" t="s">
        <v>601</v>
      </c>
      <c r="C110" s="298">
        <v>4.22</v>
      </c>
      <c r="D110" s="298">
        <v>4.22</v>
      </c>
      <c r="E110" s="298">
        <v>2.4808120183201998</v>
      </c>
      <c r="F110" s="299">
        <v>0</v>
      </c>
      <c r="G110" s="299" t="s">
        <v>293</v>
      </c>
      <c r="H110" s="218"/>
      <c r="I110" s="182"/>
    </row>
    <row r="111" spans="1:9">
      <c r="A111" s="296">
        <v>43038</v>
      </c>
      <c r="B111" s="297" t="s">
        <v>1028</v>
      </c>
      <c r="C111" s="298">
        <v>4.4800000000000004</v>
      </c>
      <c r="D111" s="298">
        <v>4.4800000000000004</v>
      </c>
      <c r="E111" s="298">
        <v>3.4229228329437</v>
      </c>
      <c r="F111" s="299">
        <v>0</v>
      </c>
      <c r="G111" s="299" t="s">
        <v>293</v>
      </c>
      <c r="H111" s="218"/>
      <c r="I111" s="182"/>
    </row>
    <row r="112" spans="1:9">
      <c r="A112" s="296">
        <v>43038</v>
      </c>
      <c r="B112" s="297" t="s">
        <v>1534</v>
      </c>
      <c r="C112" s="298">
        <v>4.42</v>
      </c>
      <c r="D112" s="298">
        <v>4.4000000000000004</v>
      </c>
      <c r="E112" s="298">
        <v>3.6621336611149999</v>
      </c>
      <c r="F112" s="299">
        <v>-7.3242673222298439E-4</v>
      </c>
      <c r="G112" s="299" t="s">
        <v>293</v>
      </c>
      <c r="H112" s="218"/>
      <c r="I112" s="182"/>
    </row>
    <row r="113" spans="1:9">
      <c r="A113" s="296">
        <v>43038</v>
      </c>
      <c r="B113" s="297" t="s">
        <v>820</v>
      </c>
      <c r="C113" s="298">
        <v>2.95</v>
      </c>
      <c r="D113" s="298">
        <v>2.98</v>
      </c>
      <c r="E113" s="298">
        <v>1.8568046717524</v>
      </c>
      <c r="F113" s="299">
        <v>5.570414015257163E-4</v>
      </c>
      <c r="G113" s="299" t="s">
        <v>293</v>
      </c>
      <c r="H113" s="218"/>
      <c r="I113" s="182"/>
    </row>
    <row r="114" spans="1:9">
      <c r="A114" s="296">
        <v>43038</v>
      </c>
      <c r="B114" s="297" t="s">
        <v>829</v>
      </c>
      <c r="C114" s="298">
        <v>3.8</v>
      </c>
      <c r="D114" s="298">
        <v>3.8</v>
      </c>
      <c r="E114" s="298">
        <v>1.5818712499322001</v>
      </c>
      <c r="F114" s="299">
        <v>0</v>
      </c>
      <c r="G114" s="299" t="s">
        <v>293</v>
      </c>
      <c r="H114" s="218"/>
      <c r="I114" s="182"/>
    </row>
    <row r="115" spans="1:9">
      <c r="A115" s="296">
        <v>43038</v>
      </c>
      <c r="B115" s="297" t="s">
        <v>496</v>
      </c>
      <c r="C115" s="298">
        <v>4.18</v>
      </c>
      <c r="D115" s="298">
        <v>4.17</v>
      </c>
      <c r="E115" s="298">
        <v>2.2992904568760002</v>
      </c>
      <c r="F115" s="299">
        <v>-2.2992904568759512E-4</v>
      </c>
      <c r="G115" s="299" t="s">
        <v>293</v>
      </c>
      <c r="H115" s="218"/>
      <c r="I115" s="182"/>
    </row>
    <row r="116" spans="1:9">
      <c r="A116" s="296">
        <v>43038</v>
      </c>
      <c r="B116" s="297" t="s">
        <v>502</v>
      </c>
      <c r="C116" s="298">
        <v>2.09</v>
      </c>
      <c r="D116" s="298">
        <v>2.1</v>
      </c>
      <c r="E116" s="298">
        <v>2.6763005839649998</v>
      </c>
      <c r="F116" s="299">
        <v>2.6763005839650615E-4</v>
      </c>
      <c r="G116" s="299" t="s">
        <v>293</v>
      </c>
      <c r="H116" s="218"/>
      <c r="I116" s="182"/>
    </row>
    <row r="117" spans="1:9">
      <c r="A117" s="296">
        <v>43038</v>
      </c>
      <c r="B117" s="297" t="s">
        <v>1500</v>
      </c>
      <c r="C117" s="298">
        <v>4.57</v>
      </c>
      <c r="D117" s="298">
        <v>4.5599999999999996</v>
      </c>
      <c r="E117" s="298">
        <v>3.6373490487337001</v>
      </c>
      <c r="F117" s="299">
        <v>-3.6373490487339458E-4</v>
      </c>
      <c r="G117" s="299" t="s">
        <v>293</v>
      </c>
      <c r="H117" s="218"/>
      <c r="I117" s="182"/>
    </row>
    <row r="118" spans="1:9">
      <c r="A118" s="296">
        <v>43038</v>
      </c>
      <c r="B118" s="297" t="s">
        <v>635</v>
      </c>
      <c r="C118" s="298">
        <v>2.1</v>
      </c>
      <c r="D118" s="298">
        <v>2.12</v>
      </c>
      <c r="E118" s="298">
        <v>3.1893281702116001</v>
      </c>
      <c r="F118" s="299">
        <v>6.3786563404232054E-4</v>
      </c>
      <c r="G118" s="299" t="s">
        <v>293</v>
      </c>
      <c r="H118" s="218"/>
      <c r="I118" s="182"/>
    </row>
    <row r="119" spans="1:9">
      <c r="A119" s="296">
        <v>43038</v>
      </c>
      <c r="B119" s="297" t="s">
        <v>1392</v>
      </c>
      <c r="C119" s="298">
        <v>2.1800000000000002</v>
      </c>
      <c r="D119" s="298">
        <v>2.2400000000000002</v>
      </c>
      <c r="E119" s="298">
        <v>4.1708487364723004</v>
      </c>
      <c r="F119" s="299">
        <v>2.5025092418833822E-3</v>
      </c>
      <c r="G119" s="299" t="s">
        <v>293</v>
      </c>
      <c r="H119" s="218"/>
      <c r="I119" s="182"/>
    </row>
    <row r="120" spans="1:9">
      <c r="A120" s="296">
        <v>43038</v>
      </c>
      <c r="B120" s="297" t="s">
        <v>1943</v>
      </c>
      <c r="C120" s="298">
        <v>2.14</v>
      </c>
      <c r="D120" s="298">
        <v>2.14</v>
      </c>
      <c r="E120" s="298">
        <v>4.4642775230984002</v>
      </c>
      <c r="F120" s="299">
        <v>0</v>
      </c>
      <c r="G120" s="299" t="s">
        <v>293</v>
      </c>
      <c r="H120" s="218"/>
      <c r="I120" s="182"/>
    </row>
    <row r="121" spans="1:9">
      <c r="A121" s="296">
        <v>43038</v>
      </c>
      <c r="B121" s="297" t="s">
        <v>571</v>
      </c>
      <c r="C121" s="298">
        <v>1.9</v>
      </c>
      <c r="D121" s="298">
        <v>1.9</v>
      </c>
      <c r="E121" s="298">
        <v>1.7372033315294</v>
      </c>
      <c r="F121" s="299">
        <v>0</v>
      </c>
      <c r="G121" s="299" t="s">
        <v>293</v>
      </c>
      <c r="H121" s="218"/>
      <c r="I121" s="182"/>
    </row>
    <row r="122" spans="1:9">
      <c r="A122" s="296">
        <v>43038</v>
      </c>
      <c r="B122" s="297" t="s">
        <v>925</v>
      </c>
      <c r="C122" s="298">
        <v>2.8</v>
      </c>
      <c r="D122" s="298">
        <v>2.81</v>
      </c>
      <c r="E122" s="298">
        <v>8.4539980441533</v>
      </c>
      <c r="F122" s="299">
        <v>8.4539980441534948E-4</v>
      </c>
      <c r="G122" s="299" t="s">
        <v>293</v>
      </c>
      <c r="H122" s="218"/>
      <c r="I122" s="182"/>
    </row>
    <row r="123" spans="1:9">
      <c r="A123" s="296">
        <v>43038</v>
      </c>
      <c r="B123" s="297" t="s">
        <v>858</v>
      </c>
      <c r="C123" s="298">
        <v>2.2400000000000002</v>
      </c>
      <c r="D123" s="298">
        <v>2.25</v>
      </c>
      <c r="E123" s="298">
        <v>3.9220942607717002</v>
      </c>
      <c r="F123" s="299">
        <v>3.9220942607716164E-4</v>
      </c>
      <c r="G123" s="299" t="s">
        <v>293</v>
      </c>
      <c r="H123" s="218"/>
      <c r="I123" s="182"/>
    </row>
    <row r="124" spans="1:9">
      <c r="A124" s="296">
        <v>43038</v>
      </c>
      <c r="B124" s="297" t="s">
        <v>923</v>
      </c>
      <c r="C124" s="298">
        <v>3.34</v>
      </c>
      <c r="D124" s="298">
        <v>3.34</v>
      </c>
      <c r="E124" s="298">
        <v>8.1989907750584994</v>
      </c>
      <c r="F124" s="299">
        <v>0</v>
      </c>
      <c r="G124" s="299" t="s">
        <v>293</v>
      </c>
      <c r="H124" s="218"/>
      <c r="I124" s="182"/>
    </row>
    <row r="125" spans="1:9">
      <c r="A125" s="296">
        <v>43038</v>
      </c>
      <c r="B125" s="297" t="s">
        <v>817</v>
      </c>
      <c r="C125" s="298">
        <v>5.18</v>
      </c>
      <c r="D125" s="298">
        <v>5.2</v>
      </c>
      <c r="E125" s="298">
        <v>8.7671232876711996E-2</v>
      </c>
      <c r="F125" s="299">
        <v>1.7534246575342804E-5</v>
      </c>
      <c r="G125" s="299" t="s">
        <v>293</v>
      </c>
      <c r="H125" s="218"/>
      <c r="I125" s="182"/>
    </row>
    <row r="126" spans="1:9">
      <c r="A126" s="296">
        <v>43038</v>
      </c>
      <c r="B126" s="297" t="s">
        <v>813</v>
      </c>
      <c r="C126" s="298">
        <v>5.52</v>
      </c>
      <c r="D126" s="298">
        <v>5.51</v>
      </c>
      <c r="E126" s="298">
        <v>0.41917808219177999</v>
      </c>
      <c r="F126" s="299">
        <v>-4.1917808219177103E-5</v>
      </c>
      <c r="G126" s="299" t="s">
        <v>293</v>
      </c>
      <c r="H126" s="218"/>
      <c r="I126" s="182"/>
    </row>
    <row r="127" spans="1:9">
      <c r="A127" s="296">
        <v>43038</v>
      </c>
      <c r="B127" s="297" t="s">
        <v>816</v>
      </c>
      <c r="C127" s="298">
        <v>3.31</v>
      </c>
      <c r="D127" s="298">
        <v>3.39</v>
      </c>
      <c r="E127" s="298">
        <v>0.50126612117228997</v>
      </c>
      <c r="F127" s="299">
        <v>4.0101289693783234E-4</v>
      </c>
      <c r="G127" s="299" t="s">
        <v>293</v>
      </c>
      <c r="H127" s="218"/>
      <c r="I127" s="182"/>
    </row>
    <row r="128" spans="1:9">
      <c r="A128" s="296">
        <v>43038</v>
      </c>
      <c r="B128" s="297" t="s">
        <v>1086</v>
      </c>
      <c r="C128" s="298">
        <v>3.24</v>
      </c>
      <c r="D128" s="298">
        <v>3.27</v>
      </c>
      <c r="E128" s="298">
        <v>1.0687651088596</v>
      </c>
      <c r="F128" s="299">
        <v>3.2062953265787788E-4</v>
      </c>
      <c r="G128" s="299" t="s">
        <v>293</v>
      </c>
      <c r="H128" s="218"/>
      <c r="I128" s="182"/>
    </row>
    <row r="129" spans="1:9">
      <c r="A129" s="296">
        <v>43038</v>
      </c>
      <c r="B129" s="297" t="s">
        <v>1489</v>
      </c>
      <c r="C129" s="298">
        <v>3.21</v>
      </c>
      <c r="D129" s="298">
        <v>3.21</v>
      </c>
      <c r="E129" s="298">
        <v>2.7591066516467002</v>
      </c>
      <c r="F129" s="299">
        <v>0</v>
      </c>
      <c r="G129" s="299" t="s">
        <v>293</v>
      </c>
      <c r="H129" s="218"/>
      <c r="I129" s="182"/>
    </row>
    <row r="130" spans="1:9">
      <c r="A130" s="296">
        <v>43038</v>
      </c>
      <c r="B130" s="297" t="s">
        <v>712</v>
      </c>
      <c r="C130" s="298">
        <v>2.2799999999999998</v>
      </c>
      <c r="D130" s="298">
        <v>2.27</v>
      </c>
      <c r="E130" s="298">
        <v>5.8390231551351999</v>
      </c>
      <c r="F130" s="299">
        <v>-5.8390231551350754E-4</v>
      </c>
      <c r="G130" s="299" t="s">
        <v>293</v>
      </c>
      <c r="H130" s="218"/>
      <c r="I130" s="182"/>
    </row>
    <row r="131" spans="1:9">
      <c r="A131" s="296">
        <v>43038</v>
      </c>
      <c r="B131" s="297" t="s">
        <v>650</v>
      </c>
      <c r="C131" s="298">
        <v>2.1800000000000002</v>
      </c>
      <c r="D131" s="298">
        <v>2.1800000000000002</v>
      </c>
      <c r="E131" s="298">
        <v>3.5552943254993998</v>
      </c>
      <c r="F131" s="299">
        <v>0</v>
      </c>
      <c r="G131" s="299" t="s">
        <v>293</v>
      </c>
      <c r="H131" s="218"/>
      <c r="I131" s="182"/>
    </row>
    <row r="132" spans="1:9">
      <c r="A132" s="296">
        <v>43038</v>
      </c>
      <c r="B132" s="297" t="s">
        <v>1563</v>
      </c>
      <c r="C132" s="298">
        <v>4.6100000000000003</v>
      </c>
      <c r="D132" s="298">
        <v>4.6100000000000003</v>
      </c>
      <c r="E132" s="298">
        <v>4.1251240628809001</v>
      </c>
      <c r="F132" s="299">
        <v>0</v>
      </c>
      <c r="G132" s="299" t="s">
        <v>293</v>
      </c>
      <c r="H132" s="218"/>
      <c r="I132" s="182"/>
    </row>
    <row r="133" spans="1:9">
      <c r="A133" s="296">
        <v>43038</v>
      </c>
      <c r="B133" s="297" t="s">
        <v>655</v>
      </c>
      <c r="C133" s="298">
        <v>2.0699999999999998</v>
      </c>
      <c r="D133" s="298">
        <v>2.1</v>
      </c>
      <c r="E133" s="298">
        <v>3.6171097141185999</v>
      </c>
      <c r="F133" s="299">
        <v>1.0851329142355889E-3</v>
      </c>
      <c r="G133" s="299" t="s">
        <v>293</v>
      </c>
      <c r="H133" s="218"/>
      <c r="I133" s="182"/>
    </row>
    <row r="134" spans="1:9">
      <c r="A134" s="296">
        <v>43038</v>
      </c>
      <c r="B134" s="297" t="s">
        <v>564</v>
      </c>
      <c r="C134" s="298">
        <v>1.94</v>
      </c>
      <c r="D134" s="298">
        <v>1.96</v>
      </c>
      <c r="E134" s="298">
        <v>1.5366190295536</v>
      </c>
      <c r="F134" s="299">
        <v>3.0732380591072024E-4</v>
      </c>
      <c r="G134" s="299" t="s">
        <v>293</v>
      </c>
      <c r="H134" s="218"/>
      <c r="I134" s="182"/>
    </row>
    <row r="135" spans="1:9">
      <c r="A135" s="296">
        <v>43038</v>
      </c>
      <c r="B135" s="297" t="s">
        <v>1052</v>
      </c>
      <c r="C135" s="298">
        <v>2.06</v>
      </c>
      <c r="D135" s="298">
        <v>2.06</v>
      </c>
      <c r="E135" s="298">
        <v>4.5808561514984003</v>
      </c>
      <c r="F135" s="299">
        <v>0</v>
      </c>
      <c r="G135" s="299" t="s">
        <v>293</v>
      </c>
      <c r="H135" s="218"/>
      <c r="I135" s="182"/>
    </row>
    <row r="136" spans="1:9">
      <c r="A136" s="296">
        <v>43038</v>
      </c>
      <c r="B136" s="297" t="s">
        <v>667</v>
      </c>
      <c r="C136" s="298">
        <v>2.0299999999999998</v>
      </c>
      <c r="D136" s="298">
        <v>2.0299999999999998</v>
      </c>
      <c r="E136" s="298">
        <v>4.2367574855835004</v>
      </c>
      <c r="F136" s="299">
        <v>0</v>
      </c>
      <c r="G136" s="299" t="s">
        <v>293</v>
      </c>
      <c r="H136" s="218"/>
      <c r="I136" s="182"/>
    </row>
    <row r="137" spans="1:9">
      <c r="A137" s="296">
        <v>43038</v>
      </c>
      <c r="B137" s="297" t="s">
        <v>1919</v>
      </c>
      <c r="C137" s="298">
        <v>2.19</v>
      </c>
      <c r="D137" s="298">
        <v>2.19</v>
      </c>
      <c r="E137" s="298">
        <v>5.9005416800635997</v>
      </c>
      <c r="F137" s="299">
        <v>0</v>
      </c>
      <c r="G137" s="299" t="s">
        <v>293</v>
      </c>
      <c r="H137" s="218"/>
      <c r="I137" s="182"/>
    </row>
    <row r="138" spans="1:9">
      <c r="A138" s="296">
        <v>43038</v>
      </c>
      <c r="B138" s="297" t="s">
        <v>884</v>
      </c>
      <c r="C138" s="298">
        <v>2.1</v>
      </c>
      <c r="D138" s="298">
        <v>2.12</v>
      </c>
      <c r="E138" s="298">
        <v>4.9670259461814998</v>
      </c>
      <c r="F138" s="299">
        <v>9.9340518923630083E-4</v>
      </c>
      <c r="G138" s="299" t="s">
        <v>293</v>
      </c>
      <c r="H138" s="218"/>
      <c r="I138" s="182"/>
    </row>
    <row r="139" spans="1:9">
      <c r="A139" s="296">
        <v>43038</v>
      </c>
      <c r="B139" s="297" t="s">
        <v>662</v>
      </c>
      <c r="C139" s="298">
        <v>2.1800000000000002</v>
      </c>
      <c r="D139" s="298">
        <v>2.2000000000000002</v>
      </c>
      <c r="E139" s="298">
        <v>4.6075007090730997</v>
      </c>
      <c r="F139" s="299">
        <v>9.2150014181462071E-4</v>
      </c>
      <c r="G139" s="299" t="s">
        <v>293</v>
      </c>
      <c r="H139" s="218"/>
      <c r="I139" s="182"/>
    </row>
    <row r="140" spans="1:9">
      <c r="A140" s="296">
        <v>43038</v>
      </c>
      <c r="B140" s="297" t="s">
        <v>576</v>
      </c>
      <c r="C140" s="298">
        <v>1.95</v>
      </c>
      <c r="D140" s="298">
        <v>1.95</v>
      </c>
      <c r="E140" s="298">
        <v>1.8047314524102001</v>
      </c>
      <c r="F140" s="299">
        <v>0</v>
      </c>
      <c r="G140" s="299" t="s">
        <v>293</v>
      </c>
      <c r="H140" s="218"/>
      <c r="I140" s="182"/>
    </row>
    <row r="141" spans="1:9">
      <c r="A141" s="296">
        <v>43038</v>
      </c>
      <c r="B141" s="297" t="s">
        <v>1055</v>
      </c>
      <c r="C141" s="298">
        <v>8</v>
      </c>
      <c r="D141" s="298">
        <v>8</v>
      </c>
      <c r="E141" s="298">
        <v>96.232876712329002</v>
      </c>
      <c r="F141" s="299">
        <v>0</v>
      </c>
      <c r="G141" s="299" t="s">
        <v>293</v>
      </c>
      <c r="H141" s="218"/>
      <c r="I141" s="182"/>
    </row>
    <row r="142" spans="1:9">
      <c r="A142" s="296">
        <v>43038</v>
      </c>
      <c r="B142" s="297" t="s">
        <v>1056</v>
      </c>
      <c r="C142" s="298">
        <v>0.09</v>
      </c>
      <c r="D142" s="298">
        <v>7.0000000000000007E-2</v>
      </c>
      <c r="E142" s="298">
        <v>96.232876712329002</v>
      </c>
      <c r="F142" s="299">
        <v>-1.924657534246579E-2</v>
      </c>
      <c r="G142" s="299" t="s">
        <v>1955</v>
      </c>
      <c r="H142" s="218"/>
      <c r="I142" s="182"/>
    </row>
    <row r="143" spans="1:9">
      <c r="A143" s="296">
        <v>43038</v>
      </c>
      <c r="B143" s="297" t="s">
        <v>1599</v>
      </c>
      <c r="C143" s="298">
        <v>3.55</v>
      </c>
      <c r="D143" s="298">
        <v>3.55</v>
      </c>
      <c r="E143" s="298">
        <v>4.0748773597885997</v>
      </c>
      <c r="F143" s="299">
        <v>0</v>
      </c>
      <c r="G143" s="299" t="s">
        <v>293</v>
      </c>
      <c r="H143" s="218"/>
      <c r="I143" s="182"/>
    </row>
    <row r="144" spans="1:9">
      <c r="A144" s="296">
        <v>43038</v>
      </c>
      <c r="B144" s="297" t="s">
        <v>1610</v>
      </c>
      <c r="C144" s="298">
        <v>4.37</v>
      </c>
      <c r="D144" s="298">
        <v>4.3899999999999997</v>
      </c>
      <c r="E144" s="298">
        <v>7.8253159288322003</v>
      </c>
      <c r="F144" s="299">
        <v>1.5650631857664066E-3</v>
      </c>
      <c r="G144" s="299" t="s">
        <v>293</v>
      </c>
      <c r="H144" s="218"/>
      <c r="I144" s="182"/>
    </row>
    <row r="145" spans="1:9">
      <c r="A145" s="296">
        <v>43038</v>
      </c>
      <c r="B145" s="297" t="s">
        <v>939</v>
      </c>
      <c r="C145" s="298">
        <v>3.04</v>
      </c>
      <c r="D145" s="298">
        <v>3.06</v>
      </c>
      <c r="E145" s="298">
        <v>9.4885727023370006</v>
      </c>
      <c r="F145" s="299">
        <v>1.8977145404674017E-3</v>
      </c>
      <c r="G145" s="299" t="s">
        <v>293</v>
      </c>
      <c r="H145" s="218"/>
      <c r="I145" s="182"/>
    </row>
    <row r="146" spans="1:9">
      <c r="A146" s="296">
        <v>43038</v>
      </c>
      <c r="B146" s="297" t="s">
        <v>1882</v>
      </c>
      <c r="C146" s="298">
        <v>4.6399999999999997</v>
      </c>
      <c r="D146" s="298">
        <v>4.62</v>
      </c>
      <c r="E146" s="298">
        <v>4.1530464483555001</v>
      </c>
      <c r="F146" s="299">
        <v>-8.3060928967108232E-4</v>
      </c>
      <c r="G146" s="299" t="s">
        <v>293</v>
      </c>
      <c r="H146" s="218"/>
      <c r="I146" s="182"/>
    </row>
    <row r="147" spans="1:9">
      <c r="A147" s="296">
        <v>43038</v>
      </c>
      <c r="B147" s="297" t="s">
        <v>1954</v>
      </c>
      <c r="C147" s="298">
        <v>3.5</v>
      </c>
      <c r="D147" s="298">
        <v>3.76</v>
      </c>
      <c r="E147" s="298">
        <v>5.7401976979354004</v>
      </c>
      <c r="F147" s="299">
        <v>1.4924514014632028E-2</v>
      </c>
      <c r="G147" s="299" t="s">
        <v>1955</v>
      </c>
      <c r="H147" s="218"/>
      <c r="I147" s="182"/>
    </row>
    <row r="148" spans="1:9">
      <c r="A148" s="296">
        <v>43038</v>
      </c>
      <c r="B148" s="297" t="s">
        <v>853</v>
      </c>
      <c r="C148" s="298">
        <v>6.18</v>
      </c>
      <c r="D148" s="298">
        <v>6.19</v>
      </c>
      <c r="E148" s="298">
        <v>3.7160006294805998</v>
      </c>
      <c r="F148" s="299">
        <v>3.7160006294808509E-4</v>
      </c>
      <c r="G148" s="299" t="s">
        <v>293</v>
      </c>
      <c r="H148" s="218"/>
      <c r="I148" s="182"/>
    </row>
    <row r="149" spans="1:9">
      <c r="A149" s="296">
        <v>43038</v>
      </c>
      <c r="B149" s="297" t="s">
        <v>914</v>
      </c>
      <c r="C149" s="298">
        <v>2.42</v>
      </c>
      <c r="D149" s="298">
        <v>2.44</v>
      </c>
      <c r="E149" s="298">
        <v>6.8718388573097</v>
      </c>
      <c r="F149" s="299">
        <v>1.3743677714619412E-3</v>
      </c>
      <c r="G149" s="299" t="s">
        <v>293</v>
      </c>
      <c r="H149" s="218"/>
      <c r="I149" s="182"/>
    </row>
    <row r="150" spans="1:9">
      <c r="A150" s="296">
        <v>43038</v>
      </c>
      <c r="B150" s="297" t="s">
        <v>928</v>
      </c>
      <c r="C150" s="298">
        <v>3.44</v>
      </c>
      <c r="D150" s="298">
        <v>3.46</v>
      </c>
      <c r="E150" s="298">
        <v>8.5960522590808992</v>
      </c>
      <c r="F150" s="299">
        <v>1.7192104518161814E-3</v>
      </c>
      <c r="G150" s="299" t="s">
        <v>293</v>
      </c>
      <c r="H150" s="218"/>
      <c r="I150" s="182"/>
    </row>
    <row r="151" spans="1:9">
      <c r="A151" s="296">
        <v>43038</v>
      </c>
      <c r="B151" s="297" t="s">
        <v>863</v>
      </c>
      <c r="C151" s="298">
        <v>3.69</v>
      </c>
      <c r="D151" s="298">
        <v>3.7</v>
      </c>
      <c r="E151" s="298">
        <v>3.6873722574664001</v>
      </c>
      <c r="F151" s="299">
        <v>3.6873722574664854E-4</v>
      </c>
      <c r="G151" s="299" t="s">
        <v>293</v>
      </c>
      <c r="H151" s="218"/>
      <c r="I151" s="182"/>
    </row>
    <row r="152" spans="1:9">
      <c r="A152" s="296">
        <v>43038</v>
      </c>
      <c r="B152" s="297" t="s">
        <v>775</v>
      </c>
      <c r="C152" s="298">
        <v>2.59</v>
      </c>
      <c r="D152" s="298">
        <v>2.6</v>
      </c>
      <c r="E152" s="298">
        <v>8.3778478171449002</v>
      </c>
      <c r="F152" s="299">
        <v>8.3778478171450937E-4</v>
      </c>
      <c r="G152" s="299" t="s">
        <v>293</v>
      </c>
      <c r="H152" s="218"/>
      <c r="I152" s="182"/>
    </row>
    <row r="153" spans="1:9">
      <c r="A153" s="296">
        <v>43038</v>
      </c>
      <c r="B153" s="297" t="s">
        <v>1574</v>
      </c>
      <c r="C153" s="298">
        <v>2.86</v>
      </c>
      <c r="D153" s="298">
        <v>2.87</v>
      </c>
      <c r="E153" s="298">
        <v>10.53753990619</v>
      </c>
      <c r="F153" s="299">
        <v>1.0537539906190242E-3</v>
      </c>
      <c r="G153" s="299" t="s">
        <v>293</v>
      </c>
      <c r="H153" s="218"/>
      <c r="I153" s="182"/>
    </row>
    <row r="154" spans="1:9">
      <c r="A154" s="296">
        <v>43038</v>
      </c>
      <c r="B154" s="297" t="s">
        <v>594</v>
      </c>
      <c r="C154" s="298">
        <v>1.99</v>
      </c>
      <c r="D154" s="298">
        <v>1.99</v>
      </c>
      <c r="E154" s="298">
        <v>2.2813066278547001</v>
      </c>
      <c r="F154" s="299">
        <v>0</v>
      </c>
      <c r="G154" s="299" t="s">
        <v>293</v>
      </c>
      <c r="H154" s="218"/>
      <c r="I154" s="182"/>
    </row>
    <row r="155" spans="1:9">
      <c r="A155" s="296">
        <v>43038</v>
      </c>
      <c r="B155" s="297" t="s">
        <v>732</v>
      </c>
      <c r="C155" s="298">
        <v>2.5499999999999998</v>
      </c>
      <c r="D155" s="298">
        <v>2.5499999999999998</v>
      </c>
      <c r="E155" s="298">
        <v>6.2052433469714003</v>
      </c>
      <c r="F155" s="299">
        <v>0</v>
      </c>
      <c r="G155" s="299" t="s">
        <v>293</v>
      </c>
      <c r="H155" s="218"/>
      <c r="I155" s="182"/>
    </row>
    <row r="156" spans="1:9">
      <c r="A156" s="296">
        <v>43038</v>
      </c>
      <c r="B156" s="297" t="s">
        <v>468</v>
      </c>
      <c r="C156" s="298">
        <v>2.0099999999999998</v>
      </c>
      <c r="D156" s="298">
        <v>2</v>
      </c>
      <c r="E156" s="298">
        <v>1.5059418623325</v>
      </c>
      <c r="F156" s="299">
        <v>-1.5059418623324678E-4</v>
      </c>
      <c r="G156" s="299" t="s">
        <v>293</v>
      </c>
      <c r="H156" s="218"/>
      <c r="I156" s="182"/>
    </row>
    <row r="157" spans="1:9">
      <c r="A157" s="296">
        <v>43038</v>
      </c>
      <c r="B157" s="297" t="s">
        <v>1025</v>
      </c>
      <c r="C157" s="298">
        <v>2.63</v>
      </c>
      <c r="D157" s="298">
        <v>2.63</v>
      </c>
      <c r="E157" s="298">
        <v>9.9937548692758007</v>
      </c>
      <c r="F157" s="299">
        <v>0</v>
      </c>
      <c r="G157" s="299" t="s">
        <v>293</v>
      </c>
      <c r="H157" s="218"/>
      <c r="I157" s="182"/>
    </row>
    <row r="158" spans="1:9">
      <c r="A158" s="296">
        <v>43038</v>
      </c>
      <c r="B158" s="297" t="s">
        <v>773</v>
      </c>
      <c r="C158" s="298">
        <v>2.5299999999999998</v>
      </c>
      <c r="D158" s="298">
        <v>2.54</v>
      </c>
      <c r="E158" s="298">
        <v>8.1270049970119</v>
      </c>
      <c r="F158" s="299">
        <v>8.1270049970120876E-4</v>
      </c>
      <c r="G158" s="299" t="s">
        <v>293</v>
      </c>
      <c r="H158" s="218"/>
      <c r="I158" s="182"/>
    </row>
    <row r="159" spans="1:9">
      <c r="A159" s="296">
        <v>43038</v>
      </c>
      <c r="B159" s="297" t="s">
        <v>527</v>
      </c>
      <c r="C159" s="298">
        <v>2.17</v>
      </c>
      <c r="D159" s="298">
        <v>2.33</v>
      </c>
      <c r="E159" s="298">
        <v>0.57399336419872005</v>
      </c>
      <c r="F159" s="299">
        <v>9.1838938271795285E-4</v>
      </c>
      <c r="G159" s="299" t="s">
        <v>293</v>
      </c>
      <c r="H159" s="218"/>
      <c r="I159" s="182"/>
    </row>
    <row r="160" spans="1:9">
      <c r="A160" s="296">
        <v>43038</v>
      </c>
      <c r="B160" s="297" t="s">
        <v>608</v>
      </c>
      <c r="C160" s="298">
        <v>2.08</v>
      </c>
      <c r="D160" s="298">
        <v>2.08</v>
      </c>
      <c r="E160" s="298">
        <v>2.4833221326797998</v>
      </c>
      <c r="F160" s="299">
        <v>0</v>
      </c>
      <c r="G160" s="299" t="s">
        <v>293</v>
      </c>
      <c r="H160" s="218"/>
      <c r="I160" s="182"/>
    </row>
    <row r="161" spans="1:9">
      <c r="A161" s="296">
        <v>43038</v>
      </c>
      <c r="B161" s="297" t="s">
        <v>1579</v>
      </c>
      <c r="C161" s="298">
        <v>2.3199999999999998</v>
      </c>
      <c r="D161" s="298">
        <v>2.33</v>
      </c>
      <c r="E161" s="298">
        <v>4.4399106039799001</v>
      </c>
      <c r="F161" s="299">
        <v>4.4399106039800027E-4</v>
      </c>
      <c r="G161" s="299" t="s">
        <v>293</v>
      </c>
      <c r="H161" s="218"/>
      <c r="I161" s="182"/>
    </row>
    <row r="162" spans="1:9">
      <c r="A162" s="296">
        <v>43038</v>
      </c>
      <c r="B162" s="297" t="s">
        <v>934</v>
      </c>
      <c r="C162" s="298">
        <v>3.22</v>
      </c>
      <c r="D162" s="298">
        <v>3.23</v>
      </c>
      <c r="E162" s="298">
        <v>9.3965238419454007</v>
      </c>
      <c r="F162" s="299">
        <v>9.3965238419451997E-4</v>
      </c>
      <c r="G162" s="299" t="s">
        <v>293</v>
      </c>
      <c r="H162" s="218"/>
      <c r="I162" s="182"/>
    </row>
    <row r="163" spans="1:9">
      <c r="A163" s="296">
        <v>43038</v>
      </c>
      <c r="B163" s="297" t="s">
        <v>909</v>
      </c>
      <c r="C163" s="298">
        <v>2.89</v>
      </c>
      <c r="D163" s="298">
        <v>2.9</v>
      </c>
      <c r="E163" s="298">
        <v>6.5488494536516999</v>
      </c>
      <c r="F163" s="299">
        <v>6.5488494536515595E-4</v>
      </c>
      <c r="G163" s="299" t="s">
        <v>293</v>
      </c>
      <c r="H163" s="218"/>
      <c r="I163" s="182"/>
    </row>
    <row r="164" spans="1:9">
      <c r="A164" s="296">
        <v>43038</v>
      </c>
      <c r="B164" s="297" t="s">
        <v>479</v>
      </c>
      <c r="C164" s="298">
        <v>1.96</v>
      </c>
      <c r="D164" s="298">
        <v>1.98</v>
      </c>
      <c r="E164" s="298">
        <v>1.3947495323303001</v>
      </c>
      <c r="F164" s="299">
        <v>2.7894990646606027E-4</v>
      </c>
      <c r="G164" s="299" t="s">
        <v>293</v>
      </c>
      <c r="H164" s="218"/>
      <c r="I164" s="182"/>
    </row>
    <row r="165" spans="1:9">
      <c r="A165" s="296">
        <v>43038</v>
      </c>
      <c r="B165" s="297" t="s">
        <v>593</v>
      </c>
      <c r="C165" s="298">
        <v>2.09</v>
      </c>
      <c r="D165" s="298">
        <v>2.09</v>
      </c>
      <c r="E165" s="298">
        <v>2.2744479953904002</v>
      </c>
      <c r="F165" s="299">
        <v>0</v>
      </c>
      <c r="G165" s="299" t="s">
        <v>293</v>
      </c>
      <c r="H165" s="218"/>
      <c r="I165" s="182"/>
    </row>
    <row r="166" spans="1:9">
      <c r="A166" s="296">
        <v>43038</v>
      </c>
      <c r="B166" s="297" t="s">
        <v>1198</v>
      </c>
      <c r="C166" s="298">
        <v>2.2599999999999998</v>
      </c>
      <c r="D166" s="298">
        <v>2.2599999999999998</v>
      </c>
      <c r="E166" s="298">
        <v>3.8254101942954</v>
      </c>
      <c r="F166" s="299">
        <v>0</v>
      </c>
      <c r="G166" s="299" t="s">
        <v>293</v>
      </c>
      <c r="H166" s="218"/>
      <c r="I166" s="182"/>
    </row>
    <row r="167" spans="1:9">
      <c r="A167" s="296">
        <v>43038</v>
      </c>
      <c r="B167" s="297" t="s">
        <v>1199</v>
      </c>
      <c r="C167" s="298">
        <v>3.17</v>
      </c>
      <c r="D167" s="298">
        <v>3.17</v>
      </c>
      <c r="E167" s="298">
        <v>11.980797662005999</v>
      </c>
      <c r="F167" s="299">
        <v>0</v>
      </c>
      <c r="G167" s="299" t="s">
        <v>293</v>
      </c>
      <c r="H167" s="218"/>
      <c r="I167" s="182"/>
    </row>
    <row r="168" spans="1:9">
      <c r="A168" s="296">
        <v>43038</v>
      </c>
      <c r="B168" s="297" t="s">
        <v>901</v>
      </c>
      <c r="C168" s="298">
        <v>2.5299999999999998</v>
      </c>
      <c r="D168" s="298">
        <v>2.54</v>
      </c>
      <c r="E168" s="298">
        <v>6.2505895820442001</v>
      </c>
      <c r="F168" s="299">
        <v>6.2505895820443448E-4</v>
      </c>
      <c r="G168" s="299" t="s">
        <v>293</v>
      </c>
      <c r="H168" s="218"/>
      <c r="I168" s="182"/>
    </row>
    <row r="169" spans="1:9">
      <c r="A169" s="296">
        <v>43038</v>
      </c>
      <c r="B169" s="297" t="s">
        <v>1201</v>
      </c>
      <c r="C169" s="298">
        <v>2.5099999999999998</v>
      </c>
      <c r="D169" s="298">
        <v>2.52</v>
      </c>
      <c r="E169" s="298">
        <v>8.0603973430311999</v>
      </c>
      <c r="F169" s="299">
        <v>8.0603973430313862E-4</v>
      </c>
      <c r="G169" s="299" t="s">
        <v>293</v>
      </c>
      <c r="H169" s="218"/>
      <c r="I169" s="182"/>
    </row>
    <row r="170" spans="1:9">
      <c r="A170" s="296">
        <v>43038</v>
      </c>
      <c r="B170" s="297" t="s">
        <v>1057</v>
      </c>
      <c r="C170" s="298">
        <v>1.94</v>
      </c>
      <c r="D170" s="298">
        <v>1.94</v>
      </c>
      <c r="E170" s="298">
        <v>1.1233462132543</v>
      </c>
      <c r="F170" s="299">
        <v>0</v>
      </c>
      <c r="G170" s="299" t="s">
        <v>293</v>
      </c>
      <c r="H170" s="218"/>
      <c r="I170" s="182"/>
    </row>
    <row r="171" spans="1:9">
      <c r="A171" s="296">
        <v>43038</v>
      </c>
      <c r="B171" s="297" t="s">
        <v>824</v>
      </c>
      <c r="C171" s="298">
        <v>3.44</v>
      </c>
      <c r="D171" s="298">
        <v>3.47</v>
      </c>
      <c r="E171" s="298">
        <v>1.4500461245253999</v>
      </c>
      <c r="F171" s="299">
        <v>4.3501383735762355E-4</v>
      </c>
      <c r="G171" s="299" t="s">
        <v>293</v>
      </c>
      <c r="H171" s="218"/>
      <c r="I171" s="182"/>
    </row>
    <row r="172" spans="1:9">
      <c r="A172" s="296">
        <v>43038</v>
      </c>
      <c r="B172" s="297" t="s">
        <v>463</v>
      </c>
      <c r="C172" s="298">
        <v>3.67</v>
      </c>
      <c r="D172" s="298">
        <v>3.66</v>
      </c>
      <c r="E172" s="298">
        <v>0.94712176924866998</v>
      </c>
      <c r="F172" s="299">
        <v>-9.4712176924864974E-5</v>
      </c>
      <c r="G172" s="299" t="s">
        <v>293</v>
      </c>
      <c r="H172" s="218"/>
      <c r="I172" s="182"/>
    </row>
    <row r="173" spans="1:9">
      <c r="A173" s="296">
        <v>43038</v>
      </c>
      <c r="B173" s="297" t="s">
        <v>413</v>
      </c>
      <c r="C173" s="298">
        <v>5.26</v>
      </c>
      <c r="D173" s="298">
        <v>5.16</v>
      </c>
      <c r="E173" s="298">
        <v>5.4794520547944998E-3</v>
      </c>
      <c r="F173" s="299">
        <v>-5.4794520547944811E-6</v>
      </c>
      <c r="G173" s="299" t="s">
        <v>293</v>
      </c>
      <c r="H173" s="218"/>
      <c r="I173" s="182"/>
    </row>
    <row r="174" spans="1:9">
      <c r="A174" s="296">
        <v>43038</v>
      </c>
      <c r="B174" s="297" t="s">
        <v>611</v>
      </c>
      <c r="C174" s="298">
        <v>1.94</v>
      </c>
      <c r="D174" s="298">
        <v>1.93</v>
      </c>
      <c r="E174" s="298">
        <v>2.5071812019441002</v>
      </c>
      <c r="F174" s="299">
        <v>-2.5071812019441023E-4</v>
      </c>
      <c r="G174" s="299" t="s">
        <v>293</v>
      </c>
      <c r="H174" s="218"/>
      <c r="I174" s="182"/>
    </row>
    <row r="175" spans="1:9">
      <c r="A175" s="296">
        <v>43038</v>
      </c>
      <c r="B175" s="297" t="s">
        <v>1897</v>
      </c>
      <c r="C175" s="298">
        <v>2</v>
      </c>
      <c r="D175" s="298">
        <v>1.99</v>
      </c>
      <c r="E175" s="298">
        <v>3.5956054412807998</v>
      </c>
      <c r="F175" s="299">
        <v>-3.595605441280803E-4</v>
      </c>
      <c r="G175" s="299" t="s">
        <v>293</v>
      </c>
      <c r="H175" s="218"/>
      <c r="I175" s="182"/>
    </row>
    <row r="176" spans="1:9">
      <c r="A176" s="296">
        <v>43038</v>
      </c>
      <c r="B176" s="297" t="s">
        <v>538</v>
      </c>
      <c r="C176" s="298">
        <v>2.4</v>
      </c>
      <c r="D176" s="298">
        <v>2.39</v>
      </c>
      <c r="E176" s="298">
        <v>0.17260273972602999</v>
      </c>
      <c r="F176" s="299">
        <v>-1.7260273972602632E-5</v>
      </c>
      <c r="G176" s="299" t="s">
        <v>293</v>
      </c>
      <c r="H176" s="218"/>
      <c r="I176" s="182"/>
    </row>
    <row r="177" spans="1:9">
      <c r="A177" s="296">
        <v>43038</v>
      </c>
      <c r="B177" s="297" t="s">
        <v>693</v>
      </c>
      <c r="C177" s="298">
        <v>1.98</v>
      </c>
      <c r="D177" s="298">
        <v>1.97</v>
      </c>
      <c r="E177" s="298">
        <v>4.5788197083929001</v>
      </c>
      <c r="F177" s="299">
        <v>-4.578819708392904E-4</v>
      </c>
      <c r="G177" s="299" t="s">
        <v>293</v>
      </c>
      <c r="H177" s="218"/>
      <c r="I177" s="182"/>
    </row>
    <row r="178" spans="1:9">
      <c r="A178" s="296">
        <v>43038</v>
      </c>
      <c r="B178" s="297" t="s">
        <v>741</v>
      </c>
      <c r="C178" s="298">
        <v>2.36</v>
      </c>
      <c r="D178" s="298">
        <v>2.37</v>
      </c>
      <c r="E178" s="298">
        <v>6.6788731231874001</v>
      </c>
      <c r="F178" s="299">
        <v>6.6788731231875542E-4</v>
      </c>
      <c r="G178" s="299" t="s">
        <v>293</v>
      </c>
      <c r="H178" s="218"/>
      <c r="I178" s="182"/>
    </row>
    <row r="179" spans="1:9">
      <c r="A179" s="296">
        <v>43038</v>
      </c>
      <c r="B179" s="297" t="s">
        <v>1899</v>
      </c>
      <c r="C179" s="298">
        <v>2.4300000000000002</v>
      </c>
      <c r="D179" s="298">
        <v>2.44</v>
      </c>
      <c r="E179" s="298">
        <v>7.0895506430177999</v>
      </c>
      <c r="F179" s="299">
        <v>7.089550643017648E-4</v>
      </c>
      <c r="G179" s="299" t="s">
        <v>293</v>
      </c>
      <c r="H179" s="218"/>
      <c r="I179" s="182"/>
    </row>
    <row r="180" spans="1:9">
      <c r="A180" s="296">
        <v>43038</v>
      </c>
      <c r="B180" s="297" t="s">
        <v>1232</v>
      </c>
      <c r="C180" s="298">
        <v>2.84</v>
      </c>
      <c r="D180" s="298">
        <v>2.85</v>
      </c>
      <c r="E180" s="298">
        <v>10.352143656011</v>
      </c>
      <c r="F180" s="299">
        <v>1.0352143656011238E-3</v>
      </c>
      <c r="G180" s="299" t="s">
        <v>293</v>
      </c>
      <c r="H180" s="218"/>
      <c r="I180" s="182"/>
    </row>
    <row r="181" spans="1:9">
      <c r="A181" s="296">
        <v>43038</v>
      </c>
      <c r="B181" s="297" t="s">
        <v>1180</v>
      </c>
      <c r="C181" s="298">
        <v>3.22</v>
      </c>
      <c r="D181" s="298">
        <v>3.22</v>
      </c>
      <c r="E181" s="298">
        <v>15.020011079221</v>
      </c>
      <c r="F181" s="299">
        <v>0</v>
      </c>
      <c r="G181" s="299" t="s">
        <v>293</v>
      </c>
      <c r="H181" s="218"/>
      <c r="I181" s="182"/>
    </row>
    <row r="182" spans="1:9">
      <c r="A182" s="296">
        <v>43038</v>
      </c>
      <c r="B182" s="297" t="s">
        <v>606</v>
      </c>
      <c r="C182" s="298">
        <v>4.1100000000000003</v>
      </c>
      <c r="D182" s="298">
        <v>4.0999999999999996</v>
      </c>
      <c r="E182" s="298">
        <v>2.4893129035029</v>
      </c>
      <c r="F182" s="299">
        <v>-2.4893129035030682E-4</v>
      </c>
      <c r="G182" s="299" t="s">
        <v>293</v>
      </c>
      <c r="H182" s="218"/>
      <c r="I182" s="182"/>
    </row>
    <row r="183" spans="1:9">
      <c r="A183" s="296">
        <v>43038</v>
      </c>
      <c r="B183" s="297" t="s">
        <v>1950</v>
      </c>
      <c r="C183" s="298">
        <v>4.53</v>
      </c>
      <c r="D183" s="298">
        <v>4.51</v>
      </c>
      <c r="E183" s="298">
        <v>3.8302404533499002</v>
      </c>
      <c r="F183" s="299">
        <v>-7.6604809066999774E-4</v>
      </c>
      <c r="G183" s="299" t="s">
        <v>293</v>
      </c>
      <c r="H183" s="218"/>
      <c r="I183" s="182"/>
    </row>
    <row r="184" spans="1:9">
      <c r="A184" s="296">
        <v>43038</v>
      </c>
      <c r="B184" s="297" t="s">
        <v>419</v>
      </c>
      <c r="C184" s="298">
        <v>2.5499999999999998</v>
      </c>
      <c r="D184" s="298">
        <v>2.57</v>
      </c>
      <c r="E184" s="298">
        <v>0.62031554859302995</v>
      </c>
      <c r="F184" s="299">
        <v>1.240631097186061E-4</v>
      </c>
      <c r="G184" s="299" t="s">
        <v>293</v>
      </c>
      <c r="H184" s="218"/>
      <c r="I184" s="182"/>
    </row>
    <row r="185" spans="1:9">
      <c r="A185" s="296">
        <v>43038</v>
      </c>
      <c r="B185" s="297" t="s">
        <v>1445</v>
      </c>
      <c r="C185" s="298">
        <v>2.6</v>
      </c>
      <c r="D185" s="298">
        <v>2.62</v>
      </c>
      <c r="E185" s="298">
        <v>6.1061397696919997</v>
      </c>
      <c r="F185" s="299">
        <v>1.221227953938401E-3</v>
      </c>
      <c r="G185" s="299" t="s">
        <v>293</v>
      </c>
      <c r="H185" s="218"/>
      <c r="I185" s="182"/>
    </row>
    <row r="186" spans="1:9">
      <c r="A186" s="296">
        <v>43038</v>
      </c>
      <c r="B186" s="297" t="s">
        <v>780</v>
      </c>
      <c r="C186" s="298">
        <v>2.66</v>
      </c>
      <c r="D186" s="298">
        <v>2.67</v>
      </c>
      <c r="E186" s="298">
        <v>8.4671807020018992</v>
      </c>
      <c r="F186" s="299">
        <v>8.4671807020017184E-4</v>
      </c>
      <c r="G186" s="299" t="s">
        <v>293</v>
      </c>
      <c r="H186" s="218"/>
      <c r="I186" s="182"/>
    </row>
    <row r="187" spans="1:9">
      <c r="A187" s="296">
        <v>43038</v>
      </c>
      <c r="B187" s="297" t="s">
        <v>533</v>
      </c>
      <c r="C187" s="298">
        <v>3.4</v>
      </c>
      <c r="D187" s="298">
        <v>2.5499999999999998</v>
      </c>
      <c r="E187" s="298">
        <v>9.3150684931506994E-2</v>
      </c>
      <c r="F187" s="299">
        <v>-7.9178082191780949E-4</v>
      </c>
      <c r="G187" s="299" t="s">
        <v>293</v>
      </c>
      <c r="H187" s="218"/>
      <c r="I187" s="182"/>
    </row>
    <row r="188" spans="1:9">
      <c r="A188" s="296">
        <v>43038</v>
      </c>
      <c r="B188" s="297" t="s">
        <v>585</v>
      </c>
      <c r="C188" s="298">
        <v>4.21</v>
      </c>
      <c r="D188" s="298">
        <v>4.21</v>
      </c>
      <c r="E188" s="298">
        <v>2.1809167489571002</v>
      </c>
      <c r="F188" s="299">
        <v>0</v>
      </c>
      <c r="G188" s="299" t="s">
        <v>293</v>
      </c>
      <c r="H188" s="218"/>
      <c r="I188" s="182"/>
    </row>
    <row r="189" spans="1:9">
      <c r="A189" s="296">
        <v>43038</v>
      </c>
      <c r="B189" s="297" t="s">
        <v>738</v>
      </c>
      <c r="C189" s="298">
        <v>2.5299999999999998</v>
      </c>
      <c r="D189" s="298">
        <v>2.54</v>
      </c>
      <c r="E189" s="298">
        <v>6.6596292808174002</v>
      </c>
      <c r="F189" s="299">
        <v>6.6596292808175541E-4</v>
      </c>
      <c r="G189" s="299" t="s">
        <v>293</v>
      </c>
      <c r="H189" s="218"/>
      <c r="I189" s="182"/>
    </row>
    <row r="190" spans="1:9">
      <c r="A190" s="296">
        <v>43038</v>
      </c>
      <c r="B190" s="297" t="s">
        <v>581</v>
      </c>
      <c r="C190" s="298">
        <v>4.18</v>
      </c>
      <c r="D190" s="298">
        <v>4.18</v>
      </c>
      <c r="E190" s="298">
        <v>1.8808530805262</v>
      </c>
      <c r="F190" s="299">
        <v>0</v>
      </c>
      <c r="G190" s="299" t="s">
        <v>293</v>
      </c>
      <c r="H190" s="218"/>
      <c r="I190" s="182"/>
    </row>
    <row r="191" spans="1:9">
      <c r="A191" s="296">
        <v>43038</v>
      </c>
      <c r="B191" s="297" t="s">
        <v>1461</v>
      </c>
      <c r="C191" s="298">
        <v>2.6</v>
      </c>
      <c r="D191" s="298">
        <v>2.61</v>
      </c>
      <c r="E191" s="298">
        <v>5.9541036957792004</v>
      </c>
      <c r="F191" s="299">
        <v>5.9541036957790733E-4</v>
      </c>
      <c r="G191" s="299" t="s">
        <v>293</v>
      </c>
      <c r="H191" s="218"/>
      <c r="I191" s="182"/>
    </row>
    <row r="192" spans="1:9">
      <c r="A192" s="296">
        <v>43038</v>
      </c>
      <c r="B192" s="297" t="s">
        <v>1842</v>
      </c>
      <c r="C192" s="298">
        <v>3.15</v>
      </c>
      <c r="D192" s="298">
        <v>3.16</v>
      </c>
      <c r="E192" s="298">
        <v>11.802582098233</v>
      </c>
      <c r="F192" s="299">
        <v>1.1802582098233271E-3</v>
      </c>
      <c r="G192" s="299" t="s">
        <v>293</v>
      </c>
      <c r="H192" s="218"/>
      <c r="I192" s="182"/>
    </row>
    <row r="193" spans="1:9">
      <c r="A193" s="296">
        <v>43038</v>
      </c>
      <c r="B193" s="297" t="s">
        <v>455</v>
      </c>
      <c r="C193" s="298">
        <v>1.73</v>
      </c>
      <c r="D193" s="298">
        <v>1.77</v>
      </c>
      <c r="E193" s="298">
        <v>0.66003813145297996</v>
      </c>
      <c r="F193" s="299">
        <v>2.6401525258119222E-4</v>
      </c>
      <c r="G193" s="299" t="s">
        <v>293</v>
      </c>
      <c r="H193" s="218"/>
      <c r="I193" s="182"/>
    </row>
    <row r="194" spans="1:9">
      <c r="A194" s="296">
        <v>43038</v>
      </c>
      <c r="B194" s="297" t="s">
        <v>661</v>
      </c>
      <c r="C194" s="298">
        <v>1.98</v>
      </c>
      <c r="D194" s="298">
        <v>2</v>
      </c>
      <c r="E194" s="298">
        <v>4.1356534064795003</v>
      </c>
      <c r="F194" s="299">
        <v>8.271306812959008E-4</v>
      </c>
      <c r="G194" s="299" t="s">
        <v>293</v>
      </c>
      <c r="H194" s="218"/>
      <c r="I194" s="182"/>
    </row>
    <row r="195" spans="1:9">
      <c r="A195" s="296">
        <v>43038</v>
      </c>
      <c r="B195" s="297" t="s">
        <v>629</v>
      </c>
      <c r="C195" s="298">
        <v>1.89</v>
      </c>
      <c r="D195" s="298">
        <v>1.88</v>
      </c>
      <c r="E195" s="298">
        <v>3.0049523445316</v>
      </c>
      <c r="F195" s="299">
        <v>-3.0049523445316024E-4</v>
      </c>
      <c r="G195" s="299" t="s">
        <v>293</v>
      </c>
      <c r="H195" s="218"/>
      <c r="I195" s="182"/>
    </row>
    <row r="196" spans="1:9">
      <c r="A196" s="296">
        <v>43038</v>
      </c>
      <c r="B196" s="297" t="s">
        <v>1051</v>
      </c>
      <c r="C196" s="298">
        <v>3.96</v>
      </c>
      <c r="D196" s="298">
        <v>3.96</v>
      </c>
      <c r="E196" s="298">
        <v>2.0509908129255998</v>
      </c>
      <c r="F196" s="299">
        <v>0</v>
      </c>
      <c r="G196" s="299" t="s">
        <v>293</v>
      </c>
      <c r="H196" s="218"/>
      <c r="I196" s="182"/>
    </row>
    <row r="197" spans="1:9">
      <c r="A197" s="296">
        <v>43038</v>
      </c>
      <c r="B197" s="297" t="s">
        <v>590</v>
      </c>
      <c r="C197" s="298">
        <v>4</v>
      </c>
      <c r="D197" s="298">
        <v>4.0199999999999996</v>
      </c>
      <c r="E197" s="298">
        <v>2.2237512100410002</v>
      </c>
      <c r="F197" s="299">
        <v>4.4475024200819056E-4</v>
      </c>
      <c r="G197" s="299" t="s">
        <v>293</v>
      </c>
      <c r="H197" s="218"/>
      <c r="I197" s="182"/>
    </row>
    <row r="198" spans="1:9">
      <c r="A198" s="296">
        <v>43038</v>
      </c>
      <c r="B198" s="297" t="s">
        <v>625</v>
      </c>
      <c r="C198" s="298">
        <v>1.84</v>
      </c>
      <c r="D198" s="298">
        <v>1.82</v>
      </c>
      <c r="E198" s="298">
        <v>2.7592241574844998</v>
      </c>
      <c r="F198" s="299">
        <v>-5.5184483149690042E-4</v>
      </c>
      <c r="G198" s="299" t="s">
        <v>293</v>
      </c>
      <c r="H198" s="218"/>
      <c r="I198" s="182"/>
    </row>
    <row r="199" spans="1:9">
      <c r="A199" s="296">
        <v>43038</v>
      </c>
      <c r="B199" s="297" t="s">
        <v>636</v>
      </c>
      <c r="C199" s="298">
        <v>1.97</v>
      </c>
      <c r="D199" s="298">
        <v>1.97</v>
      </c>
      <c r="E199" s="298">
        <v>3.2113875245604002</v>
      </c>
      <c r="F199" s="299">
        <v>0</v>
      </c>
      <c r="G199" s="299" t="s">
        <v>293</v>
      </c>
      <c r="H199" s="218"/>
      <c r="I199" s="182"/>
    </row>
    <row r="200" spans="1:9">
      <c r="A200" s="296">
        <v>43038</v>
      </c>
      <c r="B200" s="297" t="s">
        <v>1218</v>
      </c>
      <c r="C200" s="298">
        <v>4.25</v>
      </c>
      <c r="D200" s="298">
        <v>4.25</v>
      </c>
      <c r="E200" s="298">
        <v>3.0746553270092001</v>
      </c>
      <c r="F200" s="299">
        <v>0</v>
      </c>
      <c r="G200" s="299" t="s">
        <v>293</v>
      </c>
      <c r="H200" s="218"/>
      <c r="I200" s="182"/>
    </row>
    <row r="201" spans="1:9">
      <c r="A201" s="296">
        <v>43038</v>
      </c>
      <c r="B201" s="297" t="s">
        <v>1419</v>
      </c>
      <c r="C201" s="298">
        <v>2.16</v>
      </c>
      <c r="D201" s="298">
        <v>2.1800000000000002</v>
      </c>
      <c r="E201" s="298">
        <v>6.4568352466611998</v>
      </c>
      <c r="F201" s="299">
        <v>1.2913670493322411E-3</v>
      </c>
      <c r="G201" s="299" t="s">
        <v>293</v>
      </c>
      <c r="H201" s="218"/>
      <c r="I201" s="182"/>
    </row>
    <row r="202" spans="1:9">
      <c r="A202" s="296">
        <v>43038</v>
      </c>
      <c r="B202" s="297" t="s">
        <v>482</v>
      </c>
      <c r="C202" s="298">
        <v>3.66</v>
      </c>
      <c r="D202" s="298">
        <v>3.68</v>
      </c>
      <c r="E202" s="298">
        <v>1.5090703336411</v>
      </c>
      <c r="F202" s="299">
        <v>3.0181406672822025E-4</v>
      </c>
      <c r="G202" s="299" t="s">
        <v>293</v>
      </c>
      <c r="H202" s="218"/>
      <c r="I202" s="182"/>
    </row>
    <row r="203" spans="1:9">
      <c r="A203" s="296">
        <v>43038</v>
      </c>
      <c r="B203" s="297" t="s">
        <v>424</v>
      </c>
      <c r="C203" s="298">
        <v>2.99</v>
      </c>
      <c r="D203" s="298">
        <v>2.6</v>
      </c>
      <c r="E203" s="298">
        <v>0.25753424657534002</v>
      </c>
      <c r="F203" s="299">
        <v>-1.0043835616438265E-3</v>
      </c>
      <c r="G203" s="299" t="s">
        <v>293</v>
      </c>
      <c r="H203" s="218"/>
      <c r="I203" s="182"/>
    </row>
    <row r="204" spans="1:9">
      <c r="A204" s="296">
        <v>43038</v>
      </c>
      <c r="B204" s="297" t="s">
        <v>1038</v>
      </c>
      <c r="C204" s="298">
        <v>3.06</v>
      </c>
      <c r="D204" s="298">
        <v>3.07</v>
      </c>
      <c r="E204" s="298">
        <v>11.777901769074999</v>
      </c>
      <c r="F204" s="299">
        <v>1.1777901769074747E-3</v>
      </c>
      <c r="G204" s="299" t="s">
        <v>293</v>
      </c>
      <c r="H204" s="218"/>
      <c r="I204" s="182"/>
    </row>
    <row r="205" spans="1:9">
      <c r="A205" s="296">
        <v>43038</v>
      </c>
      <c r="B205" s="297" t="s">
        <v>998</v>
      </c>
      <c r="C205" s="298">
        <v>3.15</v>
      </c>
      <c r="D205" s="298">
        <v>3.15</v>
      </c>
      <c r="E205" s="298">
        <v>13.180728527643</v>
      </c>
      <c r="F205" s="299">
        <v>0</v>
      </c>
      <c r="G205" s="299" t="s">
        <v>293</v>
      </c>
      <c r="H205" s="218"/>
      <c r="I205" s="182"/>
    </row>
    <row r="206" spans="1:9">
      <c r="A206" s="296">
        <v>43038</v>
      </c>
      <c r="B206" s="297" t="s">
        <v>819</v>
      </c>
      <c r="C206" s="298">
        <v>2.65</v>
      </c>
      <c r="D206" s="298">
        <v>2.71</v>
      </c>
      <c r="E206" s="298">
        <v>1.1526685405202</v>
      </c>
      <c r="F206" s="299">
        <v>6.9160112431212051E-4</v>
      </c>
      <c r="G206" s="299" t="s">
        <v>293</v>
      </c>
      <c r="H206" s="218"/>
      <c r="I206" s="182"/>
    </row>
    <row r="207" spans="1:9">
      <c r="A207" s="296">
        <v>43038</v>
      </c>
      <c r="B207" s="297" t="s">
        <v>831</v>
      </c>
      <c r="C207" s="298">
        <v>2.95</v>
      </c>
      <c r="D207" s="298">
        <v>2.98</v>
      </c>
      <c r="E207" s="298">
        <v>1.8192089179196</v>
      </c>
      <c r="F207" s="299">
        <v>5.4576267537587641E-4</v>
      </c>
      <c r="G207" s="299" t="s">
        <v>293</v>
      </c>
      <c r="H207" s="218"/>
      <c r="I207" s="182"/>
    </row>
    <row r="208" spans="1:9">
      <c r="A208" s="296">
        <v>43038</v>
      </c>
      <c r="B208" s="297" t="s">
        <v>1033</v>
      </c>
      <c r="C208" s="298">
        <v>2.85</v>
      </c>
      <c r="D208" s="298">
        <v>2.84</v>
      </c>
      <c r="E208" s="298">
        <v>2.6650674156084002</v>
      </c>
      <c r="F208" s="299">
        <v>-2.6650674156084616E-4</v>
      </c>
      <c r="G208" s="299" t="s">
        <v>293</v>
      </c>
      <c r="H208" s="218"/>
      <c r="I208" s="182"/>
    </row>
    <row r="209" spans="1:9">
      <c r="A209" s="296">
        <v>43038</v>
      </c>
      <c r="B209" s="297" t="s">
        <v>1836</v>
      </c>
      <c r="C209" s="298">
        <v>2.62</v>
      </c>
      <c r="D209" s="298">
        <v>2.62</v>
      </c>
      <c r="E209" s="298">
        <v>3.4700558526554</v>
      </c>
      <c r="F209" s="299">
        <v>0</v>
      </c>
      <c r="G209" s="299" t="s">
        <v>293</v>
      </c>
      <c r="H209" s="218"/>
      <c r="I209" s="182"/>
    </row>
    <row r="210" spans="1:9">
      <c r="A210" s="296">
        <v>43038</v>
      </c>
      <c r="B210" s="297" t="s">
        <v>647</v>
      </c>
      <c r="C210" s="298">
        <v>4.53</v>
      </c>
      <c r="D210" s="298">
        <v>4.5199999999999996</v>
      </c>
      <c r="E210" s="298">
        <v>3.5600757641996998</v>
      </c>
      <c r="F210" s="299">
        <v>-3.5600757641999402E-4</v>
      </c>
      <c r="G210" s="299" t="s">
        <v>293</v>
      </c>
      <c r="H210" s="218"/>
      <c r="I210" s="182"/>
    </row>
    <row r="211" spans="1:9">
      <c r="A211" s="296">
        <v>43038</v>
      </c>
      <c r="B211" s="297" t="s">
        <v>356</v>
      </c>
      <c r="C211" s="298">
        <v>3.68</v>
      </c>
      <c r="D211" s="298">
        <v>3.67</v>
      </c>
      <c r="E211" s="298">
        <v>3.1178772254878</v>
      </c>
      <c r="F211" s="299">
        <v>-3.1178772254878719E-4</v>
      </c>
      <c r="G211" s="299" t="s">
        <v>293</v>
      </c>
      <c r="H211" s="218"/>
      <c r="I211" s="182"/>
    </row>
    <row r="212" spans="1:9">
      <c r="A212" s="296">
        <v>43038</v>
      </c>
      <c r="B212" s="297" t="s">
        <v>17</v>
      </c>
      <c r="C212" s="298">
        <v>4.47</v>
      </c>
      <c r="D212" s="298">
        <v>4.47</v>
      </c>
      <c r="E212" s="298">
        <v>7.000150546705</v>
      </c>
      <c r="F212" s="299">
        <v>0</v>
      </c>
      <c r="G212" s="299" t="s">
        <v>293</v>
      </c>
      <c r="H212" s="218"/>
      <c r="I212" s="182"/>
    </row>
    <row r="213" spans="1:9">
      <c r="A213" s="296">
        <v>43038</v>
      </c>
      <c r="B213" s="297" t="s">
        <v>227</v>
      </c>
      <c r="C213" s="298">
        <v>4.88</v>
      </c>
      <c r="D213" s="298">
        <v>4.8600000000000003</v>
      </c>
      <c r="E213" s="298">
        <v>11.768770105626</v>
      </c>
      <c r="F213" s="299">
        <v>-2.3537540211251498E-3</v>
      </c>
      <c r="G213" s="299" t="s">
        <v>293</v>
      </c>
      <c r="H213" s="218"/>
      <c r="I213" s="182"/>
    </row>
    <row r="214" spans="1:9">
      <c r="A214" s="296">
        <v>43038</v>
      </c>
      <c r="B214" s="297" t="s">
        <v>41</v>
      </c>
      <c r="C214" s="298">
        <v>2.78</v>
      </c>
      <c r="D214" s="298">
        <v>2.78</v>
      </c>
      <c r="E214" s="298">
        <v>1.1302955490766</v>
      </c>
      <c r="F214" s="299">
        <v>0</v>
      </c>
      <c r="G214" s="299" t="s">
        <v>293</v>
      </c>
      <c r="H214" s="218"/>
      <c r="I214" s="182"/>
    </row>
    <row r="215" spans="1:9">
      <c r="A215" s="296">
        <v>43038</v>
      </c>
      <c r="B215" s="297" t="s">
        <v>42</v>
      </c>
      <c r="C215" s="298">
        <v>3.79</v>
      </c>
      <c r="D215" s="298">
        <v>3.78</v>
      </c>
      <c r="E215" s="298">
        <v>3.7095005863327999</v>
      </c>
      <c r="F215" s="299">
        <v>-3.7095005863328854E-4</v>
      </c>
      <c r="G215" s="299" t="s">
        <v>293</v>
      </c>
      <c r="H215" s="218"/>
      <c r="I215" s="182"/>
    </row>
    <row r="216" spans="1:9">
      <c r="A216" s="296">
        <v>43038</v>
      </c>
      <c r="B216" s="297" t="s">
        <v>18</v>
      </c>
      <c r="C216" s="298">
        <v>4.1399999999999997</v>
      </c>
      <c r="D216" s="298">
        <v>4.13</v>
      </c>
      <c r="E216" s="298">
        <v>5.2116706223835996</v>
      </c>
      <c r="F216" s="299">
        <v>-5.2116706223834881E-4</v>
      </c>
      <c r="G216" s="299" t="s">
        <v>293</v>
      </c>
      <c r="H216" s="218"/>
      <c r="I216" s="182"/>
    </row>
    <row r="217" spans="1:9">
      <c r="A217" s="296">
        <v>43038</v>
      </c>
      <c r="B217" s="297" t="s">
        <v>228</v>
      </c>
      <c r="C217" s="298">
        <v>5.12</v>
      </c>
      <c r="D217" s="298">
        <v>5.12</v>
      </c>
      <c r="E217" s="298">
        <v>13.77713251062</v>
      </c>
      <c r="F217" s="299">
        <v>0</v>
      </c>
      <c r="G217" s="299" t="s">
        <v>293</v>
      </c>
      <c r="H217" s="218"/>
      <c r="I217" s="182"/>
    </row>
    <row r="218" spans="1:9">
      <c r="A218" s="296">
        <v>43038</v>
      </c>
      <c r="B218" s="297" t="s">
        <v>43</v>
      </c>
      <c r="C218" s="298">
        <v>2.65</v>
      </c>
      <c r="D218" s="298">
        <v>2.65</v>
      </c>
      <c r="E218" s="298">
        <v>0.33424657534246999</v>
      </c>
      <c r="F218" s="299">
        <v>0</v>
      </c>
      <c r="G218" s="299" t="s">
        <v>293</v>
      </c>
      <c r="H218" s="218"/>
      <c r="I218" s="182"/>
    </row>
    <row r="219" spans="1:9">
      <c r="A219" s="296">
        <v>43038</v>
      </c>
      <c r="B219" s="297" t="s">
        <v>159</v>
      </c>
      <c r="C219" s="298">
        <v>1.25</v>
      </c>
      <c r="D219" s="298">
        <v>1.25</v>
      </c>
      <c r="E219" s="298">
        <v>3.2602009082203001</v>
      </c>
      <c r="F219" s="299">
        <v>0</v>
      </c>
      <c r="G219" s="299" t="s">
        <v>293</v>
      </c>
      <c r="H219" s="218"/>
      <c r="I219" s="182"/>
    </row>
    <row r="220" spans="1:9">
      <c r="A220" s="296">
        <v>43038</v>
      </c>
      <c r="B220" s="297" t="s">
        <v>19</v>
      </c>
      <c r="C220" s="298">
        <v>1.73</v>
      </c>
      <c r="D220" s="298">
        <v>1.76</v>
      </c>
      <c r="E220" s="298">
        <v>7.8462898067543003</v>
      </c>
      <c r="F220" s="299">
        <v>2.353886942026292E-3</v>
      </c>
      <c r="G220" s="299" t="s">
        <v>293</v>
      </c>
      <c r="H220" s="218"/>
      <c r="I220" s="182"/>
    </row>
    <row r="221" spans="1:9">
      <c r="A221" s="296">
        <v>43038</v>
      </c>
      <c r="B221" s="297" t="s">
        <v>208</v>
      </c>
      <c r="C221" s="298">
        <v>2.12</v>
      </c>
      <c r="D221" s="298">
        <v>2.12</v>
      </c>
      <c r="E221" s="298">
        <v>14.668995766835</v>
      </c>
      <c r="F221" s="299">
        <v>0</v>
      </c>
      <c r="G221" s="299" t="s">
        <v>293</v>
      </c>
      <c r="H221" s="218"/>
      <c r="I221" s="182"/>
    </row>
    <row r="222" spans="1:9">
      <c r="A222" s="296">
        <v>43038</v>
      </c>
      <c r="B222" s="297" t="s">
        <v>45</v>
      </c>
      <c r="C222" s="298">
        <v>1.2</v>
      </c>
      <c r="D222" s="298">
        <v>1.2</v>
      </c>
      <c r="E222" s="298">
        <v>2.1015167940938002</v>
      </c>
      <c r="F222" s="299">
        <v>0</v>
      </c>
      <c r="G222" s="299" t="s">
        <v>293</v>
      </c>
      <c r="H222" s="218"/>
      <c r="I222" s="182"/>
    </row>
    <row r="223" spans="1:9">
      <c r="A223" s="296">
        <v>43038</v>
      </c>
      <c r="B223" s="297" t="s">
        <v>214</v>
      </c>
      <c r="C223" s="298">
        <v>2.36</v>
      </c>
      <c r="D223" s="298">
        <v>2.38</v>
      </c>
      <c r="E223" s="298">
        <v>18.682441844235999</v>
      </c>
      <c r="F223" s="299">
        <v>3.7364883688472033E-3</v>
      </c>
      <c r="G223" s="299" t="s">
        <v>1955</v>
      </c>
      <c r="H223" s="218"/>
      <c r="I223" s="182"/>
    </row>
    <row r="224" spans="1:9">
      <c r="A224" s="296">
        <v>43038</v>
      </c>
      <c r="B224" s="297" t="s">
        <v>838</v>
      </c>
      <c r="C224" s="298">
        <v>3.43</v>
      </c>
      <c r="D224" s="298">
        <v>3.43</v>
      </c>
      <c r="E224" s="298">
        <v>2.885713979848</v>
      </c>
      <c r="F224" s="299">
        <v>0</v>
      </c>
      <c r="G224" s="299" t="s">
        <v>293</v>
      </c>
      <c r="H224" s="218"/>
      <c r="I224" s="182"/>
    </row>
    <row r="225" spans="1:9">
      <c r="A225" s="296">
        <v>43038</v>
      </c>
      <c r="B225" s="297" t="s">
        <v>987</v>
      </c>
      <c r="C225" s="298">
        <v>2.76</v>
      </c>
      <c r="D225" s="298">
        <v>2.78</v>
      </c>
      <c r="E225" s="298">
        <v>3.8299933694443999</v>
      </c>
      <c r="F225" s="299">
        <v>7.6599867388888062E-4</v>
      </c>
      <c r="G225" s="299" t="s">
        <v>293</v>
      </c>
      <c r="H225" s="218"/>
      <c r="I225" s="182"/>
    </row>
    <row r="226" spans="1:9">
      <c r="A226" s="296">
        <v>43038</v>
      </c>
      <c r="B226" s="297" t="s">
        <v>991</v>
      </c>
      <c r="C226" s="298">
        <v>2.97</v>
      </c>
      <c r="D226" s="298">
        <v>2.99</v>
      </c>
      <c r="E226" s="298">
        <v>5.5150197997939001</v>
      </c>
      <c r="F226" s="299">
        <v>1.1030039599587811E-3</v>
      </c>
      <c r="G226" s="299" t="s">
        <v>293</v>
      </c>
      <c r="H226" s="218"/>
      <c r="I226" s="182"/>
    </row>
    <row r="227" spans="1:9">
      <c r="A227" s="296">
        <v>43038</v>
      </c>
      <c r="B227" s="297" t="s">
        <v>989</v>
      </c>
      <c r="C227" s="298">
        <v>2.93</v>
      </c>
      <c r="D227" s="298">
        <v>2.95</v>
      </c>
      <c r="E227" s="298">
        <v>5.1851775680793999</v>
      </c>
      <c r="F227" s="299">
        <v>1.0370355136158809E-3</v>
      </c>
      <c r="G227" s="299" t="s">
        <v>293</v>
      </c>
      <c r="H227" s="218"/>
      <c r="I227" s="182"/>
    </row>
    <row r="228" spans="1:9">
      <c r="A228" s="296">
        <v>43038</v>
      </c>
      <c r="B228" s="297" t="s">
        <v>984</v>
      </c>
      <c r="C228" s="298">
        <v>2.74</v>
      </c>
      <c r="D228" s="298">
        <v>2.76</v>
      </c>
      <c r="E228" s="298">
        <v>3.714761080088</v>
      </c>
      <c r="F228" s="299">
        <v>7.4295221601758409E-4</v>
      </c>
      <c r="G228" s="299" t="s">
        <v>293</v>
      </c>
      <c r="H228" s="218"/>
      <c r="I228" s="182"/>
    </row>
    <row r="229" spans="1:9">
      <c r="A229" s="296">
        <v>43038</v>
      </c>
      <c r="B229" s="297" t="s">
        <v>951</v>
      </c>
      <c r="C229" s="298">
        <v>3.05</v>
      </c>
      <c r="D229" s="298">
        <v>3.06</v>
      </c>
      <c r="E229" s="298">
        <v>11.415064601285</v>
      </c>
      <c r="F229" s="299">
        <v>1.1415064601285262E-3</v>
      </c>
      <c r="G229" s="299" t="s">
        <v>293</v>
      </c>
      <c r="H229" s="218"/>
      <c r="I229" s="182"/>
    </row>
    <row r="230" spans="1:9">
      <c r="A230" s="296">
        <v>43038</v>
      </c>
      <c r="B230" s="297" t="s">
        <v>982</v>
      </c>
      <c r="C230" s="298">
        <v>1.79</v>
      </c>
      <c r="D230" s="298">
        <v>1.79</v>
      </c>
      <c r="E230" s="298">
        <v>2.3369863013699002</v>
      </c>
      <c r="F230" s="299">
        <v>0</v>
      </c>
      <c r="G230" s="299" t="s">
        <v>293</v>
      </c>
      <c r="H230" s="218"/>
      <c r="I230" s="182"/>
    </row>
    <row r="231" spans="1:9">
      <c r="A231" s="296">
        <v>43038</v>
      </c>
      <c r="B231" s="297" t="s">
        <v>1944</v>
      </c>
      <c r="C231" s="298">
        <v>0.22</v>
      </c>
      <c r="D231" s="298">
        <v>0.22</v>
      </c>
      <c r="E231" s="298">
        <v>6.5753424657534004E-2</v>
      </c>
      <c r="F231" s="299">
        <v>0</v>
      </c>
      <c r="G231" s="299" t="s">
        <v>293</v>
      </c>
      <c r="H231" s="218"/>
      <c r="I231" s="182"/>
    </row>
    <row r="232" spans="1:9">
      <c r="A232" s="296">
        <v>43038</v>
      </c>
      <c r="B232" s="297" t="s">
        <v>1948</v>
      </c>
      <c r="C232" s="298">
        <v>0.24</v>
      </c>
      <c r="D232" s="298">
        <v>0.25</v>
      </c>
      <c r="E232" s="298">
        <v>0.35616438356163999</v>
      </c>
      <c r="F232" s="299">
        <v>4.2739726027396833E-4</v>
      </c>
      <c r="G232" s="299" t="s">
        <v>293</v>
      </c>
      <c r="H232" s="218"/>
      <c r="I232" s="182"/>
    </row>
    <row r="233" spans="1:9">
      <c r="A233" s="296">
        <v>43038</v>
      </c>
      <c r="B233" s="297" t="s">
        <v>1832</v>
      </c>
      <c r="C233" s="298">
        <v>0.23</v>
      </c>
      <c r="D233" s="298">
        <v>0.23</v>
      </c>
      <c r="E233" s="298">
        <v>0.21095890410959001</v>
      </c>
      <c r="F233" s="299">
        <v>0</v>
      </c>
      <c r="G233" s="299" t="s">
        <v>293</v>
      </c>
      <c r="H233" s="218"/>
      <c r="I233" s="182"/>
    </row>
    <row r="234" spans="1:9">
      <c r="A234" s="296">
        <v>43038</v>
      </c>
      <c r="B234" s="297" t="s">
        <v>1311</v>
      </c>
      <c r="C234" s="298">
        <v>0.25</v>
      </c>
      <c r="D234" s="298">
        <v>0.24</v>
      </c>
      <c r="E234" s="298">
        <v>0.30958904109589003</v>
      </c>
      <c r="F234" s="299">
        <v>-3.7150684931506832E-4</v>
      </c>
      <c r="G234" s="299" t="s">
        <v>293</v>
      </c>
      <c r="H234" s="218"/>
      <c r="I234" s="182"/>
    </row>
    <row r="235" spans="1:9">
      <c r="A235" s="296">
        <v>43038</v>
      </c>
      <c r="B235" s="297" t="s">
        <v>1588</v>
      </c>
      <c r="C235" s="298">
        <v>0.24</v>
      </c>
      <c r="D235" s="298">
        <v>0.24</v>
      </c>
      <c r="E235" s="298">
        <v>0.32602739726027002</v>
      </c>
      <c r="F235" s="299">
        <v>0</v>
      </c>
      <c r="G235" s="299" t="s">
        <v>293</v>
      </c>
      <c r="H235" s="218"/>
      <c r="I235" s="182"/>
    </row>
    <row r="236" spans="1:9">
      <c r="A236" s="296">
        <v>43038</v>
      </c>
      <c r="B236" s="297" t="s">
        <v>1949</v>
      </c>
      <c r="C236" s="298">
        <v>0.2</v>
      </c>
      <c r="D236" s="298">
        <v>0.21</v>
      </c>
      <c r="E236" s="298">
        <v>2.7397260273973002E-3</v>
      </c>
      <c r="F236" s="299">
        <v>3.2876712328767542E-6</v>
      </c>
      <c r="G236" s="299" t="s">
        <v>293</v>
      </c>
      <c r="H236" s="218"/>
      <c r="I236" s="182"/>
    </row>
    <row r="237" spans="1:9">
      <c r="A237" s="296">
        <v>43038</v>
      </c>
      <c r="B237" s="297" t="s">
        <v>1521</v>
      </c>
      <c r="C237" s="298">
        <v>0.23</v>
      </c>
      <c r="D237" s="298">
        <v>0.23</v>
      </c>
      <c r="E237" s="298">
        <v>0.18082191780821999</v>
      </c>
      <c r="F237" s="299">
        <v>0</v>
      </c>
      <c r="G237" s="299" t="s">
        <v>293</v>
      </c>
      <c r="H237" s="218"/>
      <c r="I237" s="182"/>
    </row>
    <row r="238" spans="1:9">
      <c r="A238" s="296">
        <v>43038</v>
      </c>
      <c r="B238" s="297" t="s">
        <v>1894</v>
      </c>
      <c r="C238" s="298">
        <v>0.23</v>
      </c>
      <c r="D238" s="298">
        <v>0.23</v>
      </c>
      <c r="E238" s="298">
        <v>0.19452054794521001</v>
      </c>
      <c r="F238" s="299">
        <v>0</v>
      </c>
      <c r="G238" s="299" t="s">
        <v>293</v>
      </c>
      <c r="H238" s="218"/>
      <c r="I238" s="182"/>
    </row>
    <row r="239" spans="1:9">
      <c r="A239" s="296">
        <v>43038</v>
      </c>
      <c r="B239" s="297" t="s">
        <v>1833</v>
      </c>
      <c r="C239" s="298">
        <v>0.23</v>
      </c>
      <c r="D239" s="298">
        <v>0.23</v>
      </c>
      <c r="E239" s="298">
        <v>0.21643835616438001</v>
      </c>
      <c r="F239" s="299">
        <v>0</v>
      </c>
      <c r="G239" s="299" t="s">
        <v>293</v>
      </c>
      <c r="H239" s="218"/>
      <c r="I239" s="182"/>
    </row>
    <row r="240" spans="1:9">
      <c r="A240" s="296">
        <v>43038</v>
      </c>
      <c r="B240" s="297" t="s">
        <v>1318</v>
      </c>
      <c r="C240" s="298">
        <v>0.24</v>
      </c>
      <c r="D240" s="298">
        <v>0.23</v>
      </c>
      <c r="E240" s="298">
        <v>0.24109589041096</v>
      </c>
      <c r="F240" s="299">
        <v>-2.8931506849315142E-4</v>
      </c>
      <c r="G240" s="299" t="s">
        <v>293</v>
      </c>
      <c r="H240" s="218"/>
      <c r="I240" s="182"/>
    </row>
    <row r="241" spans="1:9">
      <c r="A241" s="296">
        <v>43038</v>
      </c>
      <c r="B241" s="297" t="s">
        <v>1850</v>
      </c>
      <c r="C241" s="298">
        <v>0.25</v>
      </c>
      <c r="D241" s="298">
        <v>0.24</v>
      </c>
      <c r="E241" s="298">
        <v>0.41095890410959002</v>
      </c>
      <c r="F241" s="299">
        <v>-4.9315068493150846E-4</v>
      </c>
      <c r="G241" s="299" t="s">
        <v>293</v>
      </c>
      <c r="H241" s="218"/>
      <c r="I241" s="182"/>
    </row>
    <row r="242" spans="1:9">
      <c r="A242" s="296">
        <v>43038</v>
      </c>
      <c r="B242" s="298" t="s">
        <v>1851</v>
      </c>
      <c r="C242" s="298">
        <v>0.24</v>
      </c>
      <c r="D242" s="298">
        <v>0.24</v>
      </c>
      <c r="E242" s="298">
        <v>0.36986301369863001</v>
      </c>
      <c r="F242" s="299">
        <v>0</v>
      </c>
      <c r="G242" s="299" t="s">
        <v>293</v>
      </c>
      <c r="H242" s="218"/>
      <c r="I242" s="182"/>
    </row>
    <row r="243" spans="1:9">
      <c r="A243" s="296">
        <v>43038</v>
      </c>
      <c r="B243" s="298" t="s">
        <v>1896</v>
      </c>
      <c r="C243" s="298">
        <v>0.24</v>
      </c>
      <c r="D243" s="298">
        <v>0.24</v>
      </c>
      <c r="E243" s="298">
        <v>0.46575342465753</v>
      </c>
      <c r="F243" s="299">
        <v>0</v>
      </c>
      <c r="G243" s="299" t="s">
        <v>293</v>
      </c>
      <c r="H243" s="218"/>
      <c r="I243" s="182"/>
    </row>
    <row r="244" spans="1:9">
      <c r="A244" s="296">
        <v>43038</v>
      </c>
      <c r="B244" s="298" t="s">
        <v>1205</v>
      </c>
      <c r="C244" s="298">
        <v>0.24</v>
      </c>
      <c r="D244" s="298">
        <v>0.25</v>
      </c>
      <c r="E244" s="298">
        <v>0.26027397260273999</v>
      </c>
      <c r="F244" s="299">
        <v>3.1232876712328824E-4</v>
      </c>
      <c r="G244" s="299" t="s">
        <v>293</v>
      </c>
      <c r="H244" s="218"/>
      <c r="I244" s="182"/>
    </row>
    <row r="245" spans="1:9">
      <c r="A245" s="296">
        <v>43038</v>
      </c>
      <c r="B245" s="298" t="s">
        <v>1450</v>
      </c>
      <c r="C245" s="298">
        <v>0.25</v>
      </c>
      <c r="D245" s="298">
        <v>0.25</v>
      </c>
      <c r="E245" s="298">
        <v>0.36986301369863001</v>
      </c>
      <c r="F245" s="299">
        <v>0</v>
      </c>
      <c r="G245" s="299" t="s">
        <v>293</v>
      </c>
      <c r="H245" s="218"/>
      <c r="I245" s="182"/>
    </row>
    <row r="246" spans="1:9">
      <c r="A246" s="296">
        <v>43038</v>
      </c>
      <c r="B246" s="298" t="s">
        <v>1945</v>
      </c>
      <c r="C246" s="298">
        <v>0.26</v>
      </c>
      <c r="D246" s="298">
        <v>0.26</v>
      </c>
      <c r="E246" s="298">
        <v>0.78630136986301002</v>
      </c>
      <c r="F246" s="299">
        <v>0</v>
      </c>
      <c r="G246" s="299" t="s">
        <v>293</v>
      </c>
      <c r="H246" s="218"/>
      <c r="I246" s="182"/>
    </row>
    <row r="247" spans="1:9">
      <c r="A247" s="296">
        <v>43038</v>
      </c>
      <c r="B247" s="17" t="s">
        <v>1572</v>
      </c>
      <c r="C247" s="298">
        <v>2.73</v>
      </c>
      <c r="D247" s="298">
        <v>2.74</v>
      </c>
      <c r="E247" s="298">
        <v>10.239068342978999</v>
      </c>
      <c r="F247" s="299">
        <v>1.0239068342979235E-3</v>
      </c>
      <c r="G247" s="299" t="s">
        <v>293</v>
      </c>
      <c r="H247" s="218"/>
      <c r="I247" s="182"/>
    </row>
    <row r="248" spans="1:9">
      <c r="A248" s="296">
        <v>43038</v>
      </c>
      <c r="B248" s="17" t="s">
        <v>950</v>
      </c>
      <c r="C248" s="298">
        <v>2.81</v>
      </c>
      <c r="D248" s="298">
        <v>2.82</v>
      </c>
      <c r="E248" s="298">
        <v>11.560722833172999</v>
      </c>
      <c r="F248" s="299">
        <v>1.1560722833172752E-3</v>
      </c>
      <c r="G248" s="299" t="s">
        <v>293</v>
      </c>
      <c r="H248" s="218"/>
      <c r="I248" s="182"/>
    </row>
    <row r="249" spans="1:9">
      <c r="A249" s="296">
        <v>43038</v>
      </c>
      <c r="B249" s="17" t="s">
        <v>1417</v>
      </c>
      <c r="C249" s="298">
        <v>2.06</v>
      </c>
      <c r="D249" s="298">
        <v>2.0699999999999998</v>
      </c>
      <c r="E249" s="298">
        <v>3.1724742885456001</v>
      </c>
      <c r="F249" s="299">
        <v>3.1724742885455321E-4</v>
      </c>
      <c r="G249" s="299" t="s">
        <v>293</v>
      </c>
      <c r="H249" s="218"/>
      <c r="I249" s="182"/>
    </row>
    <row r="250" spans="1:9">
      <c r="A250" s="296">
        <v>43038</v>
      </c>
      <c r="B250" s="17" t="s">
        <v>722</v>
      </c>
      <c r="C250" s="298">
        <v>2.41</v>
      </c>
      <c r="D250" s="298">
        <v>2.4300000000000002</v>
      </c>
      <c r="E250" s="298">
        <v>6.2302113296607002</v>
      </c>
      <c r="F250" s="299">
        <v>1.246042265932141E-3</v>
      </c>
      <c r="G250" s="299" t="s">
        <v>293</v>
      </c>
      <c r="H250" s="218"/>
      <c r="I250" s="182"/>
    </row>
    <row r="251" spans="1:9">
      <c r="A251" s="296">
        <v>43038</v>
      </c>
      <c r="B251" s="17" t="s">
        <v>1593</v>
      </c>
      <c r="C251" s="298">
        <v>2.41</v>
      </c>
      <c r="D251" s="298">
        <v>2.4300000000000002</v>
      </c>
      <c r="E251" s="298">
        <v>6.2302113296607002</v>
      </c>
      <c r="F251" s="299">
        <v>1.246042265932141E-3</v>
      </c>
      <c r="G251" s="299" t="s">
        <v>293</v>
      </c>
      <c r="H251" s="218"/>
      <c r="I251" s="182"/>
    </row>
    <row r="252" spans="1:9">
      <c r="A252" s="296">
        <v>43038</v>
      </c>
      <c r="B252" s="17" t="s">
        <v>920</v>
      </c>
      <c r="C252" s="298">
        <v>2.4700000000000002</v>
      </c>
      <c r="D252" s="298">
        <v>2.48</v>
      </c>
      <c r="E252" s="298">
        <v>7.8647238716704999</v>
      </c>
      <c r="F252" s="299">
        <v>7.8647238716703322E-4</v>
      </c>
      <c r="G252" s="299" t="s">
        <v>293</v>
      </c>
      <c r="H252" s="218"/>
      <c r="I252" s="182"/>
    </row>
    <row r="253" spans="1:9">
      <c r="A253" s="296">
        <v>43038</v>
      </c>
      <c r="B253" s="17" t="s">
        <v>567</v>
      </c>
      <c r="C253" s="298">
        <v>2.04</v>
      </c>
      <c r="D253" s="298">
        <v>2.0299999999999998</v>
      </c>
      <c r="E253" s="298">
        <v>2.1382800701706</v>
      </c>
      <c r="F253" s="299">
        <v>-2.1382800701706493E-4</v>
      </c>
      <c r="G253" s="299" t="s">
        <v>293</v>
      </c>
      <c r="H253" s="218"/>
      <c r="I253" s="182"/>
    </row>
    <row r="254" spans="1:9">
      <c r="A254" s="296">
        <v>43038</v>
      </c>
      <c r="B254" s="17" t="s">
        <v>1140</v>
      </c>
      <c r="C254" s="298">
        <v>2.25</v>
      </c>
      <c r="D254" s="298">
        <v>2.25</v>
      </c>
      <c r="E254" s="298">
        <v>4.2890999182914999</v>
      </c>
      <c r="F254" s="299">
        <v>0</v>
      </c>
      <c r="G254" s="299" t="s">
        <v>293</v>
      </c>
      <c r="H254" s="218"/>
      <c r="I254" s="182"/>
    </row>
    <row r="255" spans="1:9">
      <c r="A255" s="296">
        <v>43038</v>
      </c>
      <c r="B255" s="17" t="s">
        <v>944</v>
      </c>
      <c r="C255" s="298">
        <v>2.93</v>
      </c>
      <c r="D255" s="298">
        <v>2.94</v>
      </c>
      <c r="E255" s="298">
        <v>11.046593943762</v>
      </c>
      <c r="F255" s="299">
        <v>1.1046593943761763E-3</v>
      </c>
      <c r="G255" s="299" t="s">
        <v>293</v>
      </c>
      <c r="H255" s="218"/>
      <c r="I255" s="182"/>
    </row>
    <row r="256" spans="1:9">
      <c r="A256" s="296">
        <v>43038</v>
      </c>
      <c r="B256" s="17" t="s">
        <v>970</v>
      </c>
      <c r="C256" s="298">
        <v>3.17</v>
      </c>
      <c r="D256" s="298">
        <v>3.17</v>
      </c>
      <c r="E256" s="298">
        <v>15.040743291756</v>
      </c>
      <c r="F256" s="299">
        <v>0</v>
      </c>
      <c r="G256" s="299" t="s">
        <v>293</v>
      </c>
      <c r="H256" s="218"/>
      <c r="I256" s="182"/>
    </row>
    <row r="257" spans="1:9">
      <c r="A257" s="296">
        <v>43038</v>
      </c>
      <c r="B257" s="17" t="s">
        <v>972</v>
      </c>
      <c r="C257" s="298">
        <v>3.2</v>
      </c>
      <c r="D257" s="298">
        <v>3.21</v>
      </c>
      <c r="E257" s="298">
        <v>15.236297199991</v>
      </c>
      <c r="F257" s="299">
        <v>1.5236297199990674E-3</v>
      </c>
      <c r="G257" s="299" t="s">
        <v>293</v>
      </c>
      <c r="H257" s="218"/>
      <c r="I257" s="182"/>
    </row>
    <row r="258" spans="1:9">
      <c r="A258" s="296">
        <v>43038</v>
      </c>
      <c r="B258" s="17" t="s">
        <v>958</v>
      </c>
      <c r="C258" s="298">
        <v>2.9</v>
      </c>
      <c r="D258" s="298">
        <v>3.07</v>
      </c>
      <c r="E258" s="298">
        <v>11.742641446752</v>
      </c>
      <c r="F258" s="299">
        <v>1.9962490459478392E-2</v>
      </c>
      <c r="G258" s="299" t="s">
        <v>1955</v>
      </c>
      <c r="H258" s="218"/>
      <c r="I258" s="182"/>
    </row>
    <row r="259" spans="1:9">
      <c r="A259" s="296">
        <v>43038</v>
      </c>
      <c r="B259" s="17" t="s">
        <v>947</v>
      </c>
      <c r="C259" s="298">
        <v>2.86</v>
      </c>
      <c r="D259" s="298">
        <v>3.03</v>
      </c>
      <c r="E259" s="298">
        <v>11.365772734896</v>
      </c>
      <c r="F259" s="299">
        <v>1.9321813649323193E-2</v>
      </c>
      <c r="G259" s="299" t="s">
        <v>1955</v>
      </c>
      <c r="H259" s="218"/>
      <c r="I259" s="182"/>
    </row>
    <row r="260" spans="1:9">
      <c r="A260" s="296">
        <v>43038</v>
      </c>
      <c r="B260" s="17" t="s">
        <v>964</v>
      </c>
      <c r="C260" s="298">
        <v>2.98</v>
      </c>
      <c r="D260" s="298">
        <v>3.13</v>
      </c>
      <c r="E260" s="298">
        <v>13.05082970388</v>
      </c>
      <c r="F260" s="299">
        <v>1.957624455581999E-2</v>
      </c>
      <c r="G260" s="299" t="s">
        <v>1955</v>
      </c>
      <c r="H260" s="218"/>
      <c r="I260" s="182"/>
    </row>
    <row r="261" spans="1:9">
      <c r="A261" s="296">
        <v>43038</v>
      </c>
      <c r="B261" s="17" t="s">
        <v>1239</v>
      </c>
      <c r="C261" s="298">
        <v>3.02</v>
      </c>
      <c r="D261" s="298">
        <v>3.18</v>
      </c>
      <c r="E261" s="298">
        <v>13.572884525843</v>
      </c>
      <c r="F261" s="299">
        <v>2.1716615241348818E-2</v>
      </c>
      <c r="G261" s="299" t="s">
        <v>1955</v>
      </c>
      <c r="H261" s="218"/>
      <c r="I261" s="182"/>
    </row>
    <row r="262" spans="1:9">
      <c r="A262" s="296">
        <v>43038</v>
      </c>
      <c r="B262" s="17" t="s">
        <v>889</v>
      </c>
      <c r="C262" s="298">
        <v>2.44</v>
      </c>
      <c r="D262" s="298">
        <v>2.46</v>
      </c>
      <c r="E262" s="298">
        <v>5.8851876630945004</v>
      </c>
      <c r="F262" s="299">
        <v>1.1770375326189012E-3</v>
      </c>
      <c r="G262" s="299" t="s">
        <v>293</v>
      </c>
      <c r="H262" s="218"/>
      <c r="I262" s="182"/>
    </row>
    <row r="263" spans="1:9">
      <c r="A263" s="296">
        <v>43038</v>
      </c>
      <c r="B263" s="17" t="s">
        <v>1256</v>
      </c>
      <c r="C263" s="298">
        <v>2.12</v>
      </c>
      <c r="D263" s="298">
        <v>2.13</v>
      </c>
      <c r="E263" s="298">
        <v>1.490642222972</v>
      </c>
      <c r="F263" s="299">
        <v>1.4906422229719681E-4</v>
      </c>
      <c r="G263" s="299" t="s">
        <v>293</v>
      </c>
      <c r="H263" s="218"/>
      <c r="I263" s="182"/>
    </row>
    <row r="264" spans="1:9">
      <c r="A264" s="296">
        <v>43038</v>
      </c>
      <c r="B264" s="17" t="s">
        <v>627</v>
      </c>
      <c r="C264" s="298">
        <v>2.27</v>
      </c>
      <c r="D264" s="298">
        <v>2.29</v>
      </c>
      <c r="E264" s="298">
        <v>3.3312510960095998</v>
      </c>
      <c r="F264" s="299">
        <v>6.6625021920192057E-4</v>
      </c>
      <c r="G264" s="299" t="s">
        <v>293</v>
      </c>
      <c r="H264" s="218"/>
      <c r="I264" s="182"/>
    </row>
    <row r="265" spans="1:9">
      <c r="A265" s="296">
        <v>43038</v>
      </c>
      <c r="B265" s="17" t="s">
        <v>675</v>
      </c>
      <c r="C265" s="298">
        <v>2.19</v>
      </c>
      <c r="D265" s="298">
        <v>2.21</v>
      </c>
      <c r="E265" s="298">
        <v>4.7604107989377997</v>
      </c>
      <c r="F265" s="299">
        <v>9.5208215978756072E-4</v>
      </c>
      <c r="G265" s="299" t="s">
        <v>293</v>
      </c>
      <c r="H265" s="218"/>
      <c r="I265" s="182"/>
    </row>
    <row r="266" spans="1:9">
      <c r="A266" s="296">
        <v>43038</v>
      </c>
      <c r="B266" s="17" t="s">
        <v>872</v>
      </c>
      <c r="C266" s="298">
        <v>2.3199999999999998</v>
      </c>
      <c r="D266" s="298">
        <v>2.33</v>
      </c>
      <c r="E266" s="298">
        <v>5.1478635782127</v>
      </c>
      <c r="F266" s="299">
        <v>5.1478635782128187E-4</v>
      </c>
      <c r="G266" s="299" t="s">
        <v>293</v>
      </c>
      <c r="H266" s="218"/>
      <c r="I266" s="182"/>
    </row>
    <row r="267" spans="1:9">
      <c r="A267" s="296">
        <v>43038</v>
      </c>
      <c r="B267" s="17" t="s">
        <v>1522</v>
      </c>
      <c r="C267" s="298">
        <v>2.5099999999999998</v>
      </c>
      <c r="D267" s="298">
        <v>2.52</v>
      </c>
      <c r="E267" s="298">
        <v>7.6028458675205002</v>
      </c>
      <c r="F267" s="299">
        <v>7.6028458675206757E-4</v>
      </c>
      <c r="G267" s="299" t="s">
        <v>293</v>
      </c>
      <c r="H267" s="218"/>
      <c r="I267" s="182"/>
    </row>
    <row r="268" spans="1:9">
      <c r="A268" s="296">
        <v>43038</v>
      </c>
      <c r="B268" s="17" t="s">
        <v>1266</v>
      </c>
      <c r="C268" s="298">
        <v>2.5499999999999998</v>
      </c>
      <c r="D268" s="298">
        <v>2.5499999999999998</v>
      </c>
      <c r="E268" s="298">
        <v>6.8899146550674004</v>
      </c>
      <c r="F268" s="299">
        <v>0</v>
      </c>
      <c r="G268" s="299" t="s">
        <v>293</v>
      </c>
      <c r="H268" s="218"/>
      <c r="I268" s="182"/>
    </row>
    <row r="269" spans="1:9">
      <c r="A269" s="296">
        <v>43038</v>
      </c>
      <c r="B269" s="17" t="s">
        <v>1212</v>
      </c>
      <c r="C269" s="298">
        <v>2.3199999999999998</v>
      </c>
      <c r="D269" s="298">
        <v>2.34</v>
      </c>
      <c r="E269" s="298">
        <v>4.7045615471606999</v>
      </c>
      <c r="F269" s="299">
        <v>9.4091230943214074E-4</v>
      </c>
      <c r="G269" s="299" t="s">
        <v>293</v>
      </c>
      <c r="H269" s="218"/>
      <c r="I269" s="182"/>
    </row>
    <row r="270" spans="1:9">
      <c r="A270" s="296">
        <v>43038</v>
      </c>
      <c r="B270" s="17" t="s">
        <v>906</v>
      </c>
      <c r="C270" s="298">
        <v>2.5</v>
      </c>
      <c r="D270" s="298">
        <v>2.5</v>
      </c>
      <c r="E270" s="298">
        <v>6.6597839361368996</v>
      </c>
      <c r="F270" s="299">
        <v>0</v>
      </c>
      <c r="G270" s="299" t="s">
        <v>293</v>
      </c>
      <c r="H270" s="218"/>
      <c r="I270" s="182"/>
    </row>
    <row r="271" spans="1:9">
      <c r="A271" s="296">
        <v>43038</v>
      </c>
      <c r="B271" s="17" t="s">
        <v>955</v>
      </c>
      <c r="C271" s="298">
        <v>2.97</v>
      </c>
      <c r="D271" s="298">
        <v>2.98</v>
      </c>
      <c r="E271" s="298">
        <v>11.636702636974</v>
      </c>
      <c r="F271" s="299">
        <v>1.1636702636973752E-3</v>
      </c>
      <c r="G271" s="299" t="s">
        <v>293</v>
      </c>
      <c r="H271" s="218"/>
      <c r="I271" s="182"/>
    </row>
    <row r="272" spans="1:9">
      <c r="A272" s="296">
        <v>43038</v>
      </c>
      <c r="B272" s="17" t="s">
        <v>962</v>
      </c>
      <c r="C272" s="298">
        <v>3</v>
      </c>
      <c r="D272" s="298">
        <v>3</v>
      </c>
      <c r="E272" s="298">
        <v>12.584354669616999</v>
      </c>
      <c r="F272" s="299">
        <v>0</v>
      </c>
      <c r="G272" s="299" t="s">
        <v>293</v>
      </c>
      <c r="H272" s="218"/>
      <c r="I272" s="182"/>
    </row>
    <row r="273" spans="1:9">
      <c r="A273" s="296">
        <v>43038</v>
      </c>
      <c r="B273" s="17" t="s">
        <v>1045</v>
      </c>
      <c r="C273" s="298">
        <v>2.4300000000000002</v>
      </c>
      <c r="D273" s="298">
        <v>2.44</v>
      </c>
      <c r="E273" s="298">
        <v>7.4127882201405999</v>
      </c>
      <c r="F273" s="299">
        <v>7.4127882201404413E-4</v>
      </c>
      <c r="G273" s="299" t="s">
        <v>293</v>
      </c>
      <c r="H273" s="218"/>
      <c r="I273" s="182"/>
    </row>
    <row r="274" spans="1:9">
      <c r="A274" s="296">
        <v>43038</v>
      </c>
      <c r="B274" s="17" t="s">
        <v>1112</v>
      </c>
      <c r="C274" s="298">
        <v>3.49</v>
      </c>
      <c r="D274" s="298">
        <v>3.37</v>
      </c>
      <c r="E274" s="298">
        <v>1.6423432158147</v>
      </c>
      <c r="F274" s="299">
        <v>-1.9708118589776393E-3</v>
      </c>
      <c r="G274" s="299" t="s">
        <v>1956</v>
      </c>
      <c r="H274" s="218"/>
      <c r="I274" s="182"/>
    </row>
    <row r="275" spans="1:9">
      <c r="A275" s="296">
        <v>43038</v>
      </c>
      <c r="B275" s="17" t="s">
        <v>1114</v>
      </c>
      <c r="C275" s="298">
        <v>3.44</v>
      </c>
      <c r="D275" s="298">
        <v>3.37</v>
      </c>
      <c r="E275" s="298">
        <v>1.6400243297312</v>
      </c>
      <c r="F275" s="299">
        <v>-1.1480170308118388E-3</v>
      </c>
      <c r="G275" s="299" t="s">
        <v>1956</v>
      </c>
      <c r="H275" s="218"/>
      <c r="I275" s="182"/>
    </row>
    <row r="276" spans="1:9">
      <c r="A276" s="296">
        <v>43038</v>
      </c>
      <c r="B276" s="17" t="s">
        <v>771</v>
      </c>
      <c r="C276" s="298">
        <v>2.6</v>
      </c>
      <c r="D276" s="298">
        <v>2.61</v>
      </c>
      <c r="E276" s="298">
        <v>8.1251130171150994</v>
      </c>
      <c r="F276" s="299">
        <v>8.1251130171147679E-4</v>
      </c>
      <c r="G276" s="299" t="s">
        <v>1956</v>
      </c>
      <c r="H276" s="218"/>
      <c r="I276" s="182"/>
    </row>
    <row r="277" spans="1:9">
      <c r="A277" s="296">
        <v>43038</v>
      </c>
      <c r="B277" s="17" t="s">
        <v>542</v>
      </c>
      <c r="C277" s="298">
        <v>2.02</v>
      </c>
      <c r="D277" s="298">
        <v>2.04</v>
      </c>
      <c r="E277" s="298">
        <v>0.91101855849525004</v>
      </c>
      <c r="F277" s="299">
        <v>1.8220371169905207E-4</v>
      </c>
      <c r="G277" s="299" t="s">
        <v>1956</v>
      </c>
      <c r="H277" s="218"/>
      <c r="I277" s="182"/>
    </row>
    <row r="278" spans="1:9">
      <c r="A278" s="296">
        <v>43038</v>
      </c>
      <c r="B278" s="297" t="s">
        <v>1248</v>
      </c>
      <c r="C278" s="298">
        <v>1.71</v>
      </c>
      <c r="D278" s="298">
        <v>1.71</v>
      </c>
      <c r="E278" s="298">
        <v>1.5108261459454999</v>
      </c>
      <c r="F278" s="299">
        <v>0</v>
      </c>
      <c r="G278" s="218" t="s">
        <v>1956</v>
      </c>
      <c r="H278" s="218"/>
      <c r="I278" s="182"/>
    </row>
    <row r="279" spans="1:9">
      <c r="A279" s="296">
        <v>43038</v>
      </c>
      <c r="B279" s="297" t="s">
        <v>638</v>
      </c>
      <c r="C279" s="298">
        <v>1.85</v>
      </c>
      <c r="D279" s="298">
        <v>1.85</v>
      </c>
      <c r="E279" s="298">
        <v>3.8127586524960999</v>
      </c>
      <c r="F279" s="299">
        <v>0</v>
      </c>
      <c r="G279" s="218" t="s">
        <v>1956</v>
      </c>
      <c r="H279" s="218"/>
      <c r="I279" s="182"/>
    </row>
    <row r="280" spans="1:9">
      <c r="A280" s="296">
        <v>43038</v>
      </c>
      <c r="B280" s="297" t="s">
        <v>618</v>
      </c>
      <c r="C280" s="298">
        <v>2.14</v>
      </c>
      <c r="D280" s="298">
        <v>2.14</v>
      </c>
      <c r="E280" s="298">
        <v>2.7263919684214999</v>
      </c>
      <c r="F280" s="299">
        <v>0</v>
      </c>
      <c r="G280" s="218" t="s">
        <v>1956</v>
      </c>
      <c r="H280" s="218"/>
      <c r="I280" s="182"/>
    </row>
    <row r="281" spans="1:9">
      <c r="A281" s="296">
        <v>43038</v>
      </c>
      <c r="B281" s="297" t="s">
        <v>484</v>
      </c>
      <c r="C281" s="298">
        <v>1.98</v>
      </c>
      <c r="D281" s="298">
        <v>1.98</v>
      </c>
      <c r="E281" s="298">
        <v>1.8731735338941</v>
      </c>
      <c r="F281" s="299">
        <v>0</v>
      </c>
      <c r="G281" s="218" t="s">
        <v>1956</v>
      </c>
      <c r="H281" s="218"/>
      <c r="I281" s="182"/>
    </row>
    <row r="282" spans="1:9">
      <c r="A282" s="296">
        <v>43038</v>
      </c>
      <c r="B282" s="297" t="s">
        <v>1008</v>
      </c>
      <c r="C282" s="298">
        <v>2.62</v>
      </c>
      <c r="D282" s="298">
        <v>2.65</v>
      </c>
      <c r="E282" s="298">
        <v>8.0937401334705008</v>
      </c>
      <c r="F282" s="299">
        <v>2.4281220400411353E-3</v>
      </c>
      <c r="G282" s="218" t="s">
        <v>1956</v>
      </c>
      <c r="H282" s="218"/>
      <c r="I282" s="182"/>
    </row>
    <row r="283" spans="1:9">
      <c r="A283" s="296">
        <v>43038</v>
      </c>
      <c r="B283" s="297" t="s">
        <v>886</v>
      </c>
      <c r="C283" s="298">
        <v>2.48</v>
      </c>
      <c r="D283" s="298">
        <v>2.48</v>
      </c>
      <c r="E283" s="298">
        <v>5.6815232824875999</v>
      </c>
      <c r="F283" s="299">
        <v>0</v>
      </c>
      <c r="G283" s="218" t="s">
        <v>1956</v>
      </c>
      <c r="H283" s="218"/>
      <c r="I283" s="182"/>
    </row>
    <row r="284" spans="1:9">
      <c r="A284" s="296">
        <v>43038</v>
      </c>
      <c r="B284" s="297" t="s">
        <v>760</v>
      </c>
      <c r="C284" s="298">
        <v>2.71</v>
      </c>
      <c r="D284" s="298">
        <v>2.72</v>
      </c>
      <c r="E284" s="298">
        <v>7.5285116182801</v>
      </c>
      <c r="F284" s="299">
        <v>7.5285116182803157E-4</v>
      </c>
      <c r="G284" s="218" t="s">
        <v>1956</v>
      </c>
      <c r="H284" s="218"/>
      <c r="I284" s="182"/>
    </row>
    <row r="285" spans="1:9">
      <c r="A285" s="296">
        <v>43038</v>
      </c>
      <c r="B285" s="297" t="s">
        <v>881</v>
      </c>
      <c r="C285" s="298">
        <v>2.4900000000000002</v>
      </c>
      <c r="D285" s="298">
        <v>2.5099999999999998</v>
      </c>
      <c r="E285" s="298">
        <v>5.3990327912916003</v>
      </c>
      <c r="F285" s="299">
        <v>1.0798065582582948E-3</v>
      </c>
      <c r="G285" s="218" t="s">
        <v>1956</v>
      </c>
      <c r="H285" s="218"/>
      <c r="I285" s="182"/>
    </row>
    <row r="286" spans="1:9">
      <c r="A286" s="296">
        <v>43038</v>
      </c>
      <c r="B286" s="297" t="s">
        <v>549</v>
      </c>
      <c r="C286" s="298">
        <v>3.95</v>
      </c>
      <c r="D286" s="298">
        <v>3.95</v>
      </c>
      <c r="E286" s="298">
        <v>1.3805452659516</v>
      </c>
      <c r="F286" s="299">
        <v>0</v>
      </c>
      <c r="G286" s="218" t="s">
        <v>1956</v>
      </c>
      <c r="H286" s="218"/>
      <c r="I286" s="182"/>
    </row>
    <row r="287" spans="1:9">
      <c r="A287" s="296">
        <v>43038</v>
      </c>
      <c r="B287" s="297" t="s">
        <v>1203</v>
      </c>
      <c r="C287" s="298">
        <v>2.2400000000000002</v>
      </c>
      <c r="D287" s="298">
        <v>2.2400000000000002</v>
      </c>
      <c r="E287" s="298">
        <v>4.0894499613170003</v>
      </c>
      <c r="F287" s="299">
        <v>0</v>
      </c>
      <c r="G287" s="218" t="s">
        <v>1956</v>
      </c>
      <c r="H287" s="218"/>
      <c r="I287" s="182"/>
    </row>
    <row r="288" spans="1:9">
      <c r="A288" s="296">
        <v>43038</v>
      </c>
      <c r="B288" s="297" t="s">
        <v>541</v>
      </c>
      <c r="C288" s="298">
        <v>2.79</v>
      </c>
      <c r="D288" s="298">
        <v>2.7</v>
      </c>
      <c r="E288" s="298">
        <v>0.41917808219177999</v>
      </c>
      <c r="F288" s="299">
        <v>-3.7726027397260115E-4</v>
      </c>
      <c r="G288" s="218" t="s">
        <v>1956</v>
      </c>
      <c r="H288" s="218"/>
      <c r="I288" s="182"/>
    </row>
    <row r="289" spans="1:9">
      <c r="A289" s="296">
        <v>43038</v>
      </c>
      <c r="B289" s="297" t="s">
        <v>440</v>
      </c>
      <c r="C289" s="298">
        <v>2.64</v>
      </c>
      <c r="D289" s="298">
        <v>2.65</v>
      </c>
      <c r="E289" s="298">
        <v>0.44109589041095998</v>
      </c>
      <c r="F289" s="299">
        <v>4.4109589041095733E-5</v>
      </c>
      <c r="G289" s="218" t="s">
        <v>1956</v>
      </c>
      <c r="H289" s="218"/>
      <c r="I289" s="182"/>
    </row>
    <row r="290" spans="1:9">
      <c r="A290" s="296">
        <v>43038</v>
      </c>
      <c r="B290" s="297" t="s">
        <v>492</v>
      </c>
      <c r="C290" s="298">
        <v>3.94</v>
      </c>
      <c r="D290" s="298">
        <v>3.96</v>
      </c>
      <c r="E290" s="298">
        <v>2.0365819671030998</v>
      </c>
      <c r="F290" s="299">
        <v>4.073163934206175E-4</v>
      </c>
      <c r="G290" s="218" t="s">
        <v>1956</v>
      </c>
      <c r="H290" s="218"/>
      <c r="I290" s="182"/>
    </row>
    <row r="291" spans="1:9">
      <c r="A291" s="296">
        <v>43038</v>
      </c>
      <c r="B291" s="297" t="s">
        <v>442</v>
      </c>
      <c r="C291" s="298">
        <v>4.99</v>
      </c>
      <c r="D291" s="298">
        <v>4.99</v>
      </c>
      <c r="E291" s="298">
        <v>0.48928140737532999</v>
      </c>
      <c r="F291" s="299">
        <v>0</v>
      </c>
      <c r="G291" s="218" t="s">
        <v>1956</v>
      </c>
      <c r="H291" s="218"/>
      <c r="I291" s="182"/>
    </row>
    <row r="292" spans="1:9">
      <c r="A292" s="296">
        <v>43038</v>
      </c>
      <c r="B292" s="297" t="s">
        <v>509</v>
      </c>
      <c r="C292" s="298">
        <v>2.5499999999999998</v>
      </c>
      <c r="D292" s="298">
        <v>2.48</v>
      </c>
      <c r="E292" s="298">
        <v>3.5813367249260999</v>
      </c>
      <c r="F292" s="299">
        <v>-2.5069357074482671E-3</v>
      </c>
      <c r="G292" s="218" t="s">
        <v>1956</v>
      </c>
      <c r="H292" s="218"/>
      <c r="I292" s="182"/>
    </row>
    <row r="293" spans="1:9">
      <c r="A293" s="296">
        <v>43038</v>
      </c>
      <c r="B293" s="297" t="s">
        <v>680</v>
      </c>
      <c r="C293" s="298">
        <v>2.48</v>
      </c>
      <c r="D293" s="298">
        <v>2.4700000000000002</v>
      </c>
      <c r="E293" s="298">
        <v>4.4782458315267997</v>
      </c>
      <c r="F293" s="299">
        <v>-4.4782458315266173E-4</v>
      </c>
      <c r="G293" s="218" t="s">
        <v>1956</v>
      </c>
      <c r="H293" s="218"/>
      <c r="I293" s="182"/>
    </row>
    <row r="294" spans="1:9">
      <c r="A294" s="296">
        <v>43038</v>
      </c>
      <c r="B294" s="297" t="s">
        <v>548</v>
      </c>
      <c r="C294" s="298">
        <v>6.78</v>
      </c>
      <c r="D294" s="298">
        <v>6.77</v>
      </c>
      <c r="E294" s="298">
        <v>1.0406240812150001</v>
      </c>
      <c r="F294" s="299">
        <v>-1.0406240812150299E-4</v>
      </c>
      <c r="G294" s="218" t="s">
        <v>1956</v>
      </c>
      <c r="H294" s="218"/>
      <c r="I294" s="182"/>
    </row>
    <row r="295" spans="1:9">
      <c r="A295" s="296">
        <v>43038</v>
      </c>
      <c r="B295" s="297" t="s">
        <v>562</v>
      </c>
      <c r="C295" s="298">
        <v>5.63</v>
      </c>
      <c r="D295" s="298">
        <v>5.63</v>
      </c>
      <c r="E295" s="298">
        <v>1.4156599366108999</v>
      </c>
      <c r="F295" s="299">
        <v>0</v>
      </c>
      <c r="G295" s="218" t="s">
        <v>1956</v>
      </c>
      <c r="H295" s="218"/>
      <c r="I295" s="182"/>
    </row>
    <row r="296" spans="1:9">
      <c r="A296" s="296">
        <v>43038</v>
      </c>
      <c r="B296" s="297" t="s">
        <v>409</v>
      </c>
      <c r="C296" s="298">
        <v>3.49</v>
      </c>
      <c r="D296" s="298">
        <v>3.49</v>
      </c>
      <c r="E296" s="298">
        <v>0.45392799823024998</v>
      </c>
      <c r="F296" s="299">
        <v>0</v>
      </c>
      <c r="G296" s="218" t="s">
        <v>1956</v>
      </c>
      <c r="H296" s="218"/>
      <c r="I296" s="182"/>
    </row>
    <row r="297" spans="1:9">
      <c r="A297" s="296">
        <v>43038</v>
      </c>
      <c r="B297" s="297" t="s">
        <v>1546</v>
      </c>
      <c r="C297" s="298">
        <v>1.87</v>
      </c>
      <c r="D297" s="298">
        <v>1.77</v>
      </c>
      <c r="E297" s="298">
        <v>1.3124490834308</v>
      </c>
      <c r="F297" s="299">
        <v>-1.3124490834308012E-3</v>
      </c>
      <c r="G297" s="218" t="s">
        <v>1956</v>
      </c>
      <c r="H297" s="218"/>
      <c r="I297" s="182"/>
    </row>
    <row r="298" spans="1:9">
      <c r="A298" s="296">
        <v>43038</v>
      </c>
      <c r="B298" s="297" t="s">
        <v>504</v>
      </c>
      <c r="C298" s="298">
        <v>4.18</v>
      </c>
      <c r="D298" s="298">
        <v>4.16</v>
      </c>
      <c r="E298" s="298">
        <v>2.9126541263196</v>
      </c>
      <c r="F298" s="299">
        <v>-5.825308252639165E-4</v>
      </c>
      <c r="G298" s="218" t="s">
        <v>1956</v>
      </c>
      <c r="H298" s="218"/>
      <c r="I298" s="182"/>
    </row>
    <row r="299" spans="1:9">
      <c r="A299" s="296">
        <v>43038</v>
      </c>
      <c r="B299" s="297" t="s">
        <v>519</v>
      </c>
      <c r="C299" s="298">
        <v>4.78</v>
      </c>
      <c r="D299" s="298">
        <v>4.78</v>
      </c>
      <c r="E299" s="298">
        <v>5.4794520547944998E-3</v>
      </c>
      <c r="F299" s="299">
        <v>0</v>
      </c>
      <c r="G299" s="218" t="s">
        <v>1956</v>
      </c>
      <c r="H299" s="218"/>
      <c r="I299" s="182"/>
    </row>
    <row r="300" spans="1:9">
      <c r="A300" s="296">
        <v>43038</v>
      </c>
      <c r="B300" s="297" t="s">
        <v>437</v>
      </c>
      <c r="C300" s="298">
        <v>2.39</v>
      </c>
      <c r="D300" s="298">
        <v>2.4700000000000002</v>
      </c>
      <c r="E300" s="298">
        <v>0.41917808219177999</v>
      </c>
      <c r="F300" s="299">
        <v>3.3534246575342484E-4</v>
      </c>
      <c r="G300" s="218" t="s">
        <v>1956</v>
      </c>
      <c r="H300" s="218"/>
      <c r="I300" s="182"/>
    </row>
    <row r="301" spans="1:9">
      <c r="A301" s="296">
        <v>43038</v>
      </c>
      <c r="B301" s="297" t="s">
        <v>1416</v>
      </c>
      <c r="C301" s="298">
        <v>1.9</v>
      </c>
      <c r="D301" s="298">
        <v>1.9</v>
      </c>
      <c r="E301" s="298">
        <v>1.3973353422448</v>
      </c>
      <c r="F301" s="299">
        <v>0</v>
      </c>
      <c r="G301" s="218" t="s">
        <v>1956</v>
      </c>
      <c r="H301" s="218"/>
      <c r="I301" s="182"/>
    </row>
    <row r="302" spans="1:9">
      <c r="A302" s="296">
        <v>43038</v>
      </c>
      <c r="B302" s="297" t="s">
        <v>1120</v>
      </c>
      <c r="C302" s="298">
        <v>4.76</v>
      </c>
      <c r="D302" s="298">
        <v>4.7699999999999996</v>
      </c>
      <c r="E302" s="298">
        <v>3.0047131643399001</v>
      </c>
      <c r="F302" s="299">
        <v>3.0047131643397778E-4</v>
      </c>
      <c r="G302" s="218" t="s">
        <v>1956</v>
      </c>
      <c r="H302" s="218"/>
      <c r="I302" s="182"/>
    </row>
    <row r="303" spans="1:9">
      <c r="A303" s="296">
        <v>43038</v>
      </c>
      <c r="B303" s="297" t="s">
        <v>1123</v>
      </c>
      <c r="C303" s="298">
        <v>6.75</v>
      </c>
      <c r="D303" s="298">
        <v>6.76</v>
      </c>
      <c r="E303" s="298">
        <v>3.2583113185013999</v>
      </c>
      <c r="F303" s="299">
        <v>3.2583113185010408E-4</v>
      </c>
      <c r="G303" s="218" t="s">
        <v>1956</v>
      </c>
      <c r="H303" s="218"/>
      <c r="I303" s="182"/>
    </row>
    <row r="304" spans="1:9">
      <c r="A304" s="296">
        <v>43038</v>
      </c>
      <c r="B304" s="297" t="s">
        <v>415</v>
      </c>
      <c r="C304" s="298">
        <v>4.16</v>
      </c>
      <c r="D304" s="298">
        <v>4.16</v>
      </c>
      <c r="E304" s="298">
        <v>0.61895363790074998</v>
      </c>
      <c r="F304" s="299">
        <v>0</v>
      </c>
      <c r="G304" s="218" t="s">
        <v>1956</v>
      </c>
      <c r="H304" s="218"/>
      <c r="I304" s="182"/>
    </row>
    <row r="305" spans="1:9">
      <c r="A305" s="296">
        <v>43038</v>
      </c>
      <c r="B305" s="297" t="s">
        <v>451</v>
      </c>
      <c r="C305" s="298">
        <v>2.83</v>
      </c>
      <c r="D305" s="298">
        <v>2.86</v>
      </c>
      <c r="E305" s="298">
        <v>0.81719141785302996</v>
      </c>
      <c r="F305" s="299">
        <v>2.4515742535590748E-4</v>
      </c>
      <c r="G305" s="218" t="s">
        <v>1956</v>
      </c>
      <c r="H305" s="218"/>
      <c r="I305" s="182"/>
    </row>
    <row r="306" spans="1:9">
      <c r="A306" s="296">
        <v>43038</v>
      </c>
      <c r="B306" s="297" t="s">
        <v>1216</v>
      </c>
      <c r="C306" s="298">
        <v>2.2799999999999998</v>
      </c>
      <c r="D306" s="298">
        <v>2.27</v>
      </c>
      <c r="E306" s="298">
        <v>2.8990887004263</v>
      </c>
      <c r="F306" s="299">
        <v>-2.8990887004261821E-4</v>
      </c>
      <c r="G306" s="218" t="s">
        <v>1956</v>
      </c>
      <c r="H306" s="218"/>
      <c r="I306" s="182"/>
    </row>
    <row r="307" spans="1:9">
      <c r="A307" s="296">
        <v>43038</v>
      </c>
      <c r="B307" s="297" t="s">
        <v>475</v>
      </c>
      <c r="C307" s="298">
        <v>4.46</v>
      </c>
      <c r="D307" s="298">
        <v>4.46</v>
      </c>
      <c r="E307" s="298">
        <v>1.209033823588</v>
      </c>
      <c r="F307" s="299">
        <v>0</v>
      </c>
      <c r="G307" s="218" t="s">
        <v>1956</v>
      </c>
      <c r="H307" s="218"/>
      <c r="I307" s="182"/>
    </row>
    <row r="308" spans="1:9">
      <c r="A308" s="296">
        <v>43038</v>
      </c>
      <c r="B308" s="297" t="s">
        <v>1536</v>
      </c>
      <c r="C308" s="298">
        <v>2.4</v>
      </c>
      <c r="D308" s="298">
        <v>2.41</v>
      </c>
      <c r="E308" s="298">
        <v>4.9351126373929999</v>
      </c>
      <c r="F308" s="299">
        <v>4.9351126373929697E-4</v>
      </c>
      <c r="G308" s="218" t="s">
        <v>1956</v>
      </c>
      <c r="H308" s="218"/>
      <c r="I308" s="182"/>
    </row>
    <row r="309" spans="1:9">
      <c r="A309" s="296">
        <v>43038</v>
      </c>
      <c r="B309" s="297" t="s">
        <v>850</v>
      </c>
      <c r="C309" s="298">
        <v>3.54</v>
      </c>
      <c r="D309" s="298">
        <v>3.54</v>
      </c>
      <c r="E309" s="298">
        <v>3.2986541909652001</v>
      </c>
      <c r="F309" s="299">
        <v>0</v>
      </c>
      <c r="G309" s="218" t="s">
        <v>1956</v>
      </c>
      <c r="H309" s="218"/>
      <c r="I309" s="182"/>
    </row>
    <row r="310" spans="1:9">
      <c r="A310" s="296">
        <v>43038</v>
      </c>
      <c r="B310" s="297" t="s">
        <v>1019</v>
      </c>
      <c r="C310" s="298">
        <v>3.48</v>
      </c>
      <c r="D310" s="298">
        <v>3.47</v>
      </c>
      <c r="E310" s="298">
        <v>3.4681465417747002</v>
      </c>
      <c r="F310" s="299">
        <v>-3.4681465417745589E-4</v>
      </c>
      <c r="G310" s="218" t="s">
        <v>1956</v>
      </c>
      <c r="H310" s="218"/>
      <c r="I310" s="182"/>
    </row>
    <row r="311" spans="1:9">
      <c r="A311" s="296">
        <v>43038</v>
      </c>
      <c r="B311" s="297" t="s">
        <v>446</v>
      </c>
      <c r="C311" s="298">
        <v>2.17</v>
      </c>
      <c r="D311" s="298">
        <v>2.19</v>
      </c>
      <c r="E311" s="298">
        <v>0.50940603879765001</v>
      </c>
      <c r="F311" s="299">
        <v>1.0188120775952938E-4</v>
      </c>
      <c r="G311" s="218" t="s">
        <v>1956</v>
      </c>
      <c r="H311" s="218"/>
      <c r="I311" s="182"/>
    </row>
    <row r="312" spans="1:9">
      <c r="A312" s="296">
        <v>43038</v>
      </c>
      <c r="B312" s="297" t="s">
        <v>710</v>
      </c>
      <c r="C312" s="298">
        <v>2.5299999999999998</v>
      </c>
      <c r="D312" s="298">
        <v>2.5299999999999998</v>
      </c>
      <c r="E312" s="298">
        <v>5.7920191699335</v>
      </c>
      <c r="F312" s="299">
        <v>0</v>
      </c>
      <c r="G312" s="218" t="s">
        <v>1956</v>
      </c>
      <c r="H312" s="218"/>
      <c r="I312" s="182"/>
    </row>
    <row r="313" spans="1:9">
      <c r="A313" s="296">
        <v>43038</v>
      </c>
      <c r="B313" s="297" t="s">
        <v>1154</v>
      </c>
      <c r="C313" s="298">
        <v>2.68</v>
      </c>
      <c r="D313" s="298">
        <v>2.68</v>
      </c>
      <c r="E313" s="298">
        <v>8.0272426917345001</v>
      </c>
      <c r="F313" s="299">
        <v>0</v>
      </c>
      <c r="G313" s="218" t="s">
        <v>1956</v>
      </c>
      <c r="H313" s="218"/>
      <c r="I313" s="182"/>
    </row>
    <row r="314" spans="1:9">
      <c r="A314" s="296">
        <v>43038</v>
      </c>
      <c r="B314" s="297" t="s">
        <v>784</v>
      </c>
      <c r="C314" s="298">
        <v>6.81</v>
      </c>
      <c r="D314" s="298">
        <v>6.8</v>
      </c>
      <c r="E314" s="298">
        <v>8.8361157139461994</v>
      </c>
      <c r="F314" s="299">
        <v>-8.8361157139452259E-4</v>
      </c>
      <c r="G314" s="218" t="s">
        <v>1956</v>
      </c>
      <c r="H314" s="218"/>
      <c r="I314" s="182"/>
    </row>
    <row r="315" spans="1:9">
      <c r="A315" s="296">
        <v>43038</v>
      </c>
      <c r="B315" s="297" t="s">
        <v>1213</v>
      </c>
      <c r="C315" s="298">
        <v>4.6500000000000004</v>
      </c>
      <c r="D315" s="298">
        <v>4.63</v>
      </c>
      <c r="E315" s="298">
        <v>3.8338474941626002</v>
      </c>
      <c r="F315" s="299">
        <v>-7.6676949883254205E-4</v>
      </c>
      <c r="G315" s="218" t="s">
        <v>1956</v>
      </c>
      <c r="H315" s="218"/>
      <c r="I315" s="182"/>
    </row>
    <row r="316" spans="1:9">
      <c r="A316" s="296">
        <v>43038</v>
      </c>
      <c r="B316" s="297" t="s">
        <v>1504</v>
      </c>
      <c r="C316" s="298">
        <v>2.23</v>
      </c>
      <c r="D316" s="298">
        <v>2.25</v>
      </c>
      <c r="E316" s="298">
        <v>4.3839149291805004</v>
      </c>
      <c r="F316" s="299">
        <v>8.7678298583609483E-4</v>
      </c>
      <c r="G316" s="218" t="s">
        <v>1956</v>
      </c>
      <c r="H316" s="218"/>
      <c r="I316" s="182"/>
    </row>
    <row r="317" spans="1:9">
      <c r="A317" s="296">
        <v>43038</v>
      </c>
      <c r="B317" s="297" t="s">
        <v>750</v>
      </c>
      <c r="C317" s="298">
        <v>2.44</v>
      </c>
      <c r="D317" s="298">
        <v>2.46</v>
      </c>
      <c r="E317" s="298">
        <v>7.0753167686892002</v>
      </c>
      <c r="F317" s="299">
        <v>1.4150633537378561E-3</v>
      </c>
      <c r="G317" s="218" t="s">
        <v>1956</v>
      </c>
      <c r="H317" s="218"/>
      <c r="I317" s="182"/>
    </row>
    <row r="318" spans="1:9">
      <c r="A318" s="296">
        <v>43038</v>
      </c>
      <c r="B318" s="297" t="s">
        <v>547</v>
      </c>
      <c r="C318" s="298">
        <v>1.99</v>
      </c>
      <c r="D318" s="298">
        <v>2.02</v>
      </c>
      <c r="E318" s="298">
        <v>0.74525949921723</v>
      </c>
      <c r="F318" s="299">
        <v>2.2357784976516766E-4</v>
      </c>
      <c r="G318" s="218" t="s">
        <v>1956</v>
      </c>
      <c r="H318" s="218"/>
      <c r="I318" s="182"/>
    </row>
    <row r="319" spans="1:9">
      <c r="A319" s="296">
        <v>43038</v>
      </c>
      <c r="B319" s="297" t="s">
        <v>1545</v>
      </c>
      <c r="C319" s="298">
        <v>1.99</v>
      </c>
      <c r="D319" s="298">
        <v>2</v>
      </c>
      <c r="E319" s="298">
        <v>0.57855510455898995</v>
      </c>
      <c r="F319" s="299">
        <v>5.7855510455898648E-5</v>
      </c>
      <c r="G319" s="218" t="s">
        <v>1956</v>
      </c>
      <c r="H319" s="218"/>
      <c r="I319" s="182"/>
    </row>
    <row r="320" spans="1:9">
      <c r="A320" s="296">
        <v>43038</v>
      </c>
      <c r="B320" s="297" t="s">
        <v>553</v>
      </c>
      <c r="C320" s="298">
        <v>1.98</v>
      </c>
      <c r="D320" s="298">
        <v>1.98</v>
      </c>
      <c r="E320" s="298">
        <v>0.91275908101432002</v>
      </c>
      <c r="F320" s="299">
        <v>0</v>
      </c>
      <c r="G320" s="218" t="s">
        <v>1956</v>
      </c>
      <c r="H320" s="218"/>
      <c r="I320" s="182"/>
    </row>
    <row r="321" spans="1:9">
      <c r="A321" s="296">
        <v>43038</v>
      </c>
      <c r="B321" s="297" t="s">
        <v>1161</v>
      </c>
      <c r="C321" s="298">
        <v>2.75</v>
      </c>
      <c r="D321" s="298">
        <v>2.76</v>
      </c>
      <c r="E321" s="298">
        <v>9.9520861199485005</v>
      </c>
      <c r="F321" s="299">
        <v>9.9520861199484394E-4</v>
      </c>
      <c r="G321" s="218" t="s">
        <v>1956</v>
      </c>
      <c r="H321" s="218"/>
      <c r="I321" s="182"/>
    </row>
    <row r="322" spans="1:9">
      <c r="A322" s="296">
        <v>43038</v>
      </c>
      <c r="B322" s="297" t="s">
        <v>563</v>
      </c>
      <c r="C322" s="298">
        <v>1.99</v>
      </c>
      <c r="D322" s="298">
        <v>1.99</v>
      </c>
      <c r="E322" s="298">
        <v>1.3974744411924001</v>
      </c>
      <c r="F322" s="299">
        <v>0</v>
      </c>
      <c r="G322" s="218" t="s">
        <v>1956</v>
      </c>
      <c r="H322" s="218"/>
      <c r="I322" s="182"/>
    </row>
    <row r="323" spans="1:9">
      <c r="A323" s="296">
        <v>43038</v>
      </c>
      <c r="B323" s="297" t="s">
        <v>598</v>
      </c>
      <c r="C323" s="298">
        <v>4.33</v>
      </c>
      <c r="D323" s="298">
        <v>4.3</v>
      </c>
      <c r="E323" s="298">
        <v>2.3049437667817001</v>
      </c>
      <c r="F323" s="299">
        <v>-6.9148313003451387E-4</v>
      </c>
      <c r="G323" s="218" t="s">
        <v>1956</v>
      </c>
      <c r="H323" s="218"/>
      <c r="I323" s="182"/>
    </row>
    <row r="324" spans="1:9">
      <c r="A324" s="296">
        <v>43038</v>
      </c>
      <c r="B324" s="297" t="s">
        <v>743</v>
      </c>
      <c r="C324" s="298">
        <v>2.64</v>
      </c>
      <c r="D324" s="298">
        <v>2.65</v>
      </c>
      <c r="E324" s="298">
        <v>7.1550299598149998</v>
      </c>
      <c r="F324" s="299">
        <v>7.1550299598149565E-4</v>
      </c>
      <c r="G324" s="218" t="s">
        <v>1956</v>
      </c>
      <c r="H324" s="218"/>
      <c r="I324" s="182"/>
    </row>
    <row r="325" spans="1:9">
      <c r="A325" s="296">
        <v>43038</v>
      </c>
      <c r="B325" s="297" t="s">
        <v>786</v>
      </c>
      <c r="C325" s="298">
        <v>2.75</v>
      </c>
      <c r="D325" s="298">
        <v>2.76</v>
      </c>
      <c r="E325" s="298">
        <v>8.6641694654943997</v>
      </c>
      <c r="F325" s="299">
        <v>8.6641694654943471E-4</v>
      </c>
      <c r="G325" s="218" t="s">
        <v>1956</v>
      </c>
      <c r="H325" s="218"/>
      <c r="I325" s="182"/>
    </row>
    <row r="326" spans="1:9">
      <c r="A326" s="296">
        <v>43038</v>
      </c>
      <c r="B326" s="297" t="s">
        <v>960</v>
      </c>
      <c r="C326" s="298">
        <v>2.84</v>
      </c>
      <c r="D326" s="298">
        <v>2.85</v>
      </c>
      <c r="E326" s="298">
        <v>11.83278850272</v>
      </c>
      <c r="F326" s="299">
        <v>1.1832788502720338E-3</v>
      </c>
      <c r="G326" s="218" t="s">
        <v>1956</v>
      </c>
      <c r="H326" s="218"/>
      <c r="I326" s="182"/>
    </row>
    <row r="327" spans="1:9">
      <c r="A327" s="296">
        <v>43038</v>
      </c>
      <c r="B327" s="297" t="s">
        <v>613</v>
      </c>
      <c r="C327" s="298">
        <v>1.91</v>
      </c>
      <c r="D327" s="298">
        <v>1.92</v>
      </c>
      <c r="E327" s="298">
        <v>2.5548163471312</v>
      </c>
      <c r="F327" s="299">
        <v>2.5548163471311844E-4</v>
      </c>
      <c r="G327" s="218" t="s">
        <v>1956</v>
      </c>
      <c r="H327" s="218"/>
      <c r="I327" s="182"/>
    </row>
    <row r="328" spans="1:9">
      <c r="A328" s="296">
        <v>43038</v>
      </c>
      <c r="B328" s="297" t="s">
        <v>500</v>
      </c>
      <c r="C328" s="298">
        <v>1.97</v>
      </c>
      <c r="D328" s="298">
        <v>2.0499999999999998</v>
      </c>
      <c r="E328" s="298">
        <v>2.5644547279644998</v>
      </c>
      <c r="F328" s="299">
        <v>2.0515637823715965E-3</v>
      </c>
      <c r="G328" s="218" t="s">
        <v>1956</v>
      </c>
      <c r="H328" s="218"/>
      <c r="I328" s="182"/>
    </row>
    <row r="329" spans="1:9">
      <c r="A329" s="296">
        <v>43038</v>
      </c>
      <c r="B329" s="297" t="s">
        <v>616</v>
      </c>
      <c r="C329" s="298">
        <v>4.0199999999999996</v>
      </c>
      <c r="D329" s="298">
        <v>4.0199999999999996</v>
      </c>
      <c r="E329" s="298">
        <v>2.6663759784262</v>
      </c>
      <c r="F329" s="299">
        <v>0</v>
      </c>
      <c r="G329" s="218" t="s">
        <v>1956</v>
      </c>
      <c r="H329" s="218"/>
      <c r="I329" s="182"/>
    </row>
    <row r="330" spans="1:9">
      <c r="A330" s="296">
        <v>43038</v>
      </c>
      <c r="B330" s="297" t="s">
        <v>489</v>
      </c>
      <c r="C330" s="298">
        <v>2.0699999999999998</v>
      </c>
      <c r="D330" s="298">
        <v>2.09</v>
      </c>
      <c r="E330" s="298">
        <v>2.1414582574105001</v>
      </c>
      <c r="F330" s="299">
        <v>4.282916514820974E-4</v>
      </c>
      <c r="G330" s="218" t="s">
        <v>1956</v>
      </c>
      <c r="H330" s="218"/>
      <c r="I330" s="182"/>
    </row>
    <row r="331" spans="1:9">
      <c r="A331" s="296">
        <v>43038</v>
      </c>
      <c r="B331" s="297" t="s">
        <v>13</v>
      </c>
      <c r="C331" s="298">
        <v>3.76</v>
      </c>
      <c r="D331" s="298">
        <v>3.76</v>
      </c>
      <c r="E331" s="298">
        <v>3.8724121894515</v>
      </c>
      <c r="F331" s="299">
        <v>0</v>
      </c>
      <c r="G331" s="218" t="s">
        <v>1956</v>
      </c>
      <c r="H331" s="218"/>
      <c r="I331" s="182"/>
    </row>
    <row r="332" spans="1:9">
      <c r="A332" s="296">
        <v>43038</v>
      </c>
      <c r="B332" s="297" t="s">
        <v>558</v>
      </c>
      <c r="C332" s="298">
        <v>3.8</v>
      </c>
      <c r="D332" s="298">
        <v>3.79</v>
      </c>
      <c r="E332" s="298">
        <v>1.3296061536109001</v>
      </c>
      <c r="F332" s="299">
        <v>-1.329606153610846E-4</v>
      </c>
      <c r="G332" s="218" t="s">
        <v>1956</v>
      </c>
      <c r="H332" s="218"/>
      <c r="I332" s="182"/>
    </row>
    <row r="333" spans="1:9">
      <c r="A333" s="296">
        <v>43038</v>
      </c>
      <c r="B333" s="297" t="s">
        <v>426</v>
      </c>
      <c r="C333" s="298">
        <v>2.33</v>
      </c>
      <c r="D333" s="298">
        <v>2.35</v>
      </c>
      <c r="E333" s="298">
        <v>0.50564265225714999</v>
      </c>
      <c r="F333" s="299">
        <v>1.0112853045142939E-4</v>
      </c>
      <c r="G333" s="218" t="s">
        <v>1956</v>
      </c>
      <c r="H333" s="218"/>
      <c r="I333" s="182"/>
    </row>
    <row r="334" spans="1:9">
      <c r="A334" s="296">
        <v>43038</v>
      </c>
      <c r="B334" s="297" t="s">
        <v>1457</v>
      </c>
      <c r="C334" s="298">
        <v>2.0299999999999998</v>
      </c>
      <c r="D334" s="298">
        <v>1.98</v>
      </c>
      <c r="E334" s="298">
        <v>1.5551186304493001</v>
      </c>
      <c r="F334" s="299">
        <v>-7.7755931522465078E-4</v>
      </c>
      <c r="G334" t="s">
        <v>1956</v>
      </c>
    </row>
    <row r="335" spans="1:9">
      <c r="A335" s="296">
        <v>43038</v>
      </c>
      <c r="B335" s="297" t="s">
        <v>734</v>
      </c>
      <c r="C335" s="298">
        <v>2.44</v>
      </c>
      <c r="D335" s="298">
        <v>2.46</v>
      </c>
      <c r="E335" s="298">
        <v>6.3980805765986997</v>
      </c>
      <c r="F335" s="299">
        <v>1.2796161153197543E-3</v>
      </c>
      <c r="G335" t="s">
        <v>1956</v>
      </c>
    </row>
    <row r="336" spans="1:9">
      <c r="A336" s="296">
        <v>43038</v>
      </c>
      <c r="B336" s="297" t="s">
        <v>752</v>
      </c>
      <c r="C336" s="298">
        <v>2.36</v>
      </c>
      <c r="D336" s="298">
        <v>2.36</v>
      </c>
      <c r="E336" s="298">
        <v>7.0636428033197003</v>
      </c>
      <c r="F336" s="299">
        <v>0</v>
      </c>
      <c r="G336" t="s">
        <v>1956</v>
      </c>
    </row>
    <row r="337" spans="1:7">
      <c r="A337" s="296">
        <v>43038</v>
      </c>
      <c r="B337" s="297" t="s">
        <v>473</v>
      </c>
      <c r="C337" s="298">
        <v>1.88</v>
      </c>
      <c r="D337" s="298">
        <v>1.9</v>
      </c>
      <c r="E337" s="298">
        <v>1.1705638625143</v>
      </c>
      <c r="F337" s="299">
        <v>2.3411277250286265E-4</v>
      </c>
      <c r="G337" t="s">
        <v>1956</v>
      </c>
    </row>
    <row r="338" spans="1:7">
      <c r="A338" s="296">
        <v>43038</v>
      </c>
      <c r="B338" s="297" t="s">
        <v>1003</v>
      </c>
      <c r="C338" s="298">
        <v>2.11</v>
      </c>
      <c r="D338" s="298">
        <v>2.12</v>
      </c>
      <c r="E338" s="298">
        <v>2.8624659010943998</v>
      </c>
      <c r="F338" s="299">
        <v>2.8624659010944816E-4</v>
      </c>
      <c r="G338" t="s">
        <v>1956</v>
      </c>
    </row>
    <row r="339" spans="1:7">
      <c r="A339" s="296">
        <v>43038</v>
      </c>
      <c r="B339" s="297" t="s">
        <v>1255</v>
      </c>
      <c r="C339" s="298">
        <v>2.2000000000000002</v>
      </c>
      <c r="D339" s="298">
        <v>2.2000000000000002</v>
      </c>
      <c r="E339" s="298">
        <v>8.7671232876711996E-2</v>
      </c>
      <c r="F339" s="299">
        <v>0</v>
      </c>
      <c r="G339" t="s">
        <v>1956</v>
      </c>
    </row>
    <row r="340" spans="1:7">
      <c r="A340" s="296">
        <v>43038</v>
      </c>
      <c r="B340" s="297" t="s">
        <v>555</v>
      </c>
      <c r="C340" s="298">
        <v>1.99</v>
      </c>
      <c r="D340" s="298">
        <v>1.98</v>
      </c>
      <c r="E340" s="298">
        <v>0.91205932133004997</v>
      </c>
      <c r="F340" s="299">
        <v>-9.1205932133007613E-5</v>
      </c>
      <c r="G340" t="s">
        <v>1956</v>
      </c>
    </row>
    <row r="341" spans="1:7">
      <c r="A341" s="296">
        <v>43038</v>
      </c>
      <c r="B341" s="297" t="s">
        <v>1265</v>
      </c>
      <c r="C341" s="298">
        <v>1.94</v>
      </c>
      <c r="D341" s="298">
        <v>1.94</v>
      </c>
      <c r="E341" s="298">
        <v>1.1474101781956001</v>
      </c>
      <c r="F341" s="299">
        <v>0</v>
      </c>
      <c r="G341" t="s">
        <v>1956</v>
      </c>
    </row>
    <row r="342" spans="1:7">
      <c r="A342" s="296">
        <v>43038</v>
      </c>
      <c r="B342" s="297" t="s">
        <v>556</v>
      </c>
      <c r="C342" s="298">
        <v>1.94</v>
      </c>
      <c r="D342" s="298">
        <v>1.95</v>
      </c>
      <c r="E342" s="298">
        <v>1.1487701753724</v>
      </c>
      <c r="F342" s="299">
        <v>1.1487701753723931E-4</v>
      </c>
      <c r="G342" t="s">
        <v>1956</v>
      </c>
    </row>
    <row r="343" spans="1:7">
      <c r="A343" s="296">
        <v>43038</v>
      </c>
      <c r="B343" s="297" t="s">
        <v>727</v>
      </c>
      <c r="C343" s="298">
        <v>2.5299999999999998</v>
      </c>
      <c r="D343" s="298">
        <v>2.54</v>
      </c>
      <c r="E343" s="298">
        <v>6.0219081571634003</v>
      </c>
      <c r="F343" s="299">
        <v>6.0219081571633644E-4</v>
      </c>
      <c r="G343" t="s">
        <v>1956</v>
      </c>
    </row>
    <row r="344" spans="1:7">
      <c r="A344" s="296">
        <v>43038</v>
      </c>
      <c r="B344" s="297" t="s">
        <v>1167</v>
      </c>
      <c r="C344" s="298">
        <v>3</v>
      </c>
      <c r="D344" s="298">
        <v>3.01</v>
      </c>
      <c r="E344" s="298">
        <v>12.379724765103999</v>
      </c>
      <c r="F344" s="299">
        <v>1.2379724765103925E-3</v>
      </c>
      <c r="G344" t="s">
        <v>1956</v>
      </c>
    </row>
    <row r="345" spans="1:7">
      <c r="A345" s="296">
        <v>43038</v>
      </c>
      <c r="B345" s="297" t="s">
        <v>1028</v>
      </c>
      <c r="C345" s="298">
        <v>4.4800000000000004</v>
      </c>
      <c r="D345" s="298">
        <v>4.4800000000000004</v>
      </c>
      <c r="E345" s="298">
        <v>3.4229228329437</v>
      </c>
      <c r="F345" s="299">
        <v>0</v>
      </c>
      <c r="G345" t="s">
        <v>1956</v>
      </c>
    </row>
    <row r="346" spans="1:7">
      <c r="A346" s="296">
        <v>43038</v>
      </c>
      <c r="B346" s="297" t="s">
        <v>1534</v>
      </c>
      <c r="C346" s="298">
        <v>4.42</v>
      </c>
      <c r="D346" s="298">
        <v>4.4000000000000004</v>
      </c>
      <c r="E346" s="298">
        <v>3.6621336611149999</v>
      </c>
      <c r="F346" s="299">
        <v>-7.3242673222297019E-4</v>
      </c>
      <c r="G346" t="s">
        <v>1956</v>
      </c>
    </row>
    <row r="347" spans="1:7">
      <c r="A347" s="296">
        <v>43038</v>
      </c>
      <c r="B347" s="297" t="s">
        <v>820</v>
      </c>
      <c r="C347" s="298">
        <v>2.95</v>
      </c>
      <c r="D347" s="298">
        <v>2.98</v>
      </c>
      <c r="E347" s="298">
        <v>1.8568046717524</v>
      </c>
      <c r="F347" s="299">
        <v>5.5704140152571663E-4</v>
      </c>
      <c r="G347" t="s">
        <v>1956</v>
      </c>
    </row>
    <row r="348" spans="1:7">
      <c r="A348" s="296">
        <v>43038</v>
      </c>
      <c r="B348" s="297" t="s">
        <v>1110</v>
      </c>
      <c r="C348" s="298">
        <v>3.7</v>
      </c>
      <c r="D348" s="298">
        <v>3.72</v>
      </c>
      <c r="E348" s="298">
        <v>1.1691428939251001</v>
      </c>
      <c r="F348" s="299">
        <v>2.3382857878501861E-4</v>
      </c>
      <c r="G348" t="s">
        <v>1956</v>
      </c>
    </row>
    <row r="349" spans="1:7">
      <c r="A349" s="296">
        <v>43038</v>
      </c>
      <c r="B349" s="297" t="s">
        <v>829</v>
      </c>
      <c r="C349" s="298">
        <v>3.8</v>
      </c>
      <c r="D349" s="298">
        <v>3.8</v>
      </c>
      <c r="E349" s="298">
        <v>1.5818712499322001</v>
      </c>
      <c r="F349" s="299">
        <v>0</v>
      </c>
      <c r="G349" t="s">
        <v>1956</v>
      </c>
    </row>
    <row r="350" spans="1:7">
      <c r="A350" s="296">
        <v>43038</v>
      </c>
      <c r="B350" s="297" t="s">
        <v>496</v>
      </c>
      <c r="C350" s="298">
        <v>4.18</v>
      </c>
      <c r="D350" s="298">
        <v>4.17</v>
      </c>
      <c r="E350" s="298">
        <v>2.2992904568760002</v>
      </c>
      <c r="F350" s="299">
        <v>-2.2992904568759065E-4</v>
      </c>
      <c r="G350" t="s">
        <v>1956</v>
      </c>
    </row>
    <row r="351" spans="1:7">
      <c r="A351" s="296">
        <v>43038</v>
      </c>
      <c r="B351" s="297" t="s">
        <v>502</v>
      </c>
      <c r="C351" s="298">
        <v>2.09</v>
      </c>
      <c r="D351" s="298">
        <v>2.1</v>
      </c>
      <c r="E351" s="298">
        <v>2.6763005839649998</v>
      </c>
      <c r="F351" s="299">
        <v>2.6763005839650767E-4</v>
      </c>
      <c r="G351" t="s">
        <v>1956</v>
      </c>
    </row>
    <row r="352" spans="1:7">
      <c r="A352" s="296">
        <v>43038</v>
      </c>
      <c r="B352" s="297" t="s">
        <v>1500</v>
      </c>
      <c r="C352" s="298">
        <v>4.57</v>
      </c>
      <c r="D352" s="298">
        <v>4.5599999999999996</v>
      </c>
      <c r="E352" s="298">
        <v>3.6373490487337001</v>
      </c>
      <c r="F352" s="299">
        <v>-3.6373490487340569E-4</v>
      </c>
      <c r="G352" t="s">
        <v>1956</v>
      </c>
    </row>
    <row r="353" spans="1:7">
      <c r="A353" s="296">
        <v>43038</v>
      </c>
      <c r="B353" s="297" t="s">
        <v>1392</v>
      </c>
      <c r="C353" s="298">
        <v>2.1800000000000002</v>
      </c>
      <c r="D353" s="298">
        <v>2.2400000000000002</v>
      </c>
      <c r="E353" s="298">
        <v>4.1708487364723004</v>
      </c>
      <c r="F353" s="299">
        <v>2.5025092418833939E-3</v>
      </c>
      <c r="G353" t="s">
        <v>1956</v>
      </c>
    </row>
    <row r="354" spans="1:7">
      <c r="A354" s="296">
        <v>43038</v>
      </c>
      <c r="B354" s="297" t="s">
        <v>571</v>
      </c>
      <c r="C354" s="298">
        <v>1.9</v>
      </c>
      <c r="D354" s="298">
        <v>1.9</v>
      </c>
      <c r="E354" s="298">
        <v>1.7372033315294</v>
      </c>
      <c r="F354" s="299">
        <v>0</v>
      </c>
      <c r="G354" t="s">
        <v>1956</v>
      </c>
    </row>
    <row r="355" spans="1:7">
      <c r="A355" s="296">
        <v>43038</v>
      </c>
      <c r="B355" s="297" t="s">
        <v>1563</v>
      </c>
      <c r="C355" s="298">
        <v>4.6100000000000003</v>
      </c>
      <c r="D355" s="298">
        <v>4.6100000000000003</v>
      </c>
      <c r="E355" s="298">
        <v>4.1251240628809001</v>
      </c>
      <c r="F355" s="299">
        <v>0</v>
      </c>
      <c r="G355" t="s">
        <v>1956</v>
      </c>
    </row>
    <row r="356" spans="1:7">
      <c r="A356" s="296">
        <v>43038</v>
      </c>
      <c r="B356" s="298" t="s">
        <v>564</v>
      </c>
      <c r="C356" s="298">
        <v>1.94</v>
      </c>
      <c r="D356" s="298">
        <v>1.96</v>
      </c>
      <c r="E356" s="298">
        <v>1.5366190295536</v>
      </c>
      <c r="F356" s="299">
        <v>3.0732380591071812E-4</v>
      </c>
      <c r="G356" t="s">
        <v>1956</v>
      </c>
    </row>
    <row r="357" spans="1:7">
      <c r="A357" s="296">
        <v>43038</v>
      </c>
      <c r="B357" s="298" t="s">
        <v>448</v>
      </c>
      <c r="C357" s="298">
        <v>3.24</v>
      </c>
      <c r="D357" s="298">
        <v>3.24</v>
      </c>
      <c r="E357" s="298">
        <v>0.57064493342731004</v>
      </c>
      <c r="F357" s="299">
        <v>0</v>
      </c>
      <c r="G357" t="s">
        <v>1956</v>
      </c>
    </row>
    <row r="358" spans="1:7">
      <c r="A358" s="296">
        <v>43038</v>
      </c>
      <c r="B358" s="298" t="s">
        <v>499</v>
      </c>
      <c r="C358" s="298">
        <v>1.99</v>
      </c>
      <c r="D358" s="298">
        <v>1.99</v>
      </c>
      <c r="E358" s="298">
        <v>2.3396894501890002</v>
      </c>
      <c r="F358" s="299">
        <v>0</v>
      </c>
      <c r="G358" t="s">
        <v>1956</v>
      </c>
    </row>
    <row r="359" spans="1:7">
      <c r="A359" s="296">
        <v>43038</v>
      </c>
      <c r="B359" s="298" t="s">
        <v>576</v>
      </c>
      <c r="C359" s="298">
        <v>1.95</v>
      </c>
      <c r="D359" s="298">
        <v>1.95</v>
      </c>
      <c r="E359" s="298">
        <v>1.8047314524102001</v>
      </c>
      <c r="F359" s="299">
        <v>0</v>
      </c>
      <c r="G359" t="s">
        <v>1956</v>
      </c>
    </row>
    <row r="360" spans="1:7">
      <c r="A360" s="296">
        <v>43038</v>
      </c>
      <c r="B360" s="298" t="s">
        <v>459</v>
      </c>
      <c r="C360" s="298">
        <v>1.98</v>
      </c>
      <c r="D360" s="298">
        <v>2</v>
      </c>
      <c r="E360" s="298">
        <v>1.4162086102477001</v>
      </c>
      <c r="F360" s="299">
        <v>2.832417220495432E-4</v>
      </c>
      <c r="G360" t="s">
        <v>1956</v>
      </c>
    </row>
    <row r="361" spans="1:7">
      <c r="A361" s="296">
        <v>43038</v>
      </c>
      <c r="B361" s="298" t="s">
        <v>1165</v>
      </c>
      <c r="C361" s="298">
        <v>2.67</v>
      </c>
      <c r="D361" s="298">
        <v>2.69</v>
      </c>
      <c r="E361" s="298">
        <v>10.295791889119</v>
      </c>
      <c r="F361" s="299">
        <v>2.0591583778238232E-3</v>
      </c>
      <c r="G361" t="s">
        <v>1956</v>
      </c>
    </row>
    <row r="362" spans="1:7">
      <c r="A362" s="296">
        <v>43038</v>
      </c>
      <c r="B362" s="298" t="s">
        <v>843</v>
      </c>
      <c r="C362" s="298">
        <v>1.93</v>
      </c>
      <c r="D362" s="298">
        <v>1.93</v>
      </c>
      <c r="E362" s="298">
        <v>3.2338929013089999</v>
      </c>
      <c r="F362" s="299">
        <v>0</v>
      </c>
      <c r="G362" t="s">
        <v>1956</v>
      </c>
    </row>
    <row r="363" spans="1:7">
      <c r="A363" s="296">
        <v>43038</v>
      </c>
      <c r="B363" s="298" t="s">
        <v>1957</v>
      </c>
      <c r="C363" s="298">
        <v>0.21</v>
      </c>
      <c r="D363" s="298">
        <v>0.19</v>
      </c>
      <c r="E363" s="298">
        <v>8.2191780821918008E-3</v>
      </c>
      <c r="F363" s="299">
        <v>-1.6438356164383591E-6</v>
      </c>
      <c r="G363" t="s">
        <v>1956</v>
      </c>
    </row>
    <row r="364" spans="1:7">
      <c r="A364" s="296">
        <v>43038</v>
      </c>
      <c r="B364" s="298" t="s">
        <v>1958</v>
      </c>
      <c r="C364" s="298">
        <v>0.19</v>
      </c>
      <c r="D364" s="298">
        <v>0.2</v>
      </c>
      <c r="E364" s="298">
        <v>2.7397260273973E-2</v>
      </c>
      <c r="F364" s="299">
        <v>2.7397260273973011E-6</v>
      </c>
      <c r="G364" t="s">
        <v>1956</v>
      </c>
    </row>
    <row r="365" spans="1:7">
      <c r="A365" s="296">
        <v>43038</v>
      </c>
      <c r="B365" s="298" t="s">
        <v>1959</v>
      </c>
      <c r="C365" s="298">
        <v>0.19</v>
      </c>
      <c r="D365" s="298">
        <v>0.19</v>
      </c>
      <c r="E365" s="298">
        <v>6.5753424657534004E-2</v>
      </c>
      <c r="F365" s="299">
        <v>0</v>
      </c>
      <c r="G365" t="s">
        <v>1956</v>
      </c>
    </row>
    <row r="366" spans="1:7">
      <c r="A366" s="296">
        <v>43038</v>
      </c>
      <c r="B366" s="298" t="s">
        <v>1134</v>
      </c>
      <c r="C366" s="298">
        <v>3.22</v>
      </c>
      <c r="D366" s="298">
        <v>3.23</v>
      </c>
      <c r="E366" s="298">
        <v>3.9941747765833</v>
      </c>
      <c r="F366" s="299">
        <v>3.9941747765834143E-4</v>
      </c>
      <c r="G366" t="s">
        <v>1956</v>
      </c>
    </row>
    <row r="367" spans="1:7">
      <c r="A367" s="296">
        <v>43038</v>
      </c>
      <c r="B367" s="298" t="s">
        <v>468</v>
      </c>
      <c r="C367" s="298">
        <v>2.0099999999999998</v>
      </c>
      <c r="D367" s="298">
        <v>2</v>
      </c>
      <c r="E367" s="298">
        <v>1.5059418623325</v>
      </c>
      <c r="F367" s="299">
        <v>-1.5059418623324388E-4</v>
      </c>
      <c r="G367" t="s">
        <v>1956</v>
      </c>
    </row>
    <row r="368" spans="1:7">
      <c r="A368" s="296">
        <v>43038</v>
      </c>
      <c r="B368" s="17" t="s">
        <v>527</v>
      </c>
      <c r="C368" s="298">
        <v>2.17</v>
      </c>
      <c r="D368" s="298">
        <v>2.33</v>
      </c>
      <c r="E368" s="298">
        <v>0.57399336419872005</v>
      </c>
      <c r="F368" s="299">
        <v>9.1838938271795252E-4</v>
      </c>
      <c r="G368" t="s">
        <v>1956</v>
      </c>
    </row>
    <row r="369" spans="1:7">
      <c r="A369" s="296">
        <v>43038</v>
      </c>
      <c r="B369" s="17" t="s">
        <v>608</v>
      </c>
      <c r="C369" s="298">
        <v>2.08</v>
      </c>
      <c r="D369" s="298">
        <v>2.08</v>
      </c>
      <c r="E369" s="298">
        <v>2.4833221326797998</v>
      </c>
      <c r="F369" s="299">
        <v>0</v>
      </c>
      <c r="G369" t="s">
        <v>1956</v>
      </c>
    </row>
    <row r="370" spans="1:7">
      <c r="A370" s="296">
        <v>43038</v>
      </c>
      <c r="B370" s="17" t="s">
        <v>479</v>
      </c>
      <c r="C370" s="298">
        <v>1.96</v>
      </c>
      <c r="D370" s="298">
        <v>1.98</v>
      </c>
      <c r="E370" s="298">
        <v>1.3947495323303001</v>
      </c>
      <c r="F370" s="299">
        <v>2.7894990646605832E-4</v>
      </c>
      <c r="G370" t="s">
        <v>1956</v>
      </c>
    </row>
    <row r="371" spans="1:7">
      <c r="A371" s="296">
        <v>43038</v>
      </c>
      <c r="B371" s="17" t="s">
        <v>593</v>
      </c>
      <c r="C371" s="298">
        <v>2.09</v>
      </c>
      <c r="D371" s="298">
        <v>2.09</v>
      </c>
      <c r="E371" s="298">
        <v>2.2744479953904002</v>
      </c>
      <c r="F371" s="299">
        <v>0</v>
      </c>
      <c r="G371" t="s">
        <v>1956</v>
      </c>
    </row>
    <row r="372" spans="1:7">
      <c r="A372" s="296">
        <v>43038</v>
      </c>
      <c r="B372" s="17" t="s">
        <v>1554</v>
      </c>
      <c r="C372" s="298">
        <v>4.21</v>
      </c>
      <c r="D372" s="298">
        <v>4.21</v>
      </c>
      <c r="E372" s="298">
        <v>2.2144461641672999</v>
      </c>
      <c r="F372" s="299">
        <v>0</v>
      </c>
      <c r="G372" t="s">
        <v>1956</v>
      </c>
    </row>
    <row r="373" spans="1:7">
      <c r="A373" s="296">
        <v>43038</v>
      </c>
      <c r="B373" s="17" t="s">
        <v>1198</v>
      </c>
      <c r="C373" s="298">
        <v>2.2599999999999998</v>
      </c>
      <c r="D373" s="298">
        <v>2.2599999999999998</v>
      </c>
      <c r="E373" s="298">
        <v>3.8254101942954</v>
      </c>
      <c r="F373" s="299">
        <v>0</v>
      </c>
      <c r="G373" t="s">
        <v>1956</v>
      </c>
    </row>
    <row r="374" spans="1:7">
      <c r="A374" s="296">
        <v>43038</v>
      </c>
      <c r="B374" s="17" t="s">
        <v>1201</v>
      </c>
      <c r="C374" s="298">
        <v>2.5099999999999998</v>
      </c>
      <c r="D374" s="298">
        <v>2.52</v>
      </c>
      <c r="E374" s="298">
        <v>8.0603973430311999</v>
      </c>
      <c r="F374" s="299">
        <v>8.0603973430314307E-4</v>
      </c>
      <c r="G374" t="s">
        <v>1956</v>
      </c>
    </row>
    <row r="375" spans="1:7">
      <c r="A375" s="296">
        <v>43038</v>
      </c>
      <c r="B375" s="17" t="s">
        <v>1208</v>
      </c>
      <c r="C375" s="298">
        <v>1.75</v>
      </c>
      <c r="D375" s="298">
        <v>1.81</v>
      </c>
      <c r="E375" s="298">
        <v>0.95824111936539003</v>
      </c>
      <c r="F375" s="299">
        <v>5.7494467161923384E-4</v>
      </c>
      <c r="G375" t="s">
        <v>1956</v>
      </c>
    </row>
    <row r="376" spans="1:7">
      <c r="A376" s="296">
        <v>43038</v>
      </c>
      <c r="B376" s="17" t="s">
        <v>463</v>
      </c>
      <c r="C376" s="298">
        <v>3.67</v>
      </c>
      <c r="D376" s="298">
        <v>3.66</v>
      </c>
      <c r="E376" s="298">
        <v>0.94712176924866998</v>
      </c>
      <c r="F376" s="299">
        <v>-9.4712176924863144E-5</v>
      </c>
      <c r="G376" t="s">
        <v>1956</v>
      </c>
    </row>
    <row r="377" spans="1:7">
      <c r="A377" s="296">
        <v>43038</v>
      </c>
      <c r="B377" s="17" t="s">
        <v>413</v>
      </c>
      <c r="C377" s="298">
        <v>5.26</v>
      </c>
      <c r="D377" s="298">
        <v>5.16</v>
      </c>
      <c r="E377" s="298">
        <v>5.4794520547944998E-3</v>
      </c>
      <c r="F377" s="299">
        <v>-5.4794520547945048E-6</v>
      </c>
      <c r="G377" t="s">
        <v>1956</v>
      </c>
    </row>
    <row r="378" spans="1:7">
      <c r="A378" s="296">
        <v>43038</v>
      </c>
      <c r="B378" s="17" t="s">
        <v>538</v>
      </c>
      <c r="C378" s="298">
        <v>2.4</v>
      </c>
      <c r="D378" s="298">
        <v>2.39</v>
      </c>
      <c r="E378" s="298">
        <v>0.17260273972602999</v>
      </c>
      <c r="F378" s="299">
        <v>-1.7260273972602896E-5</v>
      </c>
      <c r="G378" t="s">
        <v>1956</v>
      </c>
    </row>
    <row r="379" spans="1:7">
      <c r="A379" s="296">
        <v>43038</v>
      </c>
      <c r="B379" s="17" t="s">
        <v>657</v>
      </c>
      <c r="C379" s="298">
        <v>2.0699999999999998</v>
      </c>
      <c r="D379" s="298">
        <v>2.0699999999999998</v>
      </c>
      <c r="E379" s="298">
        <v>3.7387134360658001</v>
      </c>
      <c r="F379" s="299">
        <v>0</v>
      </c>
      <c r="G379" t="s">
        <v>1956</v>
      </c>
    </row>
    <row r="380" spans="1:7">
      <c r="A380" s="296">
        <v>43038</v>
      </c>
      <c r="B380" s="17" t="s">
        <v>693</v>
      </c>
      <c r="C380" s="298">
        <v>1.98</v>
      </c>
      <c r="D380" s="298">
        <v>1.97</v>
      </c>
      <c r="E380" s="298">
        <v>4.5788197083929001</v>
      </c>
      <c r="F380" s="299">
        <v>-4.5788197083928726E-4</v>
      </c>
      <c r="G380" t="s">
        <v>1956</v>
      </c>
    </row>
    <row r="381" spans="1:7">
      <c r="A381" s="296">
        <v>43038</v>
      </c>
      <c r="B381" s="17" t="s">
        <v>741</v>
      </c>
      <c r="C381" s="298">
        <v>2.36</v>
      </c>
      <c r="D381" s="298">
        <v>2.37</v>
      </c>
      <c r="E381" s="298">
        <v>6.6788731231874001</v>
      </c>
      <c r="F381" s="299">
        <v>6.6788731231875911E-4</v>
      </c>
      <c r="G381" t="s">
        <v>1956</v>
      </c>
    </row>
    <row r="382" spans="1:7">
      <c r="A382" s="296">
        <v>43038</v>
      </c>
      <c r="B382" s="17" t="s">
        <v>438</v>
      </c>
      <c r="C382" s="298">
        <v>1.81</v>
      </c>
      <c r="D382" s="298">
        <v>1.83</v>
      </c>
      <c r="E382" s="298">
        <v>0.91496408700564003</v>
      </c>
      <c r="F382" s="299">
        <v>1.8299281740112689E-4</v>
      </c>
      <c r="G382" t="s">
        <v>1956</v>
      </c>
    </row>
    <row r="383" spans="1:7">
      <c r="A383" s="296">
        <v>43038</v>
      </c>
      <c r="B383" s="17" t="s">
        <v>477</v>
      </c>
      <c r="C383" s="298">
        <v>2.0499999999999998</v>
      </c>
      <c r="D383" s="298">
        <v>2.1</v>
      </c>
      <c r="E383" s="298">
        <v>1.7496667433363999</v>
      </c>
      <c r="F383" s="299">
        <v>8.7483337166820684E-4</v>
      </c>
      <c r="G383" t="s">
        <v>1956</v>
      </c>
    </row>
    <row r="384" spans="1:7">
      <c r="A384" s="296">
        <v>43038</v>
      </c>
      <c r="B384" s="17" t="s">
        <v>1137</v>
      </c>
      <c r="C384" s="298">
        <v>3.93</v>
      </c>
      <c r="D384" s="298">
        <v>3.95</v>
      </c>
      <c r="E384" s="298">
        <v>4.0470771899322999</v>
      </c>
      <c r="F384" s="299">
        <v>8.0941543798645512E-4</v>
      </c>
      <c r="G384" t="s">
        <v>1956</v>
      </c>
    </row>
    <row r="385" spans="1:7">
      <c r="A385" s="296">
        <v>43038</v>
      </c>
      <c r="B385" s="17" t="s">
        <v>1950</v>
      </c>
      <c r="C385" s="298">
        <v>4.53</v>
      </c>
      <c r="D385" s="298">
        <v>4.51</v>
      </c>
      <c r="E385" s="298">
        <v>3.8302404533499002</v>
      </c>
      <c r="F385" s="299">
        <v>-7.660480906699754E-4</v>
      </c>
      <c r="G385" t="s">
        <v>1956</v>
      </c>
    </row>
    <row r="386" spans="1:7">
      <c r="A386" s="296">
        <v>43038</v>
      </c>
      <c r="B386" s="17" t="s">
        <v>419</v>
      </c>
      <c r="C386" s="298">
        <v>2.5499999999999998</v>
      </c>
      <c r="D386" s="298">
        <v>2.57</v>
      </c>
      <c r="E386" s="298">
        <v>0.62031554859302995</v>
      </c>
      <c r="F386" s="299">
        <v>1.2406310971860524E-4</v>
      </c>
      <c r="G386" t="s">
        <v>1956</v>
      </c>
    </row>
    <row r="387" spans="1:7">
      <c r="A387" s="296">
        <v>43038</v>
      </c>
      <c r="B387" s="17" t="s">
        <v>738</v>
      </c>
      <c r="C387" s="298">
        <v>2.5299999999999998</v>
      </c>
      <c r="D387" s="298">
        <v>2.54</v>
      </c>
      <c r="E387" s="298">
        <v>6.6596292808174002</v>
      </c>
      <c r="F387" s="299">
        <v>6.6596292808173601E-4</v>
      </c>
      <c r="G387" t="s">
        <v>1956</v>
      </c>
    </row>
    <row r="388" spans="1:7">
      <c r="A388" s="296">
        <v>43038</v>
      </c>
      <c r="B388" s="17" t="s">
        <v>1461</v>
      </c>
      <c r="C388" s="298">
        <v>2.6</v>
      </c>
      <c r="D388" s="298">
        <v>2.61</v>
      </c>
      <c r="E388" s="298">
        <v>5.9541036957792004</v>
      </c>
      <c r="F388" s="299">
        <v>5.9541036957789573E-4</v>
      </c>
      <c r="G388" t="s">
        <v>1956</v>
      </c>
    </row>
    <row r="389" spans="1:7">
      <c r="A389" s="296">
        <v>43038</v>
      </c>
      <c r="B389" s="17" t="s">
        <v>455</v>
      </c>
      <c r="C389" s="298">
        <v>1.73</v>
      </c>
      <c r="D389" s="298">
        <v>1.77</v>
      </c>
      <c r="E389" s="298">
        <v>0.66003813145297996</v>
      </c>
      <c r="F389" s="299">
        <v>2.6401525258119265E-4</v>
      </c>
      <c r="G389" t="s">
        <v>1956</v>
      </c>
    </row>
    <row r="390" spans="1:7">
      <c r="A390" s="296">
        <v>43038</v>
      </c>
      <c r="B390" s="17" t="s">
        <v>482</v>
      </c>
      <c r="C390" s="298">
        <v>3.66</v>
      </c>
      <c r="D390" s="298">
        <v>3.68</v>
      </c>
      <c r="E390" s="298">
        <v>1.5090703336411</v>
      </c>
      <c r="F390" s="299">
        <v>3.0181406672821819E-4</v>
      </c>
      <c r="G390" t="s">
        <v>1956</v>
      </c>
    </row>
    <row r="391" spans="1:7">
      <c r="A391" s="296">
        <v>43038</v>
      </c>
      <c r="B391" s="17" t="s">
        <v>424</v>
      </c>
      <c r="C391" s="298">
        <v>2.99</v>
      </c>
      <c r="D391" s="298">
        <v>2.6</v>
      </c>
      <c r="E391" s="298">
        <v>0.25753424657534002</v>
      </c>
      <c r="F391" s="299">
        <v>-1.0043835616438263E-3</v>
      </c>
      <c r="G391" t="s">
        <v>1956</v>
      </c>
    </row>
    <row r="392" spans="1:7">
      <c r="A392" s="296">
        <v>43038</v>
      </c>
      <c r="B392" s="17" t="s">
        <v>1038</v>
      </c>
      <c r="C392" s="298">
        <v>3.06</v>
      </c>
      <c r="D392" s="298">
        <v>3.07</v>
      </c>
      <c r="E392" s="298">
        <v>11.777901769074999</v>
      </c>
      <c r="F392" s="299">
        <v>1.177790176907452E-3</v>
      </c>
      <c r="G392" t="s">
        <v>1956</v>
      </c>
    </row>
    <row r="393" spans="1:7">
      <c r="A393" s="296">
        <v>43038</v>
      </c>
      <c r="B393" s="17" t="s">
        <v>998</v>
      </c>
      <c r="C393" s="298">
        <v>3.15</v>
      </c>
      <c r="D393" s="298">
        <v>3.15</v>
      </c>
      <c r="E393" s="298">
        <v>13.180728527643</v>
      </c>
      <c r="F393" s="299">
        <v>0</v>
      </c>
      <c r="G393" t="s">
        <v>1956</v>
      </c>
    </row>
    <row r="394" spans="1:7">
      <c r="A394" s="296">
        <v>43038</v>
      </c>
      <c r="B394" s="17" t="s">
        <v>831</v>
      </c>
      <c r="C394" s="298">
        <v>2.95</v>
      </c>
      <c r="D394" s="298">
        <v>2.98</v>
      </c>
      <c r="E394" s="298">
        <v>1.8192089179196</v>
      </c>
      <c r="F394" s="299">
        <v>5.4576267537587674E-4</v>
      </c>
      <c r="G394" t="s">
        <v>1956</v>
      </c>
    </row>
    <row r="395" spans="1:7">
      <c r="A395" s="296">
        <v>43038</v>
      </c>
      <c r="B395" s="17" t="s">
        <v>705</v>
      </c>
      <c r="C395" s="298">
        <v>2.1</v>
      </c>
      <c r="D395" s="298">
        <v>2.11</v>
      </c>
      <c r="E395" s="298">
        <v>5.4112861747208996</v>
      </c>
      <c r="F395" s="299">
        <v>5.4112861747206793E-4</v>
      </c>
      <c r="G395" t="s">
        <v>1956</v>
      </c>
    </row>
    <row r="396" spans="1:7">
      <c r="A396" s="296">
        <v>43038</v>
      </c>
      <c r="B396" s="17" t="s">
        <v>619</v>
      </c>
      <c r="C396" s="298">
        <v>2.04</v>
      </c>
      <c r="D396" s="298">
        <v>2.0699999999999998</v>
      </c>
      <c r="E396" s="298">
        <v>2.720500005056</v>
      </c>
      <c r="F396" s="299">
        <v>8.1615000151679501E-4</v>
      </c>
      <c r="G396" t="s">
        <v>1956</v>
      </c>
    </row>
    <row r="397" spans="1:7">
      <c r="A397" s="296">
        <v>43038</v>
      </c>
      <c r="B397" s="17" t="s">
        <v>356</v>
      </c>
      <c r="C397" s="298">
        <v>3.68</v>
      </c>
      <c r="D397" s="298">
        <v>3.67</v>
      </c>
      <c r="E397" s="298">
        <v>3.1178772254878</v>
      </c>
      <c r="F397" s="299">
        <v>-3.1178772254878892E-4</v>
      </c>
      <c r="G397" t="s">
        <v>1956</v>
      </c>
    </row>
    <row r="398" spans="1:7">
      <c r="A398" s="296">
        <v>43038</v>
      </c>
      <c r="B398" s="297" t="s">
        <v>227</v>
      </c>
      <c r="C398" s="298">
        <v>4.88</v>
      </c>
      <c r="D398" s="298">
        <v>4.8600000000000003</v>
      </c>
      <c r="E398" s="298">
        <v>11.768770105626</v>
      </c>
      <c r="F398" s="299">
        <v>-2.3537540211251043E-3</v>
      </c>
      <c r="G398" t="s">
        <v>1956</v>
      </c>
    </row>
    <row r="399" spans="1:7">
      <c r="A399" s="296">
        <v>43038</v>
      </c>
      <c r="B399" s="297" t="s">
        <v>159</v>
      </c>
      <c r="C399" s="298">
        <v>1.25</v>
      </c>
      <c r="D399" s="298">
        <v>1.25</v>
      </c>
      <c r="E399" s="298">
        <v>3.2602009082203001</v>
      </c>
      <c r="F399" s="299">
        <v>0</v>
      </c>
      <c r="G399" t="s">
        <v>1956</v>
      </c>
    </row>
    <row r="400" spans="1:7">
      <c r="A400" s="296">
        <v>43038</v>
      </c>
      <c r="B400" s="297" t="s">
        <v>19</v>
      </c>
      <c r="C400" s="298">
        <v>1.73</v>
      </c>
      <c r="D400" s="298">
        <v>1.76</v>
      </c>
      <c r="E400" s="298">
        <v>7.8462898067543003</v>
      </c>
      <c r="F400" s="299">
        <v>2.3538869420263032E-3</v>
      </c>
      <c r="G400" t="s">
        <v>1956</v>
      </c>
    </row>
    <row r="401" spans="1:7">
      <c r="A401" s="296">
        <v>43038</v>
      </c>
      <c r="B401" s="297" t="s">
        <v>208</v>
      </c>
      <c r="C401" s="298">
        <v>2.12</v>
      </c>
      <c r="D401" s="298">
        <v>2.12</v>
      </c>
      <c r="E401" s="298">
        <v>14.668995766835</v>
      </c>
      <c r="F401" s="299">
        <v>0</v>
      </c>
      <c r="G401" t="s">
        <v>1956</v>
      </c>
    </row>
    <row r="402" spans="1:7">
      <c r="A402" s="296">
        <v>43038</v>
      </c>
      <c r="B402" s="297" t="s">
        <v>78</v>
      </c>
      <c r="C402" s="298">
        <v>1.1599999999999999</v>
      </c>
      <c r="D402" s="298">
        <v>1.2</v>
      </c>
      <c r="E402" s="298">
        <v>1.1508094026766</v>
      </c>
      <c r="F402" s="299">
        <v>4.6032376107064125E-4</v>
      </c>
      <c r="G402" t="s">
        <v>1956</v>
      </c>
    </row>
    <row r="403" spans="1:7">
      <c r="A403" s="296">
        <v>43038</v>
      </c>
      <c r="B403" s="297" t="s">
        <v>45</v>
      </c>
      <c r="C403" s="298">
        <v>1.2</v>
      </c>
      <c r="D403" s="298">
        <v>1.2</v>
      </c>
      <c r="E403" s="298">
        <v>2.1015167940938002</v>
      </c>
      <c r="F403" s="299">
        <v>0</v>
      </c>
      <c r="G403" t="s">
        <v>1956</v>
      </c>
    </row>
    <row r="404" spans="1:7">
      <c r="A404" s="296">
        <v>43038</v>
      </c>
      <c r="B404" s="297" t="s">
        <v>1101</v>
      </c>
      <c r="C404" s="298">
        <v>2.86</v>
      </c>
      <c r="D404" s="298">
        <v>2.99</v>
      </c>
      <c r="E404" s="298">
        <v>0.34586345649508998</v>
      </c>
      <c r="F404" s="299">
        <v>4.4962249344361783E-4</v>
      </c>
      <c r="G404" t="s">
        <v>1956</v>
      </c>
    </row>
    <row r="405" spans="1:7">
      <c r="A405" s="296">
        <v>43038</v>
      </c>
      <c r="B405" s="297" t="s">
        <v>1103</v>
      </c>
      <c r="C405" s="298">
        <v>2.5299999999999998</v>
      </c>
      <c r="D405" s="298">
        <v>2.61</v>
      </c>
      <c r="E405" s="298">
        <v>0.47064438983278001</v>
      </c>
      <c r="F405" s="299">
        <v>3.7651551186622335E-4</v>
      </c>
      <c r="G405" t="s">
        <v>1956</v>
      </c>
    </row>
    <row r="406" spans="1:7">
      <c r="A406" s="296">
        <v>43038</v>
      </c>
      <c r="B406" s="297" t="s">
        <v>1097</v>
      </c>
      <c r="C406" s="298">
        <v>2.73</v>
      </c>
      <c r="D406" s="298">
        <v>3.16</v>
      </c>
      <c r="E406" s="298">
        <v>9.8630136986301006E-2</v>
      </c>
      <c r="F406" s="299">
        <v>4.2410958904109448E-4</v>
      </c>
      <c r="G406" t="s">
        <v>1956</v>
      </c>
    </row>
    <row r="407" spans="1:7">
      <c r="A407" s="296">
        <v>43038</v>
      </c>
      <c r="B407" s="297" t="s">
        <v>1206</v>
      </c>
      <c r="C407" s="298">
        <v>1.94</v>
      </c>
      <c r="D407" s="298">
        <v>2.0499999999999998</v>
      </c>
      <c r="E407" s="298">
        <v>0.41917808219177999</v>
      </c>
      <c r="F407" s="299">
        <v>4.6109589041095663E-4</v>
      </c>
      <c r="G407" t="s">
        <v>1956</v>
      </c>
    </row>
    <row r="408" spans="1:7">
      <c r="A408" s="296">
        <v>43038</v>
      </c>
      <c r="B408" s="297" t="s">
        <v>1118</v>
      </c>
      <c r="C408" s="298">
        <v>3.09</v>
      </c>
      <c r="D408" s="298">
        <v>3.07</v>
      </c>
      <c r="E408" s="298">
        <v>2.5962788219454001</v>
      </c>
      <c r="F408" s="299">
        <v>-5.1925576438907682E-4</v>
      </c>
      <c r="G408" t="s">
        <v>1956</v>
      </c>
    </row>
    <row r="409" spans="1:7">
      <c r="A409" s="296">
        <v>43038</v>
      </c>
      <c r="B409" s="297" t="s">
        <v>1144</v>
      </c>
      <c r="C409" s="298">
        <v>3.03</v>
      </c>
      <c r="D409" s="298">
        <v>3.06</v>
      </c>
      <c r="E409" s="298">
        <v>4.7065677798026</v>
      </c>
      <c r="F409" s="299">
        <v>1.4119703339408041E-3</v>
      </c>
      <c r="G409" t="s">
        <v>1956</v>
      </c>
    </row>
    <row r="410" spans="1:7">
      <c r="A410" s="296">
        <v>43038</v>
      </c>
      <c r="B410" s="297" t="s">
        <v>1149</v>
      </c>
      <c r="C410" s="298">
        <v>3.15</v>
      </c>
      <c r="D410" s="298">
        <v>3.16</v>
      </c>
      <c r="E410" s="298">
        <v>5.7645038523289998</v>
      </c>
      <c r="F410" s="299">
        <v>5.7645038523291647E-4</v>
      </c>
      <c r="G410" t="s">
        <v>1956</v>
      </c>
    </row>
    <row r="411" spans="1:7">
      <c r="A411" s="296">
        <v>43038</v>
      </c>
      <c r="B411" s="297" t="s">
        <v>1131</v>
      </c>
      <c r="C411" s="298">
        <v>3.18</v>
      </c>
      <c r="D411" s="298">
        <v>3.19</v>
      </c>
      <c r="E411" s="298">
        <v>3.9743743492368</v>
      </c>
      <c r="F411" s="299">
        <v>3.9743743492366381E-4</v>
      </c>
      <c r="G411" t="s">
        <v>1956</v>
      </c>
    </row>
    <row r="412" spans="1:7">
      <c r="A412" s="296">
        <v>43038</v>
      </c>
      <c r="B412" s="297" t="s">
        <v>1141</v>
      </c>
      <c r="C412" s="298">
        <v>3.22</v>
      </c>
      <c r="D412" s="298">
        <v>3.24</v>
      </c>
      <c r="E412" s="298">
        <v>4.4262602071205999</v>
      </c>
      <c r="F412" s="299">
        <v>8.8525204142414536E-4</v>
      </c>
      <c r="G412" t="s">
        <v>1956</v>
      </c>
    </row>
    <row r="413" spans="1:7">
      <c r="A413" s="296">
        <v>43038</v>
      </c>
      <c r="B413" s="297" t="s">
        <v>1156</v>
      </c>
      <c r="C413" s="298">
        <v>3.46</v>
      </c>
      <c r="D413" s="298">
        <v>3.52</v>
      </c>
      <c r="E413" s="298">
        <v>8.6189218811492996</v>
      </c>
      <c r="F413" s="299">
        <v>5.1713531286896085E-3</v>
      </c>
      <c r="G413" t="s">
        <v>1955</v>
      </c>
    </row>
    <row r="414" spans="1:7">
      <c r="A414" s="296">
        <v>43038</v>
      </c>
      <c r="B414" s="297" t="s">
        <v>1159</v>
      </c>
      <c r="C414" s="298">
        <v>3.58</v>
      </c>
      <c r="D414" s="298">
        <v>3.63</v>
      </c>
      <c r="E414" s="298">
        <v>8.9701371241222994</v>
      </c>
      <c r="F414" s="299">
        <v>4.4850685620611537E-3</v>
      </c>
      <c r="G414" t="s">
        <v>1955</v>
      </c>
    </row>
    <row r="415" spans="1:7">
      <c r="A415" s="296">
        <v>43038</v>
      </c>
      <c r="B415" s="297" t="s">
        <v>1126</v>
      </c>
      <c r="C415" s="298">
        <v>2.86</v>
      </c>
      <c r="D415" s="298">
        <v>2.85</v>
      </c>
      <c r="E415" s="298">
        <v>3.5394660212387001</v>
      </c>
      <c r="F415" s="299">
        <v>-3.5394660212386786E-4</v>
      </c>
      <c r="G415" t="s">
        <v>1956</v>
      </c>
    </row>
    <row r="416" spans="1:7">
      <c r="A416" s="296">
        <v>43038</v>
      </c>
      <c r="B416" s="297" t="s">
        <v>1960</v>
      </c>
      <c r="C416" s="298">
        <v>1.56</v>
      </c>
      <c r="D416" s="298">
        <v>1.5</v>
      </c>
      <c r="E416" s="298">
        <v>0.19178082191781001</v>
      </c>
      <c r="F416" s="299">
        <v>-1.1506849315068631E-4</v>
      </c>
      <c r="G416" t="s">
        <v>1956</v>
      </c>
    </row>
    <row r="417" spans="1:7">
      <c r="A417" s="296">
        <v>43038</v>
      </c>
      <c r="B417" s="297" t="s">
        <v>1961</v>
      </c>
      <c r="C417" s="298">
        <v>1.39</v>
      </c>
      <c r="D417" s="298">
        <v>1.34</v>
      </c>
      <c r="E417" s="298">
        <v>6.0273972602739999E-2</v>
      </c>
      <c r="F417" s="299">
        <v>-3.0136986301369923E-5</v>
      </c>
      <c r="G417" t="s">
        <v>1956</v>
      </c>
    </row>
    <row r="418" spans="1:7">
      <c r="A418" s="296">
        <v>43038</v>
      </c>
      <c r="B418" s="297" t="s">
        <v>1962</v>
      </c>
      <c r="C418" s="298">
        <v>1.41</v>
      </c>
      <c r="D418" s="298">
        <v>1.36</v>
      </c>
      <c r="E418" s="298">
        <v>7.9452054794520999E-2</v>
      </c>
      <c r="F418" s="299">
        <v>-3.9726027397260396E-5</v>
      </c>
      <c r="G418" t="s">
        <v>1956</v>
      </c>
    </row>
    <row r="419" spans="1:7">
      <c r="A419" s="296">
        <v>43038</v>
      </c>
      <c r="B419" s="297" t="s">
        <v>1963</v>
      </c>
      <c r="C419" s="298">
        <v>1.35</v>
      </c>
      <c r="D419" s="298">
        <v>1.29</v>
      </c>
      <c r="E419" s="298">
        <v>2.4657534246574998E-2</v>
      </c>
      <c r="F419" s="299">
        <v>-1.4794520547945038E-5</v>
      </c>
      <c r="G419" t="s">
        <v>1956</v>
      </c>
    </row>
    <row r="420" spans="1:7">
      <c r="A420" s="296">
        <v>43038</v>
      </c>
      <c r="B420" s="297" t="s">
        <v>1964</v>
      </c>
      <c r="C420" s="298">
        <v>1.47</v>
      </c>
      <c r="D420" s="298">
        <v>1.42</v>
      </c>
      <c r="E420" s="298">
        <v>0.12328767123287999</v>
      </c>
      <c r="F420" s="299">
        <v>-6.1643835616440049E-5</v>
      </c>
      <c r="G420" t="s">
        <v>1956</v>
      </c>
    </row>
    <row r="421" spans="1:7">
      <c r="A421" s="296">
        <v>43038</v>
      </c>
      <c r="B421" s="297" t="s">
        <v>1965</v>
      </c>
      <c r="C421" s="298">
        <v>1.38</v>
      </c>
      <c r="D421" s="298">
        <v>1.32</v>
      </c>
      <c r="E421" s="298">
        <v>4.9315068493151003E-2</v>
      </c>
      <c r="F421" s="299">
        <v>-2.9589041095890594E-5</v>
      </c>
      <c r="G421" t="s">
        <v>1956</v>
      </c>
    </row>
    <row r="422" spans="1:7">
      <c r="A422" s="296">
        <v>43038</v>
      </c>
      <c r="B422" s="297" t="s">
        <v>1966</v>
      </c>
      <c r="C422" s="298">
        <v>1.39</v>
      </c>
      <c r="D422" s="298">
        <v>1.34</v>
      </c>
      <c r="E422" s="298">
        <v>6.0273972602739999E-2</v>
      </c>
      <c r="F422" s="299">
        <v>-3.0136986301369923E-5</v>
      </c>
      <c r="G422" t="s">
        <v>1956</v>
      </c>
    </row>
    <row r="423" spans="1:7">
      <c r="A423" s="296">
        <v>43038</v>
      </c>
      <c r="B423" s="297" t="s">
        <v>1967</v>
      </c>
      <c r="C423" s="298">
        <v>1.4</v>
      </c>
      <c r="D423" s="298">
        <v>1.35</v>
      </c>
      <c r="E423" s="298">
        <v>6.8493150684932003E-2</v>
      </c>
      <c r="F423" s="299">
        <v>-3.4246575342465792E-5</v>
      </c>
      <c r="G423" t="s">
        <v>1956</v>
      </c>
    </row>
    <row r="424" spans="1:7">
      <c r="A424" s="296">
        <v>43038</v>
      </c>
      <c r="B424" s="297" t="s">
        <v>1968</v>
      </c>
      <c r="C424" s="298">
        <v>1.49</v>
      </c>
      <c r="D424" s="298">
        <v>1.82</v>
      </c>
      <c r="E424" s="298">
        <v>1.0958904109589E-2</v>
      </c>
      <c r="F424" s="299">
        <v>3.6164383561643711E-5</v>
      </c>
      <c r="G424" t="s">
        <v>1956</v>
      </c>
    </row>
    <row r="425" spans="1:7">
      <c r="A425" s="296">
        <v>43038</v>
      </c>
      <c r="B425" s="297" t="s">
        <v>1969</v>
      </c>
      <c r="C425" s="298">
        <v>1.51</v>
      </c>
      <c r="D425" s="298">
        <v>1.84</v>
      </c>
      <c r="E425" s="298">
        <v>3.0136986301369999E-2</v>
      </c>
      <c r="F425" s="299">
        <v>9.9452054794520967E-5</v>
      </c>
      <c r="G425" t="s">
        <v>1956</v>
      </c>
    </row>
    <row r="426" spans="1:7">
      <c r="A426" s="296">
        <v>43038</v>
      </c>
      <c r="B426" s="297" t="s">
        <v>1970</v>
      </c>
      <c r="C426" s="298">
        <v>1.17</v>
      </c>
      <c r="D426" s="298">
        <v>1.27</v>
      </c>
      <c r="E426" s="298">
        <v>8.2191780821918008E-3</v>
      </c>
      <c r="F426" s="299">
        <v>8.2191780821918088E-6</v>
      </c>
      <c r="G426" t="s">
        <v>1956</v>
      </c>
    </row>
    <row r="427" spans="1:7">
      <c r="A427" s="296">
        <v>43038</v>
      </c>
      <c r="B427" s="297" t="s">
        <v>1115</v>
      </c>
      <c r="C427" s="298">
        <v>2.91</v>
      </c>
      <c r="D427" s="298">
        <v>2.76</v>
      </c>
      <c r="E427" s="298">
        <v>1.6652713034969</v>
      </c>
      <c r="F427" s="299">
        <v>-2.4979069552453523E-3</v>
      </c>
      <c r="G427" t="s">
        <v>1956</v>
      </c>
    </row>
    <row r="428" spans="1:7">
      <c r="A428" s="296">
        <v>43038</v>
      </c>
      <c r="B428" s="297" t="s">
        <v>1107</v>
      </c>
      <c r="C428" s="298">
        <v>2.95</v>
      </c>
      <c r="D428" s="298">
        <v>2.78</v>
      </c>
      <c r="E428" s="298">
        <v>1.3385891715964999</v>
      </c>
      <c r="F428" s="299">
        <v>-2.2756015917140548E-3</v>
      </c>
      <c r="G428" t="s">
        <v>1956</v>
      </c>
    </row>
    <row r="429" spans="1:7">
      <c r="A429" s="296">
        <v>43038</v>
      </c>
      <c r="B429" s="297" t="s">
        <v>1105</v>
      </c>
      <c r="C429" s="298">
        <v>2.64</v>
      </c>
      <c r="D429" s="298">
        <v>2.71</v>
      </c>
      <c r="E429" s="298">
        <v>0.68444294308516995</v>
      </c>
      <c r="F429" s="299">
        <v>4.7911006015961843E-4</v>
      </c>
      <c r="G429" t="s">
        <v>1956</v>
      </c>
    </row>
    <row r="430" spans="1:7">
      <c r="A430" s="296">
        <v>43038</v>
      </c>
      <c r="B430" s="297" t="s">
        <v>1116</v>
      </c>
      <c r="C430" s="298">
        <v>3.49</v>
      </c>
      <c r="D430" s="298">
        <v>3.52</v>
      </c>
      <c r="E430" s="298">
        <v>2.0821123549707998</v>
      </c>
      <c r="F430" s="299">
        <v>6.2463370649124342E-4</v>
      </c>
      <c r="G430" t="s">
        <v>1956</v>
      </c>
    </row>
    <row r="431" spans="1:7">
      <c r="A431" s="296">
        <v>43038</v>
      </c>
      <c r="B431" s="297" t="s">
        <v>1971</v>
      </c>
      <c r="C431" s="298">
        <v>0.23</v>
      </c>
      <c r="D431" s="298">
        <v>0.23</v>
      </c>
      <c r="E431" s="298">
        <v>0.17534246575342</v>
      </c>
      <c r="F431" s="299">
        <v>0</v>
      </c>
      <c r="G431" t="s">
        <v>1956</v>
      </c>
    </row>
    <row r="432" spans="1:7">
      <c r="A432" s="296">
        <v>43038</v>
      </c>
      <c r="B432" s="297" t="s">
        <v>1972</v>
      </c>
      <c r="C432" s="298">
        <v>0.2</v>
      </c>
      <c r="D432" s="298">
        <v>0.21</v>
      </c>
      <c r="E432" s="298">
        <v>8.2191780821918008E-3</v>
      </c>
      <c r="F432" s="299">
        <v>8.219178082191787E-7</v>
      </c>
      <c r="G432" t="s">
        <v>1956</v>
      </c>
    </row>
    <row r="433" spans="1:7">
      <c r="A433" s="296">
        <v>43038</v>
      </c>
      <c r="B433" s="297" t="s">
        <v>1973</v>
      </c>
      <c r="C433" s="298">
        <v>0.23</v>
      </c>
      <c r="D433" s="298">
        <v>0.23</v>
      </c>
      <c r="E433" s="298">
        <v>0.18356164383561999</v>
      </c>
      <c r="F433" s="299">
        <v>0</v>
      </c>
      <c r="G433" t="s">
        <v>1956</v>
      </c>
    </row>
    <row r="434" spans="1:7">
      <c r="A434" s="296">
        <v>43038</v>
      </c>
      <c r="B434" s="297" t="s">
        <v>1974</v>
      </c>
      <c r="C434" s="298">
        <v>0.23</v>
      </c>
      <c r="D434" s="298">
        <v>0.22</v>
      </c>
      <c r="E434" s="298">
        <v>9.8630136986301006E-2</v>
      </c>
      <c r="F434" s="299">
        <v>-9.8630136986300839E-6</v>
      </c>
      <c r="G434" t="s">
        <v>1956</v>
      </c>
    </row>
    <row r="435" spans="1:7">
      <c r="A435" s="296">
        <v>43038</v>
      </c>
      <c r="B435" s="297" t="s">
        <v>1975</v>
      </c>
      <c r="C435" s="298">
        <v>0.24</v>
      </c>
      <c r="D435" s="298">
        <v>0.23</v>
      </c>
      <c r="E435" s="298">
        <v>0.27671232876711999</v>
      </c>
      <c r="F435" s="299">
        <v>-2.767123287671195E-5</v>
      </c>
      <c r="G435" t="s">
        <v>1956</v>
      </c>
    </row>
    <row r="436" spans="1:7">
      <c r="A436" s="296">
        <v>43038</v>
      </c>
      <c r="B436" s="297" t="s">
        <v>1976</v>
      </c>
      <c r="C436" s="298">
        <v>0.22</v>
      </c>
      <c r="D436" s="298">
        <v>0.21</v>
      </c>
      <c r="E436" s="298">
        <v>2.4657534246574998E-2</v>
      </c>
      <c r="F436" s="299">
        <v>-2.4657534246575061E-6</v>
      </c>
      <c r="G436" t="s">
        <v>1956</v>
      </c>
    </row>
    <row r="437" spans="1:7">
      <c r="A437" s="296">
        <v>43038</v>
      </c>
      <c r="B437" s="297" t="s">
        <v>1977</v>
      </c>
      <c r="C437" s="298">
        <v>0.23</v>
      </c>
      <c r="D437" s="298">
        <v>0.23</v>
      </c>
      <c r="E437" s="298">
        <v>0.19452054794521001</v>
      </c>
      <c r="F437" s="299">
        <v>0</v>
      </c>
      <c r="G437" t="s">
        <v>1956</v>
      </c>
    </row>
    <row r="438" spans="1:7">
      <c r="A438" s="296">
        <v>43038</v>
      </c>
      <c r="B438" s="297" t="s">
        <v>1978</v>
      </c>
      <c r="C438" s="298">
        <v>0.25</v>
      </c>
      <c r="D438" s="298">
        <v>0.25</v>
      </c>
      <c r="E438" s="298">
        <v>0.52602739726027004</v>
      </c>
      <c r="F438" s="299">
        <v>0</v>
      </c>
      <c r="G438" t="s">
        <v>1956</v>
      </c>
    </row>
    <row r="439" spans="1:7">
      <c r="A439" s="296">
        <v>43038</v>
      </c>
      <c r="B439" s="297" t="s">
        <v>1979</v>
      </c>
      <c r="C439" s="298">
        <v>0.21</v>
      </c>
      <c r="D439" s="298">
        <v>0.21</v>
      </c>
      <c r="E439" s="298">
        <v>3.0136986301369999E-2</v>
      </c>
      <c r="F439" s="299">
        <v>0</v>
      </c>
      <c r="G439" t="s">
        <v>1956</v>
      </c>
    </row>
    <row r="440" spans="1:7">
      <c r="A440" s="296">
        <v>43038</v>
      </c>
      <c r="B440" s="297" t="s">
        <v>1980</v>
      </c>
      <c r="C440" s="298">
        <v>0.24</v>
      </c>
      <c r="D440" s="298">
        <v>0.24</v>
      </c>
      <c r="E440" s="298">
        <v>0.36986301369863001</v>
      </c>
      <c r="F440" s="299">
        <v>0</v>
      </c>
      <c r="G440" t="s">
        <v>1956</v>
      </c>
    </row>
    <row r="441" spans="1:7">
      <c r="A441" s="296">
        <v>43038</v>
      </c>
      <c r="B441" s="297" t="s">
        <v>1981</v>
      </c>
      <c r="C441" s="298">
        <v>0.22</v>
      </c>
      <c r="D441" s="298">
        <v>0.21</v>
      </c>
      <c r="E441" s="298">
        <v>4.3835616438355998E-2</v>
      </c>
      <c r="F441" s="299">
        <v>-4.3835616438356113E-6</v>
      </c>
      <c r="G441" t="s">
        <v>1956</v>
      </c>
    </row>
    <row r="442" spans="1:7">
      <c r="A442" s="296">
        <v>43038</v>
      </c>
      <c r="B442" s="297" t="s">
        <v>1982</v>
      </c>
      <c r="C442" s="298">
        <v>0.22</v>
      </c>
      <c r="D442" s="298">
        <v>0.21</v>
      </c>
      <c r="E442" s="298">
        <v>4.6575342465752997E-2</v>
      </c>
      <c r="F442" s="299">
        <v>-4.6575342465753122E-6</v>
      </c>
      <c r="G442" t="s">
        <v>1956</v>
      </c>
    </row>
    <row r="443" spans="1:7">
      <c r="A443" s="296">
        <v>43038</v>
      </c>
      <c r="B443" s="297" t="s">
        <v>1944</v>
      </c>
      <c r="C443" s="298">
        <v>0.22</v>
      </c>
      <c r="D443" s="298">
        <v>0.22</v>
      </c>
      <c r="E443" s="298">
        <v>6.5753424657534004E-2</v>
      </c>
      <c r="F443" s="299">
        <v>0</v>
      </c>
      <c r="G443" t="s">
        <v>1956</v>
      </c>
    </row>
    <row r="444" spans="1:7">
      <c r="A444" s="296">
        <v>43038</v>
      </c>
      <c r="B444" s="297" t="s">
        <v>1983</v>
      </c>
      <c r="C444" s="298">
        <v>0.24</v>
      </c>
      <c r="D444" s="298">
        <v>0.24</v>
      </c>
      <c r="E444" s="298">
        <v>0.33424657534246999</v>
      </c>
      <c r="F444" s="299">
        <v>0</v>
      </c>
      <c r="G444" t="s">
        <v>1956</v>
      </c>
    </row>
    <row r="445" spans="1:7">
      <c r="A445" s="296">
        <v>43038</v>
      </c>
      <c r="B445" s="297" t="s">
        <v>1984</v>
      </c>
      <c r="C445" s="298">
        <v>0.24</v>
      </c>
      <c r="D445" s="298">
        <v>0.24</v>
      </c>
      <c r="E445" s="298">
        <v>0.33698630136986002</v>
      </c>
      <c r="F445" s="299">
        <v>0</v>
      </c>
      <c r="G445" t="s">
        <v>1956</v>
      </c>
    </row>
    <row r="446" spans="1:7">
      <c r="A446" s="296">
        <v>43038</v>
      </c>
      <c r="B446" s="297" t="s">
        <v>1985</v>
      </c>
      <c r="C446" s="298">
        <v>0.22</v>
      </c>
      <c r="D446" s="298">
        <v>0.21</v>
      </c>
      <c r="E446" s="298">
        <v>8.2191780821918008E-3</v>
      </c>
      <c r="F446" s="299">
        <v>-8.219178082191822E-7</v>
      </c>
      <c r="G446" t="s">
        <v>1956</v>
      </c>
    </row>
    <row r="447" spans="1:7">
      <c r="A447" s="296">
        <v>43038</v>
      </c>
      <c r="B447" s="297" t="s">
        <v>1986</v>
      </c>
      <c r="C447" s="298">
        <v>0.22</v>
      </c>
      <c r="D447" s="298">
        <v>0.22</v>
      </c>
      <c r="E447" s="298">
        <v>1.0958904109589E-2</v>
      </c>
      <c r="F447" s="299">
        <v>0</v>
      </c>
      <c r="G447" t="s">
        <v>1956</v>
      </c>
    </row>
    <row r="448" spans="1:7">
      <c r="A448" s="296">
        <v>43038</v>
      </c>
      <c r="B448" s="297" t="s">
        <v>1987</v>
      </c>
      <c r="C448" s="298">
        <v>0.23</v>
      </c>
      <c r="D448" s="298">
        <v>0.23</v>
      </c>
      <c r="E448" s="298">
        <v>0.18082191780821999</v>
      </c>
      <c r="F448" s="299">
        <v>0</v>
      </c>
      <c r="G448" t="s">
        <v>1956</v>
      </c>
    </row>
    <row r="449" spans="1:7">
      <c r="A449" s="296">
        <v>43038</v>
      </c>
      <c r="B449" s="297" t="s">
        <v>1988</v>
      </c>
      <c r="C449" s="298">
        <v>0.24</v>
      </c>
      <c r="D449" s="298">
        <v>0.24</v>
      </c>
      <c r="E449" s="298">
        <v>0.26849315068493002</v>
      </c>
      <c r="F449" s="299">
        <v>0</v>
      </c>
      <c r="G449" t="s">
        <v>1956</v>
      </c>
    </row>
    <row r="450" spans="1:7">
      <c r="A450" s="296">
        <v>43038</v>
      </c>
      <c r="B450" s="297" t="s">
        <v>1989</v>
      </c>
      <c r="C450" s="298">
        <v>0.21</v>
      </c>
      <c r="D450" s="298">
        <v>0.21</v>
      </c>
      <c r="E450" s="298">
        <v>1.9178082191781E-2</v>
      </c>
      <c r="F450" s="299">
        <v>0</v>
      </c>
      <c r="G450" t="s">
        <v>1956</v>
      </c>
    </row>
    <row r="451" spans="1:7">
      <c r="A451" s="296">
        <v>43038</v>
      </c>
      <c r="B451" s="297" t="s">
        <v>1990</v>
      </c>
      <c r="C451" s="298">
        <v>0.24</v>
      </c>
      <c r="D451" s="298">
        <v>0.24</v>
      </c>
      <c r="E451" s="298">
        <v>0.35342465753425001</v>
      </c>
      <c r="F451" s="299">
        <v>0</v>
      </c>
      <c r="G451" t="s">
        <v>1956</v>
      </c>
    </row>
    <row r="452" spans="1:7">
      <c r="A452" s="296">
        <v>43038</v>
      </c>
      <c r="B452" s="297" t="s">
        <v>1991</v>
      </c>
      <c r="C452" s="298">
        <v>0.23</v>
      </c>
      <c r="D452" s="298">
        <v>0.23</v>
      </c>
      <c r="E452" s="298">
        <v>0.19452054794521001</v>
      </c>
      <c r="F452" s="299">
        <v>0</v>
      </c>
      <c r="G452" t="s">
        <v>1956</v>
      </c>
    </row>
    <row r="453" spans="1:7">
      <c r="A453" s="296">
        <v>43038</v>
      </c>
      <c r="B453" s="297" t="s">
        <v>1948</v>
      </c>
      <c r="C453" s="298">
        <v>0.24</v>
      </c>
      <c r="D453" s="298">
        <v>0.25</v>
      </c>
      <c r="E453" s="298">
        <v>0.35616438356163999</v>
      </c>
      <c r="F453" s="299">
        <v>3.561643835616409E-5</v>
      </c>
      <c r="G453" t="s">
        <v>1956</v>
      </c>
    </row>
    <row r="454" spans="1:7">
      <c r="A454" s="296">
        <v>43038</v>
      </c>
      <c r="B454" s="297" t="s">
        <v>1992</v>
      </c>
      <c r="C454" s="298">
        <v>0.25</v>
      </c>
      <c r="D454" s="298">
        <v>0.25</v>
      </c>
      <c r="E454" s="298">
        <v>0.52328767123288</v>
      </c>
      <c r="F454" s="299">
        <v>0</v>
      </c>
      <c r="G454" t="s">
        <v>1956</v>
      </c>
    </row>
    <row r="455" spans="1:7">
      <c r="A455" s="296">
        <v>43038</v>
      </c>
      <c r="B455" s="297" t="s">
        <v>1832</v>
      </c>
      <c r="C455" s="298">
        <v>0.23</v>
      </c>
      <c r="D455" s="298">
        <v>0.23</v>
      </c>
      <c r="E455" s="298">
        <v>0.21095890410959001</v>
      </c>
      <c r="F455" s="299">
        <v>0</v>
      </c>
      <c r="G455" t="s">
        <v>1956</v>
      </c>
    </row>
    <row r="456" spans="1:7">
      <c r="A456" s="296">
        <v>43038</v>
      </c>
      <c r="B456" s="297" t="s">
        <v>1993</v>
      </c>
      <c r="C456" s="298">
        <v>0.21</v>
      </c>
      <c r="D456" s="298">
        <v>0.22</v>
      </c>
      <c r="E456" s="298">
        <v>4.6575342465752997E-2</v>
      </c>
      <c r="F456" s="299">
        <v>4.6575342465753122E-6</v>
      </c>
      <c r="G456" t="s">
        <v>1956</v>
      </c>
    </row>
    <row r="457" spans="1:7">
      <c r="A457" s="296">
        <v>43038</v>
      </c>
      <c r="B457" s="298" t="s">
        <v>1588</v>
      </c>
      <c r="C457" s="298">
        <v>0.24</v>
      </c>
      <c r="D457" s="298">
        <v>0.24</v>
      </c>
      <c r="E457" s="298">
        <v>0.32602739726027002</v>
      </c>
      <c r="F457" s="299">
        <v>0</v>
      </c>
      <c r="G457" t="s">
        <v>1956</v>
      </c>
    </row>
    <row r="458" spans="1:7">
      <c r="A458" s="296">
        <v>43038</v>
      </c>
      <c r="B458" s="298" t="s">
        <v>1994</v>
      </c>
      <c r="C458" s="298">
        <v>0.23</v>
      </c>
      <c r="D458" s="298">
        <v>0.24</v>
      </c>
      <c r="E458" s="298">
        <v>0.24931506849314999</v>
      </c>
      <c r="F458" s="299">
        <v>2.4931506849314955E-5</v>
      </c>
      <c r="G458" t="s">
        <v>1956</v>
      </c>
    </row>
    <row r="459" spans="1:7">
      <c r="A459" s="296">
        <v>43038</v>
      </c>
      <c r="B459" s="298" t="s">
        <v>1995</v>
      </c>
      <c r="C459" s="298">
        <v>0.22</v>
      </c>
      <c r="D459" s="298">
        <v>0.22</v>
      </c>
      <c r="E459" s="298">
        <v>8.2191780821917998E-2</v>
      </c>
      <c r="F459" s="299">
        <v>0</v>
      </c>
      <c r="G459" t="s">
        <v>1956</v>
      </c>
    </row>
    <row r="460" spans="1:7">
      <c r="A460" s="296">
        <v>43038</v>
      </c>
      <c r="B460" s="298" t="s">
        <v>1996</v>
      </c>
      <c r="C460" s="298">
        <v>0.25</v>
      </c>
      <c r="D460" s="298">
        <v>0.25</v>
      </c>
      <c r="E460" s="298">
        <v>0.58356164383562004</v>
      </c>
      <c r="F460" s="299">
        <v>0</v>
      </c>
      <c r="G460" t="s">
        <v>1956</v>
      </c>
    </row>
    <row r="461" spans="1:7">
      <c r="A461" s="296">
        <v>43038</v>
      </c>
      <c r="B461" s="298" t="s">
        <v>1997</v>
      </c>
      <c r="C461" s="298">
        <v>0.24</v>
      </c>
      <c r="D461" s="298">
        <v>0.24</v>
      </c>
      <c r="E461" s="298">
        <v>0.33424657534246999</v>
      </c>
      <c r="F461" s="299">
        <v>0</v>
      </c>
      <c r="G461" t="s">
        <v>1956</v>
      </c>
    </row>
    <row r="462" spans="1:7">
      <c r="A462" s="296">
        <v>43038</v>
      </c>
      <c r="B462" s="298" t="s">
        <v>1998</v>
      </c>
      <c r="C462" s="298">
        <v>0.21</v>
      </c>
      <c r="D462" s="298">
        <v>0.21</v>
      </c>
      <c r="E462" s="298">
        <v>8.2191780821918008E-3</v>
      </c>
      <c r="F462" s="299">
        <v>0</v>
      </c>
      <c r="G462" t="s">
        <v>1956</v>
      </c>
    </row>
    <row r="463" spans="1:7">
      <c r="A463" s="296">
        <v>43038</v>
      </c>
      <c r="B463" s="17" t="s">
        <v>1999</v>
      </c>
      <c r="C463" s="298">
        <v>0.24</v>
      </c>
      <c r="D463" s="298">
        <v>0.24</v>
      </c>
      <c r="E463" s="298">
        <v>0.27123287671232998</v>
      </c>
      <c r="F463" s="299">
        <v>0</v>
      </c>
      <c r="G463" t="s">
        <v>1956</v>
      </c>
    </row>
    <row r="464" spans="1:7">
      <c r="A464" s="296">
        <v>43038</v>
      </c>
      <c r="B464" s="17" t="s">
        <v>2000</v>
      </c>
      <c r="C464" s="298">
        <v>0.23</v>
      </c>
      <c r="D464" s="298">
        <v>0.23</v>
      </c>
      <c r="E464" s="298">
        <v>0.19452054794521001</v>
      </c>
      <c r="F464" s="299">
        <v>0</v>
      </c>
      <c r="G464" t="s">
        <v>1956</v>
      </c>
    </row>
    <row r="465" spans="1:7">
      <c r="A465" s="296">
        <v>43038</v>
      </c>
      <c r="B465" s="17" t="s">
        <v>2001</v>
      </c>
      <c r="C465" s="298">
        <v>0.23</v>
      </c>
      <c r="D465" s="298">
        <v>0.23</v>
      </c>
      <c r="E465" s="298">
        <v>0.19726027397259999</v>
      </c>
      <c r="F465" s="299">
        <v>0</v>
      </c>
      <c r="G465" t="s">
        <v>1956</v>
      </c>
    </row>
    <row r="466" spans="1:7">
      <c r="A466" s="296">
        <v>43038</v>
      </c>
      <c r="B466" s="17" t="s">
        <v>2002</v>
      </c>
      <c r="C466" s="298">
        <v>0.21</v>
      </c>
      <c r="D466" s="298">
        <v>0.22</v>
      </c>
      <c r="E466" s="298">
        <v>3.8356164383562E-2</v>
      </c>
      <c r="F466" s="299">
        <v>3.8356164383562103E-6</v>
      </c>
      <c r="G466" t="s">
        <v>1956</v>
      </c>
    </row>
    <row r="467" spans="1:7">
      <c r="A467" s="296">
        <v>43038</v>
      </c>
      <c r="B467" s="17" t="s">
        <v>2003</v>
      </c>
      <c r="C467" s="298">
        <v>0.23</v>
      </c>
      <c r="D467" s="298">
        <v>0.23</v>
      </c>
      <c r="E467" s="298">
        <v>0.21369863013699</v>
      </c>
      <c r="F467" s="299">
        <v>0</v>
      </c>
      <c r="G467" t="s">
        <v>1956</v>
      </c>
    </row>
    <row r="468" spans="1:7">
      <c r="A468" s="296">
        <v>43038</v>
      </c>
      <c r="B468" s="17" t="s">
        <v>2004</v>
      </c>
      <c r="C468" s="298">
        <v>0.24</v>
      </c>
      <c r="D468" s="298">
        <v>0.24</v>
      </c>
      <c r="E468" s="298">
        <v>0.37534246575343</v>
      </c>
      <c r="F468" s="299">
        <v>0</v>
      </c>
      <c r="G468" t="s">
        <v>1956</v>
      </c>
    </row>
    <row r="469" spans="1:7">
      <c r="A469" s="296">
        <v>43038</v>
      </c>
      <c r="B469" s="17" t="s">
        <v>2005</v>
      </c>
      <c r="C469" s="298">
        <v>0.24</v>
      </c>
      <c r="D469" s="298">
        <v>0.22</v>
      </c>
      <c r="E469" s="298">
        <v>8.2191780821917998E-2</v>
      </c>
      <c r="F469" s="299">
        <v>-1.643835616438357E-5</v>
      </c>
      <c r="G469" t="s">
        <v>1956</v>
      </c>
    </row>
    <row r="470" spans="1:7">
      <c r="A470" s="296">
        <v>43038</v>
      </c>
      <c r="B470" s="17" t="s">
        <v>2006</v>
      </c>
      <c r="C470" s="298">
        <v>0.24</v>
      </c>
      <c r="D470" s="298">
        <v>0.24</v>
      </c>
      <c r="E470" s="298">
        <v>0.33424657534246999</v>
      </c>
      <c r="F470" s="299">
        <v>0</v>
      </c>
      <c r="G470" t="s">
        <v>1956</v>
      </c>
    </row>
    <row r="471" spans="1:7">
      <c r="A471" s="296">
        <v>43038</v>
      </c>
      <c r="B471" s="17" t="s">
        <v>2007</v>
      </c>
      <c r="C471" s="298">
        <v>0.23</v>
      </c>
      <c r="D471" s="298">
        <v>0.23</v>
      </c>
      <c r="E471" s="298">
        <v>0.17534246575342</v>
      </c>
      <c r="F471" s="299">
        <v>0</v>
      </c>
      <c r="G471" t="s">
        <v>1956</v>
      </c>
    </row>
    <row r="472" spans="1:7">
      <c r="A472" s="296">
        <v>43038</v>
      </c>
      <c r="B472" s="17" t="s">
        <v>2008</v>
      </c>
      <c r="C472" s="298">
        <v>0.24</v>
      </c>
      <c r="D472" s="298">
        <v>0.23</v>
      </c>
      <c r="E472" s="298">
        <v>0.26027397260273999</v>
      </c>
      <c r="F472" s="299">
        <v>-2.6027397260273956E-5</v>
      </c>
      <c r="G472" t="s">
        <v>1956</v>
      </c>
    </row>
    <row r="473" spans="1:7">
      <c r="A473" s="296">
        <v>43038</v>
      </c>
      <c r="B473" s="17" t="s">
        <v>2009</v>
      </c>
      <c r="C473" s="298">
        <v>0.21</v>
      </c>
      <c r="D473" s="298">
        <v>0.21</v>
      </c>
      <c r="E473" s="298">
        <v>8.2191780821918008E-3</v>
      </c>
      <c r="F473" s="299">
        <v>0</v>
      </c>
      <c r="G473" t="s">
        <v>1956</v>
      </c>
    </row>
    <row r="474" spans="1:7">
      <c r="A474" s="296">
        <v>43038</v>
      </c>
      <c r="B474" s="17" t="s">
        <v>2010</v>
      </c>
      <c r="C474" s="298">
        <v>0.25</v>
      </c>
      <c r="D474" s="298">
        <v>0.24</v>
      </c>
      <c r="E474" s="298">
        <v>0.50958904109588998</v>
      </c>
      <c r="F474" s="299">
        <v>-5.0958904109589131E-5</v>
      </c>
      <c r="G474" t="s">
        <v>1956</v>
      </c>
    </row>
    <row r="475" spans="1:7">
      <c r="A475" s="296">
        <v>43038</v>
      </c>
      <c r="B475" s="17" t="s">
        <v>2011</v>
      </c>
      <c r="C475" s="298">
        <v>0.21</v>
      </c>
      <c r="D475" s="298">
        <v>0.21</v>
      </c>
      <c r="E475" s="298">
        <v>1.9178082191781E-2</v>
      </c>
      <c r="F475" s="299">
        <v>0</v>
      </c>
      <c r="G475" t="s">
        <v>1956</v>
      </c>
    </row>
    <row r="476" spans="1:7">
      <c r="A476" s="296">
        <v>43038</v>
      </c>
      <c r="B476" s="17" t="s">
        <v>2012</v>
      </c>
      <c r="C476" s="298">
        <v>0.22</v>
      </c>
      <c r="D476" s="298">
        <v>0.22</v>
      </c>
      <c r="E476" s="298">
        <v>2.1917808219177999E-2</v>
      </c>
      <c r="F476" s="299">
        <v>0</v>
      </c>
      <c r="G476" t="s">
        <v>1956</v>
      </c>
    </row>
    <row r="477" spans="1:7">
      <c r="A477" s="296">
        <v>43038</v>
      </c>
      <c r="B477" s="17" t="s">
        <v>2013</v>
      </c>
      <c r="C477" s="298">
        <v>0.23</v>
      </c>
      <c r="D477" s="298">
        <v>0.23</v>
      </c>
      <c r="E477" s="298">
        <v>0.1041095890411</v>
      </c>
      <c r="F477" s="299">
        <v>0</v>
      </c>
      <c r="G477" t="s">
        <v>1956</v>
      </c>
    </row>
    <row r="478" spans="1:7">
      <c r="A478" s="181">
        <v>43038</v>
      </c>
      <c r="B478" s="293" t="s">
        <v>2014</v>
      </c>
      <c r="C478" s="293">
        <v>0.23</v>
      </c>
      <c r="D478" s="293">
        <v>0.23</v>
      </c>
      <c r="E478" s="104">
        <v>0.19178082191781001</v>
      </c>
      <c r="F478" s="2">
        <v>0</v>
      </c>
      <c r="G478" t="s">
        <v>1956</v>
      </c>
    </row>
    <row r="479" spans="1:7">
      <c r="A479" s="293">
        <v>43038</v>
      </c>
      <c r="B479" s="293" t="s">
        <v>1894</v>
      </c>
      <c r="C479" s="293">
        <v>0.23</v>
      </c>
      <c r="D479" s="293">
        <v>0.23</v>
      </c>
      <c r="E479" s="104">
        <v>0.19452054794521001</v>
      </c>
      <c r="F479" s="2">
        <v>0</v>
      </c>
      <c r="G479" t="s">
        <v>1956</v>
      </c>
    </row>
    <row r="480" spans="1:7">
      <c r="A480" s="293">
        <v>43038</v>
      </c>
      <c r="B480" s="293" t="s">
        <v>2015</v>
      </c>
      <c r="C480" s="293">
        <v>0.27</v>
      </c>
      <c r="D480" s="293">
        <v>0.27</v>
      </c>
      <c r="E480" s="104">
        <v>0.94246575342465999</v>
      </c>
      <c r="F480" s="2">
        <v>0</v>
      </c>
      <c r="G480" t="s">
        <v>1956</v>
      </c>
    </row>
    <row r="481" spans="1:7">
      <c r="A481" s="293">
        <v>43038</v>
      </c>
      <c r="B481" s="293" t="s">
        <v>2016</v>
      </c>
      <c r="C481" s="293">
        <v>0.23</v>
      </c>
      <c r="D481" s="293">
        <v>0.23</v>
      </c>
      <c r="E481" s="104">
        <v>0.19726027397259999</v>
      </c>
      <c r="F481" s="2">
        <v>0</v>
      </c>
      <c r="G481" t="s">
        <v>1956</v>
      </c>
    </row>
    <row r="482" spans="1:7">
      <c r="A482" s="293">
        <v>43038</v>
      </c>
      <c r="B482" s="293" t="s">
        <v>2017</v>
      </c>
      <c r="C482" s="293">
        <v>0.21</v>
      </c>
      <c r="D482" s="293">
        <v>0.22</v>
      </c>
      <c r="E482" s="104">
        <v>3.0136986301369999E-2</v>
      </c>
      <c r="F482" s="2">
        <v>3.0136986301370079E-6</v>
      </c>
      <c r="G482" t="s">
        <v>1956</v>
      </c>
    </row>
    <row r="483" spans="1:7">
      <c r="A483" s="293">
        <v>43038</v>
      </c>
      <c r="B483" s="293" t="s">
        <v>2018</v>
      </c>
      <c r="C483" s="293">
        <v>0.24</v>
      </c>
      <c r="D483" s="293">
        <v>0.24</v>
      </c>
      <c r="E483" s="104">
        <v>0.28767123287670998</v>
      </c>
      <c r="F483" s="2">
        <v>0</v>
      </c>
      <c r="G483" t="s">
        <v>1956</v>
      </c>
    </row>
    <row r="484" spans="1:7">
      <c r="A484" s="293">
        <v>43038</v>
      </c>
      <c r="B484" s="293" t="s">
        <v>2019</v>
      </c>
      <c r="C484" s="293">
        <v>0.25</v>
      </c>
      <c r="D484" s="293">
        <v>0.26</v>
      </c>
      <c r="E484" s="104">
        <v>0.70136986301369997</v>
      </c>
      <c r="F484" s="2">
        <v>7.0136986301369875E-5</v>
      </c>
      <c r="G484" t="s">
        <v>1956</v>
      </c>
    </row>
    <row r="485" spans="1:7">
      <c r="A485" s="293">
        <v>43038</v>
      </c>
      <c r="B485" s="293" t="s">
        <v>2020</v>
      </c>
      <c r="C485" s="293">
        <v>0.21</v>
      </c>
      <c r="D485" s="293">
        <v>0.22</v>
      </c>
      <c r="E485" s="104">
        <v>3.8356164383562E-2</v>
      </c>
      <c r="F485" s="2">
        <v>3.8356164383562103E-6</v>
      </c>
      <c r="G485" t="s">
        <v>1956</v>
      </c>
    </row>
    <row r="486" spans="1:7">
      <c r="A486" s="293">
        <v>43038</v>
      </c>
      <c r="B486" s="293" t="s">
        <v>2021</v>
      </c>
      <c r="C486" s="293">
        <v>0.22</v>
      </c>
      <c r="D486" s="293">
        <v>0.22</v>
      </c>
      <c r="E486" s="104">
        <v>4.6575342465752997E-2</v>
      </c>
      <c r="F486" s="2">
        <v>0</v>
      </c>
      <c r="G486" t="s">
        <v>1956</v>
      </c>
    </row>
    <row r="487" spans="1:7">
      <c r="A487" s="293">
        <v>43038</v>
      </c>
      <c r="B487" s="293" t="s">
        <v>2022</v>
      </c>
      <c r="C487" s="293">
        <v>0.24</v>
      </c>
      <c r="D487" s="293">
        <v>0.24</v>
      </c>
      <c r="E487" s="104">
        <v>0.38356164383562003</v>
      </c>
      <c r="F487" s="2">
        <v>0</v>
      </c>
      <c r="G487" t="s">
        <v>1956</v>
      </c>
    </row>
    <row r="488" spans="1:7">
      <c r="A488" s="293">
        <v>43038</v>
      </c>
      <c r="B488" s="293" t="s">
        <v>2023</v>
      </c>
      <c r="C488" s="293">
        <v>0.24</v>
      </c>
      <c r="D488" s="293">
        <v>0.24</v>
      </c>
      <c r="E488" s="104">
        <v>0.30958904109589003</v>
      </c>
      <c r="F488" s="2">
        <v>0</v>
      </c>
      <c r="G488" t="s">
        <v>1956</v>
      </c>
    </row>
    <row r="489" spans="1:7">
      <c r="A489" s="293">
        <v>43038</v>
      </c>
      <c r="B489" s="293" t="s">
        <v>2024</v>
      </c>
      <c r="C489" s="293">
        <v>0.24</v>
      </c>
      <c r="D489" s="293">
        <v>0.24</v>
      </c>
      <c r="E489" s="104">
        <v>0.39178082191781</v>
      </c>
      <c r="F489" s="2">
        <v>0</v>
      </c>
      <c r="G489" t="s">
        <v>1956</v>
      </c>
    </row>
    <row r="490" spans="1:7">
      <c r="A490" s="293">
        <v>43038</v>
      </c>
      <c r="B490" s="293" t="s">
        <v>2025</v>
      </c>
      <c r="C490" s="293">
        <v>0.27</v>
      </c>
      <c r="D490" s="293">
        <v>0.27</v>
      </c>
      <c r="E490" s="104">
        <v>0.97808219178082001</v>
      </c>
      <c r="F490" s="2">
        <v>0</v>
      </c>
      <c r="G490" t="s">
        <v>1956</v>
      </c>
    </row>
    <row r="491" spans="1:7">
      <c r="A491" s="293">
        <v>43038</v>
      </c>
      <c r="B491" s="293" t="s">
        <v>1318</v>
      </c>
      <c r="C491" s="293">
        <v>0.24</v>
      </c>
      <c r="D491" s="293">
        <v>0.23</v>
      </c>
      <c r="E491" s="104">
        <v>0.24109589041096</v>
      </c>
      <c r="F491" s="2">
        <v>-2.4109589041095959E-5</v>
      </c>
      <c r="G491" t="s">
        <v>1956</v>
      </c>
    </row>
    <row r="492" spans="1:7">
      <c r="A492" s="293">
        <v>43038</v>
      </c>
      <c r="B492" s="293" t="s">
        <v>2026</v>
      </c>
      <c r="C492" s="293">
        <v>0.24</v>
      </c>
      <c r="D492" s="293">
        <v>0.24</v>
      </c>
      <c r="E492" s="104">
        <v>0.49041095890411002</v>
      </c>
      <c r="F492" s="2">
        <v>0</v>
      </c>
      <c r="G492" t="s">
        <v>1956</v>
      </c>
    </row>
    <row r="493" spans="1:7">
      <c r="A493" s="293">
        <v>43038</v>
      </c>
      <c r="B493" s="293" t="s">
        <v>2027</v>
      </c>
      <c r="C493" s="293">
        <v>0.23</v>
      </c>
      <c r="D493" s="293">
        <v>0.23</v>
      </c>
      <c r="E493" s="104">
        <v>0.15890410958904</v>
      </c>
      <c r="F493" s="2">
        <v>0</v>
      </c>
      <c r="G493" t="s">
        <v>1956</v>
      </c>
    </row>
    <row r="494" spans="1:7">
      <c r="A494" s="293">
        <v>43038</v>
      </c>
      <c r="B494" s="293" t="s">
        <v>2028</v>
      </c>
      <c r="C494" s="293">
        <v>0.24</v>
      </c>
      <c r="D494" s="293">
        <v>0.24</v>
      </c>
      <c r="E494" s="104">
        <v>0.24931506849314999</v>
      </c>
      <c r="F494" s="2">
        <v>0</v>
      </c>
      <c r="G494" t="s">
        <v>1956</v>
      </c>
    </row>
    <row r="495" spans="1:7">
      <c r="A495" s="293">
        <v>43038</v>
      </c>
      <c r="B495" s="293" t="s">
        <v>1850</v>
      </c>
      <c r="C495" s="293">
        <v>0.25</v>
      </c>
      <c r="D495" s="293">
        <v>0.24</v>
      </c>
      <c r="E495" s="104">
        <v>0.41095890410959002</v>
      </c>
      <c r="F495" s="2">
        <v>-4.1095890410959109E-5</v>
      </c>
      <c r="G495" t="s">
        <v>1956</v>
      </c>
    </row>
    <row r="496" spans="1:7">
      <c r="A496" s="293">
        <v>43038</v>
      </c>
      <c r="B496" s="293" t="s">
        <v>2029</v>
      </c>
      <c r="C496" s="293">
        <v>0.23</v>
      </c>
      <c r="D496" s="293">
        <v>0.23</v>
      </c>
      <c r="E496" s="104">
        <v>0.17808219178081999</v>
      </c>
      <c r="F496" s="2">
        <v>0</v>
      </c>
      <c r="G496" t="s">
        <v>1956</v>
      </c>
    </row>
    <row r="497" spans="1:7">
      <c r="A497" s="293">
        <v>43038</v>
      </c>
      <c r="B497" s="293" t="s">
        <v>2030</v>
      </c>
      <c r="C497" s="293">
        <v>0.21</v>
      </c>
      <c r="D497" s="293">
        <v>0.21</v>
      </c>
      <c r="E497" s="104">
        <v>8.2191780821918008E-3</v>
      </c>
      <c r="F497" s="2">
        <v>0</v>
      </c>
      <c r="G497" t="s">
        <v>1956</v>
      </c>
    </row>
    <row r="498" spans="1:7">
      <c r="A498" s="293">
        <v>43038</v>
      </c>
      <c r="B498" s="293" t="s">
        <v>2031</v>
      </c>
      <c r="C498" s="293">
        <v>0.22</v>
      </c>
      <c r="D498" s="293">
        <v>0.23</v>
      </c>
      <c r="E498" s="104">
        <v>0.18356164383561999</v>
      </c>
      <c r="F498" s="2">
        <v>1.8356164383561967E-5</v>
      </c>
      <c r="G498" t="s">
        <v>1956</v>
      </c>
    </row>
    <row r="499" spans="1:7">
      <c r="A499" s="293">
        <v>43038</v>
      </c>
      <c r="B499" s="293" t="s">
        <v>2032</v>
      </c>
      <c r="C499" s="293">
        <v>0.22</v>
      </c>
      <c r="D499" s="293">
        <v>0.22</v>
      </c>
      <c r="E499" s="104">
        <v>9.8630136986301006E-2</v>
      </c>
      <c r="F499" s="2">
        <v>0</v>
      </c>
      <c r="G499" t="s">
        <v>1956</v>
      </c>
    </row>
    <row r="500" spans="1:7">
      <c r="A500" s="293">
        <v>43038</v>
      </c>
      <c r="B500" s="293" t="s">
        <v>2033</v>
      </c>
      <c r="C500" s="293">
        <v>0.21</v>
      </c>
      <c r="D500" s="293">
        <v>0.21</v>
      </c>
      <c r="E500" s="104">
        <v>2.1917808219177999E-2</v>
      </c>
      <c r="F500" s="2">
        <v>0</v>
      </c>
      <c r="G500" t="s">
        <v>1956</v>
      </c>
    </row>
    <row r="501" spans="1:7">
      <c r="A501" s="293">
        <v>43038</v>
      </c>
      <c r="B501" s="293" t="s">
        <v>2034</v>
      </c>
      <c r="C501" s="293">
        <v>0.23</v>
      </c>
      <c r="D501" s="293">
        <v>0.23</v>
      </c>
      <c r="E501" s="104">
        <v>0.19452054794521001</v>
      </c>
      <c r="F501" s="2">
        <v>0</v>
      </c>
      <c r="G501" t="s">
        <v>1956</v>
      </c>
    </row>
    <row r="502" spans="1:7">
      <c r="A502" s="293">
        <v>43038</v>
      </c>
      <c r="B502" s="293" t="s">
        <v>2035</v>
      </c>
      <c r="C502" s="293">
        <v>0.21</v>
      </c>
      <c r="D502" s="293">
        <v>0.2</v>
      </c>
      <c r="E502" s="104">
        <v>3.0136986301369999E-2</v>
      </c>
      <c r="F502" s="2">
        <v>-3.0136986301369948E-6</v>
      </c>
      <c r="G502" t="s">
        <v>1956</v>
      </c>
    </row>
    <row r="503" spans="1:7">
      <c r="A503" s="293">
        <v>43038</v>
      </c>
      <c r="B503" s="293" t="s">
        <v>2036</v>
      </c>
      <c r="C503" s="293">
        <v>0.23</v>
      </c>
      <c r="D503" s="293">
        <v>0.23</v>
      </c>
      <c r="E503" s="104">
        <v>0.28767123287670998</v>
      </c>
      <c r="F503" s="2">
        <v>0</v>
      </c>
      <c r="G503" t="s">
        <v>1956</v>
      </c>
    </row>
    <row r="504" spans="1:7">
      <c r="A504" s="293">
        <v>43038</v>
      </c>
      <c r="B504" s="293" t="s">
        <v>2037</v>
      </c>
      <c r="C504" s="293">
        <v>0.23</v>
      </c>
      <c r="D504" s="293">
        <v>0.24</v>
      </c>
      <c r="E504" s="104">
        <v>9.8630136986301006E-2</v>
      </c>
      <c r="F504" s="2">
        <v>9.8630136986300839E-6</v>
      </c>
      <c r="G504" t="s">
        <v>1956</v>
      </c>
    </row>
    <row r="505" spans="1:7">
      <c r="A505" s="293">
        <v>43038</v>
      </c>
      <c r="B505" s="293" t="s">
        <v>2038</v>
      </c>
      <c r="C505" s="293">
        <v>0.26</v>
      </c>
      <c r="D505" s="293">
        <v>0.26</v>
      </c>
      <c r="E505" s="104">
        <v>0.44109589041095998</v>
      </c>
      <c r="F505" s="2">
        <v>0</v>
      </c>
      <c r="G505" t="s">
        <v>1956</v>
      </c>
    </row>
    <row r="506" spans="1:7">
      <c r="A506" s="293">
        <v>43038</v>
      </c>
      <c r="B506" s="293" t="s">
        <v>2039</v>
      </c>
      <c r="C506" s="293">
        <v>0.26</v>
      </c>
      <c r="D506" s="293">
        <v>0.26</v>
      </c>
      <c r="E506" s="104">
        <v>0.44657534246574998</v>
      </c>
      <c r="F506" s="2">
        <v>0</v>
      </c>
      <c r="G506" t="s">
        <v>1956</v>
      </c>
    </row>
    <row r="507" spans="1:7">
      <c r="A507" s="293">
        <v>43038</v>
      </c>
      <c r="B507" s="293" t="s">
        <v>2040</v>
      </c>
      <c r="C507" s="293">
        <v>0.27</v>
      </c>
      <c r="D507" s="293">
        <v>0.27</v>
      </c>
      <c r="E507" s="104">
        <v>0.63561643835616</v>
      </c>
      <c r="F507" s="2">
        <v>0</v>
      </c>
      <c r="G507" t="s">
        <v>1956</v>
      </c>
    </row>
    <row r="508" spans="1:7">
      <c r="A508" s="293">
        <v>43038</v>
      </c>
      <c r="B508" s="293" t="s">
        <v>2041</v>
      </c>
      <c r="C508" s="293">
        <v>0.27</v>
      </c>
      <c r="D508" s="293">
        <v>0.27</v>
      </c>
      <c r="E508" s="104">
        <v>0.71780821917808002</v>
      </c>
      <c r="F508" s="2">
        <v>0</v>
      </c>
      <c r="G508" t="s">
        <v>1956</v>
      </c>
    </row>
    <row r="509" spans="1:7">
      <c r="A509" s="293">
        <v>43038</v>
      </c>
      <c r="B509" s="293" t="s">
        <v>2042</v>
      </c>
      <c r="C509" s="293">
        <v>0.26</v>
      </c>
      <c r="D509" s="293">
        <v>0.26</v>
      </c>
      <c r="E509" s="104">
        <v>0.55890410958904002</v>
      </c>
      <c r="F509" s="2">
        <v>0</v>
      </c>
      <c r="G509" t="s">
        <v>1956</v>
      </c>
    </row>
    <row r="510" spans="1:7">
      <c r="A510" s="293">
        <v>43038</v>
      </c>
      <c r="B510" s="293" t="s">
        <v>2043</v>
      </c>
      <c r="C510" s="293">
        <v>0.25</v>
      </c>
      <c r="D510" s="293">
        <v>0.25</v>
      </c>
      <c r="E510" s="104">
        <v>0.23287671232877</v>
      </c>
      <c r="F510" s="2">
        <v>0</v>
      </c>
      <c r="G510" t="s">
        <v>1956</v>
      </c>
    </row>
    <row r="511" spans="1:7">
      <c r="A511" s="293">
        <v>43038</v>
      </c>
      <c r="B511" s="293" t="s">
        <v>2044</v>
      </c>
      <c r="C511" s="293">
        <v>0.2</v>
      </c>
      <c r="D511" s="293">
        <v>0.2</v>
      </c>
      <c r="E511" s="104">
        <v>8.2191780821918008E-3</v>
      </c>
      <c r="F511" s="2">
        <v>0</v>
      </c>
      <c r="G511" t="s">
        <v>1956</v>
      </c>
    </row>
    <row r="512" spans="1:7">
      <c r="A512" s="293">
        <v>43038</v>
      </c>
      <c r="B512" s="293" t="s">
        <v>2045</v>
      </c>
      <c r="C512" s="293">
        <v>0.21</v>
      </c>
      <c r="D512" s="293">
        <v>0.21</v>
      </c>
      <c r="E512" s="104">
        <v>2.7397260273973E-2</v>
      </c>
      <c r="F512" s="2">
        <v>0</v>
      </c>
      <c r="G512" t="s">
        <v>1956</v>
      </c>
    </row>
    <row r="513" spans="1:7">
      <c r="A513" s="293">
        <v>43038</v>
      </c>
      <c r="B513" s="293" t="s">
        <v>2046</v>
      </c>
      <c r="C513" s="293">
        <v>0.22</v>
      </c>
      <c r="D513" s="293">
        <v>0.2</v>
      </c>
      <c r="E513" s="104">
        <v>8.2191780821918008E-3</v>
      </c>
      <c r="F513" s="2">
        <v>-1.643835616438361E-6</v>
      </c>
      <c r="G513" t="s">
        <v>1956</v>
      </c>
    </row>
    <row r="514" spans="1:7">
      <c r="A514" s="293">
        <v>43038</v>
      </c>
      <c r="B514" s="293" t="s">
        <v>2047</v>
      </c>
      <c r="C514" s="293">
        <v>0.25</v>
      </c>
      <c r="D514" s="293">
        <v>0.25</v>
      </c>
      <c r="E514" s="104">
        <v>0.59452054794521003</v>
      </c>
      <c r="F514" s="2">
        <v>0</v>
      </c>
      <c r="G514" t="s">
        <v>1956</v>
      </c>
    </row>
    <row r="515" spans="1:7">
      <c r="A515" s="293">
        <v>43038</v>
      </c>
      <c r="B515" s="293" t="s">
        <v>2048</v>
      </c>
      <c r="C515" s="293">
        <v>0.23</v>
      </c>
      <c r="D515" s="293">
        <v>0.22</v>
      </c>
      <c r="E515" s="104">
        <v>9.5890410958903993E-2</v>
      </c>
      <c r="F515" s="2">
        <v>-9.5890410958903821E-6</v>
      </c>
      <c r="G515" t="s">
        <v>1956</v>
      </c>
    </row>
    <row r="516" spans="1:7">
      <c r="A516" s="293">
        <v>43038</v>
      </c>
      <c r="B516" s="293" t="s">
        <v>2049</v>
      </c>
      <c r="C516" s="293">
        <v>0.25</v>
      </c>
      <c r="D516" s="293">
        <v>0.25</v>
      </c>
      <c r="E516" s="104">
        <v>0.68219178082192</v>
      </c>
      <c r="F516" s="2">
        <v>0</v>
      </c>
      <c r="G516" t="s">
        <v>1956</v>
      </c>
    </row>
    <row r="517" spans="1:7">
      <c r="A517" s="293">
        <v>43038</v>
      </c>
      <c r="B517" s="293" t="s">
        <v>2050</v>
      </c>
      <c r="C517" s="293">
        <v>0.26</v>
      </c>
      <c r="D517" s="293">
        <v>0.26</v>
      </c>
      <c r="E517" s="104">
        <v>0.76712328767122995</v>
      </c>
      <c r="F517" s="2">
        <v>0</v>
      </c>
      <c r="G517" t="s">
        <v>1956</v>
      </c>
    </row>
    <row r="518" spans="1:7">
      <c r="A518" s="293">
        <v>43038</v>
      </c>
      <c r="B518" s="293" t="s">
        <v>2051</v>
      </c>
      <c r="C518" s="293">
        <v>0.21</v>
      </c>
      <c r="D518" s="293">
        <v>0.21</v>
      </c>
      <c r="E518" s="104">
        <v>1.9178082191781E-2</v>
      </c>
      <c r="F518" s="2">
        <v>0</v>
      </c>
      <c r="G518" t="s">
        <v>1956</v>
      </c>
    </row>
    <row r="519" spans="1:7">
      <c r="A519" s="296">
        <v>43038</v>
      </c>
      <c r="B519" s="297" t="s">
        <v>2052</v>
      </c>
      <c r="C519" s="298">
        <v>0.22</v>
      </c>
      <c r="D519" s="298">
        <v>0.22</v>
      </c>
      <c r="E519" s="298">
        <v>0.1041095890411</v>
      </c>
      <c r="F519" s="299">
        <v>0</v>
      </c>
      <c r="G519" t="s">
        <v>1956</v>
      </c>
    </row>
    <row r="520" spans="1:7">
      <c r="A520" s="296">
        <v>43038</v>
      </c>
      <c r="B520" s="17" t="s">
        <v>2053</v>
      </c>
      <c r="C520" s="298">
        <v>0.25</v>
      </c>
      <c r="D520" s="298">
        <v>0.26</v>
      </c>
      <c r="E520" s="298">
        <v>0.69041095890410997</v>
      </c>
      <c r="F520" s="299">
        <v>6.9041095890410878E-5</v>
      </c>
      <c r="G520" t="s">
        <v>1956</v>
      </c>
    </row>
    <row r="521" spans="1:7">
      <c r="A521" s="296">
        <v>43038</v>
      </c>
      <c r="B521" s="297" t="s">
        <v>2054</v>
      </c>
      <c r="C521" s="298">
        <v>0.24</v>
      </c>
      <c r="D521" s="298">
        <v>0.24</v>
      </c>
      <c r="E521" s="298">
        <v>0.29315068493150997</v>
      </c>
      <c r="F521" s="299">
        <v>0</v>
      </c>
      <c r="G521" t="s">
        <v>1956</v>
      </c>
    </row>
    <row r="522" spans="1:7">
      <c r="A522" s="296">
        <v>43038</v>
      </c>
      <c r="B522" s="297" t="s">
        <v>1851</v>
      </c>
      <c r="C522" s="298">
        <v>0.24</v>
      </c>
      <c r="D522" s="298">
        <v>0.24</v>
      </c>
      <c r="E522" s="298">
        <v>0.36986301369863001</v>
      </c>
      <c r="F522" s="299">
        <v>0</v>
      </c>
      <c r="G522" t="s">
        <v>1956</v>
      </c>
    </row>
    <row r="523" spans="1:7">
      <c r="A523" s="296">
        <v>43038</v>
      </c>
      <c r="B523" s="297" t="s">
        <v>2055</v>
      </c>
      <c r="C523" s="298">
        <v>0.26</v>
      </c>
      <c r="D523" s="298">
        <v>0.25</v>
      </c>
      <c r="E523" s="298">
        <v>0.62191780821917997</v>
      </c>
      <c r="F523" s="299">
        <v>-6.2191780821917894E-5</v>
      </c>
      <c r="G523" t="s">
        <v>1956</v>
      </c>
    </row>
    <row r="524" spans="1:7">
      <c r="A524" s="293">
        <v>43038</v>
      </c>
      <c r="B524" s="293" t="s">
        <v>2056</v>
      </c>
      <c r="C524" s="293">
        <v>0.24</v>
      </c>
      <c r="D524" s="293">
        <v>0.24</v>
      </c>
      <c r="E524" s="104">
        <v>0.29589041095890001</v>
      </c>
      <c r="F524" s="2">
        <v>0</v>
      </c>
      <c r="G524" t="s">
        <v>1956</v>
      </c>
    </row>
    <row r="525" spans="1:7">
      <c r="A525" s="296">
        <v>43038</v>
      </c>
      <c r="B525" s="297" t="s">
        <v>2057</v>
      </c>
      <c r="C525" s="298">
        <v>0.24</v>
      </c>
      <c r="D525" s="298">
        <v>0.24</v>
      </c>
      <c r="E525" s="298">
        <v>0.37534246575343</v>
      </c>
      <c r="F525" s="299">
        <v>0</v>
      </c>
      <c r="G525" t="s">
        <v>1956</v>
      </c>
    </row>
    <row r="526" spans="1:7">
      <c r="A526" s="296">
        <v>43038</v>
      </c>
      <c r="B526" s="297" t="s">
        <v>2058</v>
      </c>
      <c r="C526" s="298">
        <v>0.26</v>
      </c>
      <c r="D526" s="298">
        <v>0.26</v>
      </c>
      <c r="E526" s="298">
        <v>0.7945205479452</v>
      </c>
      <c r="F526" s="299">
        <v>0</v>
      </c>
      <c r="G526" t="s">
        <v>1956</v>
      </c>
    </row>
    <row r="527" spans="1:7">
      <c r="A527" s="296">
        <v>43038</v>
      </c>
      <c r="B527" s="297" t="s">
        <v>2059</v>
      </c>
      <c r="C527" s="298">
        <v>0.21</v>
      </c>
      <c r="D527" s="298">
        <v>0.21</v>
      </c>
      <c r="E527" s="298">
        <v>4.6575342465752997E-2</v>
      </c>
      <c r="F527" s="299">
        <v>0</v>
      </c>
      <c r="G527" t="s">
        <v>1956</v>
      </c>
    </row>
    <row r="528" spans="1:7">
      <c r="A528" s="296">
        <v>43038</v>
      </c>
      <c r="B528" s="297" t="s">
        <v>1896</v>
      </c>
      <c r="C528" s="298">
        <v>0.24</v>
      </c>
      <c r="D528" s="298">
        <v>0.24</v>
      </c>
      <c r="E528" s="298">
        <v>0.46575342465753</v>
      </c>
      <c r="F528" s="299">
        <v>0</v>
      </c>
      <c r="G528" t="s">
        <v>1956</v>
      </c>
    </row>
    <row r="529" spans="1:7">
      <c r="A529" s="296">
        <v>43038</v>
      </c>
      <c r="B529" s="297" t="s">
        <v>2060</v>
      </c>
      <c r="C529" s="298">
        <v>0.24</v>
      </c>
      <c r="D529" s="298">
        <v>0.24</v>
      </c>
      <c r="E529" s="298">
        <v>0.30684931506849</v>
      </c>
      <c r="F529" s="299">
        <v>0</v>
      </c>
      <c r="G529" t="s">
        <v>1956</v>
      </c>
    </row>
    <row r="530" spans="1:7">
      <c r="A530" s="296">
        <v>43038</v>
      </c>
      <c r="B530" s="297" t="s">
        <v>2061</v>
      </c>
      <c r="C530" s="298">
        <v>0.24</v>
      </c>
      <c r="D530" s="298">
        <v>0.24</v>
      </c>
      <c r="E530" s="298">
        <v>0.38356164383562003</v>
      </c>
      <c r="F530" s="299">
        <v>0</v>
      </c>
      <c r="G530" t="s">
        <v>1956</v>
      </c>
    </row>
    <row r="531" spans="1:7">
      <c r="A531" s="296">
        <v>43038</v>
      </c>
      <c r="B531" s="17" t="s">
        <v>2062</v>
      </c>
      <c r="C531" s="298">
        <v>0.24</v>
      </c>
      <c r="D531" s="298">
        <v>0.24</v>
      </c>
      <c r="E531" s="298">
        <v>0.39452054794521002</v>
      </c>
      <c r="F531" s="299">
        <v>0</v>
      </c>
      <c r="G531" t="s">
        <v>1956</v>
      </c>
    </row>
    <row r="532" spans="1:7">
      <c r="A532" s="296">
        <v>43038</v>
      </c>
      <c r="B532" s="297" t="s">
        <v>2063</v>
      </c>
      <c r="C532" s="298">
        <v>0.24</v>
      </c>
      <c r="D532" s="298">
        <v>0.24</v>
      </c>
      <c r="E532" s="298">
        <v>0.32602739726027002</v>
      </c>
      <c r="F532" s="299">
        <v>0</v>
      </c>
      <c r="G532" t="s">
        <v>1956</v>
      </c>
    </row>
    <row r="533" spans="1:7">
      <c r="A533" s="296">
        <v>43038</v>
      </c>
      <c r="B533" s="297" t="s">
        <v>2064</v>
      </c>
      <c r="C533" s="298">
        <v>0.25</v>
      </c>
      <c r="D533" s="298">
        <v>0.25</v>
      </c>
      <c r="E533" s="298">
        <v>0.58082191780822001</v>
      </c>
      <c r="F533" s="299">
        <v>0</v>
      </c>
      <c r="G533" t="s">
        <v>1956</v>
      </c>
    </row>
    <row r="534" spans="1:7">
      <c r="A534" s="296">
        <v>43038</v>
      </c>
      <c r="B534" s="297" t="s">
        <v>2065</v>
      </c>
      <c r="C534" s="298">
        <v>0.23</v>
      </c>
      <c r="D534" s="298">
        <v>0.23</v>
      </c>
      <c r="E534" s="298">
        <v>0.17534246575342</v>
      </c>
      <c r="F534" s="299">
        <v>0</v>
      </c>
      <c r="G534" t="s">
        <v>1956</v>
      </c>
    </row>
    <row r="535" spans="1:7">
      <c r="A535" s="296">
        <v>43038</v>
      </c>
      <c r="B535" s="297" t="s">
        <v>2066</v>
      </c>
      <c r="C535" s="298">
        <v>0.24</v>
      </c>
      <c r="D535" s="298">
        <v>0.24</v>
      </c>
      <c r="E535" s="298">
        <v>0.33698630136986002</v>
      </c>
      <c r="F535" s="299">
        <v>0</v>
      </c>
      <c r="G535" t="s">
        <v>1956</v>
      </c>
    </row>
    <row r="536" spans="1:7">
      <c r="A536" s="296">
        <v>43038</v>
      </c>
      <c r="B536" s="297" t="s">
        <v>2067</v>
      </c>
      <c r="C536" s="298">
        <v>0.24</v>
      </c>
      <c r="D536" s="298">
        <v>0.24</v>
      </c>
      <c r="E536" s="298">
        <v>0.50958904109588998</v>
      </c>
      <c r="F536" s="299">
        <v>0</v>
      </c>
      <c r="G536" t="s">
        <v>1956</v>
      </c>
    </row>
    <row r="537" spans="1:7">
      <c r="A537" s="296">
        <v>43038</v>
      </c>
      <c r="B537" s="297" t="s">
        <v>2068</v>
      </c>
      <c r="C537" s="298">
        <v>0.25</v>
      </c>
      <c r="D537" s="298">
        <v>0.25</v>
      </c>
      <c r="E537" s="298">
        <v>0.67671232876711995</v>
      </c>
      <c r="F537" s="299">
        <v>0</v>
      </c>
      <c r="G537" t="s">
        <v>1956</v>
      </c>
    </row>
    <row r="538" spans="1:7">
      <c r="A538" s="296">
        <v>43038</v>
      </c>
      <c r="B538" s="297" t="s">
        <v>2069</v>
      </c>
      <c r="C538" s="298">
        <v>0.22</v>
      </c>
      <c r="D538" s="298">
        <v>0.22</v>
      </c>
      <c r="E538" s="298">
        <v>0.1013698630137</v>
      </c>
      <c r="F538" s="299">
        <v>0</v>
      </c>
      <c r="G538" t="s">
        <v>1956</v>
      </c>
    </row>
    <row r="539" spans="1:7">
      <c r="A539" s="293">
        <v>43038</v>
      </c>
      <c r="B539" s="293" t="s">
        <v>2070</v>
      </c>
      <c r="C539" s="293">
        <v>0.24</v>
      </c>
      <c r="D539" s="293">
        <v>0.24</v>
      </c>
      <c r="E539" s="104">
        <v>0.35068493150684998</v>
      </c>
      <c r="F539" s="2">
        <v>0</v>
      </c>
      <c r="G539" t="s">
        <v>1956</v>
      </c>
    </row>
    <row r="540" spans="1:7">
      <c r="A540" s="296">
        <v>43038</v>
      </c>
      <c r="B540" s="297" t="s">
        <v>2071</v>
      </c>
      <c r="C540" s="298">
        <v>0.23</v>
      </c>
      <c r="D540" s="298">
        <v>0.23</v>
      </c>
      <c r="E540" s="298">
        <v>0.19178082191781001</v>
      </c>
      <c r="F540" s="299">
        <v>0</v>
      </c>
      <c r="G540" t="s">
        <v>1956</v>
      </c>
    </row>
    <row r="541" spans="1:7">
      <c r="A541" s="296">
        <v>43038</v>
      </c>
      <c r="B541" s="297" t="s">
        <v>2072</v>
      </c>
      <c r="C541" s="298">
        <v>0.23</v>
      </c>
      <c r="D541" s="298">
        <v>0.23</v>
      </c>
      <c r="E541" s="298">
        <v>0.19726027397259999</v>
      </c>
      <c r="F541" s="299">
        <v>0</v>
      </c>
      <c r="G541" t="s">
        <v>1956</v>
      </c>
    </row>
    <row r="542" spans="1:7">
      <c r="A542" s="296">
        <v>43038</v>
      </c>
      <c r="B542" s="297" t="s">
        <v>2073</v>
      </c>
      <c r="C542" s="298">
        <v>0.21</v>
      </c>
      <c r="D542" s="298">
        <v>0.21</v>
      </c>
      <c r="E542" s="298">
        <v>3.0136986301369999E-2</v>
      </c>
      <c r="F542" s="299">
        <v>0</v>
      </c>
      <c r="G542" t="s">
        <v>1956</v>
      </c>
    </row>
    <row r="543" spans="1:7">
      <c r="A543" s="296">
        <v>43038</v>
      </c>
      <c r="B543" s="297" t="s">
        <v>2074</v>
      </c>
      <c r="C543" s="298">
        <v>0.23</v>
      </c>
      <c r="D543" s="298">
        <v>0.23</v>
      </c>
      <c r="E543" s="298">
        <v>0.2</v>
      </c>
      <c r="F543" s="299">
        <v>0</v>
      </c>
      <c r="G543" t="s">
        <v>1956</v>
      </c>
    </row>
    <row r="544" spans="1:7">
      <c r="A544" s="296">
        <v>43038</v>
      </c>
      <c r="B544" s="297" t="s">
        <v>2075</v>
      </c>
      <c r="C544" s="298">
        <v>0.24</v>
      </c>
      <c r="D544" s="298">
        <v>0.24</v>
      </c>
      <c r="E544" s="298">
        <v>0.44931506849315</v>
      </c>
      <c r="F544" s="299">
        <v>0</v>
      </c>
      <c r="G544" t="s">
        <v>1956</v>
      </c>
    </row>
    <row r="545" spans="1:7">
      <c r="A545" s="296">
        <v>43038</v>
      </c>
      <c r="B545" s="297" t="s">
        <v>2076</v>
      </c>
      <c r="C545" s="298">
        <v>0.23</v>
      </c>
      <c r="D545" s="298">
        <v>0.23</v>
      </c>
      <c r="E545" s="298">
        <v>0.21369863013699</v>
      </c>
      <c r="F545" s="299">
        <v>0</v>
      </c>
      <c r="G545" t="s">
        <v>1956</v>
      </c>
    </row>
    <row r="546" spans="1:7">
      <c r="A546" s="296">
        <v>43038</v>
      </c>
      <c r="B546" s="297" t="s">
        <v>2077</v>
      </c>
      <c r="C546" s="298">
        <v>0.23</v>
      </c>
      <c r="D546" s="298">
        <v>0.23</v>
      </c>
      <c r="E546" s="298">
        <v>0.22191780821918</v>
      </c>
      <c r="F546" s="299">
        <v>0</v>
      </c>
      <c r="G546" t="s">
        <v>1956</v>
      </c>
    </row>
    <row r="547" spans="1:7">
      <c r="A547" s="296">
        <v>43038</v>
      </c>
      <c r="B547" s="297" t="s">
        <v>2078</v>
      </c>
      <c r="C547" s="298">
        <v>0.24</v>
      </c>
      <c r="D547" s="298">
        <v>0.24</v>
      </c>
      <c r="E547" s="298">
        <v>0.38630136986301</v>
      </c>
      <c r="F547" s="299">
        <v>0</v>
      </c>
      <c r="G547" t="s">
        <v>1956</v>
      </c>
    </row>
    <row r="548" spans="1:7">
      <c r="A548" s="296">
        <v>43038</v>
      </c>
      <c r="B548" s="297" t="s">
        <v>2079</v>
      </c>
      <c r="C548" s="298">
        <v>0.22</v>
      </c>
      <c r="D548" s="298">
        <v>0.22</v>
      </c>
      <c r="E548" s="298">
        <v>5.7534246575343E-2</v>
      </c>
      <c r="F548" s="299">
        <v>0</v>
      </c>
      <c r="G548" t="s">
        <v>1956</v>
      </c>
    </row>
    <row r="549" spans="1:7">
      <c r="A549" s="296">
        <v>43038</v>
      </c>
      <c r="B549" s="297" t="s">
        <v>2080</v>
      </c>
      <c r="C549" s="298">
        <v>0.21</v>
      </c>
      <c r="D549" s="298">
        <v>0.22</v>
      </c>
      <c r="E549" s="298">
        <v>6.8493150684932003E-2</v>
      </c>
      <c r="F549" s="299">
        <v>6.8493150684932186E-6</v>
      </c>
      <c r="G549" t="s">
        <v>1956</v>
      </c>
    </row>
    <row r="550" spans="1:7">
      <c r="A550" s="296">
        <v>43038</v>
      </c>
      <c r="B550" s="297" t="s">
        <v>2081</v>
      </c>
      <c r="C550" s="298">
        <v>0.24</v>
      </c>
      <c r="D550" s="298">
        <v>0.23</v>
      </c>
      <c r="E550" s="298">
        <v>0.24931506849314999</v>
      </c>
      <c r="F550" s="299">
        <v>-2.4931506849314955E-5</v>
      </c>
      <c r="G550" t="s">
        <v>1956</v>
      </c>
    </row>
    <row r="551" spans="1:7">
      <c r="A551" s="296">
        <v>43038</v>
      </c>
      <c r="B551" s="297" t="s">
        <v>2082</v>
      </c>
      <c r="C551" s="298">
        <v>0.23</v>
      </c>
      <c r="D551" s="298">
        <v>0.23</v>
      </c>
      <c r="E551" s="298">
        <v>0.17808219178081999</v>
      </c>
      <c r="F551" s="299">
        <v>0</v>
      </c>
      <c r="G551" t="s">
        <v>1956</v>
      </c>
    </row>
    <row r="552" spans="1:7">
      <c r="A552" s="293">
        <v>43038</v>
      </c>
      <c r="B552" s="293" t="s">
        <v>2083</v>
      </c>
      <c r="C552" s="293">
        <v>0.23</v>
      </c>
      <c r="D552" s="293">
        <v>0.23</v>
      </c>
      <c r="E552" s="104">
        <v>0.19178082191781001</v>
      </c>
      <c r="F552" s="2">
        <v>0</v>
      </c>
      <c r="G552" t="s">
        <v>1956</v>
      </c>
    </row>
    <row r="553" spans="1:7">
      <c r="A553" s="296">
        <v>43038</v>
      </c>
      <c r="B553" s="17" t="s">
        <v>2084</v>
      </c>
      <c r="C553" s="298">
        <v>0.24</v>
      </c>
      <c r="D553" s="298">
        <v>0.24</v>
      </c>
      <c r="E553" s="298">
        <v>0.38630136986301</v>
      </c>
      <c r="F553" s="299">
        <v>0</v>
      </c>
      <c r="G553" t="s">
        <v>1956</v>
      </c>
    </row>
    <row r="554" spans="1:7">
      <c r="A554" s="296">
        <v>43038</v>
      </c>
      <c r="B554" s="297" t="s">
        <v>2085</v>
      </c>
      <c r="C554" s="298">
        <v>0.2</v>
      </c>
      <c r="D554" s="298">
        <v>0.2</v>
      </c>
      <c r="E554" s="298">
        <v>2.7397260273973002E-3</v>
      </c>
      <c r="F554" s="299">
        <v>0</v>
      </c>
      <c r="G554" t="s">
        <v>1956</v>
      </c>
    </row>
    <row r="555" spans="1:7">
      <c r="A555" s="296">
        <v>43038</v>
      </c>
      <c r="B555" s="297" t="s">
        <v>2086</v>
      </c>
      <c r="C555" s="298">
        <v>0.24</v>
      </c>
      <c r="D555" s="298">
        <v>0.24</v>
      </c>
      <c r="E555" s="298">
        <v>0.42191780821918001</v>
      </c>
      <c r="F555" s="299">
        <v>0</v>
      </c>
      <c r="G555" t="s">
        <v>1956</v>
      </c>
    </row>
    <row r="556" spans="1:7">
      <c r="A556" s="296">
        <v>43038</v>
      </c>
      <c r="B556" s="297" t="s">
        <v>2087</v>
      </c>
      <c r="C556" s="298">
        <v>0.23</v>
      </c>
      <c r="D556" s="298">
        <v>0.23</v>
      </c>
      <c r="E556" s="298">
        <v>0.19726027397259999</v>
      </c>
      <c r="F556" s="299">
        <v>0</v>
      </c>
      <c r="G556" t="s">
        <v>1956</v>
      </c>
    </row>
    <row r="557" spans="1:7">
      <c r="A557" s="296"/>
      <c r="B557" s="297"/>
      <c r="C557" s="298"/>
      <c r="D557" s="298"/>
      <c r="E557" s="298"/>
      <c r="F557" s="299"/>
    </row>
    <row r="558" spans="1:7">
      <c r="A558" s="296"/>
      <c r="B558" s="297"/>
      <c r="C558" s="298"/>
      <c r="D558" s="298"/>
      <c r="E558" s="298"/>
      <c r="F558" s="299"/>
    </row>
    <row r="559" spans="1:7">
      <c r="A559" s="296"/>
      <c r="B559" s="297"/>
      <c r="C559" s="298"/>
      <c r="D559" s="298"/>
      <c r="E559" s="298"/>
      <c r="F559" s="299"/>
    </row>
    <row r="560" spans="1:7">
      <c r="A560" s="293"/>
      <c r="B560" s="293"/>
      <c r="C560" s="293"/>
      <c r="D560" s="293"/>
    </row>
    <row r="561" spans="1:6">
      <c r="A561" s="296"/>
      <c r="B561" s="297"/>
      <c r="C561" s="298"/>
      <c r="D561" s="298"/>
      <c r="E561" s="298"/>
      <c r="F561" s="299"/>
    </row>
    <row r="562" spans="1:6">
      <c r="A562" s="296"/>
      <c r="B562" s="297"/>
      <c r="C562" s="298"/>
      <c r="D562" s="298"/>
      <c r="E562" s="298"/>
      <c r="F562" s="299"/>
    </row>
    <row r="563" spans="1:6">
      <c r="A563" s="296"/>
      <c r="B563" s="297"/>
      <c r="C563" s="298"/>
      <c r="D563" s="298"/>
      <c r="E563" s="298"/>
      <c r="F563" s="299"/>
    </row>
    <row r="564" spans="1:6">
      <c r="A564" s="296"/>
      <c r="B564" s="17"/>
      <c r="C564" s="298"/>
      <c r="D564" s="298"/>
      <c r="E564" s="298"/>
      <c r="F564" s="299"/>
    </row>
    <row r="565" spans="1:6">
      <c r="A565" s="296"/>
      <c r="B565" s="297"/>
      <c r="C565" s="298"/>
      <c r="D565" s="298"/>
      <c r="E565" s="298"/>
      <c r="F565" s="299"/>
    </row>
    <row r="566" spans="1:6">
      <c r="A566" s="296"/>
      <c r="B566" s="297"/>
      <c r="C566" s="298"/>
      <c r="D566" s="298"/>
      <c r="E566" s="298"/>
      <c r="F566" s="299"/>
    </row>
    <row r="567" spans="1:6">
      <c r="A567" s="293"/>
      <c r="B567" s="293"/>
      <c r="C567" s="293"/>
      <c r="D567" s="293"/>
    </row>
    <row r="568" spans="1:6">
      <c r="A568" s="293"/>
      <c r="B568" s="293"/>
      <c r="C568" s="293"/>
      <c r="D568" s="293"/>
    </row>
    <row r="569" spans="1:6">
      <c r="A569" s="296"/>
      <c r="B569" s="297"/>
      <c r="C569" s="298"/>
      <c r="D569" s="298"/>
      <c r="E569" s="298"/>
      <c r="F569" s="299"/>
    </row>
    <row r="570" spans="1:6">
      <c r="A570" s="296"/>
      <c r="B570" s="297"/>
      <c r="C570" s="298"/>
      <c r="D570" s="298"/>
      <c r="E570" s="298"/>
      <c r="F570" s="299"/>
    </row>
    <row r="571" spans="1:6">
      <c r="A571" s="296"/>
      <c r="B571" s="297"/>
      <c r="C571" s="298"/>
      <c r="D571" s="298"/>
      <c r="E571" s="298"/>
      <c r="F571" s="299"/>
    </row>
    <row r="572" spans="1:6">
      <c r="A572" s="296"/>
      <c r="B572" s="297"/>
      <c r="C572" s="298"/>
      <c r="D572" s="298"/>
      <c r="E572" s="298"/>
      <c r="F572" s="299"/>
    </row>
    <row r="573" spans="1:6">
      <c r="A573" s="296"/>
      <c r="B573" s="297"/>
      <c r="C573" s="298"/>
      <c r="D573" s="298"/>
      <c r="E573" s="298"/>
      <c r="F573" s="299"/>
    </row>
    <row r="574" spans="1:6">
      <c r="A574" s="296"/>
      <c r="B574" s="297"/>
      <c r="C574" s="298"/>
      <c r="D574" s="298"/>
      <c r="E574" s="298"/>
      <c r="F574" s="299"/>
    </row>
    <row r="575" spans="1:6">
      <c r="A575" s="296"/>
      <c r="B575" s="297"/>
      <c r="C575" s="298"/>
      <c r="D575" s="298"/>
      <c r="E575" s="298"/>
      <c r="F575" s="299"/>
    </row>
    <row r="576" spans="1:6">
      <c r="A576" s="296"/>
      <c r="B576" s="297"/>
      <c r="C576" s="298"/>
      <c r="D576" s="298"/>
      <c r="E576" s="298"/>
      <c r="F576" s="299"/>
    </row>
    <row r="577" spans="1:6">
      <c r="A577" s="293"/>
      <c r="B577" s="293"/>
      <c r="C577" s="293"/>
      <c r="D577" s="293"/>
    </row>
    <row r="578" spans="1:6">
      <c r="A578" s="296"/>
      <c r="B578" s="297"/>
      <c r="C578" s="298"/>
      <c r="D578" s="298"/>
      <c r="E578" s="298"/>
      <c r="F578" s="299"/>
    </row>
    <row r="579" spans="1:6">
      <c r="A579" s="293"/>
      <c r="B579" s="293"/>
      <c r="C579" s="293"/>
      <c r="D579" s="293"/>
    </row>
    <row r="580" spans="1:6">
      <c r="A580" s="293"/>
      <c r="B580" s="293"/>
      <c r="C580" s="293"/>
      <c r="D580" s="293"/>
    </row>
    <row r="581" spans="1:6">
      <c r="A581" s="296"/>
      <c r="B581" s="297"/>
      <c r="C581" s="298"/>
      <c r="D581" s="298"/>
      <c r="E581" s="298"/>
      <c r="F581" s="299"/>
    </row>
    <row r="582" spans="1:6">
      <c r="A582" s="296"/>
      <c r="B582" s="298"/>
      <c r="C582" s="298"/>
      <c r="D582" s="298"/>
      <c r="E582" s="298"/>
      <c r="F582" s="299"/>
    </row>
    <row r="583" spans="1:6">
      <c r="A583" s="296"/>
      <c r="B583" s="297"/>
      <c r="C583" s="298"/>
      <c r="D583" s="298"/>
      <c r="E583" s="298"/>
      <c r="F583" s="299"/>
    </row>
    <row r="584" spans="1:6">
      <c r="A584" s="293"/>
      <c r="B584" s="293"/>
      <c r="C584" s="293"/>
      <c r="D584" s="293"/>
    </row>
    <row r="585" spans="1:6">
      <c r="A585" s="296"/>
      <c r="B585" s="297"/>
      <c r="C585" s="298"/>
      <c r="D585" s="298"/>
      <c r="E585" s="298"/>
      <c r="F585" s="299"/>
    </row>
    <row r="586" spans="1:6">
      <c r="A586" s="296"/>
      <c r="B586" s="17"/>
      <c r="C586" s="298"/>
      <c r="D586" s="298"/>
      <c r="E586" s="298"/>
      <c r="F586" s="299"/>
    </row>
    <row r="587" spans="1:6">
      <c r="A587" s="296"/>
      <c r="B587" s="297"/>
      <c r="C587" s="298"/>
      <c r="D587" s="298"/>
      <c r="E587" s="298"/>
      <c r="F587" s="299"/>
    </row>
    <row r="588" spans="1:6">
      <c r="A588" s="296"/>
      <c r="B588" s="17"/>
      <c r="C588" s="298"/>
      <c r="D588" s="298"/>
      <c r="E588" s="298"/>
      <c r="F588" s="299"/>
    </row>
    <row r="589" spans="1:6">
      <c r="A589" s="293"/>
      <c r="B589" s="293"/>
      <c r="C589" s="293"/>
      <c r="D589" s="293"/>
    </row>
    <row r="590" spans="1:6">
      <c r="A590" s="296"/>
      <c r="B590" s="297"/>
      <c r="C590" s="298"/>
      <c r="D590" s="298"/>
      <c r="E590" s="298"/>
      <c r="F590" s="299"/>
    </row>
    <row r="591" spans="1:6">
      <c r="A591" s="293"/>
      <c r="B591" s="293"/>
      <c r="C591" s="293"/>
      <c r="D591" s="293"/>
    </row>
    <row r="592" spans="1:6">
      <c r="A592" s="296"/>
      <c r="B592" s="17"/>
      <c r="C592" s="298"/>
      <c r="D592" s="298"/>
      <c r="E592" s="298"/>
      <c r="F592" s="299"/>
    </row>
    <row r="593" spans="1:6">
      <c r="A593" s="296"/>
      <c r="B593" s="17"/>
      <c r="C593" s="298"/>
      <c r="D593" s="298"/>
      <c r="E593" s="298"/>
      <c r="F593" s="299"/>
    </row>
    <row r="594" spans="1:6">
      <c r="A594" s="296"/>
      <c r="B594" s="297"/>
      <c r="C594" s="298"/>
      <c r="D594" s="298"/>
      <c r="E594" s="298"/>
      <c r="F594" s="299"/>
    </row>
    <row r="595" spans="1:6">
      <c r="A595" s="296"/>
      <c r="B595" s="297"/>
      <c r="C595" s="298"/>
      <c r="D595" s="298"/>
      <c r="E595" s="298"/>
      <c r="F595" s="299"/>
    </row>
    <row r="596" spans="1:6">
      <c r="A596" s="296"/>
      <c r="B596" s="297"/>
      <c r="C596" s="298"/>
      <c r="D596" s="298"/>
      <c r="E596" s="298"/>
      <c r="F596" s="299"/>
    </row>
    <row r="597" spans="1:6">
      <c r="A597" s="296"/>
      <c r="B597" s="17"/>
      <c r="C597" s="298"/>
      <c r="D597" s="298"/>
      <c r="E597" s="298"/>
      <c r="F597" s="299"/>
    </row>
    <row r="598" spans="1:6">
      <c r="A598" s="296"/>
      <c r="B598" s="17"/>
      <c r="C598" s="298"/>
      <c r="D598" s="298"/>
      <c r="E598" s="298"/>
      <c r="F598" s="299"/>
    </row>
    <row r="599" spans="1:6">
      <c r="A599" s="296"/>
      <c r="B599" s="297"/>
      <c r="C599" s="298"/>
      <c r="D599" s="298"/>
      <c r="E599" s="298"/>
      <c r="F599" s="299"/>
    </row>
    <row r="600" spans="1:6">
      <c r="A600" s="296"/>
      <c r="B600" s="17"/>
      <c r="C600" s="298"/>
      <c r="D600" s="298"/>
      <c r="E600" s="298"/>
      <c r="F600" s="299"/>
    </row>
  </sheetData>
  <sortState ref="A2:I333">
    <sortCondition descending="1" ref="I1"/>
  </sortState>
  <conditionalFormatting sqref="F316:F535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78:F315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2:F27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31"/>
  <sheetViews>
    <sheetView zoomScale="85" zoomScaleNormal="85" workbookViewId="0">
      <selection activeCell="D7" sqref="D7"/>
    </sheetView>
  </sheetViews>
  <sheetFormatPr baseColWidth="10" defaultRowHeight="14.25"/>
  <cols>
    <col min="1" max="1" width="11.75" bestFit="1" customWidth="1"/>
    <col min="2" max="2" width="13.25" bestFit="1" customWidth="1"/>
    <col min="4" max="4" width="11" style="218"/>
    <col min="7" max="7" width="11.75" bestFit="1" customWidth="1"/>
    <col min="8" max="8" width="13.25" bestFit="1" customWidth="1"/>
    <col min="10" max="10" width="11" style="218"/>
  </cols>
  <sheetData>
    <row r="1" spans="1:11" ht="15">
      <c r="A1" s="223" t="s">
        <v>1294</v>
      </c>
      <c r="B1" s="224" t="s">
        <v>1295</v>
      </c>
      <c r="C1" s="225" t="s">
        <v>1296</v>
      </c>
      <c r="D1" s="225" t="s">
        <v>91</v>
      </c>
      <c r="E1" s="225" t="s">
        <v>1298</v>
      </c>
      <c r="G1" s="223" t="s">
        <v>1294</v>
      </c>
      <c r="H1" s="224" t="s">
        <v>1295</v>
      </c>
      <c r="I1" s="225" t="s">
        <v>1296</v>
      </c>
      <c r="J1" s="225" t="s">
        <v>91</v>
      </c>
      <c r="K1" s="225" t="s">
        <v>1298</v>
      </c>
    </row>
    <row r="2" spans="1:11">
      <c r="A2" s="218" t="s">
        <v>190</v>
      </c>
      <c r="B2" s="104" t="str">
        <f>+_xll.BDP($A2&amp;" Govt","ID_ISIN")</f>
        <v>CL0000002312</v>
      </c>
      <c r="C2" s="186">
        <f>+_xll.BDP($B2 &amp; "@RIAY Govt","MTY_YEARS")</f>
        <v>8.2135523613963042E-3</v>
      </c>
      <c r="D2" s="226">
        <f>+_xll.BDP($B2 &amp; "@BVAL Govt","DUR_ADJ_MID")</f>
        <v>4.4766144540146428E-2</v>
      </c>
      <c r="E2" s="226">
        <f>+_xll.BDP($B2 &amp; "@RIAY Govt","YLD_YTM_MID")</f>
        <v>-1.4491247300000001</v>
      </c>
      <c r="G2" s="218" t="s">
        <v>219</v>
      </c>
      <c r="H2" s="104" t="str">
        <f>+_xll.BDP($G2&amp;" Govt","ID_ISIN")</f>
        <v>CL0001886390</v>
      </c>
      <c r="I2" s="186" t="str">
        <f>+_xll.BDP($G2 &amp; "@RIAY Govt","MTY_YEARS")</f>
        <v>#N/A Field Not Applicable</v>
      </c>
      <c r="J2" s="226">
        <f>+_xll.BDP($H2 &amp; "@BVAL Govt","DUR_ADJ_MID")</f>
        <v>0</v>
      </c>
      <c r="K2" s="226">
        <f>+_xll.BDP($H2 &amp; "@RIAY Govt","YLD_YTM_MID")</f>
        <v>2.4105878999999999</v>
      </c>
    </row>
    <row r="3" spans="1:11">
      <c r="A3" s="218" t="s">
        <v>46</v>
      </c>
      <c r="B3" s="104" t="str">
        <f>+_xll.BDP($A3&amp;" Govt","ID_ISIN")</f>
        <v>CL0000007691</v>
      </c>
      <c r="C3" s="186">
        <f>+_xll.BDP($B3 &amp; "@RIAY Govt","MTY_YEARS")</f>
        <v>0.16427104722792607</v>
      </c>
      <c r="D3" s="226">
        <f>+_xll.BDP($B3 &amp; "@BVAL Govt","DUR_ADJ_MID")</f>
        <v>0.1732479606607506</v>
      </c>
      <c r="E3" s="226">
        <f>+_xll.BDP($B3 &amp; "@RIAY Govt","YLD_YTM_MID")</f>
        <v>8.3736099999999994E-2</v>
      </c>
      <c r="G3" s="218" t="s">
        <v>220</v>
      </c>
      <c r="H3" s="104" t="str">
        <f>+_xll.BDP($G3&amp;" Govt","ID_ISIN")</f>
        <v>CL0001733600</v>
      </c>
      <c r="I3" s="186">
        <f>+_xll.BDP($G3 &amp; "@RIAY Govt","MTY_YEARS")</f>
        <v>0.11225188227241616</v>
      </c>
      <c r="J3" s="226">
        <f>+_xll.BDP($H3 &amp; "@BVAL Govt","DUR_ADJ_MID")</f>
        <v>0.97943192947957436</v>
      </c>
      <c r="K3" s="226">
        <f>+_xll.BDP($H3 &amp; "@RIAY Govt","YLD_YTM_MID")</f>
        <v>2.8052855999999999</v>
      </c>
    </row>
    <row r="4" spans="1:11">
      <c r="A4" s="218" t="s">
        <v>192</v>
      </c>
      <c r="B4" s="104" t="str">
        <f>+_xll.BDP($A4&amp;" Govt","ID_ISIN")</f>
        <v>CL0000002874</v>
      </c>
      <c r="C4" s="186">
        <f>+_xll.BDP($B4 &amp; "@RIAY Govt","MTY_YEARS")</f>
        <v>0.66803559206023266</v>
      </c>
      <c r="D4" s="226">
        <f>+_xll.BDP($B4 &amp; "@BVAL Govt","DUR_ADJ_MID")</f>
        <v>0.66727676614871678</v>
      </c>
      <c r="E4" s="226">
        <f>+_xll.BDP($B4 &amp; "@RIAY Govt","YLD_YTM_MID")</f>
        <v>0.35554996999999999</v>
      </c>
      <c r="G4" s="218" t="s">
        <v>43</v>
      </c>
      <c r="H4" s="104" t="str">
        <f>+_xll.BDP($G4&amp;" Govt","ID_ISIN")</f>
        <v>CL0000003013</v>
      </c>
      <c r="I4" s="186">
        <f>+_xll.BDP($G4 &amp; "@RIAY Govt","MTY_YEARS")</f>
        <v>0.27378507871321012</v>
      </c>
      <c r="J4" s="226">
        <f>+_xll.BDP($H4 &amp; "@BVAL Govt","DUR_ADJ_MID")</f>
        <v>0.97456388266233085</v>
      </c>
      <c r="K4" s="226">
        <f>+_xll.BDP($H4 &amp; "@RIAY Govt","YLD_YTM_MID")</f>
        <v>2.7916844200000002</v>
      </c>
    </row>
    <row r="5" spans="1:11">
      <c r="A5" s="218" t="s">
        <v>193</v>
      </c>
      <c r="B5" s="104" t="str">
        <f>+_xll.BDP($A5&amp;" Govt","ID_ISIN")</f>
        <v>CL0001961953</v>
      </c>
      <c r="C5" s="186">
        <f>+_xll.BDP($B5 &amp; "@RIAY Govt","MTY_YEARS")</f>
        <v>0.82956878850102667</v>
      </c>
      <c r="D5" s="226">
        <f>+_xll.BDP($B5 &amp; "@BVAL Govt","DUR_ADJ_MID")</f>
        <v>0.82375896129626514</v>
      </c>
      <c r="E5" s="226">
        <f>+_xll.BDP($B5 &amp; "@RIAY Govt","YLD_YTM_MID")</f>
        <v>0.35767736</v>
      </c>
      <c r="G5" s="218" t="s">
        <v>222</v>
      </c>
      <c r="H5" s="104" t="str">
        <f>+_xll.BDP($G5&amp;" Govt","ID_ISIN")</f>
        <v>CL0000005059</v>
      </c>
      <c r="I5" s="186">
        <f>+_xll.BDP($G5 &amp; "@RIAY Govt","MTY_YEARS")</f>
        <v>0.44079397672826831</v>
      </c>
      <c r="J5" s="226">
        <f>+_xll.BDP($H5 &amp; "@BVAL Govt","DUR_ADJ_MID")</f>
        <v>0.96908615175857804</v>
      </c>
      <c r="K5" s="226">
        <f>+_xll.BDP($H5 &amp; "@RIAY Govt","YLD_YTM_MID")</f>
        <v>2.7535726499999997</v>
      </c>
    </row>
    <row r="6" spans="1:11">
      <c r="A6" s="218" t="s">
        <v>36</v>
      </c>
      <c r="B6" s="104" t="str">
        <f>+_xll.BDP($A6&amp;" Govt","ID_ISIN")</f>
        <v>CL0000006073</v>
      </c>
      <c r="C6" s="186">
        <f>+_xll.BDP($B6 &amp; "@RIAY Govt","MTY_YEARS")</f>
        <v>1.1635865845311431</v>
      </c>
      <c r="D6" s="226">
        <f>+_xll.BDP($B6 &amp; "@BVAL Govt","DUR_ADJ_MID")</f>
        <v>1.1480504265217468</v>
      </c>
      <c r="E6" s="226">
        <f>+_xll.BDP($B6 &amp; "@RIAY Govt","YLD_YTM_MID")</f>
        <v>0.31743072</v>
      </c>
      <c r="G6" s="218" t="s">
        <v>157</v>
      </c>
      <c r="H6" s="104" t="str">
        <f>+_xll.BDP($G6&amp;" Govt","ID_ISIN")</f>
        <v>CL0001989657</v>
      </c>
      <c r="I6" s="186">
        <f>+_xll.BDP($G6 &amp; "@RIAY Govt","MTY_YEARS")</f>
        <v>0.52566735112936347</v>
      </c>
      <c r="J6" s="226">
        <f>+_xll.BDP($H6 &amp; "@BVAL Govt","DUR_ADJ_MID")</f>
        <v>0.96721152916121544</v>
      </c>
      <c r="K6" s="226">
        <f>+_xll.BDP($H6 &amp; "@RIAY Govt","YLD_YTM_MID")</f>
        <v>2.7794242900000001</v>
      </c>
    </row>
    <row r="7" spans="1:11">
      <c r="A7" s="218" t="s">
        <v>194</v>
      </c>
      <c r="B7" s="104" t="str">
        <f>+_xll.BDP($A7&amp;" Govt","ID_ISIN")</f>
        <v>CL0002008341</v>
      </c>
      <c r="C7" s="186">
        <f>+_xll.BDP($B7 &amp; "@RIAY Govt","MTY_YEARS")</f>
        <v>1.2484599589322383</v>
      </c>
      <c r="D7" s="226">
        <f>+_xll.BDP($B7 &amp; "@BVAL Govt","DUR_ADJ_MID")</f>
        <v>1.2297608925952406</v>
      </c>
      <c r="E7" s="226">
        <f>+_xll.BDP($B7 &amp; "@RIAY Govt","YLD_YTM_MID")</f>
        <v>0.39904690999999998</v>
      </c>
      <c r="G7" s="218" t="s">
        <v>41</v>
      </c>
      <c r="H7" s="104" t="str">
        <f>+_xll.BDP($G7&amp;" Govt","ID_ISIN")</f>
        <v>CL0002080548</v>
      </c>
      <c r="I7" s="186">
        <f>+_xll.BDP($G7 &amp; "@RIAY Govt","MTY_YEARS")</f>
        <v>1.1115674195756331</v>
      </c>
      <c r="J7" s="226">
        <f>+_xll.BDP($H7 &amp; "@BVAL Govt","DUR_ADJ_MID")</f>
        <v>1.9053062779843348</v>
      </c>
      <c r="K7" s="226">
        <f>+_xll.BDP($H7 &amp; "@RIAY Govt","YLD_YTM_MID")</f>
        <v>2.9786445399999999</v>
      </c>
    </row>
    <row r="8" spans="1:11">
      <c r="A8" s="218" t="s">
        <v>195</v>
      </c>
      <c r="B8" s="104" t="str">
        <f>+_xll.BDP($A8&amp;" Govt","ID_ISIN")</f>
        <v>CL0000006222</v>
      </c>
      <c r="C8" s="186">
        <f>+_xll.BDP($B8 &amp; "@RIAY Govt","MTY_YEARS")</f>
        <v>1.4154688569472964</v>
      </c>
      <c r="D8" s="226">
        <f>+_xll.BDP($B8 &amp; "@BVAL Govt","DUR_ADJ_MID")</f>
        <v>1.3905714242170861</v>
      </c>
      <c r="E8" s="226">
        <f>+_xll.BDP($B8 &amp; "@RIAY Govt","YLD_YTM_MID")</f>
        <v>0.48159298</v>
      </c>
      <c r="G8" s="218" t="s">
        <v>223</v>
      </c>
      <c r="H8" s="104" t="str">
        <f>+_xll.BDP($G8&amp;" Govt","ID_ISIN")</f>
        <v>CL0000006974</v>
      </c>
      <c r="I8" s="186">
        <f>+_xll.BDP($G8 &amp; "@RIAY Govt","MTY_YEARS")</f>
        <v>2.1108829568788501</v>
      </c>
      <c r="J8" s="226">
        <f>+_xll.BDP($H8 &amp; "@BVAL Govt","DUR_ADJ_MID")</f>
        <v>2.7998133457764602</v>
      </c>
      <c r="K8" s="226">
        <f>+_xll.BDP($H8 &amp; "@RIAY Govt","YLD_YTM_MID")</f>
        <v>3.1381104799999999</v>
      </c>
    </row>
    <row r="9" spans="1:11">
      <c r="A9" s="218" t="s">
        <v>78</v>
      </c>
      <c r="B9" s="104" t="str">
        <f>+_xll.BDP($A9&amp;" Govt","ID_ISIN")</f>
        <v>CL0001857474</v>
      </c>
      <c r="C9" s="186">
        <f>+_xll.BDP($B9 &amp; "@RIAY Govt","MTY_YEARS")</f>
        <v>1.6673511293634498</v>
      </c>
      <c r="D9" s="226">
        <f>+_xll.BDP($B9 &amp; "@BVAL Govt","DUR_ADJ_MID")</f>
        <v>1.6289809671277113</v>
      </c>
      <c r="E9" s="226">
        <f>+_xll.BDP($B9 &amp; "@RIAY Govt","YLD_YTM_MID")</f>
        <v>0.54866804000000002</v>
      </c>
      <c r="G9" s="218" t="s">
        <v>224</v>
      </c>
      <c r="H9" s="104" t="str">
        <f>+_xll.BDP($G9&amp;" Govt","ID_ISIN")</f>
        <v>CL0002168426</v>
      </c>
      <c r="I9" s="186">
        <f>+_xll.BDP($G9 &amp; "@RIAY Govt","MTY_YEARS")</f>
        <v>2.3600273785078714</v>
      </c>
      <c r="J9" s="226">
        <f>+_xll.BDP($H9 &amp; "@BVAL Govt","DUR_ADJ_MID")</f>
        <v>2.8915662650610137</v>
      </c>
      <c r="K9" s="226">
        <f>+_xll.BDP($H9 &amp; "@RIAY Govt","YLD_YTM_MID")</f>
        <v>3.2004901000000001</v>
      </c>
    </row>
    <row r="10" spans="1:11">
      <c r="A10" s="218" t="s">
        <v>196</v>
      </c>
      <c r="B10" s="104" t="str">
        <f>+_xll.BDP($A10&amp;" Govt","ID_ISIN")</f>
        <v>CL0000006560</v>
      </c>
      <c r="C10" s="186">
        <f>+_xll.BDP($B10 &amp; "@RIAY Govt","MTY_YEARS")</f>
        <v>1.9958932238193019</v>
      </c>
      <c r="D10" s="226">
        <f>+_xll.BDP($B10 &amp; "@BVAL Govt","DUR_ADJ_MID")</f>
        <v>1.946734394197458</v>
      </c>
      <c r="E10" s="226">
        <f>+_xll.BDP($B10 &amp; "@RIAY Govt","YLD_YTM_MID")</f>
        <v>0.37922568000000001</v>
      </c>
      <c r="G10" s="218" t="s">
        <v>33</v>
      </c>
      <c r="H10" s="104" t="str">
        <f>+_xll.BDP($G10&amp;" Govt","ID_ISIN")</f>
        <v>CL0002184928</v>
      </c>
      <c r="I10" s="186">
        <f>+_xll.BDP($G10 &amp; "@RIAY Govt","MTY_YEARS")</f>
        <v>2.5270362765229293</v>
      </c>
      <c r="J10" s="226">
        <f>+_xll.BDP($H10 &amp; "@BVAL Govt","DUR_ADJ_MID")</f>
        <v>2.8885037550551358</v>
      </c>
      <c r="K10" s="226">
        <f>+_xll.BDP($H10 &amp; "@RIAY Govt","YLD_YTM_MID")</f>
        <v>3.22155536</v>
      </c>
    </row>
    <row r="11" spans="1:11">
      <c r="A11" s="218" t="s">
        <v>197</v>
      </c>
      <c r="B11" s="104" t="str">
        <f>+_xll.BDP($A11&amp;" Govt","ID_ISIN")</f>
        <v>CL0000006636</v>
      </c>
      <c r="C11" s="186">
        <f>+_xll.BDP($B11 &amp; "@RIAY Govt","MTY_YEARS")</f>
        <v>2.1629021218343598</v>
      </c>
      <c r="D11" s="226">
        <f>+_xll.BDP($B11 &amp; "@BVAL Govt","DUR_ADJ_MID")</f>
        <v>2.0955274105648596</v>
      </c>
      <c r="E11" s="226">
        <f>+_xll.BDP($B11 &amp; "@RIAY Govt","YLD_YTM_MID")</f>
        <v>0.34934973000000002</v>
      </c>
      <c r="G11" s="218" t="s">
        <v>158</v>
      </c>
      <c r="H11" s="104" t="str">
        <f>+_xll.BDP($G11&amp;" Govt","ID_ISIN")</f>
        <v>CL0001737767</v>
      </c>
      <c r="I11" s="186">
        <f>+_xll.BDP($G11 &amp; "@RIAY Govt","MTY_YEARS")</f>
        <v>3.1978097193702943</v>
      </c>
      <c r="J11" s="226">
        <f>+_xll.BDP($H11 &amp; "@BVAL Govt","DUR_ADJ_MID")</f>
        <v>3.6616623947270672</v>
      </c>
      <c r="K11" s="226">
        <f>+_xll.BDP($H11 &amp; "@RIAY Govt","YLD_YTM_MID")</f>
        <v>3.4392377000000001</v>
      </c>
    </row>
    <row r="12" spans="1:11">
      <c r="A12" s="218" t="s">
        <v>45</v>
      </c>
      <c r="B12" s="104" t="str">
        <f>+_xll.BDP($A12&amp;" Govt","ID_ISIN")</f>
        <v>CL0000006958</v>
      </c>
      <c r="C12" s="186">
        <f>+_xll.BDP($B12 &amp; "@RIAY Govt","MTY_YEARS")</f>
        <v>2.6666666666666665</v>
      </c>
      <c r="D12" s="226">
        <f>+_xll.BDP($B12 &amp; "@BVAL Govt","DUR_ADJ_MID")</f>
        <v>2.5632232998055953</v>
      </c>
      <c r="E12" s="226">
        <f>+_xll.BDP($B12 &amp; "@RIAY Govt","YLD_YTM_MID")</f>
        <v>0.41115395999999998</v>
      </c>
      <c r="G12" s="218" t="s">
        <v>1293</v>
      </c>
      <c r="H12" s="104" t="str">
        <f>+_xll.BDP($G12&amp;" Govt","ID_ISIN")</f>
        <v>CL0002329671</v>
      </c>
      <c r="I12" s="186">
        <f>+_xll.BDP($G12 &amp; "@RIAY Govt","MTY_YEARS")</f>
        <v>3.2717316906228611</v>
      </c>
      <c r="J12" s="226">
        <f>+_xll.BDP($H12 &amp; "@BVAL Govt","DUR_ADJ_MID")</f>
        <v>3.8483740619582387</v>
      </c>
      <c r="K12" s="226">
        <f>+_xll.BDP($H12 &amp; "@RIAY Govt","YLD_YTM_MID")</f>
        <v>3.4313847499999999</v>
      </c>
    </row>
    <row r="13" spans="1:11">
      <c r="A13" s="218" t="s">
        <v>34</v>
      </c>
      <c r="B13" s="104" t="str">
        <f>+_xll.BDP($A13&amp;" Govt","ID_ISIN")</f>
        <v>CL0001737775</v>
      </c>
      <c r="C13" s="186">
        <f>+_xll.BDP($B13 &amp; "@RIAY Govt","MTY_YEARS")</f>
        <v>3.7535934291581108</v>
      </c>
      <c r="D13" s="226">
        <f>+_xll.BDP($B13 &amp; "@BVAL Govt","DUR_ADJ_MID")</f>
        <v>3.5489802136331448</v>
      </c>
      <c r="E13" s="226">
        <f>+_xll.BDP($B13 &amp; "@RIAY Govt","YLD_YTM_MID")</f>
        <v>0.67897401000000002</v>
      </c>
      <c r="G13" s="218" t="s">
        <v>356</v>
      </c>
      <c r="H13" s="104" t="str">
        <f>+_xll.BDP($G13&amp;" Govt","ID_ISIN")</f>
        <v>CL0002269331</v>
      </c>
      <c r="I13" s="186">
        <f>+_xll.BDP($G13 &amp; "@RIAY Govt","MTY_YEARS")</f>
        <v>3.2744695414099931</v>
      </c>
      <c r="J13" s="226">
        <f>+_xll.BDP($H13 &amp; "@BVAL Govt","DUR_ADJ_MID")</f>
        <v>3.8498556304133511</v>
      </c>
      <c r="K13" s="226" t="str">
        <f>+_xll.BDP($H13 &amp; "@RIAY Govt","YLD_YTM_MID")</f>
        <v>#N/A N/A</v>
      </c>
    </row>
    <row r="14" spans="1:11">
      <c r="A14" s="218" t="s">
        <v>159</v>
      </c>
      <c r="B14" s="104" t="str">
        <f>+_xll.BDP($A14&amp;" Govt","ID_ISIN")</f>
        <v>CL0002189208</v>
      </c>
      <c r="C14" s="186">
        <f>+_xll.BDP($B14 &amp; "@RIAY Govt","MTY_YEARS")</f>
        <v>3.8302532511978096</v>
      </c>
      <c r="D14" s="226">
        <f>+_xll.BDP($B14 &amp; "@BVAL Govt","DUR_ADJ_MID")</f>
        <v>3.709237900342063</v>
      </c>
      <c r="E14" s="226">
        <f>+_xll.BDP($B14 &amp; "@RIAY Govt","YLD_YTM_MID")</f>
        <v>0.69052272999999997</v>
      </c>
      <c r="G14" s="218" t="s">
        <v>42</v>
      </c>
      <c r="H14" s="104" t="str">
        <f>+_xll.BDP($G14&amp;" Govt","ID_ISIN")</f>
        <v>CL0001855668</v>
      </c>
      <c r="I14" s="186">
        <f>+_xll.BDP($G14 &amp; "@RIAY Govt","MTY_YEARS")</f>
        <v>4.1122518822724166</v>
      </c>
      <c r="J14" s="226">
        <f>+_xll.BDP($H14 &amp; "@BVAL Govt","DUR_ADJ_MID")</f>
        <v>3.6153289949387153</v>
      </c>
      <c r="K14" s="226">
        <f>+_xll.BDP($H14 &amp; "@RIAY Govt","YLD_YTM_MID")</f>
        <v>3.5610761599999998</v>
      </c>
    </row>
    <row r="15" spans="1:11">
      <c r="A15" s="218" t="s">
        <v>198</v>
      </c>
      <c r="B15" s="104" t="str">
        <f>+_xll.BDP($A15&amp;" Govt","ID_ISIN")</f>
        <v>CL0001855684</v>
      </c>
      <c r="C15" s="186">
        <f>+_xll.BDP($B15 &amp; "@RIAY Govt","MTY_YEARS")</f>
        <v>4.6680355920602326</v>
      </c>
      <c r="D15" s="226">
        <f>+_xll.BDP($B15 &amp; "@BVAL Govt","DUR_ADJ_MID")</f>
        <v>4.350441041990452</v>
      </c>
      <c r="E15" s="226">
        <f>+_xll.BDP($B15 &amp; "@RIAY Govt","YLD_YTM_MID")</f>
        <v>0.74994475000000005</v>
      </c>
      <c r="G15" s="218" t="s">
        <v>13</v>
      </c>
      <c r="H15" s="104" t="str">
        <f>+_xll.BDP($G15&amp;" Govt","ID_ISIN")</f>
        <v>CL0001864850</v>
      </c>
      <c r="I15" s="186">
        <f>+_xll.BDP($G15 &amp; "@RIAY Govt","MTY_YEARS")</f>
        <v>4.2737850787132103</v>
      </c>
      <c r="J15" s="226">
        <f>+_xll.BDP($H15 &amp; "@BVAL Govt","DUR_ADJ_MID")</f>
        <v>4.5008551624806836</v>
      </c>
      <c r="K15" s="226">
        <f>+_xll.BDP($H15 &amp; "@RIAY Govt","YLD_YTM_MID")</f>
        <v>3.5602140599999998</v>
      </c>
    </row>
    <row r="16" spans="1:11">
      <c r="A16" s="218" t="s">
        <v>35</v>
      </c>
      <c r="B16" s="104" t="str">
        <f>+_xll.BDP($A16&amp;" Govt","ID_ISIN")</f>
        <v>CL0001861260</v>
      </c>
      <c r="C16" s="186">
        <f>+_xll.BDP($B16 &amp; "@RIAY Govt","MTY_YEARS")</f>
        <v>4.8295687885010263</v>
      </c>
      <c r="D16" s="226">
        <f>+_xll.BDP($B16 &amp; "@BVAL Govt","DUR_ADJ_MID")</f>
        <v>4.5063668035160767</v>
      </c>
      <c r="E16" s="226">
        <f>+_xll.BDP($B16 &amp; "@RIAY Govt","YLD_YTM_MID")</f>
        <v>0.71924447999999996</v>
      </c>
      <c r="G16" s="218" t="s">
        <v>14</v>
      </c>
      <c r="H16" s="104" t="str">
        <f>+_xll.BDP($G16&amp;" Govt","ID_ISIN")</f>
        <v>CL0001964791</v>
      </c>
      <c r="I16" s="186">
        <f>+_xll.BDP($G16 &amp; "@RIAY Govt","MTY_YEARS")</f>
        <v>5.2731006160164275</v>
      </c>
      <c r="J16" s="226">
        <f>+_xll.BDP($H16 &amp; "@BVAL Govt","DUR_ADJ_MID")</f>
        <v>4.4247787610629299</v>
      </c>
      <c r="K16" s="226">
        <f>+_xll.BDP($H16 &amp; "@RIAY Govt","YLD_YTM_MID")</f>
        <v>3.58986289</v>
      </c>
    </row>
    <row r="17" spans="1:11">
      <c r="A17" s="218" t="s">
        <v>199</v>
      </c>
      <c r="B17" s="104" t="str">
        <f>+_xll.BDP($A17&amp;" Govt","ID_ISIN")</f>
        <v>CL0000000720</v>
      </c>
      <c r="C17" s="186">
        <f>+_xll.BDP($B17 &amp; "@RIAY Govt","MTY_YEARS")</f>
        <v>5.333333333333333</v>
      </c>
      <c r="D17" s="226">
        <f>+_xll.BDP($B17 &amp; "@BVAL Govt","DUR_ADJ_MID")</f>
        <v>4.7603037622539262</v>
      </c>
      <c r="E17" s="226">
        <f>+_xll.BDP($B17 &amp; "@RIAY Govt","YLD_YTM_MID")</f>
        <v>0.72919036999999998</v>
      </c>
      <c r="G17" s="218" t="s">
        <v>18</v>
      </c>
      <c r="H17" s="104" t="str">
        <f>+_xll.BDP($G17&amp;" Govt","ID_ISIN")</f>
        <v>CL0002080555</v>
      </c>
      <c r="I17" s="186">
        <f>+_xll.BDP($G17 &amp; "@RIAY Govt","MTY_YEARS")</f>
        <v>6.1108829568788501</v>
      </c>
      <c r="J17" s="226">
        <f>+_xll.BDP($H17 &amp; "@BVAL Govt","DUR_ADJ_MID")</f>
        <v>5.2905387531966754</v>
      </c>
      <c r="K17" s="226">
        <f>+_xll.BDP($H17 &amp; "@RIAY Govt","YLD_YTM_MID")</f>
        <v>3.7306691199999999</v>
      </c>
    </row>
    <row r="18" spans="1:11">
      <c r="A18" s="218" t="s">
        <v>200</v>
      </c>
      <c r="B18" s="104" t="str">
        <f>+_xll.BDP($A18&amp;" Govt","ID_ISIN")</f>
        <v>CL0001962308</v>
      </c>
      <c r="C18" s="186">
        <f>+_xll.BDP($B18 &amp; "@RIAY Govt","MTY_YEARS")</f>
        <v>5.8288843258042435</v>
      </c>
      <c r="D18" s="226">
        <f>+_xll.BDP($B18 &amp; "@BVAL Govt","DUR_ADJ_MID")</f>
        <v>5.3681217404285277</v>
      </c>
      <c r="E18" s="226">
        <f>+_xll.BDP($B18 &amp; "@RIAY Govt","YLD_YTM_MID")</f>
        <v>0.80057906999999995</v>
      </c>
      <c r="G18" s="218" t="s">
        <v>17</v>
      </c>
      <c r="H18" s="104" t="str">
        <f>+_xll.BDP($G18&amp;" Govt","ID_ISIN")</f>
        <v>CL0002172501</v>
      </c>
      <c r="I18" s="186">
        <f>+_xll.BDP($G18 &amp; "@RIAY Govt","MTY_YEARS")</f>
        <v>8.2737850787132103</v>
      </c>
      <c r="J18" s="226">
        <f>+_xll.BDP($H18 &amp; "@BVAL Govt","DUR_ADJ_MID")</f>
        <v>6.7197849668817291</v>
      </c>
      <c r="K18" s="226">
        <f>+_xll.BDP($H18 &amp; "@RIAY Govt","YLD_YTM_MID")</f>
        <v>3.9600391500000001</v>
      </c>
    </row>
    <row r="19" spans="1:11">
      <c r="A19" s="218" t="s">
        <v>48</v>
      </c>
      <c r="B19" s="104" t="str">
        <f>+_xll.BDP($A19&amp;" Govt","ID_ISIN")</f>
        <v>CL0000000787</v>
      </c>
      <c r="C19" s="186">
        <f>+_xll.BDP($B19 &amp; "@RIAY Govt","MTY_YEARS")</f>
        <v>6.453114305270363</v>
      </c>
      <c r="D19" s="226">
        <f>+_xll.BDP($B19 &amp; "@BVAL Govt","DUR_ADJ_MID")</f>
        <v>5.7044936951824292</v>
      </c>
      <c r="E19" s="226">
        <f>+_xll.BDP($B19 &amp; "@RIAY Govt","YLD_YTM_MID")</f>
        <v>0.93964238</v>
      </c>
      <c r="G19" s="218" t="s">
        <v>225</v>
      </c>
      <c r="H19" s="104" t="str">
        <f>+_xll.BDP($G19&amp;" Govt","ID_ISIN")</f>
        <v>CL0001855676</v>
      </c>
      <c r="I19" s="186">
        <f>+_xll.BDP($G19 &amp; "@RIAY Govt","MTY_YEARS")</f>
        <v>14.11088295687885</v>
      </c>
      <c r="J19" s="226">
        <f>+_xll.BDP($H19 &amp; "@BVAL Govt","DUR_ADJ_MID")</f>
        <v>10.030928696814897</v>
      </c>
      <c r="K19" s="226">
        <f>+_xll.BDP($H19 &amp; "@RIAY Govt","YLD_YTM_MID")</f>
        <v>4.3400070599999996</v>
      </c>
    </row>
    <row r="20" spans="1:11">
      <c r="A20" s="218" t="s">
        <v>20</v>
      </c>
      <c r="B20" s="104" t="str">
        <f>+_xll.BDP($A20&amp;" Govt","ID_ISIN")</f>
        <v>CL0002080571</v>
      </c>
      <c r="C20" s="186">
        <f>+_xll.BDP($B20 &amp; "@RIAY Govt","MTY_YEARS")</f>
        <v>6.666666666666667</v>
      </c>
      <c r="D20" s="226">
        <f>+_xll.BDP($B20 &amp; "@BVAL Govt","DUR_ADJ_MID")</f>
        <v>6.0431400197010268</v>
      </c>
      <c r="E20" s="226">
        <f>+_xll.BDP($B20 &amp; "@RIAY Govt","YLD_YTM_MID")</f>
        <v>0.92969984999999999</v>
      </c>
      <c r="G20" s="218" t="s">
        <v>226</v>
      </c>
      <c r="H20" s="104" t="str">
        <f>+_xll.BDP($G20&amp;" Govt","ID_ISIN")</f>
        <v>CL0002080563</v>
      </c>
      <c r="I20" s="186">
        <f>+_xll.BDP($G20 &amp; "@RIAY Govt","MTY_YEARS")</f>
        <v>16.112251882272417</v>
      </c>
      <c r="J20" s="226">
        <f>+_xll.BDP($H20 &amp; "@BVAL Govt","DUR_ADJ_MID")</f>
        <v>10.850513312745029</v>
      </c>
      <c r="K20" s="226">
        <f>+_xll.BDP($H20 &amp; "@RIAY Govt","YLD_YTM_MID")</f>
        <v>4.3796305699999998</v>
      </c>
    </row>
    <row r="21" spans="1:11">
      <c r="A21" s="218" t="s">
        <v>47</v>
      </c>
      <c r="B21" s="104" t="str">
        <f>+_xll.BDP($A21&amp;" Govt","ID_ISIN")</f>
        <v>CL0000000803</v>
      </c>
      <c r="C21" s="186">
        <f>+_xll.BDP($B21 &amp; "@RIAY Govt","MTY_YEARS")</f>
        <v>7.2498288843258045</v>
      </c>
      <c r="D21" s="226">
        <f>+_xll.BDP($B21 &amp; "@BVAL Govt","DUR_ADJ_MID")</f>
        <v>6.2865602486716785</v>
      </c>
      <c r="E21" s="226">
        <f>+_xll.BDP($B21 &amp; "@RIAY Govt","YLD_YTM_MID")</f>
        <v>1.03043613</v>
      </c>
      <c r="G21" s="218" t="s">
        <v>227</v>
      </c>
      <c r="H21" s="104" t="str">
        <f>+_xll.BDP($G21&amp;" Govt","ID_ISIN")</f>
        <v>CL0002187822</v>
      </c>
      <c r="I21" s="186">
        <f>+_xll.BDP($G21 &amp; "@RIAY Govt","MTY_YEARS")</f>
        <v>17.273100616016428</v>
      </c>
      <c r="J21" s="226">
        <f>+_xll.BDP($H21 &amp; "@BVAL Govt","DUR_ADJ_MID")</f>
        <v>12.07280832095215</v>
      </c>
      <c r="K21" s="226">
        <f>+_xll.BDP($H21 &amp; "@RIAY Govt","YLD_YTM_MID")</f>
        <v>4.4299649700000003</v>
      </c>
    </row>
    <row r="22" spans="1:11">
      <c r="A22" s="218" t="s">
        <v>44</v>
      </c>
      <c r="B22" s="104" t="str">
        <f>+_xll.BDP($A22&amp;" Govt","ID_ISIN")</f>
        <v>CL0000001504</v>
      </c>
      <c r="C22" s="186">
        <f>+_xll.BDP($B22 &amp; "@RIAY Govt","MTY_YEARS")</f>
        <v>8.3340177960301158</v>
      </c>
      <c r="D22" s="226">
        <f>+_xll.BDP($B22 &amp; "@BVAL Govt","DUR_ADJ_MID")</f>
        <v>7.5068872665381905</v>
      </c>
      <c r="E22" s="226">
        <f>+_xll.BDP($B22 &amp; "@RIAY Govt","YLD_YTM_MID")</f>
        <v>1.08004268</v>
      </c>
      <c r="G22" s="218" t="s">
        <v>228</v>
      </c>
      <c r="H22" s="104" t="str">
        <f>+_xll.BDP($G22&amp;" Govt","ID_ISIN")</f>
        <v>CL0001974774</v>
      </c>
      <c r="I22" s="186">
        <f>+_xll.BDP($G22 &amp; "@RIAY Govt","MTY_YEARS")</f>
        <v>25.111567419575632</v>
      </c>
      <c r="J22" s="226">
        <f>+_xll.BDP($H22 &amp; "@BVAL Govt","DUR_ADJ_MID")</f>
        <v>14.0414636160895</v>
      </c>
      <c r="K22" s="226">
        <f>+_xll.BDP($H22 &amp; "@RIAY Govt","YLD_YTM_MID")</f>
        <v>4.6298277800000003</v>
      </c>
    </row>
    <row r="23" spans="1:11">
      <c r="A23" s="218" t="s">
        <v>19</v>
      </c>
      <c r="B23" s="104" t="str">
        <f>+_xll.BDP($A23&amp;" Govt","ID_ISIN")</f>
        <v>CL0002179951</v>
      </c>
      <c r="C23" s="186">
        <f>+_xll.BDP($B23 &amp; "@RIAY Govt","MTY_YEARS")</f>
        <v>8.8295687885010263</v>
      </c>
      <c r="D23" s="226">
        <f>+_xll.BDP($B23 &amp; "@BVAL Govt","DUR_ADJ_MID")</f>
        <v>8.2108552674717572</v>
      </c>
      <c r="E23" s="226">
        <f>+_xll.BDP($B23 &amp; "@RIAY Govt","YLD_YTM_MID")</f>
        <v>1.1305163600000001</v>
      </c>
      <c r="G23" s="218"/>
      <c r="H23" s="104"/>
      <c r="I23" s="186"/>
      <c r="J23" s="226"/>
      <c r="K23" s="226"/>
    </row>
    <row r="24" spans="1:11">
      <c r="A24" s="218" t="s">
        <v>201</v>
      </c>
      <c r="B24" s="104" t="str">
        <f>+_xll.BDP($A24&amp;" Govt","ID_ISIN")</f>
        <v>CL0000002239</v>
      </c>
      <c r="C24" s="186">
        <f>+_xll.BDP($B24 &amp; "@RIAY Govt","MTY_YEARS")</f>
        <v>9.8288843258042444</v>
      </c>
      <c r="D24" s="226">
        <f>+_xll.BDP($B24 &amp; "@BVAL Govt","DUR_ADJ_MID")</f>
        <v>8.5797803813526592</v>
      </c>
      <c r="E24" s="226">
        <f>+_xll.BDP($B24 &amp; "@RIAY Govt","YLD_YTM_MID")</f>
        <v>1.1500416900000001</v>
      </c>
      <c r="G24" s="218"/>
      <c r="H24" s="104"/>
      <c r="I24" s="226"/>
      <c r="J24" s="186"/>
      <c r="K24" s="226"/>
    </row>
    <row r="25" spans="1:11">
      <c r="A25" s="218" t="s">
        <v>202</v>
      </c>
      <c r="B25" s="104" t="str">
        <f>+_xll.BDP($A25&amp;" Govt","ID_ISIN")</f>
        <v>CL0000003039</v>
      </c>
      <c r="C25" s="186">
        <f>+_xll.BDP($B25 &amp; "@RIAY Govt","MTY_YEARS")</f>
        <v>10.830937713894592</v>
      </c>
      <c r="D25" s="226">
        <f>+_xll.BDP($B25 &amp; "@BVAL Govt","DUR_ADJ_MID")</f>
        <v>9.3486972108782886</v>
      </c>
      <c r="E25" s="226">
        <f>+_xll.BDP($B25 &amp; "@RIAY Govt","YLD_YTM_MID")</f>
        <v>1.17993261</v>
      </c>
    </row>
    <row r="26" spans="1:11">
      <c r="A26" s="218" t="s">
        <v>203</v>
      </c>
      <c r="B26" s="104" t="str">
        <f>+_xll.BDP($A26&amp;" Govt","ID_ISIN")</f>
        <v>CL0000005075</v>
      </c>
      <c r="C26" s="186">
        <f>+_xll.BDP($B26 &amp; "@RIAY Govt","MTY_YEARS")</f>
        <v>10.997946611909651</v>
      </c>
      <c r="D26" s="226">
        <f>+_xll.BDP($B26 &amp; "@BVAL Govt","DUR_ADJ_MID")</f>
        <v>9.5032879766842306</v>
      </c>
      <c r="E26" s="226">
        <f>+_xll.BDP($B26 &amp; "@RIAY Govt","YLD_YTM_MID")</f>
        <v>1.1699352700000001</v>
      </c>
    </row>
    <row r="27" spans="1:11">
      <c r="A27" s="218" t="s">
        <v>204</v>
      </c>
      <c r="B27" s="104" t="str">
        <f>+_xll.BDP($A27&amp;" Govt","ID_ISIN")</f>
        <v>CL0000006446</v>
      </c>
      <c r="C27" s="186">
        <f>+_xll.BDP($B27 &amp; "@RIAY Govt","MTY_YEARS")</f>
        <v>11.83025325119781</v>
      </c>
      <c r="D27" s="226">
        <f>+_xll.BDP($B27 &amp; "@BVAL Govt","DUR_ADJ_MID")</f>
        <v>10.068056966042748</v>
      </c>
      <c r="E27" s="226">
        <f>+_xll.BDP($B27 &amp; "@RIAY Govt","YLD_YTM_MID")</f>
        <v>1.3498275799999999</v>
      </c>
    </row>
    <row r="28" spans="1:11">
      <c r="A28" s="218" t="s">
        <v>205</v>
      </c>
      <c r="B28" s="104" t="str">
        <f>+_xll.BDP($A28&amp;" Govt","ID_ISIN")</f>
        <v>CL0000006990</v>
      </c>
      <c r="C28" s="186">
        <f>+_xll.BDP($B28 &amp; "@RIAY Govt","MTY_YEARS")</f>
        <v>12.668035592060233</v>
      </c>
      <c r="D28" s="226">
        <f>+_xll.BDP($B28 &amp; "@BVAL Govt","DUR_ADJ_MID")</f>
        <v>10.645023003799871</v>
      </c>
      <c r="E28" s="226">
        <f>+_xll.BDP($B28 &amp; "@RIAY Govt","YLD_YTM_MID")</f>
        <v>1.31015758</v>
      </c>
    </row>
    <row r="29" spans="1:11">
      <c r="A29" s="218" t="s">
        <v>206</v>
      </c>
      <c r="B29" s="104" t="str">
        <f>+_xll.BDP($A29&amp;" Govt","ID_ISIN")</f>
        <v>CL0001738112</v>
      </c>
      <c r="C29" s="186">
        <f>+_xll.BDP($B29 &amp; "@RIAY Govt","MTY_YEARS")</f>
        <v>13.752224503764545</v>
      </c>
      <c r="D29" s="226">
        <f>+_xll.BDP($B29 &amp; "@BVAL Govt","DUR_ADJ_MID")</f>
        <v>11.429120316617889</v>
      </c>
      <c r="E29" s="226">
        <f>+_xll.BDP($B29 &amp; "@RIAY Govt","YLD_YTM_MID")</f>
        <v>1.3102063099999999</v>
      </c>
    </row>
    <row r="30" spans="1:11">
      <c r="A30" s="218" t="s">
        <v>207</v>
      </c>
      <c r="B30" s="104" t="str">
        <f>+_xll.BDP($A30&amp;" Govt","ID_ISIN")</f>
        <v>CL0001855692</v>
      </c>
      <c r="C30" s="186">
        <f>+_xll.BDP($B30 &amp; "@RIAY Govt","MTY_YEARS")</f>
        <v>14.666666666666666</v>
      </c>
      <c r="D30" s="226">
        <f>+_xll.BDP($B30 &amp; "@BVAL Govt","DUR_ADJ_MID")</f>
        <v>12.054830321914608</v>
      </c>
      <c r="E30" s="226">
        <f>+_xll.BDP($B30 &amp; "@RIAY Govt","YLD_YTM_MID")</f>
        <v>1.5001766299999999</v>
      </c>
    </row>
    <row r="31" spans="1:11">
      <c r="A31" s="218" t="s">
        <v>21</v>
      </c>
      <c r="B31" s="104" t="str">
        <f>+_xll.BDP($A31&amp;" Govt","ID_ISIN")</f>
        <v>CL0002080589</v>
      </c>
      <c r="C31" s="186">
        <f>+_xll.BDP($B31 &amp; "@RIAY Govt","MTY_YEARS")</f>
        <v>16.668035592060232</v>
      </c>
      <c r="D31" s="226">
        <f>+_xll.BDP($B31 &amp; "@BVAL Govt","DUR_ADJ_MID")</f>
        <v>13.351075112065674</v>
      </c>
      <c r="E31" s="226">
        <f>+_xll.BDP($B31 &amp; "@RIAY Govt","YLD_YTM_MID")</f>
        <v>1.50995379</v>
      </c>
    </row>
    <row r="32" spans="1:11">
      <c r="A32" s="218" t="s">
        <v>208</v>
      </c>
      <c r="B32" s="104" t="str">
        <f>+_xll.BDP($A32&amp;" Govt","ID_ISIN")</f>
        <v>CL0002189216</v>
      </c>
      <c r="C32" s="186">
        <f>+_xll.BDP($B32 &amp; "@RIAY Govt","MTY_YEARS")</f>
        <v>17.828884325804243</v>
      </c>
      <c r="D32" s="226">
        <f>+_xll.BDP($B32 &amp; "@BVAL Govt","DUR_ADJ_MID")</f>
        <v>15.022378701672073</v>
      </c>
      <c r="E32" s="226">
        <f>+_xll.BDP($B32 &amp; "@RIAY Govt","YLD_YTM_MID")</f>
        <v>1.5998491000000001</v>
      </c>
    </row>
    <row r="33" spans="1:5">
      <c r="A33" s="218" t="s">
        <v>209</v>
      </c>
      <c r="B33" s="104" t="str">
        <f>+_xll.BDP($A33&amp;" Govt","ID_ISIN")</f>
        <v>CL0000003047</v>
      </c>
      <c r="C33" s="186">
        <f>+_xll.BDP($B33 &amp; "@RIAY Govt","MTY_YEARS")</f>
        <v>20.829568788501028</v>
      </c>
      <c r="D33" s="226">
        <f>+_xll.BDP($B33 &amp; "@BVAL Govt","DUR_ADJ_MID")</f>
        <v>15.947530723757847</v>
      </c>
      <c r="E33" s="226">
        <f>+_xll.BDP($B33 &amp; "@RIAY Govt","YLD_YTM_MID")</f>
        <v>1.6901439700000001</v>
      </c>
    </row>
    <row r="34" spans="1:5">
      <c r="A34" s="218" t="s">
        <v>210</v>
      </c>
      <c r="B34" s="104" t="str">
        <f>+_xll.BDP($A34&amp;" Govt","ID_ISIN")</f>
        <v>CL0000006453</v>
      </c>
      <c r="C34" s="186">
        <f>+_xll.BDP($B34 &amp; "@RIAY Govt","MTY_YEARS")</f>
        <v>21.828884325804243</v>
      </c>
      <c r="D34" s="226">
        <f>+_xll.BDP($B34 &amp; "@BVAL Govt","DUR_ADJ_MID")</f>
        <v>16.562383292602075</v>
      </c>
      <c r="E34" s="226">
        <f>+_xll.BDP($B34 &amp; "@RIAY Govt","YLD_YTM_MID")</f>
        <v>1.67023827</v>
      </c>
    </row>
    <row r="35" spans="1:5">
      <c r="A35" s="218" t="s">
        <v>211</v>
      </c>
      <c r="B35" s="104" t="str">
        <f>+_xll.BDP($A35&amp;" Govt","ID_ISIN")</f>
        <v>CL0000007006</v>
      </c>
      <c r="C35" s="186">
        <f>+_xll.BDP($B35 &amp; "@RIAY Govt","MTY_YEARS")</f>
        <v>22.666666666666668</v>
      </c>
      <c r="D35" s="226">
        <f>+_xll.BDP($B35 &amp; "@BVAL Govt","DUR_ADJ_MID")</f>
        <v>16.994609395442684</v>
      </c>
      <c r="E35" s="226">
        <f>+_xll.BDP($B35 &amp; "@RIAY Govt","YLD_YTM_MID")</f>
        <v>1.67980094</v>
      </c>
    </row>
    <row r="36" spans="1:5">
      <c r="A36" s="218" t="s">
        <v>212</v>
      </c>
      <c r="B36" s="104" t="str">
        <f>+_xll.BDP($A36&amp;" Govt","ID_ISIN")</f>
        <v>CL0001738120</v>
      </c>
      <c r="C36" s="186">
        <f>+_xll.BDP($B36 &amp; "@RIAY Govt","MTY_YEARS")</f>
        <v>23.753593429158112</v>
      </c>
      <c r="D36" s="226">
        <f>+_xll.BDP($B36 &amp; "@BVAL Govt","DUR_ADJ_MID")</f>
        <v>17.604257431559233</v>
      </c>
      <c r="E36" s="226">
        <f>+_xll.BDP($B36 &amp; "@RIAY Govt","YLD_YTM_MID")</f>
        <v>1.70002688</v>
      </c>
    </row>
    <row r="37" spans="1:5">
      <c r="A37" s="218" t="s">
        <v>213</v>
      </c>
      <c r="B37" s="104" t="str">
        <f>+_xll.BDP($A37&amp;" Govt","ID_ISIN")</f>
        <v>CL0001857482</v>
      </c>
      <c r="C37" s="186">
        <f>+_xll.BDP($B37 &amp; "@RIAY Govt","MTY_YEARS")</f>
        <v>24.668035592060232</v>
      </c>
      <c r="D37" s="226">
        <f>+_xll.BDP($B37 &amp; "@BVAL Govt","DUR_ADJ_MID")</f>
        <v>18.11290500751133</v>
      </c>
      <c r="E37" s="226">
        <f>+_xll.BDP($B37 &amp; "@RIAY Govt","YLD_YTM_MID")</f>
        <v>1.68993711</v>
      </c>
    </row>
    <row r="38" spans="1:5">
      <c r="A38" s="218" t="s">
        <v>214</v>
      </c>
      <c r="B38" s="104" t="str">
        <f>+_xll.BDP($A38&amp;" Govt","ID_ISIN")</f>
        <v>CL0002080597</v>
      </c>
      <c r="C38" s="186">
        <f>+_xll.BDP($B38 &amp; "@RIAY Govt","MTY_YEARS")</f>
        <v>26.666666666666668</v>
      </c>
      <c r="D38" s="226">
        <f>+_xll.BDP($B38 &amp; "@BVAL Govt","DUR_ADJ_MID")</f>
        <v>19.138976038511561</v>
      </c>
      <c r="E38" s="226">
        <f>+_xll.BDP($B38 &amp; "@RIAY Govt","YLD_YTM_MID")</f>
        <v>1.7598840600000001</v>
      </c>
    </row>
    <row r="39" spans="1:5">
      <c r="A39" s="218"/>
      <c r="B39" s="104"/>
      <c r="C39" s="186"/>
      <c r="D39" s="226"/>
      <c r="E39" s="226"/>
    </row>
    <row r="40" spans="1:5">
      <c r="A40" s="218"/>
      <c r="B40" s="104"/>
      <c r="C40" s="226"/>
      <c r="D40" s="186"/>
      <c r="E40" s="226"/>
    </row>
    <row r="41" spans="1:5">
      <c r="A41" s="218"/>
      <c r="B41" s="104"/>
      <c r="C41" s="226"/>
      <c r="D41" s="226"/>
      <c r="E41" s="226"/>
    </row>
    <row r="42" spans="1:5">
      <c r="A42" s="218"/>
      <c r="B42" s="104"/>
      <c r="C42" s="226"/>
      <c r="D42" s="226"/>
      <c r="E42" s="226"/>
    </row>
    <row r="43" spans="1:5">
      <c r="A43" s="218"/>
      <c r="B43" s="104"/>
      <c r="C43" s="226"/>
      <c r="D43" s="226"/>
      <c r="E43" s="226"/>
    </row>
    <row r="44" spans="1:5">
      <c r="A44" s="218"/>
      <c r="B44" s="104"/>
      <c r="C44" s="226"/>
      <c r="D44" s="226"/>
      <c r="E44" s="226"/>
    </row>
    <row r="45" spans="1:5">
      <c r="A45" s="218"/>
      <c r="B45" s="104"/>
      <c r="C45" s="226"/>
      <c r="D45" s="226"/>
      <c r="E45" s="226"/>
    </row>
    <row r="46" spans="1:5">
      <c r="A46" s="218"/>
      <c r="B46" s="104"/>
      <c r="C46" s="226"/>
      <c r="D46" s="226"/>
      <c r="E46" s="226"/>
    </row>
    <row r="47" spans="1:5">
      <c r="A47" s="218"/>
      <c r="B47" s="104"/>
      <c r="C47" s="226"/>
      <c r="D47" s="226"/>
      <c r="E47" s="226"/>
    </row>
    <row r="48" spans="1:5">
      <c r="A48" s="218"/>
      <c r="B48" s="104"/>
      <c r="C48" s="226"/>
      <c r="D48" s="226"/>
      <c r="E48" s="226"/>
    </row>
    <row r="49" spans="1:5">
      <c r="A49" s="218"/>
      <c r="B49" s="104"/>
      <c r="C49" s="226"/>
      <c r="D49" s="226"/>
      <c r="E49" s="226"/>
    </row>
    <row r="50" spans="1:5">
      <c r="A50" s="218"/>
      <c r="B50" s="104"/>
      <c r="C50" s="226"/>
      <c r="D50" s="226"/>
      <c r="E50" s="226"/>
    </row>
    <row r="51" spans="1:5">
      <c r="A51" s="218"/>
      <c r="B51" s="104"/>
      <c r="C51" s="226"/>
      <c r="D51" s="226"/>
      <c r="E51" s="226"/>
    </row>
    <row r="52" spans="1:5">
      <c r="A52" s="218"/>
      <c r="B52" s="104"/>
      <c r="C52" s="226"/>
      <c r="D52" s="226"/>
      <c r="E52" s="226"/>
    </row>
    <row r="53" spans="1:5">
      <c r="A53" s="218"/>
      <c r="B53" s="104"/>
      <c r="C53" s="226"/>
      <c r="D53" s="226"/>
      <c r="E53" s="226"/>
    </row>
    <row r="54" spans="1:5">
      <c r="A54" s="218"/>
      <c r="B54" s="104"/>
      <c r="C54" s="226"/>
      <c r="D54" s="226"/>
      <c r="E54" s="226"/>
    </row>
    <row r="55" spans="1:5">
      <c r="A55" s="218"/>
      <c r="B55" s="104"/>
      <c r="C55" s="226"/>
      <c r="D55" s="226"/>
      <c r="E55" s="226"/>
    </row>
    <row r="56" spans="1:5">
      <c r="A56" s="218"/>
      <c r="B56" s="104"/>
      <c r="C56" s="226"/>
      <c r="D56" s="226"/>
      <c r="E56" s="226"/>
    </row>
    <row r="57" spans="1:5">
      <c r="A57" s="218"/>
      <c r="B57" s="104"/>
      <c r="C57" s="226"/>
      <c r="D57" s="226"/>
      <c r="E57" s="226"/>
    </row>
    <row r="58" spans="1:5">
      <c r="A58" s="218"/>
      <c r="B58" s="104"/>
      <c r="C58" s="226"/>
      <c r="D58" s="226"/>
      <c r="E58" s="226"/>
    </row>
    <row r="59" spans="1:5">
      <c r="A59" s="218"/>
      <c r="B59" s="104"/>
      <c r="C59" s="226"/>
      <c r="D59" s="226"/>
      <c r="E59" s="226"/>
    </row>
    <row r="60" spans="1:5">
      <c r="A60" s="218"/>
      <c r="B60" s="104"/>
      <c r="C60" s="226"/>
      <c r="D60" s="226"/>
      <c r="E60" s="226"/>
    </row>
    <row r="61" spans="1:5">
      <c r="A61" s="218"/>
      <c r="B61" s="104"/>
      <c r="C61" s="226"/>
      <c r="D61" s="226"/>
      <c r="E61" s="226"/>
    </row>
    <row r="62" spans="1:5">
      <c r="A62" s="218"/>
      <c r="B62" s="104"/>
      <c r="C62" s="226"/>
      <c r="D62" s="226"/>
      <c r="E62" s="226"/>
    </row>
    <row r="63" spans="1:5">
      <c r="A63" s="218"/>
      <c r="B63" s="104"/>
      <c r="C63" s="226"/>
      <c r="D63" s="226"/>
      <c r="E63" s="226"/>
    </row>
    <row r="64" spans="1:5">
      <c r="A64" s="218"/>
      <c r="B64" s="104"/>
      <c r="C64" s="226"/>
      <c r="D64" s="226"/>
      <c r="E64" s="226"/>
    </row>
    <row r="65" spans="1:5">
      <c r="A65" s="218"/>
      <c r="B65" s="104"/>
      <c r="C65" s="226"/>
      <c r="D65" s="226"/>
      <c r="E65" s="226"/>
    </row>
    <row r="66" spans="1:5">
      <c r="A66" s="218"/>
      <c r="B66" s="104"/>
      <c r="C66" s="226"/>
      <c r="D66" s="226"/>
      <c r="E66" s="226"/>
    </row>
    <row r="67" spans="1:5">
      <c r="A67" s="218"/>
      <c r="B67" s="104"/>
      <c r="C67" s="226"/>
      <c r="D67" s="226"/>
      <c r="E67" s="226"/>
    </row>
    <row r="68" spans="1:5">
      <c r="A68" s="218"/>
      <c r="B68" s="104"/>
      <c r="C68" s="226"/>
      <c r="D68" s="226"/>
      <c r="E68" s="226"/>
    </row>
    <row r="69" spans="1:5">
      <c r="A69" s="218"/>
      <c r="B69" s="104"/>
      <c r="C69" s="226"/>
      <c r="D69" s="226"/>
      <c r="E69" s="226"/>
    </row>
    <row r="70" spans="1:5">
      <c r="A70" s="218"/>
      <c r="B70" s="104"/>
      <c r="C70" s="226"/>
      <c r="D70" s="226"/>
      <c r="E70" s="226"/>
    </row>
    <row r="71" spans="1:5">
      <c r="A71" s="218"/>
      <c r="B71" s="104"/>
      <c r="C71" s="226"/>
      <c r="D71" s="226"/>
      <c r="E71" s="226"/>
    </row>
    <row r="72" spans="1:5">
      <c r="C72" s="218"/>
      <c r="E72" s="218"/>
    </row>
    <row r="73" spans="1:5">
      <c r="C73" s="218"/>
      <c r="E73" s="218"/>
    </row>
    <row r="74" spans="1:5">
      <c r="C74" s="218"/>
      <c r="E74" s="218"/>
    </row>
    <row r="75" spans="1:5">
      <c r="C75" s="218"/>
      <c r="E75" s="218"/>
    </row>
    <row r="76" spans="1:5">
      <c r="C76" s="218"/>
      <c r="E76" s="218"/>
    </row>
    <row r="77" spans="1:5">
      <c r="C77" s="218"/>
      <c r="E77" s="218"/>
    </row>
    <row r="78" spans="1:5">
      <c r="C78" s="218"/>
      <c r="E78" s="218"/>
    </row>
    <row r="79" spans="1:5">
      <c r="C79" s="218"/>
      <c r="E79" s="218"/>
    </row>
    <row r="80" spans="1:5">
      <c r="C80" s="218"/>
      <c r="E80" s="218"/>
    </row>
    <row r="81" spans="3:5">
      <c r="C81" s="218"/>
      <c r="E81" s="218"/>
    </row>
    <row r="82" spans="3:5">
      <c r="C82" s="218"/>
      <c r="E82" s="218"/>
    </row>
    <row r="83" spans="3:5">
      <c r="C83" s="218"/>
      <c r="E83" s="218"/>
    </row>
    <row r="84" spans="3:5">
      <c r="C84" s="218"/>
      <c r="E84" s="218"/>
    </row>
    <row r="85" spans="3:5">
      <c r="C85" s="218"/>
      <c r="E85" s="218"/>
    </row>
    <row r="86" spans="3:5">
      <c r="C86" s="218"/>
      <c r="E86" s="218"/>
    </row>
    <row r="87" spans="3:5">
      <c r="C87" s="218"/>
      <c r="E87" s="218"/>
    </row>
    <row r="88" spans="3:5">
      <c r="C88" s="218"/>
      <c r="E88" s="218"/>
    </row>
    <row r="89" spans="3:5">
      <c r="C89" s="218"/>
      <c r="E89" s="218"/>
    </row>
    <row r="90" spans="3:5">
      <c r="C90" s="218"/>
      <c r="E90" s="218"/>
    </row>
    <row r="91" spans="3:5">
      <c r="C91" s="218"/>
      <c r="E91" s="218"/>
    </row>
    <row r="92" spans="3:5">
      <c r="C92" s="218"/>
      <c r="E92" s="218"/>
    </row>
    <row r="93" spans="3:5">
      <c r="C93" s="218"/>
      <c r="E93" s="218"/>
    </row>
    <row r="94" spans="3:5">
      <c r="C94" s="218"/>
      <c r="E94" s="218"/>
    </row>
    <row r="95" spans="3:5">
      <c r="C95" s="218"/>
      <c r="E95" s="218"/>
    </row>
    <row r="96" spans="3:5">
      <c r="C96" s="218"/>
      <c r="E96" s="218"/>
    </row>
    <row r="97" spans="3:5">
      <c r="C97" s="218"/>
      <c r="E97" s="218"/>
    </row>
    <row r="98" spans="3:5">
      <c r="C98" s="218"/>
      <c r="E98" s="218"/>
    </row>
    <row r="99" spans="3:5">
      <c r="C99" s="218"/>
      <c r="E99" s="218"/>
    </row>
    <row r="100" spans="3:5">
      <c r="C100" s="218"/>
      <c r="E100" s="218"/>
    </row>
    <row r="101" spans="3:5">
      <c r="C101" s="218"/>
      <c r="E101" s="218"/>
    </row>
    <row r="102" spans="3:5">
      <c r="C102" s="218"/>
      <c r="E102" s="218"/>
    </row>
    <row r="103" spans="3:5">
      <c r="C103" s="218"/>
      <c r="E103" s="218"/>
    </row>
    <row r="104" spans="3:5">
      <c r="C104" s="218"/>
      <c r="E104" s="218"/>
    </row>
    <row r="105" spans="3:5">
      <c r="C105" s="218"/>
      <c r="E105" s="218"/>
    </row>
    <row r="106" spans="3:5">
      <c r="C106" s="218"/>
      <c r="E106" s="218"/>
    </row>
    <row r="107" spans="3:5">
      <c r="C107" s="218"/>
      <c r="E107" s="218"/>
    </row>
    <row r="108" spans="3:5">
      <c r="C108" s="218"/>
      <c r="E108" s="218"/>
    </row>
    <row r="109" spans="3:5">
      <c r="C109" s="218"/>
      <c r="E109" s="218"/>
    </row>
    <row r="110" spans="3:5">
      <c r="C110" s="218"/>
      <c r="E110" s="218"/>
    </row>
    <row r="111" spans="3:5">
      <c r="C111" s="218"/>
      <c r="E111" s="218"/>
    </row>
    <row r="112" spans="3:5">
      <c r="C112" s="218"/>
      <c r="E112" s="218"/>
    </row>
    <row r="113" spans="3:5">
      <c r="C113" s="218"/>
      <c r="E113" s="218"/>
    </row>
    <row r="114" spans="3:5">
      <c r="C114" s="218"/>
      <c r="E114" s="218"/>
    </row>
    <row r="115" spans="3:5">
      <c r="C115" s="218"/>
      <c r="E115" s="218"/>
    </row>
    <row r="116" spans="3:5">
      <c r="C116" s="218"/>
      <c r="E116" s="218"/>
    </row>
    <row r="117" spans="3:5">
      <c r="C117" s="218"/>
      <c r="E117" s="218"/>
    </row>
    <row r="118" spans="3:5">
      <c r="C118" s="218"/>
      <c r="E118" s="218"/>
    </row>
    <row r="119" spans="3:5">
      <c r="C119" s="218"/>
      <c r="E119" s="218"/>
    </row>
    <row r="120" spans="3:5">
      <c r="C120" s="218"/>
      <c r="E120" s="218"/>
    </row>
    <row r="121" spans="3:5">
      <c r="C121" s="218"/>
      <c r="E121" s="218"/>
    </row>
    <row r="122" spans="3:5">
      <c r="C122" s="218"/>
      <c r="E122" s="218"/>
    </row>
    <row r="123" spans="3:5">
      <c r="C123" s="218"/>
      <c r="E123" s="218"/>
    </row>
    <row r="124" spans="3:5">
      <c r="C124" s="218"/>
      <c r="E124" s="218"/>
    </row>
    <row r="125" spans="3:5">
      <c r="C125" s="218"/>
      <c r="E125" s="218"/>
    </row>
    <row r="126" spans="3:5">
      <c r="C126" s="218"/>
      <c r="E126" s="218"/>
    </row>
    <row r="127" spans="3:5">
      <c r="C127" s="218"/>
      <c r="E127" s="218"/>
    </row>
    <row r="128" spans="3:5">
      <c r="C128" s="218"/>
      <c r="E128" s="218"/>
    </row>
    <row r="129" spans="3:5">
      <c r="C129" s="218"/>
      <c r="E129" s="218"/>
    </row>
    <row r="130" spans="3:5">
      <c r="C130" s="218"/>
      <c r="E130" s="218"/>
    </row>
    <row r="131" spans="3:5">
      <c r="C131" s="218"/>
      <c r="E131" s="21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/>
  <dimension ref="A1:I345"/>
  <sheetViews>
    <sheetView workbookViewId="0">
      <selection activeCell="B40" sqref="B40"/>
    </sheetView>
  </sheetViews>
  <sheetFormatPr baseColWidth="10" defaultRowHeight="14.25"/>
  <cols>
    <col min="1" max="1" width="13.5" bestFit="1" customWidth="1"/>
    <col min="3" max="3" width="12.125" customWidth="1"/>
    <col min="4" max="4" width="9.625" customWidth="1"/>
    <col min="5" max="5" width="12.125" customWidth="1"/>
    <col min="7" max="7" width="12" bestFit="1" customWidth="1"/>
  </cols>
  <sheetData>
    <row r="1" spans="1:9" s="218" customFormat="1" ht="15">
      <c r="A1" s="4" t="s">
        <v>1294</v>
      </c>
      <c r="B1" s="4" t="s">
        <v>1297</v>
      </c>
      <c r="C1" s="115" t="s">
        <v>1296</v>
      </c>
      <c r="D1" s="115" t="s">
        <v>91</v>
      </c>
      <c r="E1" s="115" t="s">
        <v>1298</v>
      </c>
      <c r="F1" s="115" t="s">
        <v>90</v>
      </c>
      <c r="G1" s="115" t="s">
        <v>1300</v>
      </c>
    </row>
    <row r="2" spans="1:9">
      <c r="A2" t="s">
        <v>395</v>
      </c>
      <c r="B2" s="218" t="str">
        <f>+_xll.BDP($A2&amp;" Corp","ID_CUSIP")</f>
        <v>EI0602397</v>
      </c>
      <c r="C2" s="186" t="str">
        <f>+_xll.BDP($B2 &amp; " Corp","MTY_YEARS")</f>
        <v>#N/A Field Not Applicable</v>
      </c>
      <c r="D2" s="226" t="str">
        <f>+_xll.BDP($B2 &amp; "@RIAY Corp","DUR_BID")</f>
        <v>#N/A N/A</v>
      </c>
      <c r="E2" s="226" t="str">
        <f>+_xll.BDP(LEFT(B2,8) &amp; "@RIAY Corp","BID_YIELD")</f>
        <v>#N/A Real Time</v>
      </c>
      <c r="F2" s="107" t="str">
        <f>+_xll.BDP(LEFT(B2,8) &amp; "@RIAY Corp","TRADE_CRNCY")</f>
        <v>CLF</v>
      </c>
      <c r="G2" s="199" t="str">
        <f ca="1">+IFERROR((E2-IF(F2="CLF",[4]!CERCHA($D2,'Curva Gobierno'!$D$2:$E$38,0),[4]!CERCHA($D2,'Curva Gobierno'!$J$2:$K$22)))*100,"")</f>
        <v/>
      </c>
      <c r="I2" s="199"/>
    </row>
    <row r="3" spans="1:9">
      <c r="A3" t="s">
        <v>511</v>
      </c>
      <c r="B3" s="218" t="str">
        <f>+_xll.BDP($A3&amp;" Corp","ID_CUSIP")</f>
        <v>EK2711373</v>
      </c>
      <c r="C3" s="186" t="str">
        <f>+_xll.BDP($B3 &amp; " Corp","MTY_YEARS")</f>
        <v>#N/A Field Not Applicable</v>
      </c>
      <c r="D3" s="226" t="str">
        <f>+_xll.BDP($B3 &amp; "@RIAY Corp","DUR_BID")</f>
        <v>#N/A N/A</v>
      </c>
      <c r="E3" s="226" t="str">
        <f>+_xll.BDP(LEFT(B3,8) &amp; "@RIAY Corp","BID_YIELD")</f>
        <v>#N/A Real Time</v>
      </c>
      <c r="F3" s="107" t="str">
        <f>+_xll.BDP(LEFT(B3,8) &amp; "@RIAY Corp","TRADE_CRNCY")</f>
        <v>CLP</v>
      </c>
      <c r="G3" s="199" t="str">
        <f ca="1">+IFERROR((E3-IF(F3="CLF",[4]!CERCHA($D3,'Curva Gobierno'!$D$2:$E$38,0),[4]!CERCHA($D3,'Curva Gobierno'!$J$2:$K$22)))*100,"")</f>
        <v/>
      </c>
    </row>
    <row r="4" spans="1:9">
      <c r="A4" t="s">
        <v>401</v>
      </c>
      <c r="B4" s="218" t="str">
        <f>+_xll.BDP($A4&amp;" Corp","ID_CUSIP")</f>
        <v>EK7479810</v>
      </c>
      <c r="C4" s="186" t="str">
        <f>+_xll.BDP($B4 &amp; " Corp","MTY_YEARS")</f>
        <v>#N/A Field Not Applicable</v>
      </c>
      <c r="D4" s="226" t="str">
        <f>+_xll.BDP($B4 &amp; "@RIAY Corp","DUR_BID")</f>
        <v>#N/A N/A</v>
      </c>
      <c r="E4" s="226" t="str">
        <f>+_xll.BDP(LEFT(B4,8) &amp; "@RIAY Corp","BID_YIELD")</f>
        <v>#N/A Real Time</v>
      </c>
      <c r="F4" s="107" t="str">
        <f>+_xll.BDP(LEFT(B4,8) &amp; "@RIAY Corp","TRADE_CRNCY")</f>
        <v>CLF</v>
      </c>
      <c r="G4" s="199" t="str">
        <f ca="1">+IFERROR((E4-IF(F4="CLF",[4]!CERCHA($D4,'Curva Gobierno'!$D$2:$E$38,0),[4]!CERCHA($D4,'Curva Gobierno'!$J$2:$K$22)))*100,"")</f>
        <v/>
      </c>
    </row>
    <row r="5" spans="1:9">
      <c r="A5" t="s">
        <v>1273</v>
      </c>
      <c r="B5" s="218" t="str">
        <f>+_xll.BDP($A5&amp;" Corp","ID_CUSIP")</f>
        <v>EI7166370</v>
      </c>
      <c r="C5" s="186" t="str">
        <f>+_xll.BDP($B5 &amp; " Corp","MTY_YEARS")</f>
        <v>#N/A Field Not Applicable</v>
      </c>
      <c r="D5" s="226" t="str">
        <f>+_xll.BDP($B5 &amp; "@RIAY Corp","DUR_BID")</f>
        <v>#N/A N/A</v>
      </c>
      <c r="E5" s="226" t="str">
        <f>+_xll.BDP(LEFT(B5,8) &amp; "@RIAY Corp","BID_YIELD")</f>
        <v>#N/A Real Time</v>
      </c>
      <c r="F5" s="107" t="str">
        <f>+_xll.BDP(LEFT(B5,8) &amp; "@RIAY Corp","TRADE_CRNCY")</f>
        <v>CLF</v>
      </c>
      <c r="G5" s="199" t="str">
        <f ca="1">+IFERROR((E5-IF(F5="CLF",[4]!CERCHA($D5,'Curva Gobierno'!$D$2:$E$38,0),[4]!CERCHA($D5,'Curva Gobierno'!$J$2:$K$22)))*100,"")</f>
        <v/>
      </c>
    </row>
    <row r="6" spans="1:9">
      <c r="A6" t="s">
        <v>403</v>
      </c>
      <c r="B6" s="218" t="str">
        <f>+_xll.BDP($A6&amp;" Corp","ID_CUSIP")</f>
        <v>EH8370429</v>
      </c>
      <c r="C6" s="186" t="str">
        <f>+_xll.BDP($B6 &amp; " Corp","MTY_YEARS")</f>
        <v>#N/A Field Not Applicable</v>
      </c>
      <c r="D6" s="226" t="str">
        <f>+_xll.BDP($B6 &amp; "@RIAY Corp","DUR_BID")</f>
        <v>#N/A N/A</v>
      </c>
      <c r="E6" s="226" t="str">
        <f>+_xll.BDP(LEFT(B6,8) &amp; "@RIAY Corp","BID_YIELD")</f>
        <v>#N/A Real Time</v>
      </c>
      <c r="F6" s="107" t="str">
        <f>+_xll.BDP(LEFT(B6,8) &amp; "@RIAY Corp","TRADE_CRNCY")</f>
        <v>CLF</v>
      </c>
      <c r="G6" s="199" t="str">
        <f ca="1">+IFERROR((E6-IF(F6="CLF",[4]!CERCHA($D6,'Curva Gobierno'!$D$2:$E$38,0),[4]!CERCHA($D6,'Curva Gobierno'!$J$2:$K$22)))*100,"")</f>
        <v/>
      </c>
    </row>
    <row r="7" spans="1:9">
      <c r="A7" t="s">
        <v>405</v>
      </c>
      <c r="B7" s="218" t="str">
        <f>+_xll.BDP($A7&amp;" Corp","ID_CUSIP")</f>
        <v>EJ7097268</v>
      </c>
      <c r="C7" s="186" t="str">
        <f>+_xll.BDP($B7 &amp; " Corp","MTY_YEARS")</f>
        <v>#N/A Field Not Applicable</v>
      </c>
      <c r="D7" s="226" t="str">
        <f>+_xll.BDP($B7 &amp; "@RIAY Corp","DUR_BID")</f>
        <v>#N/A N/A</v>
      </c>
      <c r="E7" s="226" t="str">
        <f>+_xll.BDP(LEFT(B7,8) &amp; "@RIAY Corp","BID_YIELD")</f>
        <v>#N/A Real Time</v>
      </c>
      <c r="F7" s="107" t="str">
        <f>+_xll.BDP(LEFT(B7,8) &amp; "@RIAY Corp","TRADE_CRNCY")</f>
        <v>CLF</v>
      </c>
      <c r="G7" s="199" t="str">
        <f ca="1">+IFERROR((E7-IF(F7="CLF",[4]!CERCHA($D7,'Curva Gobierno'!$D$2:$E$38,0),[4]!CERCHA($D7,'Curva Gobierno'!$J$2:$K$22)))*100,"")</f>
        <v/>
      </c>
    </row>
    <row r="8" spans="1:9">
      <c r="A8" t="s">
        <v>518</v>
      </c>
      <c r="B8" s="218" t="str">
        <f>+_xll.BDP($A8&amp;" Corp","ID_CUSIP")</f>
        <v>EJ6691442</v>
      </c>
      <c r="C8" s="186" t="str">
        <f>+_xll.BDP($B8 &amp; " Corp","MTY_YEARS")</f>
        <v>#N/A Field Not Applicable</v>
      </c>
      <c r="D8" s="226" t="str">
        <f>+_xll.BDP($B8 &amp; "@RIAY Corp","DUR_BID")</f>
        <v>#N/A N/A</v>
      </c>
      <c r="E8" s="226" t="str">
        <f>+_xll.BDP(LEFT(B8,8) &amp; "@RIAY Corp","BID_YIELD")</f>
        <v>#N/A Real Time</v>
      </c>
      <c r="F8" s="107" t="str">
        <f>+_xll.BDP(LEFT(B8,8) &amp; "@RIAY Corp","TRADE_CRNCY")</f>
        <v>CLF</v>
      </c>
      <c r="G8" s="199" t="str">
        <f ca="1">+IFERROR((E8-IF(F8="CLF",[4]!CERCHA($D8,'Curva Gobierno'!$D$2:$E$38,0),[4]!CERCHA($D8,'Curva Gobierno'!$J$2:$K$22)))*100,"")</f>
        <v/>
      </c>
    </row>
    <row r="9" spans="1:9">
      <c r="A9" t="s">
        <v>520</v>
      </c>
      <c r="B9" s="218" t="str">
        <f>+_xll.BDP($A9&amp;" Corp","ID_CUSIP")</f>
        <v>EJ6690741</v>
      </c>
      <c r="C9" s="186" t="str">
        <f>+_xll.BDP($B9 &amp; " Corp","MTY_YEARS")</f>
        <v>#N/A Field Not Applicable</v>
      </c>
      <c r="D9" s="226" t="str">
        <f>+_xll.BDP($B9 &amp; "@RIAY Corp","DUR_BID")</f>
        <v>#N/A N/A</v>
      </c>
      <c r="E9" s="226" t="str">
        <f>+_xll.BDP(LEFT(B9,8) &amp; "@RIAY Corp","BID_YIELD")</f>
        <v>#N/A Real Time</v>
      </c>
      <c r="F9" s="107" t="str">
        <f>+_xll.BDP(LEFT(B9,8) &amp; "@RIAY Corp","TRADE_CRNCY")</f>
        <v>CLF</v>
      </c>
      <c r="G9" s="199" t="str">
        <f ca="1">+IFERROR((E9-IF(F9="CLF",[4]!CERCHA($D9,'Curva Gobierno'!$D$2:$E$38,0),[4]!CERCHA($D9,'Curva Gobierno'!$J$2:$K$22)))*100,"")</f>
        <v/>
      </c>
    </row>
    <row r="10" spans="1:9">
      <c r="A10" t="s">
        <v>525</v>
      </c>
      <c r="B10" s="218" t="str">
        <f>+_xll.BDP($A10&amp;" Corp","ID_CUSIP")</f>
        <v>EH8369983</v>
      </c>
      <c r="C10" s="186" t="str">
        <f>+_xll.BDP($B10 &amp; " Corp","MTY_YEARS")</f>
        <v>#N/A Field Not Applicable</v>
      </c>
      <c r="D10" s="226" t="str">
        <f>+_xll.BDP($B10 &amp; "@RIAY Corp","DUR_BID")</f>
        <v>#N/A N/A</v>
      </c>
      <c r="E10" s="226" t="str">
        <f>+_xll.BDP(LEFT(B10,8) &amp; "@RIAY Corp","BID_YIELD")</f>
        <v>#N/A Real Time</v>
      </c>
      <c r="F10" s="107" t="str">
        <f>+_xll.BDP(LEFT(B10,8) &amp; "@RIAY Corp","TRADE_CRNCY")</f>
        <v>CLF</v>
      </c>
      <c r="G10" s="199" t="str">
        <f ca="1">+IFERROR((E10-IF(F10="CLF",[4]!CERCHA($D10,'Curva Gobierno'!$D$2:$E$38,0),[4]!CERCHA($D10,'Curva Gobierno'!$J$2:$K$22)))*100,"")</f>
        <v/>
      </c>
    </row>
    <row r="11" spans="1:9">
      <c r="A11" t="s">
        <v>1269</v>
      </c>
      <c r="B11" s="218" t="str">
        <f>+_xll.BDP($A11&amp;" Corp","ID_CUSIP")</f>
        <v>EJ5250133</v>
      </c>
      <c r="C11" s="186" t="str">
        <f>+_xll.BDP($B11 &amp; " Corp","MTY_YEARS")</f>
        <v>#N/A Field Not Applicable</v>
      </c>
      <c r="D11" s="226" t="str">
        <f>+_xll.BDP($B11 &amp; "@RIAY Corp","DUR_BID")</f>
        <v>#N/A N/A</v>
      </c>
      <c r="E11" s="226" t="str">
        <f>+_xll.BDP(LEFT(B11,8) &amp; "@RIAY Corp","BID_YIELD")</f>
        <v>#N/A Real Time</v>
      </c>
      <c r="F11" s="107" t="str">
        <f>+_xll.BDP(LEFT(B11,8) &amp; "@RIAY Corp","TRADE_CRNCY")</f>
        <v>CLF</v>
      </c>
      <c r="G11" s="199" t="str">
        <f ca="1">+IFERROR((E11-IF(F11="CLF",[4]!CERCHA($D11,'Curva Gobierno'!$D$2:$E$38,0),[4]!CERCHA($D11,'Curva Gobierno'!$J$2:$K$22)))*100,"")</f>
        <v/>
      </c>
    </row>
    <row r="12" spans="1:9">
      <c r="A12" t="s">
        <v>526</v>
      </c>
      <c r="B12" s="218" t="str">
        <f>+_xll.BDP($A12&amp;" Corp","ID_CUSIP")</f>
        <v>EK7480776</v>
      </c>
      <c r="C12" s="186" t="str">
        <f>+_xll.BDP($B12 &amp; " Corp","MTY_YEARS")</f>
        <v>#N/A Field Not Applicable</v>
      </c>
      <c r="D12" s="226" t="str">
        <f>+_xll.BDP($B12 &amp; "@RIAY Corp","DUR_BID")</f>
        <v>#N/A N/A</v>
      </c>
      <c r="E12" s="226" t="str">
        <f>+_xll.BDP(LEFT(B12,8) &amp; "@RIAY Corp","BID_YIELD")</f>
        <v>#N/A Real Time</v>
      </c>
      <c r="F12" s="107" t="str">
        <f>+_xll.BDP(LEFT(B12,8) &amp; "@RIAY Corp","TRADE_CRNCY")</f>
        <v>CLF</v>
      </c>
      <c r="G12" s="199" t="str">
        <f ca="1">+IFERROR((E12-IF(F12="CLF",[4]!CERCHA($D12,'Curva Gobierno'!$D$2:$E$38,0),[4]!CERCHA($D12,'Curva Gobierno'!$J$2:$K$22)))*100,"")</f>
        <v/>
      </c>
    </row>
    <row r="13" spans="1:9">
      <c r="A13" t="s">
        <v>413</v>
      </c>
      <c r="B13" s="218" t="str">
        <f>+_xll.BDP($A13&amp;" Corp","ID_CUSIP")</f>
        <v>EK7507883</v>
      </c>
      <c r="C13" s="186" t="str">
        <f>+_xll.BDP($B13 &amp; " Corp","MTY_YEARS")</f>
        <v>#N/A Field Not Applicable</v>
      </c>
      <c r="D13" s="226" t="str">
        <f>+_xll.BDP($B13 &amp; "@RIAY Corp","DUR_BID")</f>
        <v>#N/A N/A</v>
      </c>
      <c r="E13" s="226" t="str">
        <f>+_xll.BDP(LEFT(B13,8) &amp; "@RIAY Corp","BID_YIELD")</f>
        <v>#N/A Real Time</v>
      </c>
      <c r="F13" s="107" t="str">
        <f>+_xll.BDP(LEFT(B13,8) &amp; "@RIAY Corp","TRADE_CRNCY")</f>
        <v>CLF</v>
      </c>
      <c r="G13" s="199" t="str">
        <f ca="1">+IFERROR((E13-IF(F13="CLF",[4]!CERCHA($D13,'Curva Gobierno'!$D$2:$E$38,0),[4]!CERCHA($D13,'Curva Gobierno'!$J$2:$K$22)))*100,"")</f>
        <v/>
      </c>
    </row>
    <row r="14" spans="1:9">
      <c r="A14" t="s">
        <v>1255</v>
      </c>
      <c r="B14" s="218" t="str">
        <f>+_xll.BDP($A14&amp;" Corp","ID_CUSIP")</f>
        <v>EI5956970</v>
      </c>
      <c r="C14" s="186">
        <f>+_xll.BDP($B14 &amp; " Corp","MTY_YEARS")</f>
        <v>2.7378507871321012E-2</v>
      </c>
      <c r="D14" s="226" t="str">
        <f>+_xll.BDP($B14 &amp; "@RIAY Corp","DUR_BID")</f>
        <v>#N/A N/A</v>
      </c>
      <c r="E14" s="226" t="str">
        <f>+_xll.BDP(LEFT(B14,8) &amp; "@RIAY Corp","BID_YIELD")</f>
        <v>#N/A Real Time</v>
      </c>
      <c r="F14" s="107" t="str">
        <f>+_xll.BDP(LEFT(B14,8) &amp; "@RIAY Corp","TRADE_CRNCY")</f>
        <v>CLF</v>
      </c>
      <c r="G14" s="199" t="str">
        <f ca="1">+IFERROR((E14-IF(F14="CLF",[4]!CERCHA($D14,'Curva Gobierno'!$D$2:$E$38,0),[4]!CERCHA($D14,'Curva Gobierno'!$J$2:$K$22)))*100,"")</f>
        <v/>
      </c>
    </row>
    <row r="15" spans="1:9">
      <c r="A15" t="s">
        <v>415</v>
      </c>
      <c r="B15" s="218" t="str">
        <f>+_xll.BDP($A15&amp;" Corp","ID_CUSIP")</f>
        <v>EK8658107</v>
      </c>
      <c r="C15" s="186">
        <f>+_xll.BDP($B15 &amp; " Corp","MTY_YEARS")</f>
        <v>0.81587953456536622</v>
      </c>
      <c r="D15" s="226" t="str">
        <f>+_xll.BDP($B15 &amp; "@RIAY Corp","DUR_BID")</f>
        <v>#N/A N/A</v>
      </c>
      <c r="E15" s="226" t="str">
        <f>+_xll.BDP(LEFT(B15,8) &amp; "@RIAY Corp","BID_YIELD")</f>
        <v>#N/A Real Time</v>
      </c>
      <c r="F15" s="107" t="str">
        <f>+_xll.BDP(LEFT(B15,8) &amp; "@RIAY Corp","TRADE_CRNCY")</f>
        <v>CLP</v>
      </c>
      <c r="G15" s="199" t="str">
        <f ca="1">+IFERROR((E15-IF(F15="CLF",[4]!CERCHA($D15,'Curva Gobierno'!$D$2:$E$38,0),[4]!CERCHA($D15,'Curva Gobierno'!$J$2:$K$22)))*100,"")</f>
        <v/>
      </c>
    </row>
    <row r="16" spans="1:9">
      <c r="A16" t="s">
        <v>419</v>
      </c>
      <c r="B16" s="218" t="str">
        <f>+_xll.BDP($A16&amp;" Corp","ID_CUSIP")</f>
        <v>EH8394353</v>
      </c>
      <c r="C16" s="186">
        <f>+_xll.BDP($B16 &amp; " Corp","MTY_YEARS")</f>
        <v>0.81587953456536622</v>
      </c>
      <c r="D16" s="226" t="str">
        <f>+_xll.BDP($B16 &amp; "@RIAY Corp","DUR_BID")</f>
        <v>#N/A N/A</v>
      </c>
      <c r="E16" s="226" t="str">
        <f>+_xll.BDP(LEFT(B16,8) &amp; "@RIAY Corp","BID_YIELD")</f>
        <v>#N/A Real Time</v>
      </c>
      <c r="F16" s="107" t="str">
        <f>+_xll.BDP(LEFT(B16,8) &amp; "@RIAY Corp","TRADE_CRNCY")</f>
        <v>CLF</v>
      </c>
      <c r="G16" s="199" t="str">
        <f ca="1">+IFERROR((E16-IF(F16="CLF",[4]!CERCHA($D16,'Curva Gobierno'!$D$2:$E$38,0),[4]!CERCHA($D16,'Curva Gobierno'!$J$2:$K$22)))*100,"")</f>
        <v/>
      </c>
    </row>
    <row r="17" spans="1:7">
      <c r="A17" t="s">
        <v>538</v>
      </c>
      <c r="B17" s="218" t="str">
        <f>+_xll.BDP($A17&amp;" Corp","ID_CUSIP")</f>
        <v>EH7794645</v>
      </c>
      <c r="C17" s="186">
        <f>+_xll.BDP($B17 &amp; " Corp","MTY_YEARS")</f>
        <v>0.11225188227241616</v>
      </c>
      <c r="D17" s="226" t="str">
        <f>+_xll.BDP($B17 &amp; "@RIAY Corp","DUR_BID")</f>
        <v>#N/A N/A</v>
      </c>
      <c r="E17" s="226" t="str">
        <f>+_xll.BDP(LEFT(B17,8) &amp; "@RIAY Corp","BID_YIELD")</f>
        <v>#N/A Real Time</v>
      </c>
      <c r="F17" s="107" t="str">
        <f>+_xll.BDP(LEFT(B17,8) &amp; "@RIAY Corp","TRADE_CRNCY")</f>
        <v>CLF</v>
      </c>
      <c r="G17" s="199" t="str">
        <f ca="1">+IFERROR((E17-IF(F17="CLF",[4]!CERCHA($D17,'Curva Gobierno'!$D$2:$E$38,0),[4]!CERCHA($D17,'Curva Gobierno'!$J$2:$K$22)))*100,"")</f>
        <v/>
      </c>
    </row>
    <row r="18" spans="1:7">
      <c r="A18" t="s">
        <v>409</v>
      </c>
      <c r="B18" s="218" t="str">
        <f>+_xll.BDP($A18&amp;" Corp","ID_CUSIP")</f>
        <v>EK5289690</v>
      </c>
      <c r="C18" s="186">
        <f>+_xll.BDP($B18 &amp; " Corp","MTY_YEARS")</f>
        <v>0.6461327857631759</v>
      </c>
      <c r="D18" s="226" t="str">
        <f>+_xll.BDP($B18 &amp; "@RIAY Corp","DUR_BID")</f>
        <v>#N/A N/A</v>
      </c>
      <c r="E18" s="226" t="str">
        <f>+_xll.BDP(LEFT(B18,8) &amp; "@RIAY Corp","BID_YIELD")</f>
        <v>#N/A Real Time</v>
      </c>
      <c r="F18" s="107" t="str">
        <f>+_xll.BDP(LEFT(B18,8) &amp; "@RIAY Corp","TRADE_CRNCY")</f>
        <v>CLP</v>
      </c>
      <c r="G18" s="199" t="str">
        <f ca="1">+IFERROR((E18-IF(F18="CLF",[4]!CERCHA($D18,'Curva Gobierno'!$D$2:$E$38,0),[4]!CERCHA($D18,'Curva Gobierno'!$J$2:$K$22)))*100,"")</f>
        <v/>
      </c>
    </row>
    <row r="19" spans="1:7">
      <c r="A19" t="s">
        <v>424</v>
      </c>
      <c r="B19" s="218" t="str">
        <f>+_xll.BDP($A19&amp;" Corp","ID_CUSIP")</f>
        <v>EI8263325</v>
      </c>
      <c r="C19" s="186">
        <f>+_xll.BDP($B19 &amp; " Corp","MTY_YEARS")</f>
        <v>0.1971252566735113</v>
      </c>
      <c r="D19" s="226" t="str">
        <f>+_xll.BDP($B19 &amp; "@RIAY Corp","DUR_BID")</f>
        <v>#N/A N/A</v>
      </c>
      <c r="E19" s="226" t="str">
        <f>+_xll.BDP(LEFT(B19,8) &amp; "@RIAY Corp","BID_YIELD")</f>
        <v>#N/A Real Time</v>
      </c>
      <c r="F19" s="107" t="str">
        <f>+_xll.BDP(LEFT(B19,8) &amp; "@RIAY Corp","TRADE_CRNCY")</f>
        <v>CLF</v>
      </c>
      <c r="G19" s="199" t="str">
        <f ca="1">+IFERROR((E19-IF(F19="CLF",[4]!CERCHA($D19,'Curva Gobierno'!$D$2:$E$38,0),[4]!CERCHA($D19,'Curva Gobierno'!$J$2:$K$22)))*100,"")</f>
        <v/>
      </c>
    </row>
    <row r="20" spans="1:7">
      <c r="A20" t="s">
        <v>426</v>
      </c>
      <c r="B20" s="218" t="str">
        <f>+_xll.BDP($A20&amp;" Corp","ID_CUSIP")</f>
        <v>EJ4532820</v>
      </c>
      <c r="C20" s="186">
        <f>+_xll.BDP($B20 &amp; " Corp","MTY_YEARS")</f>
        <v>0.95550992470910334</v>
      </c>
      <c r="D20" s="226" t="str">
        <f>+_xll.BDP($B20 &amp; "@RIAY Corp","DUR_BID")</f>
        <v>#N/A N/A</v>
      </c>
      <c r="E20" s="226" t="str">
        <f>+_xll.BDP(LEFT(B20,8) &amp; "@RIAY Corp","BID_YIELD")</f>
        <v>#N/A Real Time</v>
      </c>
      <c r="F20" s="107" t="str">
        <f>+_xll.BDP(LEFT(B20,8) &amp; "@RIAY Corp","TRADE_CRNCY")</f>
        <v>CLF</v>
      </c>
      <c r="G20" s="199" t="str">
        <f ca="1">+IFERROR((E20-IF(F20="CLF",[4]!CERCHA($D20,'Curva Gobierno'!$D$2:$E$38,0),[4]!CERCHA($D20,'Curva Gobierno'!$J$2:$K$22)))*100,"")</f>
        <v/>
      </c>
    </row>
    <row r="21" spans="1:7">
      <c r="A21" t="s">
        <v>432</v>
      </c>
      <c r="B21" s="218" t="str">
        <f>+_xll.BDP($A21&amp;" Corp","ID_CUSIP")</f>
        <v>EJ6212751</v>
      </c>
      <c r="C21" s="186">
        <f>+_xll.BDP($B21 &amp; " Corp","MTY_YEARS")</f>
        <v>0.35865845311430528</v>
      </c>
      <c r="D21" s="226" t="str">
        <f>+_xll.BDP($B21 &amp; "@RIAY Corp","DUR_BID")</f>
        <v>#N/A N/A</v>
      </c>
      <c r="E21" s="226" t="str">
        <f>+_xll.BDP(LEFT(B21,8) &amp; "@RIAY Corp","BID_YIELD")</f>
        <v>#N/A Real Time</v>
      </c>
      <c r="F21" s="107" t="str">
        <f>+_xll.BDP(LEFT(B21,8) &amp; "@RIAY Corp","TRADE_CRNCY")</f>
        <v>CLF</v>
      </c>
      <c r="G21" s="199" t="str">
        <f ca="1">+IFERROR((E21-IF(F21="CLF",[4]!CERCHA($D21,'Curva Gobierno'!$D$2:$E$38,0),[4]!CERCHA($D21,'Curva Gobierno'!$J$2:$K$22)))*100,"")</f>
        <v/>
      </c>
    </row>
    <row r="22" spans="1:7">
      <c r="A22" t="s">
        <v>437</v>
      </c>
      <c r="B22" s="218" t="str">
        <f>+_xll.BDP($A22&amp;" Corp","ID_CUSIP")</f>
        <v>EK7217905</v>
      </c>
      <c r="C22" s="186">
        <f>+_xll.BDP($B22 &amp; " Corp","MTY_YEARS")</f>
        <v>0.35865845311430528</v>
      </c>
      <c r="D22" s="226" t="str">
        <f>+_xll.BDP($B22 &amp; "@RIAY Corp","DUR_BID")</f>
        <v>#N/A N/A</v>
      </c>
      <c r="E22" s="226" t="str">
        <f>+_xll.BDP(LEFT(B22,8) &amp; "@RIAY Corp","BID_YIELD")</f>
        <v>#N/A Real Time</v>
      </c>
      <c r="F22" s="107" t="str">
        <f>+_xll.BDP(LEFT(B22,8) &amp; "@RIAY Corp","TRADE_CRNCY")</f>
        <v>CLF</v>
      </c>
      <c r="G22" s="199" t="str">
        <f ca="1">+IFERROR((E22-IF(F22="CLF",[4]!CERCHA($D22,'Curva Gobierno'!$D$2:$E$38,0),[4]!CERCHA($D22,'Curva Gobierno'!$J$2:$K$22)))*100,"")</f>
        <v/>
      </c>
    </row>
    <row r="23" spans="1:7">
      <c r="A23" t="s">
        <v>542</v>
      </c>
      <c r="B23" s="218" t="str">
        <f>+_xll.BDP($A23&amp;" Corp","ID_CUSIP")</f>
        <v>EJ5574151</v>
      </c>
      <c r="C23" s="186">
        <f>+_xll.BDP($B23 &amp; " Corp","MTY_YEARS")</f>
        <v>1.3579739904175223</v>
      </c>
      <c r="D23" s="226" t="str">
        <f>+_xll.BDP($B23 &amp; "@RIAY Corp","DUR_BID")</f>
        <v>#N/A N/A</v>
      </c>
      <c r="E23" s="226" t="str">
        <f>+_xll.BDP(LEFT(B23,8) &amp; "@RIAY Corp","BID_YIELD")</f>
        <v>#N/A Real Time</v>
      </c>
      <c r="F23" s="107" t="str">
        <f>+_xll.BDP(LEFT(B23,8) &amp; "@RIAY Corp","TRADE_CRNCY")</f>
        <v>CLF</v>
      </c>
      <c r="G23" s="199" t="str">
        <f ca="1">+IFERROR((E23-IF(F23="CLF",[4]!CERCHA($D23,'Curva Gobierno'!$D$2:$E$38,0),[4]!CERCHA($D23,'Curva Gobierno'!$J$2:$K$22)))*100,"")</f>
        <v/>
      </c>
    </row>
    <row r="24" spans="1:7">
      <c r="A24" t="s">
        <v>440</v>
      </c>
      <c r="B24" s="218" t="str">
        <f>+_xll.BDP($A24&amp;" Corp","ID_CUSIP")</f>
        <v>EK4688231</v>
      </c>
      <c r="C24" s="186">
        <f>+_xll.BDP($B24 &amp; " Corp","MTY_YEARS")</f>
        <v>0.3805612594113621</v>
      </c>
      <c r="D24" s="226" t="str">
        <f>+_xll.BDP($B24 &amp; "@RIAY Corp","DUR_BID")</f>
        <v>#N/A N/A</v>
      </c>
      <c r="E24" s="226" t="str">
        <f>+_xll.BDP(LEFT(B24,8) &amp; "@RIAY Corp","BID_YIELD")</f>
        <v>#N/A Real Time</v>
      </c>
      <c r="F24" s="107" t="str">
        <f>+_xll.BDP(LEFT(B24,8) &amp; "@RIAY Corp","TRADE_CRNCY")</f>
        <v>CLF</v>
      </c>
      <c r="G24" s="199" t="str">
        <f ca="1">+IFERROR((E24-IF(F24="CLF",[4]!CERCHA($D24,'Curva Gobierno'!$D$2:$E$38,0),[4]!CERCHA($D24,'Curva Gobierno'!$J$2:$K$22)))*100,"")</f>
        <v/>
      </c>
    </row>
    <row r="25" spans="1:7">
      <c r="A25" t="s">
        <v>442</v>
      </c>
      <c r="B25" s="218" t="str">
        <f>+_xll.BDP($A25&amp;" Corp","ID_CUSIP")</f>
        <v>EJ7839123</v>
      </c>
      <c r="C25" s="186">
        <f>+_xll.BDP($B25 &amp; " Corp","MTY_YEARS")</f>
        <v>0.44079397672826831</v>
      </c>
      <c r="D25" s="226" t="str">
        <f>+_xll.BDP($B25 &amp; "@RIAY Corp","DUR_BID")</f>
        <v>#N/A N/A</v>
      </c>
      <c r="E25" s="226" t="str">
        <f>+_xll.BDP(LEFT(B25,8) &amp; "@RIAY Corp","BID_YIELD")</f>
        <v>#N/A Real Time</v>
      </c>
      <c r="F25" s="107" t="str">
        <f>+_xll.BDP(LEFT(B25,8) &amp; "@RIAY Corp","TRADE_CRNCY")</f>
        <v>CLP</v>
      </c>
      <c r="G25" s="199" t="str">
        <f ca="1">+IFERROR((E25-IF(F25="CLF",[4]!CERCHA($D25,'Curva Gobierno'!$D$2:$E$38,0),[4]!CERCHA($D25,'Curva Gobierno'!$J$2:$K$22)))*100,"")</f>
        <v/>
      </c>
    </row>
    <row r="26" spans="1:7">
      <c r="A26" t="s">
        <v>446</v>
      </c>
      <c r="B26" s="218" t="str">
        <f>+_xll.BDP($A26&amp;" Corp","ID_CUSIP")</f>
        <v>EH7827973</v>
      </c>
      <c r="C26" s="186">
        <f>+_xll.BDP($B26 &amp; " Corp","MTY_YEARS")</f>
        <v>0.45722108145106094</v>
      </c>
      <c r="D26" s="226" t="str">
        <f>+_xll.BDP($B26 &amp; "@RIAY Corp","DUR_BID")</f>
        <v>#N/A N/A</v>
      </c>
      <c r="E26" s="226" t="str">
        <f>+_xll.BDP(LEFT(B26,8) &amp; "@RIAY Corp","BID_YIELD")</f>
        <v>#N/A Real Time</v>
      </c>
      <c r="F26" s="107" t="str">
        <f>+_xll.BDP(LEFT(B26,8) &amp; "@RIAY Corp","TRADE_CRNCY")</f>
        <v>CLF</v>
      </c>
      <c r="G26" s="199" t="str">
        <f ca="1">+IFERROR((E26-IF(F26="CLF",[4]!CERCHA($D26,'Curva Gobierno'!$D$2:$E$38,0),[4]!CERCHA($D26,'Curva Gobierno'!$J$2:$K$22)))*100,"")</f>
        <v/>
      </c>
    </row>
    <row r="27" spans="1:7">
      <c r="A27" t="s">
        <v>448</v>
      </c>
      <c r="B27" s="218" t="str">
        <f>+_xll.BDP($A27&amp;" Corp","ID_CUSIP")</f>
        <v>EJ7138534</v>
      </c>
      <c r="C27" s="186">
        <f>+_xll.BDP($B27 &amp; " Corp","MTY_YEARS")</f>
        <v>0.52566735112936347</v>
      </c>
      <c r="D27" s="226" t="str">
        <f>+_xll.BDP($B27 &amp; "@RIAY Corp","DUR_BID")</f>
        <v>#N/A N/A</v>
      </c>
      <c r="E27" s="226" t="str">
        <f>+_xll.BDP(LEFT(B27,8) &amp; "@RIAY Corp","BID_YIELD")</f>
        <v>#N/A Real Time</v>
      </c>
      <c r="F27" s="107" t="str">
        <f>+_xll.BDP(LEFT(B27,8) &amp; "@RIAY Corp","TRADE_CRNCY")</f>
        <v>CLP</v>
      </c>
      <c r="G27" s="199" t="str">
        <f ca="1">+IFERROR((E27-IF(F27="CLF",[4]!CERCHA($D27,'Curva Gobierno'!$D$2:$E$38,0),[4]!CERCHA($D27,'Curva Gobierno'!$J$2:$K$22)))*100,"")</f>
        <v/>
      </c>
    </row>
    <row r="28" spans="1:7">
      <c r="A28" t="s">
        <v>454</v>
      </c>
      <c r="B28" s="218" t="str">
        <f>+_xll.BDP($A28&amp;" Corp","ID_CUSIP")</f>
        <v>EK7218200</v>
      </c>
      <c r="C28" s="186">
        <f>+_xll.BDP($B28 &amp; " Corp","MTY_YEARS")</f>
        <v>0.52566735112936347</v>
      </c>
      <c r="D28" s="226" t="str">
        <f>+_xll.BDP($B28 &amp; "@RIAY Corp","DUR_BID")</f>
        <v>#N/A N/A</v>
      </c>
      <c r="E28" s="226" t="str">
        <f>+_xll.BDP(LEFT(B28,8) &amp; "@RIAY Corp","BID_YIELD")</f>
        <v>#N/A Real Time</v>
      </c>
      <c r="F28" s="107" t="str">
        <f>+_xll.BDP(LEFT(B28,8) &amp; "@RIAY Corp","TRADE_CRNCY")</f>
        <v>CLF</v>
      </c>
      <c r="G28" s="199" t="str">
        <f ca="1">+IFERROR((E28-IF(F28="CLF",[4]!CERCHA($D28,'Curva Gobierno'!$D$2:$E$38,0),[4]!CERCHA($D28,'Curva Gobierno'!$J$2:$K$22)))*100,"")</f>
        <v/>
      </c>
    </row>
    <row r="29" spans="1:7">
      <c r="A29" t="s">
        <v>451</v>
      </c>
      <c r="B29" s="218" t="str">
        <f>+_xll.BDP($A29&amp;" Corp","ID_CUSIP")</f>
        <v>JV6955779</v>
      </c>
      <c r="C29" s="186">
        <f>+_xll.BDP($B29 &amp; " Corp","MTY_YEARS")</f>
        <v>1.5249828884325805</v>
      </c>
      <c r="D29" s="226" t="str">
        <f>+_xll.BDP($B29 &amp; "@RIAY Corp","DUR_BID")</f>
        <v>#N/A N/A</v>
      </c>
      <c r="E29" s="226" t="str">
        <f>+_xll.BDP(LEFT(B29,8) &amp; "@RIAY Corp","BID_YIELD")</f>
        <v>#N/A Real Time</v>
      </c>
      <c r="F29" s="107" t="str">
        <f>+_xll.BDP(LEFT(B29,8) &amp; "@RIAY Corp","TRADE_CRNCY")</f>
        <v>CLF</v>
      </c>
      <c r="G29" s="199" t="str">
        <f ca="1">+IFERROR((E29-IF(F29="CLF",[4]!CERCHA($D29,'Curva Gobierno'!$D$2:$E$38,0),[4]!CERCHA($D29,'Curva Gobierno'!$J$2:$K$22)))*100,"")</f>
        <v/>
      </c>
    </row>
    <row r="30" spans="1:7">
      <c r="A30" t="s">
        <v>527</v>
      </c>
      <c r="B30" s="218" t="str">
        <f>+_xll.BDP($A30&amp;" Corp","ID_CUSIP")</f>
        <v>EJ0979017</v>
      </c>
      <c r="C30" s="186">
        <f>+_xll.BDP($B30 &amp; " Corp","MTY_YEARS")</f>
        <v>1.0266940451745379</v>
      </c>
      <c r="D30" s="226" t="str">
        <f>+_xll.BDP($B30 &amp; "@RIAY Corp","DUR_BID")</f>
        <v>#N/A N/A</v>
      </c>
      <c r="E30" s="226" t="str">
        <f>+_xll.BDP(LEFT(B30,8) &amp; "@RIAY Corp","BID_YIELD")</f>
        <v>#N/A Real Time</v>
      </c>
      <c r="F30" s="107" t="str">
        <f>+_xll.BDP(LEFT(B30,8) &amp; "@RIAY Corp","TRADE_CRNCY")</f>
        <v>CLF</v>
      </c>
      <c r="G30" s="199" t="str">
        <f ca="1">+IFERROR((E30-IF(F30="CLF",[4]!CERCHA($D30,'Curva Gobierno'!$D$2:$E$38,0),[4]!CERCHA($D30,'Curva Gobierno'!$J$2:$K$22)))*100,"")</f>
        <v/>
      </c>
    </row>
    <row r="31" spans="1:7">
      <c r="A31" t="s">
        <v>455</v>
      </c>
      <c r="B31" s="218" t="str">
        <f>+_xll.BDP($A31&amp;" Corp","ID_CUSIP")</f>
        <v>EI6705376</v>
      </c>
      <c r="C31" s="186">
        <f>+_xll.BDP($B31 &amp; " Corp","MTY_YEARS")</f>
        <v>0.6078028747433265</v>
      </c>
      <c r="D31" s="226" t="str">
        <f>+_xll.BDP($B31 &amp; "@RIAY Corp","DUR_BID")</f>
        <v>#N/A N/A</v>
      </c>
      <c r="E31" s="226" t="str">
        <f>+_xll.BDP(LEFT(B31,8) &amp; "@RIAY Corp","BID_YIELD")</f>
        <v>#N/A Real Time</v>
      </c>
      <c r="F31" s="107" t="str">
        <f>+_xll.BDP(LEFT(B31,8) &amp; "@RIAY Corp","TRADE_CRNCY")</f>
        <v>CLF</v>
      </c>
      <c r="G31" s="199" t="str">
        <f ca="1">+IFERROR((E31-IF(F31="CLF",[4]!CERCHA($D31,'Curva Gobierno'!$D$2:$E$38,0),[4]!CERCHA($D31,'Curva Gobierno'!$J$2:$K$22)))*100,"")</f>
        <v/>
      </c>
    </row>
    <row r="32" spans="1:7">
      <c r="A32" t="s">
        <v>438</v>
      </c>
      <c r="B32" s="218" t="str">
        <f>+_xll.BDP($A32&amp;" Corp","ID_CUSIP")</f>
        <v>EK7508600</v>
      </c>
      <c r="C32" s="186">
        <f>+_xll.BDP($B32 &amp; " Corp","MTY_YEARS")</f>
        <v>1.6071184120465434</v>
      </c>
      <c r="D32" s="226" t="str">
        <f>+_xll.BDP($B32 &amp; "@RIAY Corp","DUR_BID")</f>
        <v>#N/A N/A</v>
      </c>
      <c r="E32" s="226" t="str">
        <f>+_xll.BDP(LEFT(B32,8) &amp; "@RIAY Corp","BID_YIELD")</f>
        <v>#N/A Real Time</v>
      </c>
      <c r="F32" s="107" t="str">
        <f>+_xll.BDP(LEFT(B32,8) &amp; "@RIAY Corp","TRADE_CRNCY")</f>
        <v>CLF</v>
      </c>
      <c r="G32" s="199" t="str">
        <f ca="1">+IFERROR((E32-IF(F32="CLF",[4]!CERCHA($D32,'Curva Gobierno'!$D$2:$E$38,0),[4]!CERCHA($D32,'Curva Gobierno'!$J$2:$K$22)))*100,"")</f>
        <v/>
      </c>
    </row>
    <row r="33" spans="1:7">
      <c r="A33" t="s">
        <v>549</v>
      </c>
      <c r="B33" s="218" t="str">
        <f>+_xll.BDP($A33&amp;" Corp","ID_CUSIP")</f>
        <v>EJ6558591</v>
      </c>
      <c r="C33" s="186">
        <f>+_xll.BDP($B33 &amp; " Corp","MTY_YEARS")</f>
        <v>2.3846680355920604</v>
      </c>
      <c r="D33" s="226" t="str">
        <f>+_xll.BDP($B33 &amp; "@RIAY Corp","DUR_BID")</f>
        <v>#N/A N/A</v>
      </c>
      <c r="E33" s="226" t="str">
        <f>+_xll.BDP(LEFT(B33,8) &amp; "@RIAY Corp","BID_YIELD")</f>
        <v>#N/A Real Time</v>
      </c>
      <c r="F33" s="107" t="str">
        <f>+_xll.BDP(LEFT(B33,8) &amp; "@RIAY Corp","TRADE_CRNCY")</f>
        <v>CLP</v>
      </c>
      <c r="G33" s="199" t="str">
        <f ca="1">+IFERROR((E33-IF(F33="CLF",[4]!CERCHA($D33,'Curva Gobierno'!$D$2:$E$38,0),[4]!CERCHA($D33,'Curva Gobierno'!$J$2:$K$22)))*100,"")</f>
        <v/>
      </c>
    </row>
    <row r="34" spans="1:7">
      <c r="A34" t="s">
        <v>555</v>
      </c>
      <c r="B34" s="218" t="str">
        <f>+_xll.BDP($A34&amp;" Corp","ID_CUSIP")</f>
        <v>EI5957937</v>
      </c>
      <c r="C34" s="186">
        <f>+_xll.BDP($B34 &amp; " Corp","MTY_YEARS")</f>
        <v>0.85968514715947986</v>
      </c>
      <c r="D34" s="226" t="str">
        <f>+_xll.BDP($B34 &amp; "@RIAY Corp","DUR_BID")</f>
        <v>#N/A N/A</v>
      </c>
      <c r="E34" s="226" t="str">
        <f>+_xll.BDP(LEFT(B34,8) &amp; "@RIAY Corp","BID_YIELD")</f>
        <v>#N/A Real Time</v>
      </c>
      <c r="F34" s="107" t="str">
        <f>+_xll.BDP(LEFT(B34,8) &amp; "@RIAY Corp","TRADE_CRNCY")</f>
        <v>CLF</v>
      </c>
      <c r="G34" s="199" t="str">
        <f ca="1">+IFERROR((E34-IF(F34="CLF",[4]!CERCHA($D34,'Curva Gobierno'!$D$2:$E$38,0),[4]!CERCHA($D34,'Curva Gobierno'!$J$2:$K$22)))*100,"")</f>
        <v/>
      </c>
    </row>
    <row r="35" spans="1:7">
      <c r="A35" t="s">
        <v>463</v>
      </c>
      <c r="B35" s="218" t="str">
        <f>+_xll.BDP($A35&amp;" Corp","ID_CUSIP")</f>
        <v>QZ9214680</v>
      </c>
      <c r="C35" s="186">
        <f>+_xll.BDP($B35 &amp; " Corp","MTY_YEARS")</f>
        <v>0.89801505817932925</v>
      </c>
      <c r="D35" s="226" t="str">
        <f>+_xll.BDP($B35 &amp; "@RIAY Corp","DUR_BID")</f>
        <v>#N/A N/A</v>
      </c>
      <c r="E35" s="226" t="str">
        <f>+_xll.BDP(LEFT(B35,8) &amp; "@RIAY Corp","BID_YIELD")</f>
        <v>#N/A Real Time</v>
      </c>
      <c r="F35" s="107" t="str">
        <f>+_xll.BDP(LEFT(B35,8) &amp; "@RIAY Corp","TRADE_CRNCY")</f>
        <v>CLP</v>
      </c>
      <c r="G35" s="199" t="str">
        <f ca="1">+IFERROR((E35-IF(F35="CLF",[4]!CERCHA($D35,'Curva Gobierno'!$D$2:$E$38,0),[4]!CERCHA($D35,'Curva Gobierno'!$J$2:$K$22)))*100,"")</f>
        <v/>
      </c>
    </row>
    <row r="36" spans="1:7">
      <c r="A36" t="s">
        <v>1265</v>
      </c>
      <c r="B36" s="218" t="str">
        <f>+_xll.BDP($A36&amp;" Corp","ID_CUSIP")</f>
        <v>EJ1017569</v>
      </c>
      <c r="C36" s="186">
        <f>+_xll.BDP($B36 &amp; " Corp","MTY_YEARS")</f>
        <v>1.1115674195756331</v>
      </c>
      <c r="D36" s="226" t="str">
        <f>+_xll.BDP($B36 &amp; "@RIAY Corp","DUR_BID")</f>
        <v>#N/A N/A</v>
      </c>
      <c r="E36" s="226" t="str">
        <f>+_xll.BDP(LEFT(B36,8) &amp; "@RIAY Corp","BID_YIELD")</f>
        <v>#N/A Real Time</v>
      </c>
      <c r="F36" s="107" t="str">
        <f>+_xll.BDP(LEFT(B36,8) &amp; "@RIAY Corp","TRADE_CRNCY")</f>
        <v>CLF</v>
      </c>
      <c r="G36" s="199" t="str">
        <f ca="1">+IFERROR((E36-IF(F36="CLF",[4]!CERCHA($D36,'Curva Gobierno'!$D$2:$E$38,0),[4]!CERCHA($D36,'Curva Gobierno'!$J$2:$K$22)))*100,"")</f>
        <v/>
      </c>
    </row>
    <row r="37" spans="1:7">
      <c r="A37" t="s">
        <v>473</v>
      </c>
      <c r="B37" s="218" t="str">
        <f>+_xll.BDP($A37&amp;" Corp","ID_CUSIP")</f>
        <v>EH8618736</v>
      </c>
      <c r="C37" s="186">
        <f>+_xll.BDP($B37 &amp; " Corp","MTY_YEARS")</f>
        <v>1.1416837782340863</v>
      </c>
      <c r="D37" s="226" t="str">
        <f>+_xll.BDP($B37 &amp; "@RIAY Corp","DUR_BID")</f>
        <v>#N/A N/A</v>
      </c>
      <c r="E37" s="226" t="str">
        <f>+_xll.BDP(LEFT(B37,8) &amp; "@RIAY Corp","BID_YIELD")</f>
        <v>#N/A Real Time</v>
      </c>
      <c r="F37" s="107" t="str">
        <f>+_xll.BDP(LEFT(B37,8) &amp; "@RIAY Corp","TRADE_CRNCY")</f>
        <v>CLF</v>
      </c>
      <c r="G37" s="199" t="str">
        <f ca="1">+IFERROR((E37-IF(F37="CLF",[4]!CERCHA($D37,'Curva Gobierno'!$D$2:$E$38,0),[4]!CERCHA($D37,'Curva Gobierno'!$J$2:$K$22)))*100,"")</f>
        <v/>
      </c>
    </row>
    <row r="38" spans="1:7">
      <c r="A38" t="s">
        <v>459</v>
      </c>
      <c r="B38" s="218" t="str">
        <f>+_xll.BDP($A38&amp;" Corp","ID_CUSIP")</f>
        <v>EH8635821</v>
      </c>
      <c r="C38" s="186">
        <f>+_xll.BDP($B38 &amp; " Corp","MTY_YEARS")</f>
        <v>2.647501711156742</v>
      </c>
      <c r="D38" s="226" t="str">
        <f>+_xll.BDP($B38 &amp; "@RIAY Corp","DUR_BID")</f>
        <v>#N/A N/A</v>
      </c>
      <c r="E38" s="226" t="str">
        <f>+_xll.BDP(LEFT(B38,8) &amp; "@RIAY Corp","BID_YIELD")</f>
        <v>#N/A Real Time</v>
      </c>
      <c r="F38" s="107" t="str">
        <f>+_xll.BDP(LEFT(B38,8) &amp; "@RIAY Corp","TRADE_CRNCY")</f>
        <v>CLF</v>
      </c>
      <c r="G38" s="199" t="str">
        <f ca="1">+IFERROR((E38-IF(F38="CLF",[4]!CERCHA($D38,'Curva Gobierno'!$D$2:$E$38,0),[4]!CERCHA($D38,'Curva Gobierno'!$J$2:$K$22)))*100,"")</f>
        <v/>
      </c>
    </row>
    <row r="39" spans="1:7">
      <c r="A39" t="s">
        <v>475</v>
      </c>
      <c r="B39" s="218" t="str">
        <f>+_xll.BDP($A39&amp;" Corp","ID_CUSIP")</f>
        <v>QZ6735554</v>
      </c>
      <c r="C39" s="186">
        <f>+_xll.BDP($B39 &amp; " Corp","MTY_YEARS")</f>
        <v>2.1957563312799451</v>
      </c>
      <c r="D39" s="226" t="str">
        <f>+_xll.BDP($B39 &amp; "@RIAY Corp","DUR_BID")</f>
        <v>#N/A N/A</v>
      </c>
      <c r="E39" s="226" t="str">
        <f>+_xll.BDP(LEFT(B39,8) &amp; "@RIAY Corp","BID_YIELD")</f>
        <v>#N/A Real Time</v>
      </c>
      <c r="F39" s="107" t="str">
        <f>+_xll.BDP(LEFT(B39,8) &amp; "@RIAY Corp","TRADE_CRNCY")</f>
        <v>CLP</v>
      </c>
      <c r="G39" s="199" t="str">
        <f ca="1">+IFERROR((E39-IF(F39="CLF",[4]!CERCHA($D39,'Curva Gobierno'!$D$2:$E$38,0),[4]!CERCHA($D39,'Curva Gobierno'!$J$2:$K$22)))*100,"")</f>
        <v/>
      </c>
    </row>
    <row r="40" spans="1:7">
      <c r="A40" t="s">
        <v>468</v>
      </c>
      <c r="B40" s="218" t="str">
        <f>+_xll.BDP($A40&amp;" Corp","ID_CUSIP")</f>
        <v>EK3838712</v>
      </c>
      <c r="C40" s="186">
        <f>+_xll.BDP($B40 &amp; " Corp","MTY_YEARS")</f>
        <v>2.732375085557837</v>
      </c>
      <c r="D40" s="226" t="str">
        <f>+_xll.BDP($B40 &amp; "@RIAY Corp","DUR_BID")</f>
        <v>#N/A N/A</v>
      </c>
      <c r="E40" s="226" t="str">
        <f>+_xll.BDP(LEFT(B40,8) &amp; "@RIAY Corp","BID_YIELD")</f>
        <v>#N/A Real Time</v>
      </c>
      <c r="F40" s="107" t="str">
        <f>+_xll.BDP(LEFT(B40,8) &amp; "@RIAY Corp","TRADE_CRNCY")</f>
        <v>CLF</v>
      </c>
      <c r="G40" s="199" t="str">
        <f ca="1">+IFERROR((E40-IF(F40="CLF",[4]!CERCHA($D40,'Curva Gobierno'!$D$2:$E$38,0),[4]!CERCHA($D40,'Curva Gobierno'!$J$2:$K$22)))*100,"")</f>
        <v/>
      </c>
    </row>
    <row r="41" spans="1:7">
      <c r="A41" t="s">
        <v>1248</v>
      </c>
      <c r="B41" s="218" t="str">
        <f>+_xll.BDP($A41&amp;" Corp","ID_CUSIP")</f>
        <v>EK3035616</v>
      </c>
      <c r="C41" s="186">
        <f>+_xll.BDP($B41 &amp; " Corp","MTY_YEARS")</f>
        <v>2.7351129363449691</v>
      </c>
      <c r="D41" s="226" t="str">
        <f>+_xll.BDP($B41 &amp; "@RIAY Corp","DUR_BID")</f>
        <v>#N/A N/A</v>
      </c>
      <c r="E41" s="226" t="str">
        <f>+_xll.BDP(LEFT(B41,8) &amp; "@RIAY Corp","BID_YIELD")</f>
        <v>#N/A Real Time</v>
      </c>
      <c r="F41" s="107" t="str">
        <f>+_xll.BDP(LEFT(B41,8) &amp; "@RIAY Corp","TRADE_CRNCY")</f>
        <v>CLF</v>
      </c>
      <c r="G41" s="199" t="str">
        <f ca="1">+IFERROR((E41-IF(F41="CLF",[4]!CERCHA($D41,'Curva Gobierno'!$D$2:$E$38,0),[4]!CERCHA($D41,'Curva Gobierno'!$J$2:$K$22)))*100,"")</f>
        <v/>
      </c>
    </row>
    <row r="42" spans="1:7">
      <c r="A42" t="s">
        <v>479</v>
      </c>
      <c r="B42" s="218" t="str">
        <f>+_xll.BDP($A42&amp;" Corp","ID_CUSIP")</f>
        <v>EK3109288</v>
      </c>
      <c r="C42" s="186">
        <f>+_xll.BDP($B42 &amp; " Corp","MTY_YEARS")</f>
        <v>1.3579739904175223</v>
      </c>
      <c r="D42" s="226" t="str">
        <f>+_xll.BDP($B42 &amp; "@RIAY Corp","DUR_BID")</f>
        <v>#N/A N/A</v>
      </c>
      <c r="E42" s="226" t="str">
        <f>+_xll.BDP(LEFT(B42,8) &amp; "@RIAY Corp","BID_YIELD")</f>
        <v>#N/A Real Time</v>
      </c>
      <c r="F42" s="107" t="str">
        <f>+_xll.BDP(LEFT(B42,8) &amp; "@RIAY Corp","TRADE_CRNCY")</f>
        <v>CLF</v>
      </c>
      <c r="G42" s="199" t="str">
        <f ca="1">+IFERROR((E42-IF(F42="CLF",[4]!CERCHA($D42,'Curva Gobierno'!$D$2:$E$38,0),[4]!CERCHA($D42,'Curva Gobierno'!$J$2:$K$22)))*100,"")</f>
        <v/>
      </c>
    </row>
    <row r="43" spans="1:7">
      <c r="A43" t="s">
        <v>483</v>
      </c>
      <c r="B43" s="218" t="str">
        <f>+_xll.BDP($A43&amp;" Corp","ID_CUSIP")</f>
        <v>EK7479935</v>
      </c>
      <c r="C43" s="186">
        <f>+_xll.BDP($B43 &amp; " Corp","MTY_YEARS")</f>
        <v>1.4401095140314852</v>
      </c>
      <c r="D43" s="226" t="str">
        <f>+_xll.BDP($B43 &amp; "@RIAY Corp","DUR_BID")</f>
        <v>#N/A N/A</v>
      </c>
      <c r="E43" s="226" t="str">
        <f>+_xll.BDP(LEFT(B43,8) &amp; "@RIAY Corp","BID_YIELD")</f>
        <v>#N/A Real Time</v>
      </c>
      <c r="F43" s="107" t="str">
        <f>+_xll.BDP(LEFT(B43,8) &amp; "@RIAY Corp","TRADE_CRNCY")</f>
        <v>CLF</v>
      </c>
      <c r="G43" s="199" t="str">
        <f ca="1">+IFERROR((E43-IF(F43="CLF",[4]!CERCHA($D43,'Curva Gobierno'!$D$2:$E$38,0),[4]!CERCHA($D43,'Curva Gobierno'!$J$2:$K$22)))*100,"")</f>
        <v/>
      </c>
    </row>
    <row r="44" spans="1:7">
      <c r="A44" t="s">
        <v>482</v>
      </c>
      <c r="B44" s="218" t="str">
        <f>+_xll.BDP($A44&amp;" Corp","ID_CUSIP")</f>
        <v>EK6155650</v>
      </c>
      <c r="C44" s="186">
        <f>+_xll.BDP($B44 &amp; " Corp","MTY_YEARS")</f>
        <v>1.5249828884325805</v>
      </c>
      <c r="D44" s="226" t="str">
        <f>+_xll.BDP($B44 &amp; "@RIAY Corp","DUR_BID")</f>
        <v>#N/A N/A</v>
      </c>
      <c r="E44" s="226" t="str">
        <f>+_xll.BDP(LEFT(B44,8) &amp; "@RIAY Corp","BID_YIELD")</f>
        <v>#N/A Real Time</v>
      </c>
      <c r="F44" s="107" t="str">
        <f>+_xll.BDP(LEFT(B44,8) &amp; "@RIAY Corp","TRADE_CRNCY")</f>
        <v>CLP</v>
      </c>
      <c r="G44" s="199" t="str">
        <f ca="1">+IFERROR((E44-IF(F44="CLF",[4]!CERCHA($D44,'Curva Gobierno'!$D$2:$E$38,0),[4]!CERCHA($D44,'Curva Gobierno'!$J$2:$K$22)))*100,"")</f>
        <v/>
      </c>
    </row>
    <row r="45" spans="1:7">
      <c r="A45" t="s">
        <v>477</v>
      </c>
      <c r="B45" s="218" t="str">
        <f>+_xll.BDP($A45&amp;" Corp","ID_CUSIP")</f>
        <v>EJ6697449</v>
      </c>
      <c r="C45" s="186">
        <f>+_xll.BDP($B45 &amp; " Corp","MTY_YEARS")</f>
        <v>3.5263518138261465</v>
      </c>
      <c r="D45" s="226" t="str">
        <f>+_xll.BDP($B45 &amp; "@RIAY Corp","DUR_BID")</f>
        <v>#N/A N/A</v>
      </c>
      <c r="E45" s="226" t="str">
        <f>+_xll.BDP(LEFT(B45,8) &amp; "@RIAY Corp","BID_YIELD")</f>
        <v>#N/A Real Time</v>
      </c>
      <c r="F45" s="107" t="str">
        <f>+_xll.BDP(LEFT(B45,8) &amp; "@RIAY Corp","TRADE_CRNCY")</f>
        <v>CLF</v>
      </c>
      <c r="G45" s="199" t="str">
        <f ca="1">+IFERROR((E45-IF(F45="CLF",[4]!CERCHA($D45,'Curva Gobierno'!$D$2:$E$38,0),[4]!CERCHA($D45,'Curva Gobierno'!$J$2:$K$22)))*100,"")</f>
        <v/>
      </c>
    </row>
    <row r="46" spans="1:7">
      <c r="A46" t="s">
        <v>484</v>
      </c>
      <c r="B46" s="218" t="str">
        <f>+_xll.BDP($A46&amp;" Corp","ID_CUSIP")</f>
        <v>EK1693960</v>
      </c>
      <c r="C46" s="186">
        <f>+_xll.BDP($B46 &amp; " Corp","MTY_YEARS")</f>
        <v>3.3593429158110881</v>
      </c>
      <c r="D46" s="226" t="str">
        <f>+_xll.BDP($B46 &amp; "@RIAY Corp","DUR_BID")</f>
        <v>#N/A N/A</v>
      </c>
      <c r="E46" s="226" t="str">
        <f>+_xll.BDP(LEFT(B46,8) &amp; "@RIAY Corp","BID_YIELD")</f>
        <v>#N/A Real Time</v>
      </c>
      <c r="F46" s="107" t="str">
        <f>+_xll.BDP(LEFT(B46,8) &amp; "@RIAY Corp","TRADE_CRNCY")</f>
        <v>CLF</v>
      </c>
      <c r="G46" s="199" t="str">
        <f ca="1">+IFERROR((E46-IF(F46="CLF",[4]!CERCHA($D46,'Curva Gobierno'!$D$2:$E$38,0),[4]!CERCHA($D46,'Curva Gobierno'!$J$2:$K$22)))*100,"")</f>
        <v/>
      </c>
    </row>
    <row r="47" spans="1:7">
      <c r="A47" t="s">
        <v>489</v>
      </c>
      <c r="B47" s="218" t="str">
        <f>+_xll.BDP($A47&amp;" Corp","ID_CUSIP")</f>
        <v>EK7691497</v>
      </c>
      <c r="C47" s="186">
        <f>+_xll.BDP($B47 &amp; " Corp","MTY_YEARS")</f>
        <v>3.6057494866529773</v>
      </c>
      <c r="D47" s="226" t="str">
        <f>+_xll.BDP($B47 &amp; "@RIAY Corp","DUR_BID")</f>
        <v>#N/A N/A</v>
      </c>
      <c r="E47" s="226" t="str">
        <f>+_xll.BDP(LEFT(B47,8) &amp; "@RIAY Corp","BID_YIELD")</f>
        <v>#N/A Real Time</v>
      </c>
      <c r="F47" s="107" t="str">
        <f>+_xll.BDP(LEFT(B47,8) &amp; "@RIAY Corp","TRADE_CRNCY")</f>
        <v>CLF</v>
      </c>
      <c r="G47" s="199" t="str">
        <f ca="1">+IFERROR((E47-IF(F47="CLF",[4]!CERCHA($D47,'Curva Gobierno'!$D$2:$E$38,0),[4]!CERCHA($D47,'Curva Gobierno'!$J$2:$K$22)))*100,"")</f>
        <v/>
      </c>
    </row>
    <row r="48" spans="1:7">
      <c r="A48" t="s">
        <v>571</v>
      </c>
      <c r="B48" s="218" t="str">
        <f>+_xll.BDP($A48&amp;" Corp","ID_CUSIP")</f>
        <v>EK4363975</v>
      </c>
      <c r="C48" s="186">
        <f>+_xll.BDP($B48 &amp; " Corp","MTY_YEARS")</f>
        <v>3.4798083504449009</v>
      </c>
      <c r="D48" s="226" t="str">
        <f>+_xll.BDP($B48 &amp; "@RIAY Corp","DUR_BID")</f>
        <v>#N/A N/A</v>
      </c>
      <c r="E48" s="226" t="str">
        <f>+_xll.BDP(LEFT(B48,8) &amp; "@RIAY Corp","BID_YIELD")</f>
        <v>#N/A Real Time</v>
      </c>
      <c r="F48" s="107" t="str">
        <f>+_xll.BDP(LEFT(B48,8) &amp; "@RIAY Corp","TRADE_CRNCY")</f>
        <v>CLF</v>
      </c>
      <c r="G48" s="199" t="str">
        <f ca="1">+IFERROR((E48-IF(F48="CLF",[4]!CERCHA($D48,'Curva Gobierno'!$D$2:$E$38,0),[4]!CERCHA($D48,'Curva Gobierno'!$J$2:$K$22)))*100,"")</f>
        <v/>
      </c>
    </row>
    <row r="49" spans="1:7">
      <c r="A49" t="s">
        <v>576</v>
      </c>
      <c r="B49" s="218" t="str">
        <f>+_xll.BDP($A49&amp;" Corp","ID_CUSIP")</f>
        <v>EK4836350</v>
      </c>
      <c r="C49" s="186">
        <f>+_xll.BDP($B49 &amp; " Corp","MTY_YEARS")</f>
        <v>1.7768651608487338</v>
      </c>
      <c r="D49" s="226" t="str">
        <f>+_xll.BDP($B49 &amp; "@RIAY Corp","DUR_BID")</f>
        <v>#N/A N/A</v>
      </c>
      <c r="E49" s="226" t="str">
        <f>+_xll.BDP(LEFT(B49,8) &amp; "@RIAY Corp","BID_YIELD")</f>
        <v>#N/A Real Time</v>
      </c>
      <c r="F49" s="107" t="str">
        <f>+_xll.BDP(LEFT(B49,8) &amp; "@RIAY Corp","TRADE_CRNCY")</f>
        <v>CLF</v>
      </c>
      <c r="G49" s="199" t="str">
        <f ca="1">+IFERROR((E49-IF(F49="CLF",[4]!CERCHA($D49,'Curva Gobierno'!$D$2:$E$38,0),[4]!CERCHA($D49,'Curva Gobierno'!$J$2:$K$22)))*100,"")</f>
        <v/>
      </c>
    </row>
    <row r="50" spans="1:7">
      <c r="A50" t="s">
        <v>492</v>
      </c>
      <c r="B50" s="218" t="str">
        <f>+_xll.BDP($A50&amp;" Corp","ID_CUSIP")</f>
        <v>EK5463204</v>
      </c>
      <c r="C50" s="186">
        <f>+_xll.BDP($B50 &amp; " Corp","MTY_YEARS")</f>
        <v>2.1108829568788501</v>
      </c>
      <c r="D50" s="226" t="str">
        <f>+_xll.BDP($B50 &amp; "@RIAY Corp","DUR_BID")</f>
        <v>#N/A N/A</v>
      </c>
      <c r="E50" s="226" t="str">
        <f>+_xll.BDP(LEFT(B50,8) &amp; "@RIAY Corp","BID_YIELD")</f>
        <v>#N/A Real Time</v>
      </c>
      <c r="F50" s="107" t="str">
        <f>+_xll.BDP(LEFT(B50,8) &amp; "@RIAY Corp","TRADE_CRNCY")</f>
        <v>CLP</v>
      </c>
      <c r="G50" s="199" t="str">
        <f ca="1">+IFERROR((E50-IF(F50="CLF",[4]!CERCHA($D50,'Curva Gobierno'!$D$2:$E$38,0),[4]!CERCHA($D50,'Curva Gobierno'!$J$2:$K$22)))*100,"")</f>
        <v/>
      </c>
    </row>
    <row r="51" spans="1:7">
      <c r="A51" t="s">
        <v>496</v>
      </c>
      <c r="B51" s="218" t="str">
        <f>+_xll.BDP($A51&amp;" Corp","ID_CUSIP")</f>
        <v>EK8626633</v>
      </c>
      <c r="C51" s="186">
        <f>+_xll.BDP($B51 &amp; " Corp","MTY_YEARS")</f>
        <v>2.3600273785078714</v>
      </c>
      <c r="D51" s="226" t="str">
        <f>+_xll.BDP($B51 &amp; "@RIAY Corp","DUR_BID")</f>
        <v>#N/A N/A</v>
      </c>
      <c r="E51" s="226" t="str">
        <f>+_xll.BDP(LEFT(B51,8) &amp; "@RIAY Corp","BID_YIELD")</f>
        <v>#N/A Real Time</v>
      </c>
      <c r="F51" s="107" t="str">
        <f>+_xll.BDP(LEFT(B51,8) &amp; "@RIAY Corp","TRADE_CRNCY")</f>
        <v>CLP</v>
      </c>
      <c r="G51" s="199" t="str">
        <f ca="1">+IFERROR((E51-IF(F51="CLF",[4]!CERCHA($D51,'Curva Gobierno'!$D$2:$E$38,0),[4]!CERCHA($D51,'Curva Gobierno'!$J$2:$K$22)))*100,"")</f>
        <v/>
      </c>
    </row>
    <row r="52" spans="1:7">
      <c r="A52" t="s">
        <v>593</v>
      </c>
      <c r="B52" s="218" t="str">
        <f>+_xll.BDP($A52&amp;" Corp","ID_CUSIP")</f>
        <v>EK5181152</v>
      </c>
      <c r="C52" s="186">
        <f>+_xll.BDP($B52 &amp; " Corp","MTY_YEARS")</f>
        <v>2.2751540041067764</v>
      </c>
      <c r="D52" s="226" t="str">
        <f>+_xll.BDP($B52 &amp; "@RIAY Corp","DUR_BID")</f>
        <v>#N/A N/A</v>
      </c>
      <c r="E52" s="226" t="str">
        <f>+_xll.BDP(LEFT(B52,8) &amp; "@RIAY Corp","BID_YIELD")</f>
        <v>#N/A Real Time</v>
      </c>
      <c r="F52" s="107" t="str">
        <f>+_xll.BDP(LEFT(B52,8) &amp; "@RIAY Corp","TRADE_CRNCY")</f>
        <v>CLF</v>
      </c>
      <c r="G52" s="199" t="str">
        <f ca="1">+IFERROR((E52-IF(F52="CLF",[4]!CERCHA($D52,'Curva Gobierno'!$D$2:$E$38,0),[4]!CERCHA($D52,'Curva Gobierno'!$J$2:$K$22)))*100,"")</f>
        <v/>
      </c>
    </row>
    <row r="53" spans="1:7">
      <c r="A53" t="s">
        <v>499</v>
      </c>
      <c r="B53" s="218" t="str">
        <f>+_xll.BDP($A53&amp;" Corp","ID_CUSIP")</f>
        <v>UV8774381</v>
      </c>
      <c r="C53" s="186">
        <f>+_xll.BDP($B53 &amp; " Corp","MTY_YEARS")</f>
        <v>2.3600273785078714</v>
      </c>
      <c r="D53" s="226" t="str">
        <f>+_xll.BDP($B53 &amp; "@RIAY Corp","DUR_BID")</f>
        <v>#N/A N/A</v>
      </c>
      <c r="E53" s="226" t="str">
        <f>+_xll.BDP(LEFT(B53,8) &amp; "@RIAY Corp","BID_YIELD")</f>
        <v>#N/A Real Time</v>
      </c>
      <c r="F53" s="107" t="str">
        <f>+_xll.BDP(LEFT(B53,8) &amp; "@RIAY Corp","TRADE_CRNCY")</f>
        <v>CLF</v>
      </c>
      <c r="G53" s="199" t="str">
        <f ca="1">+IFERROR((E53-IF(F53="CLF",[4]!CERCHA($D53,'Curva Gobierno'!$D$2:$E$38,0),[4]!CERCHA($D53,'Curva Gobierno'!$J$2:$K$22)))*100,"")</f>
        <v/>
      </c>
    </row>
    <row r="54" spans="1:7">
      <c r="A54" t="s">
        <v>608</v>
      </c>
      <c r="B54" s="218" t="str">
        <f>+_xll.BDP($A54&amp;" Corp","ID_CUSIP")</f>
        <v>EJ7641883</v>
      </c>
      <c r="C54" s="186">
        <f>+_xll.BDP($B54 &amp; " Corp","MTY_YEARS")</f>
        <v>3.5263518138261465</v>
      </c>
      <c r="D54" s="226" t="str">
        <f>+_xll.BDP($B54 &amp; "@RIAY Corp","DUR_BID")</f>
        <v>#N/A N/A</v>
      </c>
      <c r="E54" s="226" t="str">
        <f>+_xll.BDP(LEFT(B54,8) &amp; "@RIAY Corp","BID_YIELD")</f>
        <v>#N/A Real Time</v>
      </c>
      <c r="F54" s="107" t="str">
        <f>+_xll.BDP(LEFT(B54,8) &amp; "@RIAY Corp","TRADE_CRNCY")</f>
        <v>CLF</v>
      </c>
      <c r="G54" s="199" t="str">
        <f ca="1">+IFERROR((E54-IF(F54="CLF",[4]!CERCHA($D54,'Curva Gobierno'!$D$2:$E$38,0),[4]!CERCHA($D54,'Curva Gobierno'!$J$2:$K$22)))*100,"")</f>
        <v/>
      </c>
    </row>
    <row r="55" spans="1:7">
      <c r="A55" t="s">
        <v>613</v>
      </c>
      <c r="B55" s="218" t="str">
        <f>+_xll.BDP($A55&amp;" Corp","ID_CUSIP")</f>
        <v>EI3825623</v>
      </c>
      <c r="C55" s="186">
        <f>+_xll.BDP($B55 &amp; " Corp","MTY_YEARS")</f>
        <v>2.6310746064339492</v>
      </c>
      <c r="D55" s="226" t="str">
        <f>+_xll.BDP($B55 &amp; "@RIAY Corp","DUR_BID")</f>
        <v>#N/A N/A</v>
      </c>
      <c r="E55" s="226" t="str">
        <f>+_xll.BDP(LEFT(B55,8) &amp; "@RIAY Corp","BID_YIELD")</f>
        <v>#N/A Real Time</v>
      </c>
      <c r="F55" s="107" t="str">
        <f>+_xll.BDP(LEFT(B55,8) &amp; "@RIAY Corp","TRADE_CRNCY")</f>
        <v>CLF</v>
      </c>
      <c r="G55" s="199" t="str">
        <f ca="1">+IFERROR((E55-IF(F55="CLF",[4]!CERCHA($D55,'Curva Gobierno'!$D$2:$E$38,0),[4]!CERCHA($D55,'Curva Gobierno'!$J$2:$K$22)))*100,"")</f>
        <v/>
      </c>
    </row>
    <row r="56" spans="1:7">
      <c r="A56" t="s">
        <v>500</v>
      </c>
      <c r="B56" s="218" t="str">
        <f>+_xll.BDP($A56&amp;" Corp","ID_CUSIP")</f>
        <v>EI7622653</v>
      </c>
      <c r="C56" s="186">
        <f>+_xll.BDP($B56 &amp; " Corp","MTY_YEARS")</f>
        <v>2.6091718001368926</v>
      </c>
      <c r="D56" s="226" t="str">
        <f>+_xll.BDP($B56 &amp; "@RIAY Corp","DUR_BID")</f>
        <v>#N/A N/A</v>
      </c>
      <c r="E56" s="226" t="str">
        <f>+_xll.BDP(LEFT(B56,8) &amp; "@RIAY Corp","BID_YIELD")</f>
        <v>#N/A Real Time</v>
      </c>
      <c r="F56" s="107" t="str">
        <f>+_xll.BDP(LEFT(B56,8) &amp; "@RIAY Corp","TRADE_CRNCY")</f>
        <v>CLF</v>
      </c>
      <c r="G56" s="199" t="str">
        <f ca="1">+IFERROR((E56-IF(F56="CLF",[4]!CERCHA($D56,'Curva Gobierno'!$D$2:$E$38,0),[4]!CERCHA($D56,'Curva Gobierno'!$J$2:$K$22)))*100,"")</f>
        <v/>
      </c>
    </row>
    <row r="57" spans="1:7">
      <c r="A57" t="s">
        <v>1003</v>
      </c>
      <c r="B57" s="218" t="str">
        <f>+_xll.BDP($A57&amp;" Corp","ID_CUSIP")</f>
        <v>EK0687450</v>
      </c>
      <c r="C57" s="186">
        <f>+_xll.BDP($B57 &amp; " Corp","MTY_YEARS")</f>
        <v>5.9822039698836411</v>
      </c>
      <c r="D57" s="226" t="str">
        <f>+_xll.BDP($B57 &amp; "@RIAY Corp","DUR_BID")</f>
        <v>#N/A N/A</v>
      </c>
      <c r="E57" s="226" t="str">
        <f>+_xll.BDP(LEFT(B57,8) &amp; "@RIAY Corp","BID_YIELD")</f>
        <v>#N/A Real Time</v>
      </c>
      <c r="F57" s="107" t="str">
        <f>+_xll.BDP(LEFT(B57,8) &amp; "@RIAY Corp","TRADE_CRNCY")</f>
        <v>CLF</v>
      </c>
      <c r="G57" s="199" t="str">
        <f ca="1">+IFERROR((E57-IF(F57="CLF",[4]!CERCHA($D57,'Curva Gobierno'!$D$2:$E$38,0),[4]!CERCHA($D57,'Curva Gobierno'!$J$2:$K$22)))*100,"")</f>
        <v/>
      </c>
    </row>
    <row r="58" spans="1:7">
      <c r="A58" t="s">
        <v>502</v>
      </c>
      <c r="B58" s="218" t="str">
        <f>+_xll.BDP($A58&amp;" Corp","ID_CUSIP")</f>
        <v>QJ1897850</v>
      </c>
      <c r="C58" s="186">
        <f>+_xll.BDP($B58 &amp; " Corp","MTY_YEARS")</f>
        <v>2.6940451745379876</v>
      </c>
      <c r="D58" s="226" t="str">
        <f>+_xll.BDP($B58 &amp; "@RIAY Corp","DUR_BID")</f>
        <v>#N/A N/A</v>
      </c>
      <c r="E58" s="226" t="str">
        <f>+_xll.BDP(LEFT(B58,8) &amp; "@RIAY Corp","BID_YIELD")</f>
        <v>#N/A Real Time</v>
      </c>
      <c r="F58" s="107" t="str">
        <f>+_xll.BDP(LEFT(B58,8) &amp; "@RIAY Corp","TRADE_CRNCY")</f>
        <v>CLF</v>
      </c>
      <c r="G58" s="199" t="str">
        <f ca="1">+IFERROR((E58-IF(F58="CLF",[4]!CERCHA($D58,'Curva Gobierno'!$D$2:$E$38,0),[4]!CERCHA($D58,'Curva Gobierno'!$J$2:$K$22)))*100,"")</f>
        <v/>
      </c>
    </row>
    <row r="59" spans="1:7">
      <c r="A59" t="s">
        <v>504</v>
      </c>
      <c r="B59" s="218" t="str">
        <f>+_xll.BDP($A59&amp;" Corp","ID_CUSIP")</f>
        <v>QZ8961653</v>
      </c>
      <c r="C59" s="186">
        <f>+_xll.BDP($B59 &amp; " Corp","MTY_YEARS")</f>
        <v>3.1129363449691994</v>
      </c>
      <c r="D59" s="226" t="str">
        <f>+_xll.BDP($B59 &amp; "@RIAY Corp","DUR_BID")</f>
        <v>#N/A N/A</v>
      </c>
      <c r="E59" s="226" t="str">
        <f>+_xll.BDP(LEFT(B59,8) &amp; "@RIAY Corp","BID_YIELD")</f>
        <v>#N/A Real Time</v>
      </c>
      <c r="F59" s="107" t="str">
        <f>+_xll.BDP(LEFT(B59,8) &amp; "@RIAY Corp","TRADE_CRNCY")</f>
        <v>CLP</v>
      </c>
      <c r="G59" s="199" t="str">
        <f ca="1">+IFERROR((E59-IF(F59="CLF",[4]!CERCHA($D59,'Curva Gobierno'!$D$2:$E$38,0),[4]!CERCHA($D59,'Curva Gobierno'!$J$2:$K$22)))*100,"")</f>
        <v/>
      </c>
    </row>
    <row r="60" spans="1:7">
      <c r="A60" t="s">
        <v>635</v>
      </c>
      <c r="B60" s="218" t="str">
        <f>+_xll.BDP($A60&amp;" Corp","ID_CUSIP")</f>
        <v>LW2641915</v>
      </c>
      <c r="C60" s="186">
        <f>+_xll.BDP($B60 &amp; " Corp","MTY_YEARS")</f>
        <v>3.2744695414099931</v>
      </c>
      <c r="D60" s="226" t="str">
        <f>+_xll.BDP($B60 &amp; "@RIAY Corp","DUR_BID")</f>
        <v>#N/A N/A</v>
      </c>
      <c r="E60" s="226" t="str">
        <f>+_xll.BDP(LEFT(B60,8) &amp; "@RIAY Corp","BID_YIELD")</f>
        <v>#N/A Real Time</v>
      </c>
      <c r="F60" s="107" t="str">
        <f>+_xll.BDP(LEFT(B60,8) &amp; "@RIAY Corp","TRADE_CRNCY")</f>
        <v>CLF</v>
      </c>
      <c r="G60" s="199" t="str">
        <f ca="1">+IFERROR((E60-IF(F60="CLF",[4]!CERCHA($D60,'Curva Gobierno'!$D$2:$E$38,0),[4]!CERCHA($D60,'Curva Gobierno'!$J$2:$K$22)))*100,"")</f>
        <v/>
      </c>
    </row>
    <row r="61" spans="1:7">
      <c r="A61" t="s">
        <v>1028</v>
      </c>
      <c r="B61" s="218" t="str">
        <f>+_xll.BDP($A61&amp;" Corp","ID_CUSIP")</f>
        <v>LW7939686</v>
      </c>
      <c r="C61" s="186">
        <f>+_xll.BDP($B61 &amp; " Corp","MTY_YEARS")</f>
        <v>4.3969883641341543</v>
      </c>
      <c r="D61" s="226" t="str">
        <f>+_xll.BDP($B61 &amp; "@RIAY Corp","DUR_BID")</f>
        <v>#N/A N/A</v>
      </c>
      <c r="E61" s="226" t="str">
        <f>+_xll.BDP(LEFT(B61,8) &amp; "@RIAY Corp","BID_YIELD")</f>
        <v>#N/A Real Time</v>
      </c>
      <c r="F61" s="107" t="str">
        <f>+_xll.BDP(LEFT(B61,8) &amp; "@RIAY Corp","TRADE_CRNCY")</f>
        <v>CLP</v>
      </c>
      <c r="G61" s="199" t="str">
        <f ca="1">+IFERROR((E61-IF(F61="CLF",[4]!CERCHA($D61,'Curva Gobierno'!$D$2:$E$38,0),[4]!CERCHA($D61,'Curva Gobierno'!$J$2:$K$22)))*100,"")</f>
        <v/>
      </c>
    </row>
    <row r="62" spans="1:7">
      <c r="A62" t="s">
        <v>509</v>
      </c>
      <c r="B62" s="218" t="str">
        <f>+_xll.BDP($A62&amp;" Corp","ID_CUSIP")</f>
        <v>EJ5476241</v>
      </c>
      <c r="C62" s="186">
        <f>+_xll.BDP($B62 &amp; " Corp","MTY_YEARS")</f>
        <v>3.6933607118412048</v>
      </c>
      <c r="D62" s="226" t="str">
        <f>+_xll.BDP($B62 &amp; "@RIAY Corp","DUR_BID")</f>
        <v>#N/A N/A</v>
      </c>
      <c r="E62" s="226" t="str">
        <f>+_xll.BDP(LEFT(B62,8) &amp; "@RIAY Corp","BID_YIELD")</f>
        <v>#N/A Real Time</v>
      </c>
      <c r="F62" s="107" t="str">
        <f>+_xll.BDP(LEFT(B62,8) &amp; "@RIAY Corp","TRADE_CRNCY")</f>
        <v>CLF</v>
      </c>
      <c r="G62" s="199" t="str">
        <f ca="1">+IFERROR((E62-IF(F62="CLF",[4]!CERCHA($D62,'Curva Gobierno'!$D$2:$E$38,0),[4]!CERCHA($D62,'Curva Gobierno'!$J$2:$K$22)))*100,"")</f>
        <v/>
      </c>
    </row>
    <row r="63" spans="1:7">
      <c r="A63" t="s">
        <v>657</v>
      </c>
      <c r="B63" s="218" t="str">
        <f>+_xll.BDP($A63&amp;" Corp","ID_CUSIP")</f>
        <v>EJ6696797</v>
      </c>
      <c r="C63" s="186">
        <f>+_xll.BDP($B63 &amp; " Corp","MTY_YEARS")</f>
        <v>3.9452429842573578</v>
      </c>
      <c r="D63" s="226" t="str">
        <f>+_xll.BDP($B63 &amp; "@RIAY Corp","DUR_BID")</f>
        <v>#N/A N/A</v>
      </c>
      <c r="E63" s="226" t="str">
        <f>+_xll.BDP(LEFT(B63,8) &amp; "@RIAY Corp","BID_YIELD")</f>
        <v>#N/A Real Time</v>
      </c>
      <c r="F63" s="107" t="str">
        <f>+_xll.BDP(LEFT(B63,8) &amp; "@RIAY Corp","TRADE_CRNCY")</f>
        <v>CLF</v>
      </c>
      <c r="G63" s="199" t="str">
        <f ca="1">+IFERROR((E63-IF(F63="CLF",[4]!CERCHA($D63,'Curva Gobierno'!$D$2:$E$38,0),[4]!CERCHA($D63,'Curva Gobierno'!$J$2:$K$22)))*100,"")</f>
        <v/>
      </c>
    </row>
    <row r="64" spans="1:7">
      <c r="A64" t="s">
        <v>1213</v>
      </c>
      <c r="B64" s="218" t="str">
        <f>+_xll.BDP($A64&amp;" Corp","ID_CUSIP")</f>
        <v>AL1493314</v>
      </c>
      <c r="C64" s="186">
        <f>+_xll.BDP($B64 &amp; " Corp","MTY_YEARS")</f>
        <v>4.9609856262833674</v>
      </c>
      <c r="D64" s="226" t="str">
        <f>+_xll.BDP($B64 &amp; "@RIAY Corp","DUR_BID")</f>
        <v>#N/A N/A</v>
      </c>
      <c r="E64" s="226" t="str">
        <f>+_xll.BDP(LEFT(B64,8) &amp; "@RIAY Corp","BID_YIELD")</f>
        <v>#N/A Real Time</v>
      </c>
      <c r="F64" s="107" t="str">
        <f>+_xll.BDP(LEFT(B64,8) &amp; "@RIAY Corp","TRADE_CRNCY")</f>
        <v>CLP</v>
      </c>
      <c r="G64" s="199" t="str">
        <f ca="1">+IFERROR((E64-IF(F64="CLF",[4]!CERCHA($D64,'Curva Gobierno'!$D$2:$E$38,0),[4]!CERCHA($D64,'Curva Gobierno'!$J$2:$K$22)))*100,"")</f>
        <v/>
      </c>
    </row>
    <row r="65" spans="1:7">
      <c r="A65" t="s">
        <v>517</v>
      </c>
      <c r="B65" s="218" t="str">
        <f>+_xll.BDP($A65&amp;" Corp","ID_CUSIP")</f>
        <v>EG6230783</v>
      </c>
      <c r="C65" s="186" t="str">
        <f>+_xll.BDP($B65 &amp; " Corp","MTY_YEARS")</f>
        <v>#N/A Field Not Applicable</v>
      </c>
      <c r="D65" s="226" t="str">
        <f>+_xll.BDP($B65 &amp; "@RIAY Corp","DUR_BID")</f>
        <v>#N/A N/A</v>
      </c>
      <c r="E65" s="226" t="str">
        <f>+_xll.BDP(LEFT(B65,8) &amp; "@RIAY Corp","BID_YIELD")</f>
        <v>#N/A Real Time</v>
      </c>
      <c r="F65" s="107" t="str">
        <f>+_xll.BDP(LEFT(B65,8) &amp; "@RIAY Corp","TRADE_CRNCY")</f>
        <v>CLF</v>
      </c>
      <c r="G65" s="199" t="str">
        <f ca="1">+IFERROR((E65-IF(F65="CLF",[4]!CERCHA($D65,'Curva Gobierno'!$D$2:$E$38,0),[4]!CERCHA($D65,'Curva Gobierno'!$J$2:$K$22)))*100,"")</f>
        <v/>
      </c>
    </row>
    <row r="66" spans="1:7">
      <c r="A66" t="s">
        <v>406</v>
      </c>
      <c r="B66" s="218" t="str">
        <f>+_xll.BDP($A66&amp;" Corp","ID_CUSIP")</f>
        <v>EH8291179</v>
      </c>
      <c r="C66" s="186" t="str">
        <f>+_xll.BDP($B66 &amp; " Corp","MTY_YEARS")</f>
        <v>#N/A Field Not Applicable</v>
      </c>
      <c r="D66" s="226" t="str">
        <f>+_xll.BDP($B66 &amp; "@RIAY Corp","DUR_BID")</f>
        <v>#N/A N/A</v>
      </c>
      <c r="E66" s="226" t="str">
        <f>+_xll.BDP(LEFT(B66,8) &amp; "@RIAY Corp","BID_YIELD")</f>
        <v>#N/A Real Time</v>
      </c>
      <c r="F66" s="107" t="str">
        <f>+_xll.BDP(LEFT(B66,8) &amp; "@RIAY Corp","TRADE_CRNCY")</f>
        <v>CLF</v>
      </c>
      <c r="G66" s="199" t="str">
        <f ca="1">+IFERROR((E66-IF(F66="CLF",[4]!CERCHA($D66,'Curva Gobierno'!$D$2:$E$38,0),[4]!CERCHA($D66,'Curva Gobierno'!$J$2:$K$22)))*100,"")</f>
        <v/>
      </c>
    </row>
    <row r="67" spans="1:7">
      <c r="A67" t="s">
        <v>519</v>
      </c>
      <c r="B67" s="218" t="str">
        <f>+_xll.BDP($A67&amp;" Corp","ID_CUSIP")</f>
        <v>EI1792734</v>
      </c>
      <c r="C67" s="186" t="str">
        <f>+_xll.BDP($B67 &amp; " Corp","MTY_YEARS")</f>
        <v>#N/A Field Not Applicable</v>
      </c>
      <c r="D67" s="226" t="str">
        <f>+_xll.BDP($B67 &amp; "@RIAY Corp","DUR_BID")</f>
        <v>#N/A N/A</v>
      </c>
      <c r="E67" s="226" t="str">
        <f>+_xll.BDP(LEFT(B67,8) &amp; "@RIAY Corp","BID_YIELD")</f>
        <v>#N/A Real Time</v>
      </c>
      <c r="F67" s="107" t="str">
        <f>+_xll.BDP(LEFT(B67,8) &amp; "@RIAY Corp","TRADE_CRNCY")</f>
        <v>CLF</v>
      </c>
      <c r="G67" s="199" t="str">
        <f ca="1">+IFERROR((E67-IF(F67="CLF",[4]!CERCHA($D67,'Curva Gobierno'!$D$2:$E$38,0),[4]!CERCHA($D67,'Curva Gobierno'!$J$2:$K$22)))*100,"")</f>
        <v/>
      </c>
    </row>
    <row r="68" spans="1:7">
      <c r="A68" t="s">
        <v>513</v>
      </c>
      <c r="B68" s="218" t="str">
        <f>+_xll.BDP($A68&amp;" Corp","ID_CUSIP")</f>
        <v>EI7555135</v>
      </c>
      <c r="C68" s="186" t="str">
        <f>+_xll.BDP($B68 &amp; " Corp","MTY_YEARS")</f>
        <v>#N/A Field Not Applicable</v>
      </c>
      <c r="D68" s="226" t="str">
        <f>+_xll.BDP($B68 &amp; "@RIAY Corp","DUR_BID")</f>
        <v>#N/A N/A</v>
      </c>
      <c r="E68" s="226" t="str">
        <f>+_xll.BDP(LEFT(B68,8) &amp; "@RIAY Corp","BID_YIELD")</f>
        <v>#N/A Real Time</v>
      </c>
      <c r="F68" s="107" t="str">
        <f>+_xll.BDP(LEFT(B68,8) &amp; "@RIAY Corp","TRADE_CRNCY")</f>
        <v>CLF</v>
      </c>
      <c r="G68" s="199" t="str">
        <f ca="1">+IFERROR((E68-IF(F68="CLF",[4]!CERCHA($D68,'Curva Gobierno'!$D$2:$E$38,0),[4]!CERCHA($D68,'Curva Gobierno'!$J$2:$K$22)))*100,"")</f>
        <v/>
      </c>
    </row>
    <row r="69" spans="1:7">
      <c r="A69" t="s">
        <v>524</v>
      </c>
      <c r="B69" s="218" t="str">
        <f>+_xll.BDP($A69&amp;" Corp","ID_CUSIP")</f>
        <v>EI6171686</v>
      </c>
      <c r="C69" s="186" t="str">
        <f>+_xll.BDP($B69 &amp; " Corp","MTY_YEARS")</f>
        <v>#N/A Field Not Applicable</v>
      </c>
      <c r="D69" s="226" t="str">
        <f>+_xll.BDP($B69 &amp; "@RIAY Corp","DUR_BID")</f>
        <v>#N/A N/A</v>
      </c>
      <c r="E69" s="226" t="str">
        <f>+_xll.BDP(LEFT(B69,8) &amp; "@RIAY Corp","BID_YIELD")</f>
        <v>#N/A Real Time</v>
      </c>
      <c r="F69" s="107" t="str">
        <f>+_xll.BDP(LEFT(B69,8) &amp; "@RIAY Corp","TRADE_CRNCY")</f>
        <v>CLF</v>
      </c>
      <c r="G69" s="199" t="str">
        <f ca="1">+IFERROR((E69-IF(F69="CLF",[4]!CERCHA($D69,'Curva Gobierno'!$D$2:$E$38,0),[4]!CERCHA($D69,'Curva Gobierno'!$J$2:$K$22)))*100,"")</f>
        <v/>
      </c>
    </row>
    <row r="70" spans="1:7">
      <c r="A70" t="s">
        <v>533</v>
      </c>
      <c r="B70" s="218" t="str">
        <f>+_xll.BDP($A70&amp;" Corp","ID_CUSIP")</f>
        <v>EJ4922310</v>
      </c>
      <c r="C70" s="186">
        <f>+_xll.BDP($B70 &amp; " Corp","MTY_YEARS")</f>
        <v>3.2854209445585217E-2</v>
      </c>
      <c r="D70" s="226" t="str">
        <f>+_xll.BDP($B70 &amp; "@RIAY Corp","DUR_BID")</f>
        <v>#N/A N/A</v>
      </c>
      <c r="E70" s="226" t="str">
        <f>+_xll.BDP(LEFT(B70,8) &amp; "@RIAY Corp","BID_YIELD")</f>
        <v>#N/A Real Time</v>
      </c>
      <c r="F70" s="107" t="str">
        <f>+_xll.BDP(LEFT(B70,8) &amp; "@RIAY Corp","TRADE_CRNCY")</f>
        <v>CLF</v>
      </c>
      <c r="G70" s="199" t="str">
        <f ca="1">+IFERROR((E70-IF(F70="CLF",[4]!CERCHA($D70,'Curva Gobierno'!$D$2:$E$38,0),[4]!CERCHA($D70,'Curva Gobierno'!$J$2:$K$22)))*100,"")</f>
        <v/>
      </c>
    </row>
    <row r="71" spans="1:7">
      <c r="A71" t="s">
        <v>540</v>
      </c>
      <c r="B71" s="218" t="str">
        <f>+_xll.BDP($A71&amp;" Corp","ID_CUSIP")</f>
        <v>EJ8020905</v>
      </c>
      <c r="C71" s="186">
        <f>+_xll.BDP($B71 &amp; " Corp","MTY_YEARS")</f>
        <v>0.70362765229294999</v>
      </c>
      <c r="D71" s="226" t="str">
        <f>+_xll.BDP($B71 &amp; "@RIAY Corp","DUR_BID")</f>
        <v>#N/A N/A</v>
      </c>
      <c r="E71" s="226" t="str">
        <f>+_xll.BDP(LEFT(B71,8) &amp; "@RIAY Corp","BID_YIELD")</f>
        <v>#N/A Real Time</v>
      </c>
      <c r="F71" s="107" t="str">
        <f>+_xll.BDP(LEFT(B71,8) &amp; "@RIAY Corp","TRADE_CRNCY")</f>
        <v>CLF</v>
      </c>
      <c r="G71" s="199" t="str">
        <f ca="1">+IFERROR((E71-IF(F71="CLF",[4]!CERCHA($D71,'Curva Gobierno'!$D$2:$E$38,0),[4]!CERCHA($D71,'Curva Gobierno'!$J$2:$K$22)))*100,"")</f>
        <v/>
      </c>
    </row>
    <row r="72" spans="1:7">
      <c r="A72" t="s">
        <v>541</v>
      </c>
      <c r="B72" s="218" t="str">
        <f>+_xll.BDP($A72&amp;" Corp","ID_CUSIP")</f>
        <v>EJ7884210</v>
      </c>
      <c r="C72" s="186">
        <f>+_xll.BDP($B72 &amp; " Corp","MTY_YEARS")</f>
        <v>0.35865845311430528</v>
      </c>
      <c r="D72" s="226" t="str">
        <f>+_xll.BDP($B72 &amp; "@RIAY Corp","DUR_BID")</f>
        <v>#N/A N/A</v>
      </c>
      <c r="E72" s="226" t="str">
        <f>+_xll.BDP(LEFT(B72,8) &amp; "@RIAY Corp","BID_YIELD")</f>
        <v>#N/A Real Time</v>
      </c>
      <c r="F72" s="107" t="str">
        <f>+_xll.BDP(LEFT(B72,8) &amp; "@RIAY Corp","TRADE_CRNCY")</f>
        <v>CLF</v>
      </c>
      <c r="G72" s="199" t="str">
        <f ca="1">+IFERROR((E72-IF(F72="CLF",[4]!CERCHA($D72,'Curva Gobierno'!$D$2:$E$38,0),[4]!CERCHA($D72,'Curva Gobierno'!$J$2:$K$22)))*100,"")</f>
        <v/>
      </c>
    </row>
    <row r="73" spans="1:7">
      <c r="A73" t="s">
        <v>1030</v>
      </c>
      <c r="B73" s="218" t="str">
        <f>+_xll.BDP($A73&amp;" Corp","ID_CUSIP")</f>
        <v>UV4487111</v>
      </c>
      <c r="C73" s="186">
        <f>+_xll.BDP($B73 &amp; " Corp","MTY_YEARS")</f>
        <v>0.44079397672826831</v>
      </c>
      <c r="D73" s="226" t="str">
        <f>+_xll.BDP($B73 &amp; "@RIAY Corp","DUR_BID")</f>
        <v>#N/A N/A</v>
      </c>
      <c r="E73" s="226" t="str">
        <f>+_xll.BDP(LEFT(B73,8) &amp; "@RIAY Corp","BID_YIELD")</f>
        <v>#N/A Real Time</v>
      </c>
      <c r="F73" s="107" t="str">
        <f>+_xll.BDP(LEFT(B73,8) &amp; "@RIAY Corp","TRADE_CRNCY")</f>
        <v>CLF</v>
      </c>
      <c r="G73" s="199" t="str">
        <f ca="1">+IFERROR((E73-IF(F73="CLF",[4]!CERCHA($D73,'Curva Gobierno'!$D$2:$E$38,0),[4]!CERCHA($D73,'Curva Gobierno'!$J$2:$K$22)))*100,"")</f>
        <v/>
      </c>
    </row>
    <row r="74" spans="1:7">
      <c r="A74" t="s">
        <v>993</v>
      </c>
      <c r="B74" s="218" t="str">
        <f>+_xll.BDP($A74&amp;" Corp","ID_CUSIP")</f>
        <v>EK4748993</v>
      </c>
      <c r="C74" s="186">
        <f>+_xll.BDP($B74 &amp; " Corp","MTY_YEARS")</f>
        <v>0.56399726214921286</v>
      </c>
      <c r="D74" s="226" t="str">
        <f>+_xll.BDP($B74 &amp; "@RIAY Corp","DUR_BID")</f>
        <v>#N/A N/A</v>
      </c>
      <c r="E74" s="226" t="str">
        <f>+_xll.BDP(LEFT(B74,8) &amp; "@RIAY Corp","BID_YIELD")</f>
        <v>#N/A Real Time</v>
      </c>
      <c r="F74" s="107" t="str">
        <f>+_xll.BDP(LEFT(B74,8) &amp; "@RIAY Corp","TRADE_CRNCY")</f>
        <v>CLF</v>
      </c>
      <c r="G74" s="199" t="str">
        <f ca="1">+IFERROR((E74-IF(F74="CLF",[4]!CERCHA($D74,'Curva Gobierno'!$D$2:$E$38,0),[4]!CERCHA($D74,'Curva Gobierno'!$J$2:$K$22)))*100,"")</f>
        <v/>
      </c>
    </row>
    <row r="75" spans="1:7">
      <c r="A75" t="s">
        <v>546</v>
      </c>
      <c r="B75" s="218" t="str">
        <f>+_xll.BDP($A75&amp;" Corp","ID_CUSIP")</f>
        <v>EK7384150</v>
      </c>
      <c r="C75" s="186">
        <f>+_xll.BDP($B75 &amp; " Corp","MTY_YEARS")</f>
        <v>0.6078028747433265</v>
      </c>
      <c r="D75" s="226" t="str">
        <f>+_xll.BDP($B75 &amp; "@RIAY Corp","DUR_BID")</f>
        <v>#N/A N/A</v>
      </c>
      <c r="E75" s="226" t="str">
        <f>+_xll.BDP(LEFT(B75,8) &amp; "@RIAY Corp","BID_YIELD")</f>
        <v>#N/A Real Time</v>
      </c>
      <c r="F75" s="107" t="str">
        <f>+_xll.BDP(LEFT(B75,8) &amp; "@RIAY Corp","TRADE_CRNCY")</f>
        <v>CLF</v>
      </c>
      <c r="G75" s="199" t="str">
        <f ca="1">+IFERROR((E75-IF(F75="CLF",[4]!CERCHA($D75,'Curva Gobierno'!$D$2:$E$38,0),[4]!CERCHA($D75,'Curva Gobierno'!$J$2:$K$22)))*100,"")</f>
        <v/>
      </c>
    </row>
    <row r="76" spans="1:7">
      <c r="A76" t="s">
        <v>547</v>
      </c>
      <c r="B76" s="218" t="str">
        <f>+_xll.BDP($A76&amp;" Corp","ID_CUSIP")</f>
        <v>EK7227508</v>
      </c>
      <c r="C76" s="186">
        <f>+_xll.BDP($B76 &amp; " Corp","MTY_YEARS")</f>
        <v>0.69267624914442161</v>
      </c>
      <c r="D76" s="226" t="str">
        <f>+_xll.BDP($B76 &amp; "@RIAY Corp","DUR_BID")</f>
        <v>#N/A N/A</v>
      </c>
      <c r="E76" s="226" t="str">
        <f>+_xll.BDP(LEFT(B76,8) &amp; "@RIAY Corp","BID_YIELD")</f>
        <v>#N/A Real Time</v>
      </c>
      <c r="F76" s="107" t="str">
        <f>+_xll.BDP(LEFT(B76,8) &amp; "@RIAY Corp","TRADE_CRNCY")</f>
        <v>CLF</v>
      </c>
      <c r="G76" s="199" t="str">
        <f ca="1">+IFERROR((E76-IF(F76="CLF",[4]!CERCHA($D76,'Curva Gobierno'!$D$2:$E$38,0),[4]!CERCHA($D76,'Curva Gobierno'!$J$2:$K$22)))*100,"")</f>
        <v/>
      </c>
    </row>
    <row r="77" spans="1:7">
      <c r="A77" t="s">
        <v>548</v>
      </c>
      <c r="B77" s="218" t="str">
        <f>+_xll.BDP($A77&amp;" Corp","ID_CUSIP")</f>
        <v>EI6727891</v>
      </c>
      <c r="C77" s="186">
        <f>+_xll.BDP($B77 &amp; " Corp","MTY_YEARS")</f>
        <v>2.6091718001368926</v>
      </c>
      <c r="D77" s="226" t="str">
        <f>+_xll.BDP($B77 &amp; "@RIAY Corp","DUR_BID")</f>
        <v>#N/A N/A</v>
      </c>
      <c r="E77" s="226" t="str">
        <f>+_xll.BDP(LEFT(B77,8) &amp; "@RIAY Corp","BID_YIELD")</f>
        <v>#N/A Real Time</v>
      </c>
      <c r="F77" s="107" t="str">
        <f>+_xll.BDP(LEFT(B77,8) &amp; "@RIAY Corp","TRADE_CRNCY")</f>
        <v>CLP</v>
      </c>
      <c r="G77" s="199" t="str">
        <f ca="1">+IFERROR((E77-IF(F77="CLF",[4]!CERCHA($D77,'Curva Gobierno'!$D$2:$E$38,0),[4]!CERCHA($D77,'Curva Gobierno'!$J$2:$K$22)))*100,"")</f>
        <v/>
      </c>
    </row>
    <row r="78" spans="1:7">
      <c r="A78" t="s">
        <v>553</v>
      </c>
      <c r="B78" s="218" t="str">
        <f>+_xll.BDP($A78&amp;" Corp","ID_CUSIP")</f>
        <v>EK7226120</v>
      </c>
      <c r="C78" s="186">
        <f>+_xll.BDP($B78 &amp; " Corp","MTY_YEARS")</f>
        <v>0.85968514715947986</v>
      </c>
      <c r="D78" s="226" t="str">
        <f>+_xll.BDP($B78 &amp; "@RIAY Corp","DUR_BID")</f>
        <v>#N/A N/A</v>
      </c>
      <c r="E78" s="226" t="str">
        <f>+_xll.BDP(LEFT(B78,8) &amp; "@RIAY Corp","BID_YIELD")</f>
        <v>#N/A Real Time</v>
      </c>
      <c r="F78" s="107" t="str">
        <f>+_xll.BDP(LEFT(B78,8) &amp; "@RIAY Corp","TRADE_CRNCY")</f>
        <v>CLF</v>
      </c>
      <c r="G78" s="199" t="str">
        <f ca="1">+IFERROR((E78-IF(F78="CLF",[4]!CERCHA($D78,'Curva Gobierno'!$D$2:$E$38,0),[4]!CERCHA($D78,'Curva Gobierno'!$J$2:$K$22)))*100,"")</f>
        <v/>
      </c>
    </row>
    <row r="79" spans="1:7">
      <c r="A79" t="s">
        <v>556</v>
      </c>
      <c r="B79" s="218" t="str">
        <f>+_xll.BDP($A79&amp;" Corp","ID_CUSIP")</f>
        <v>EK7248116</v>
      </c>
      <c r="C79" s="186">
        <f>+_xll.BDP($B79 &amp; " Corp","MTY_YEARS")</f>
        <v>1.1115674195756331</v>
      </c>
      <c r="D79" s="226" t="str">
        <f>+_xll.BDP($B79 &amp; "@RIAY Corp","DUR_BID")</f>
        <v>#N/A N/A</v>
      </c>
      <c r="E79" s="226" t="str">
        <f>+_xll.BDP(LEFT(B79,8) &amp; "@RIAY Corp","BID_YIELD")</f>
        <v>#N/A Real Time</v>
      </c>
      <c r="F79" s="107" t="str">
        <f>+_xll.BDP(LEFT(B79,8) &amp; "@RIAY Corp","TRADE_CRNCY")</f>
        <v>CLF</v>
      </c>
      <c r="G79" s="199" t="str">
        <f ca="1">+IFERROR((E79-IF(F79="CLF",[4]!CERCHA($D79,'Curva Gobierno'!$D$2:$E$38,0),[4]!CERCHA($D79,'Curva Gobierno'!$J$2:$K$22)))*100,"")</f>
        <v/>
      </c>
    </row>
    <row r="80" spans="1:7">
      <c r="A80" t="s">
        <v>558</v>
      </c>
      <c r="B80" s="218" t="str">
        <f>+_xll.BDP($A80&amp;" Corp","ID_CUSIP")</f>
        <v>EK1543900</v>
      </c>
      <c r="C80" s="186">
        <f>+_xll.BDP($B80 &amp; " Corp","MTY_YEARS")</f>
        <v>1.3086926762491444</v>
      </c>
      <c r="D80" s="226" t="str">
        <f>+_xll.BDP($B80 &amp; "@RIAY Corp","DUR_BID")</f>
        <v>#N/A N/A</v>
      </c>
      <c r="E80" s="226" t="str">
        <f>+_xll.BDP(LEFT(B80,8) &amp; "@RIAY Corp","BID_YIELD")</f>
        <v>#N/A Real Time</v>
      </c>
      <c r="F80" s="107" t="str">
        <f>+_xll.BDP(LEFT(B80,8) &amp; "@RIAY Corp","TRADE_CRNCY")</f>
        <v>CLP</v>
      </c>
      <c r="G80" s="199" t="str">
        <f ca="1">+IFERROR((E80-IF(F80="CLF",[4]!CERCHA($D80,'Curva Gobierno'!$D$2:$E$38,0),[4]!CERCHA($D80,'Curva Gobierno'!$J$2:$K$22)))*100,"")</f>
        <v/>
      </c>
    </row>
    <row r="81" spans="1:7">
      <c r="A81" t="s">
        <v>1256</v>
      </c>
      <c r="B81" s="218" t="str">
        <f>+_xll.BDP($A81&amp;" Corp","ID_CUSIP")</f>
        <v>EC2388311</v>
      </c>
      <c r="C81" s="186">
        <f>+_xll.BDP($B81 &amp; " Corp","MTY_YEARS")</f>
        <v>2.6940451745379876</v>
      </c>
      <c r="D81" s="226" t="str">
        <f>+_xll.BDP($B81 &amp; "@RIAY Corp","DUR_BID")</f>
        <v>#N/A N/A</v>
      </c>
      <c r="E81" s="226" t="str">
        <f>+_xll.BDP(LEFT(B81,8) &amp; "@RIAY Corp","BID_YIELD")</f>
        <v>#N/A Real Time</v>
      </c>
      <c r="F81" s="107" t="str">
        <f>+_xll.BDP(LEFT(B81,8) &amp; "@RIAY Corp","TRADE_CRNCY")</f>
        <v>CLF</v>
      </c>
      <c r="G81" s="199" t="str">
        <f ca="1">+IFERROR((E81-IF(F81="CLF",[4]!CERCHA($D81,'Curva Gobierno'!$D$2:$E$38,0),[4]!CERCHA($D81,'Curva Gobierno'!$J$2:$K$22)))*100,"")</f>
        <v/>
      </c>
    </row>
    <row r="82" spans="1:7">
      <c r="A82" t="s">
        <v>562</v>
      </c>
      <c r="B82" s="218" t="str">
        <f>+_xll.BDP($A82&amp;" Corp","ID_CUSIP")</f>
        <v>EK9451817</v>
      </c>
      <c r="C82" s="186">
        <f>+_xll.BDP($B82 &amp; " Corp","MTY_YEARS")</f>
        <v>2.3600273785078714</v>
      </c>
      <c r="D82" s="226" t="str">
        <f>+_xll.BDP($B82 &amp; "@RIAY Corp","DUR_BID")</f>
        <v>#N/A N/A</v>
      </c>
      <c r="E82" s="226" t="str">
        <f>+_xll.BDP(LEFT(B82,8) &amp; "@RIAY Corp","BID_YIELD")</f>
        <v>#N/A Real Time</v>
      </c>
      <c r="F82" s="107" t="str">
        <f>+_xll.BDP(LEFT(B82,8) &amp; "@RIAY Corp","TRADE_CRNCY")</f>
        <v>CLP</v>
      </c>
      <c r="G82" s="199" t="str">
        <f ca="1">+IFERROR((E82-IF(F82="CLF",[4]!CERCHA($D82,'Curva Gobierno'!$D$2:$E$38,0),[4]!CERCHA($D82,'Curva Gobierno'!$J$2:$K$22)))*100,"")</f>
        <v/>
      </c>
    </row>
    <row r="83" spans="1:7">
      <c r="A83" t="s">
        <v>563</v>
      </c>
      <c r="B83" s="218" t="str">
        <f>+_xll.BDP($A83&amp;" Corp","ID_CUSIP")</f>
        <v>EK2711191</v>
      </c>
      <c r="C83" s="186">
        <f>+_xll.BDP($B83 &amp; " Corp","MTY_YEARS")</f>
        <v>1.3579739904175223</v>
      </c>
      <c r="D83" s="226" t="str">
        <f>+_xll.BDP($B83 &amp; "@RIAY Corp","DUR_BID")</f>
        <v>#N/A N/A</v>
      </c>
      <c r="E83" s="226" t="str">
        <f>+_xll.BDP(LEFT(B83,8) &amp; "@RIAY Corp","BID_YIELD")</f>
        <v>#N/A Real Time</v>
      </c>
      <c r="F83" s="107" t="str">
        <f>+_xll.BDP(LEFT(B83,8) &amp; "@RIAY Corp","TRADE_CRNCY")</f>
        <v>CLF</v>
      </c>
      <c r="G83" s="199" t="str">
        <f ca="1">+IFERROR((E83-IF(F83="CLF",[4]!CERCHA($D83,'Curva Gobierno'!$D$2:$E$38,0),[4]!CERCHA($D83,'Curva Gobierno'!$J$2:$K$22)))*100,"")</f>
        <v/>
      </c>
    </row>
    <row r="84" spans="1:7">
      <c r="A84" t="s">
        <v>564</v>
      </c>
      <c r="B84" s="218" t="str">
        <f>+_xll.BDP($A84&amp;" Corp","ID_CUSIP")</f>
        <v>EJ6693695</v>
      </c>
      <c r="C84" s="186">
        <f>+_xll.BDP($B84 &amp; " Corp","MTY_YEARS")</f>
        <v>1.5249828884325805</v>
      </c>
      <c r="D84" s="226" t="str">
        <f>+_xll.BDP($B84 &amp; "@RIAY Corp","DUR_BID")</f>
        <v>#N/A N/A</v>
      </c>
      <c r="E84" s="226" t="str">
        <f>+_xll.BDP(LEFT(B84,8) &amp; "@RIAY Corp","BID_YIELD")</f>
        <v>#N/A Real Time</v>
      </c>
      <c r="F84" s="107" t="str">
        <f>+_xll.BDP(LEFT(B84,8) &amp; "@RIAY Corp","TRADE_CRNCY")</f>
        <v>CLF</v>
      </c>
      <c r="G84" s="199" t="str">
        <f ca="1">+IFERROR((E84-IF(F84="CLF",[4]!CERCHA($D84,'Curva Gobierno'!$D$2:$E$38,0),[4]!CERCHA($D84,'Curva Gobierno'!$J$2:$K$22)))*100,"")</f>
        <v/>
      </c>
    </row>
    <row r="85" spans="1:7">
      <c r="A85" t="s">
        <v>1197</v>
      </c>
      <c r="B85" s="218" t="str">
        <f>+_xll.BDP($A85&amp;" Corp","ID_CUSIP")</f>
        <v>AL9559181</v>
      </c>
      <c r="C85" s="186">
        <f>+_xll.BDP($B85 &amp; " Corp","MTY_YEARS")</f>
        <v>2.6119096509240247</v>
      </c>
      <c r="D85" s="226" t="str">
        <f>+_xll.BDP($B85 &amp; "@RIAY Corp","DUR_BID")</f>
        <v>#N/A N/A</v>
      </c>
      <c r="E85" s="226" t="str">
        <f>+_xll.BDP(LEFT(B85,8) &amp; "@RIAY Corp","BID_YIELD")</f>
        <v>#N/A Real Time</v>
      </c>
      <c r="F85" s="107" t="str">
        <f>+_xll.BDP(LEFT(B85,8) &amp; "@RIAY Corp","TRADE_CRNCY")</f>
        <v>CLP</v>
      </c>
      <c r="G85" s="199" t="str">
        <f ca="1">+IFERROR((E85-IF(F85="CLF",[4]!CERCHA($D85,'Curva Gobierno'!$D$2:$E$38,0),[4]!CERCHA($D85,'Curva Gobierno'!$J$2:$K$22)))*100,"")</f>
        <v/>
      </c>
    </row>
    <row r="86" spans="1:7">
      <c r="A86" t="s">
        <v>565</v>
      </c>
      <c r="B86" s="218" t="str">
        <f>+_xll.BDP($A86&amp;" Corp","ID_CUSIP")</f>
        <v>EK7248298</v>
      </c>
      <c r="C86" s="186">
        <f>+_xll.BDP($B86 &amp; " Corp","MTY_YEARS")</f>
        <v>1.6071184120465434</v>
      </c>
      <c r="D86" s="226" t="str">
        <f>+_xll.BDP($B86 &amp; "@RIAY Corp","DUR_BID")</f>
        <v>#N/A N/A</v>
      </c>
      <c r="E86" s="226" t="str">
        <f>+_xll.BDP(LEFT(B86,8) &amp; "@RIAY Corp","BID_YIELD")</f>
        <v>#N/A Real Time</v>
      </c>
      <c r="F86" s="107" t="str">
        <f>+_xll.BDP(LEFT(B86,8) &amp; "@RIAY Corp","TRADE_CRNCY")</f>
        <v>CLF</v>
      </c>
      <c r="G86" s="199" t="str">
        <f ca="1">+IFERROR((E86-IF(F86="CLF",[4]!CERCHA($D86,'Curva Gobierno'!$D$2:$E$38,0),[4]!CERCHA($D86,'Curva Gobierno'!$J$2:$K$22)))*100,"")</f>
        <v/>
      </c>
    </row>
    <row r="87" spans="1:7">
      <c r="A87" t="s">
        <v>566</v>
      </c>
      <c r="B87" s="218" t="str">
        <f>+_xll.BDP($A87&amp;" Corp","ID_CUSIP")</f>
        <v>EK7508782</v>
      </c>
      <c r="C87" s="186">
        <f>+_xll.BDP($B87 &amp; " Corp","MTY_YEARS")</f>
        <v>1.6071184120465434</v>
      </c>
      <c r="D87" s="226" t="str">
        <f>+_xll.BDP($B87 &amp; "@RIAY Corp","DUR_BID")</f>
        <v>#N/A N/A</v>
      </c>
      <c r="E87" s="226" t="str">
        <f>+_xll.BDP(LEFT(B87,8) &amp; "@RIAY Corp","BID_YIELD")</f>
        <v>#N/A Real Time</v>
      </c>
      <c r="F87" s="107" t="str">
        <f>+_xll.BDP(LEFT(B87,8) &amp; "@RIAY Corp","TRADE_CRNCY")</f>
        <v>CLF</v>
      </c>
      <c r="G87" s="199" t="str">
        <f ca="1">+IFERROR((E87-IF(F87="CLF",[4]!CERCHA($D87,'Curva Gobierno'!$D$2:$E$38,0),[4]!CERCHA($D87,'Curva Gobierno'!$J$2:$K$22)))*100,"")</f>
        <v/>
      </c>
    </row>
    <row r="88" spans="1:7">
      <c r="A88" t="s">
        <v>570</v>
      </c>
      <c r="B88" s="218" t="str">
        <f>+_xll.BDP($A88&amp;" Corp","ID_CUSIP")</f>
        <v>EI7119825</v>
      </c>
      <c r="C88" s="186">
        <f>+_xll.BDP($B88 &amp; " Corp","MTY_YEARS")</f>
        <v>1.6919917864476386</v>
      </c>
      <c r="D88" s="226" t="str">
        <f>+_xll.BDP($B88 &amp; "@RIAY Corp","DUR_BID")</f>
        <v>#N/A N/A</v>
      </c>
      <c r="E88" s="226" t="str">
        <f>+_xll.BDP(LEFT(B88,8) &amp; "@RIAY Corp","BID_YIELD")</f>
        <v>#N/A Real Time</v>
      </c>
      <c r="F88" s="107" t="str">
        <f>+_xll.BDP(LEFT(B88,8) &amp; "@RIAY Corp","TRADE_CRNCY")</f>
        <v>CLF</v>
      </c>
      <c r="G88" s="199" t="str">
        <f ca="1">+IFERROR((E88-IF(F88="CLF",[4]!CERCHA($D88,'Curva Gobierno'!$D$2:$E$38,0),[4]!CERCHA($D88,'Curva Gobierno'!$J$2:$K$22)))*100,"")</f>
        <v/>
      </c>
    </row>
    <row r="89" spans="1:7">
      <c r="A89" t="s">
        <v>581</v>
      </c>
      <c r="B89" s="218" t="str">
        <f>+_xll.BDP($A89&amp;" Corp","ID_CUSIP")</f>
        <v>EK6287115</v>
      </c>
      <c r="C89" s="186">
        <f>+_xll.BDP($B89 &amp; " Corp","MTY_YEARS")</f>
        <v>1.9438740588637919</v>
      </c>
      <c r="D89" s="226" t="str">
        <f>+_xll.BDP($B89 &amp; "@RIAY Corp","DUR_BID")</f>
        <v>#N/A N/A</v>
      </c>
      <c r="E89" s="226" t="str">
        <f>+_xll.BDP(LEFT(B89,8) &amp; "@RIAY Corp","BID_YIELD")</f>
        <v>#N/A Real Time</v>
      </c>
      <c r="F89" s="107" t="str">
        <f>+_xll.BDP(LEFT(B89,8) &amp; "@RIAY Corp","TRADE_CRNCY")</f>
        <v>CLP</v>
      </c>
      <c r="G89" s="199" t="str">
        <f ca="1">+IFERROR((E89-IF(F89="CLF",[4]!CERCHA($D89,'Curva Gobierno'!$D$2:$E$38,0),[4]!CERCHA($D89,'Curva Gobierno'!$J$2:$K$22)))*100,"")</f>
        <v/>
      </c>
    </row>
    <row r="90" spans="1:7">
      <c r="A90" t="s">
        <v>583</v>
      </c>
      <c r="B90" s="218" t="str">
        <f>+_xll.BDP($A90&amp;" Corp","ID_CUSIP")</f>
        <v>EK7653380</v>
      </c>
      <c r="C90" s="186">
        <f>+_xll.BDP($B90 &amp; " Corp","MTY_YEARS")</f>
        <v>1.8590006844626967</v>
      </c>
      <c r="D90" s="226" t="str">
        <f>+_xll.BDP($B90 &amp; "@RIAY Corp","DUR_BID")</f>
        <v>#N/A N/A</v>
      </c>
      <c r="E90" s="226" t="str">
        <f>+_xll.BDP(LEFT(B90,8) &amp; "@RIAY Corp","BID_YIELD")</f>
        <v>#N/A Real Time</v>
      </c>
      <c r="F90" s="107" t="str">
        <f>+_xll.BDP(LEFT(B90,8) &amp; "@RIAY Corp","TRADE_CRNCY")</f>
        <v>CLF</v>
      </c>
      <c r="G90" s="199" t="str">
        <f ca="1">+IFERROR((E90-IF(F90="CLF",[4]!CERCHA($D90,'Curva Gobierno'!$D$2:$E$38,0),[4]!CERCHA($D90,'Curva Gobierno'!$J$2:$K$22)))*100,"")</f>
        <v/>
      </c>
    </row>
    <row r="91" spans="1:7">
      <c r="A91" t="s">
        <v>567</v>
      </c>
      <c r="B91" s="218" t="str">
        <f>+_xll.BDP($A91&amp;" Corp","ID_CUSIP")</f>
        <v>EC2386232</v>
      </c>
      <c r="C91" s="186">
        <f>+_xll.BDP($B91 &amp; " Corp","MTY_YEARS")</f>
        <v>4.1122518822724166</v>
      </c>
      <c r="D91" s="226" t="str">
        <f>+_xll.BDP($B91 &amp; "@RIAY Corp","DUR_BID")</f>
        <v>#N/A N/A</v>
      </c>
      <c r="E91" s="226" t="str">
        <f>+_xll.BDP(LEFT(B91,8) &amp; "@RIAY Corp","BID_YIELD")</f>
        <v>#N/A Real Time</v>
      </c>
      <c r="F91" s="107" t="str">
        <f>+_xll.BDP(LEFT(B91,8) &amp; "@RIAY Corp","TRADE_CRNCY")</f>
        <v>CLF</v>
      </c>
      <c r="G91" s="199" t="str">
        <f ca="1">+IFERROR((E91-IF(F91="CLF",[4]!CERCHA($D91,'Curva Gobierno'!$D$2:$E$38,0),[4]!CERCHA($D91,'Curva Gobierno'!$J$2:$K$22)))*100,"")</f>
        <v/>
      </c>
    </row>
    <row r="92" spans="1:7">
      <c r="A92" t="s">
        <v>584</v>
      </c>
      <c r="B92" s="218" t="str">
        <f>+_xll.BDP($A92&amp;" Corp","ID_CUSIP")</f>
        <v>EK7218267</v>
      </c>
      <c r="C92" s="186">
        <f>+_xll.BDP($B92 &amp; " Corp","MTY_YEARS")</f>
        <v>1.9438740588637919</v>
      </c>
      <c r="D92" s="226" t="str">
        <f>+_xll.BDP($B92 &amp; "@RIAY Corp","DUR_BID")</f>
        <v>#N/A N/A</v>
      </c>
      <c r="E92" s="226" t="str">
        <f>+_xll.BDP(LEFT(B92,8) &amp; "@RIAY Corp","BID_YIELD")</f>
        <v>#N/A Real Time</v>
      </c>
      <c r="F92" s="107" t="str">
        <f>+_xll.BDP(LEFT(B92,8) &amp; "@RIAY Corp","TRADE_CRNCY")</f>
        <v>CLF</v>
      </c>
      <c r="G92" s="199" t="str">
        <f ca="1">+IFERROR((E92-IF(F92="CLF",[4]!CERCHA($D92,'Curva Gobierno'!$D$2:$E$38,0),[4]!CERCHA($D92,'Curva Gobierno'!$J$2:$K$22)))*100,"")</f>
        <v/>
      </c>
    </row>
    <row r="93" spans="1:7">
      <c r="A93" t="s">
        <v>590</v>
      </c>
      <c r="B93" s="218" t="str">
        <f>+_xll.BDP($A93&amp;" Corp","ID_CUSIP")</f>
        <v>UV3639738</v>
      </c>
      <c r="C93" s="186">
        <f>+_xll.BDP($B93 &amp; " Corp","MTY_YEARS")</f>
        <v>2.2751540041067764</v>
      </c>
      <c r="D93" s="226" t="str">
        <f>+_xll.BDP($B93 &amp; "@RIAY Corp","DUR_BID")</f>
        <v>#N/A N/A</v>
      </c>
      <c r="E93" s="226" t="str">
        <f>+_xll.BDP(LEFT(B93,8) &amp; "@RIAY Corp","BID_YIELD")</f>
        <v>#N/A Real Time</v>
      </c>
      <c r="F93" s="107" t="str">
        <f>+_xll.BDP(LEFT(B93,8) &amp; "@RIAY Corp","TRADE_CRNCY")</f>
        <v>CLP</v>
      </c>
      <c r="G93" s="199" t="str">
        <f ca="1">+IFERROR((E93-IF(F93="CLF",[4]!CERCHA($D93,'Curva Gobierno'!$D$2:$E$38,0),[4]!CERCHA($D93,'Curva Gobierno'!$J$2:$K$22)))*100,"")</f>
        <v/>
      </c>
    </row>
    <row r="94" spans="1:7">
      <c r="A94" t="s">
        <v>585</v>
      </c>
      <c r="B94" s="218" t="str">
        <f>+_xll.BDP($A94&amp;" Corp","ID_CUSIP")</f>
        <v>EK6751458</v>
      </c>
      <c r="C94" s="186">
        <f>+_xll.BDP($B94 &amp; " Corp","MTY_YEARS")</f>
        <v>4.0273785078713207</v>
      </c>
      <c r="D94" s="226" t="str">
        <f>+_xll.BDP($B94 &amp; "@RIAY Corp","DUR_BID")</f>
        <v>#N/A N/A</v>
      </c>
      <c r="E94" s="226" t="str">
        <f>+_xll.BDP(LEFT(B94,8) &amp; "@RIAY Corp","BID_YIELD")</f>
        <v>#N/A Real Time</v>
      </c>
      <c r="F94" s="107" t="str">
        <f>+_xll.BDP(LEFT(B94,8) &amp; "@RIAY Corp","TRADE_CRNCY")</f>
        <v>CLP</v>
      </c>
      <c r="G94" s="199" t="str">
        <f ca="1">+IFERROR((E94-IF(F94="CLF",[4]!CERCHA($D94,'Curva Gobierno'!$D$2:$E$38,0),[4]!CERCHA($D94,'Curva Gobierno'!$J$2:$K$22)))*100,"")</f>
        <v/>
      </c>
    </row>
    <row r="95" spans="1:7">
      <c r="A95" t="s">
        <v>592</v>
      </c>
      <c r="B95" s="218" t="str">
        <f>+_xll.BDP($A95&amp;" Corp","ID_CUSIP")</f>
        <v>LW3161095</v>
      </c>
      <c r="C95" s="186">
        <f>+_xll.BDP($B95 &amp; " Corp","MTY_YEARS")</f>
        <v>2.2751540041067764</v>
      </c>
      <c r="D95" s="226" t="str">
        <f>+_xll.BDP($B95 &amp; "@RIAY Corp","DUR_BID")</f>
        <v>#N/A N/A</v>
      </c>
      <c r="E95" s="226" t="str">
        <f>+_xll.BDP(LEFT(B95,8) &amp; "@RIAY Corp","BID_YIELD")</f>
        <v>#N/A Real Time</v>
      </c>
      <c r="F95" s="107" t="str">
        <f>+_xll.BDP(LEFT(B95,8) &amp; "@RIAY Corp","TRADE_CRNCY")</f>
        <v>CLF</v>
      </c>
      <c r="G95" s="199" t="str">
        <f ca="1">+IFERROR((E95-IF(F95="CLF",[4]!CERCHA($D95,'Curva Gobierno'!$D$2:$E$38,0),[4]!CERCHA($D95,'Curva Gobierno'!$J$2:$K$22)))*100,"")</f>
        <v/>
      </c>
    </row>
    <row r="96" spans="1:7">
      <c r="A96" t="s">
        <v>594</v>
      </c>
      <c r="B96" s="218" t="str">
        <f>+_xll.BDP($A96&amp;" Corp","ID_CUSIP")</f>
        <v>EK9959710</v>
      </c>
      <c r="C96" s="186">
        <f>+_xll.BDP($B96 &amp; " Corp","MTY_YEARS")</f>
        <v>2.2751540041067764</v>
      </c>
      <c r="D96" s="226" t="str">
        <f>+_xll.BDP($B96 &amp; "@RIAY Corp","DUR_BID")</f>
        <v>#N/A N/A</v>
      </c>
      <c r="E96" s="226" t="str">
        <f>+_xll.BDP(LEFT(B96,8) &amp; "@RIAY Corp","BID_YIELD")</f>
        <v>#N/A Real Time</v>
      </c>
      <c r="F96" s="107" t="str">
        <f>+_xll.BDP(LEFT(B96,8) &amp; "@RIAY Corp","TRADE_CRNCY")</f>
        <v>CLF</v>
      </c>
      <c r="G96" s="199" t="str">
        <f ca="1">+IFERROR((E96-IF(F96="CLF",[4]!CERCHA($D96,'Curva Gobierno'!$D$2:$E$38,0),[4]!CERCHA($D96,'Curva Gobierno'!$J$2:$K$22)))*100,"")</f>
        <v/>
      </c>
    </row>
    <row r="97" spans="1:7">
      <c r="A97" t="s">
        <v>598</v>
      </c>
      <c r="B97" s="218" t="str">
        <f>+_xll.BDP($A97&amp;" Corp","ID_CUSIP")</f>
        <v>EK6751755</v>
      </c>
      <c r="C97" s="186">
        <f>+_xll.BDP($B97 &amp; " Corp","MTY_YEARS")</f>
        <v>2.4421629021218343</v>
      </c>
      <c r="D97" s="226" t="str">
        <f>+_xll.BDP($B97 &amp; "@RIAY Corp","DUR_BID")</f>
        <v>#N/A N/A</v>
      </c>
      <c r="E97" s="226" t="str">
        <f>+_xll.BDP(LEFT(B97,8) &amp; "@RIAY Corp","BID_YIELD")</f>
        <v>#N/A Real Time</v>
      </c>
      <c r="F97" s="107" t="str">
        <f>+_xll.BDP(LEFT(B97,8) &amp; "@RIAY Corp","TRADE_CRNCY")</f>
        <v>CLP</v>
      </c>
      <c r="G97" s="199" t="str">
        <f ca="1">+IFERROR((E97-IF(F97="CLF",[4]!CERCHA($D97,'Curva Gobierno'!$D$2:$E$38,0),[4]!CERCHA($D97,'Curva Gobierno'!$J$2:$K$22)))*100,"")</f>
        <v/>
      </c>
    </row>
    <row r="98" spans="1:7">
      <c r="A98" t="s">
        <v>600</v>
      </c>
      <c r="B98" s="218" t="str">
        <f>+_xll.BDP($A98&amp;" Corp","ID_CUSIP")</f>
        <v>EK6751219</v>
      </c>
      <c r="C98" s="186">
        <f>+_xll.BDP($B98 &amp; " Corp","MTY_YEARS")</f>
        <v>2.3600273785078714</v>
      </c>
      <c r="D98" s="226" t="str">
        <f>+_xll.BDP($B98 &amp; "@RIAY Corp","DUR_BID")</f>
        <v>#N/A N/A</v>
      </c>
      <c r="E98" s="226" t="str">
        <f>+_xll.BDP(LEFT(B98,8) &amp; "@RIAY Corp","BID_YIELD")</f>
        <v>#N/A Real Time</v>
      </c>
      <c r="F98" s="107" t="str">
        <f>+_xll.BDP(LEFT(B98,8) &amp; "@RIAY Corp","TRADE_CRNCY")</f>
        <v>CLF</v>
      </c>
      <c r="G98" s="199" t="str">
        <f ca="1">+IFERROR((E98-IF(F98="CLF",[4]!CERCHA($D98,'Curva Gobierno'!$D$2:$E$38,0),[4]!CERCHA($D98,'Curva Gobierno'!$J$2:$K$22)))*100,"")</f>
        <v/>
      </c>
    </row>
    <row r="99" spans="1:7">
      <c r="A99" t="s">
        <v>604</v>
      </c>
      <c r="B99" s="218" t="str">
        <f>+_xll.BDP($A99&amp;" Corp","ID_CUSIP")</f>
        <v>EI7361377</v>
      </c>
      <c r="C99" s="186">
        <f>+_xll.BDP($B99 &amp; " Corp","MTY_YEARS")</f>
        <v>2.4421629021218343</v>
      </c>
      <c r="D99" s="226" t="str">
        <f>+_xll.BDP($B99 &amp; "@RIAY Corp","DUR_BID")</f>
        <v>#N/A N/A</v>
      </c>
      <c r="E99" s="226" t="str">
        <f>+_xll.BDP(LEFT(B99,8) &amp; "@RIAY Corp","BID_YIELD")</f>
        <v>#N/A Real Time</v>
      </c>
      <c r="F99" s="107" t="str">
        <f>+_xll.BDP(LEFT(B99,8) &amp; "@RIAY Corp","TRADE_CRNCY")</f>
        <v>CLF</v>
      </c>
      <c r="G99" s="199" t="str">
        <f ca="1">+IFERROR((E99-IF(F99="CLF",[4]!CERCHA($D99,'Curva Gobierno'!$D$2:$E$38,0),[4]!CERCHA($D99,'Curva Gobierno'!$J$2:$K$22)))*100,"")</f>
        <v/>
      </c>
    </row>
    <row r="100" spans="1:7">
      <c r="A100" t="s">
        <v>607</v>
      </c>
      <c r="B100" s="218" t="str">
        <f>+_xll.BDP($A100&amp;" Corp","ID_CUSIP")</f>
        <v>EK7481014</v>
      </c>
      <c r="C100" s="186">
        <f>+_xll.BDP($B100 &amp; " Corp","MTY_YEARS")</f>
        <v>2.4421629021218343</v>
      </c>
      <c r="D100" s="226" t="str">
        <f>+_xll.BDP($B100 &amp; "@RIAY Corp","DUR_BID")</f>
        <v>#N/A N/A</v>
      </c>
      <c r="E100" s="226" t="str">
        <f>+_xll.BDP(LEFT(B100,8) &amp; "@RIAY Corp","BID_YIELD")</f>
        <v>#N/A Real Time</v>
      </c>
      <c r="F100" s="107" t="str">
        <f>+_xll.BDP(LEFT(B100,8) &amp; "@RIAY Corp","TRADE_CRNCY")</f>
        <v>CLF</v>
      </c>
      <c r="G100" s="199" t="str">
        <f ca="1">+IFERROR((E100-IF(F100="CLF",[4]!CERCHA($D100,'Curva Gobierno'!$D$2:$E$38,0),[4]!CERCHA($D100,'Curva Gobierno'!$J$2:$K$22)))*100,"")</f>
        <v/>
      </c>
    </row>
    <row r="101" spans="1:7">
      <c r="A101" t="s">
        <v>609</v>
      </c>
      <c r="B101" s="218" t="str">
        <f>+_xll.BDP($A101&amp;" Corp","ID_CUSIP")</f>
        <v>EK7533988</v>
      </c>
      <c r="C101" s="186">
        <f>+_xll.BDP($B101 &amp; " Corp","MTY_YEARS")</f>
        <v>2.4804928131416837</v>
      </c>
      <c r="D101" s="226" t="str">
        <f>+_xll.BDP($B101 &amp; "@RIAY Corp","DUR_BID")</f>
        <v>#N/A N/A</v>
      </c>
      <c r="E101" s="226" t="str">
        <f>+_xll.BDP(LEFT(B101,8) &amp; "@RIAY Corp","BID_YIELD")</f>
        <v>#N/A Real Time</v>
      </c>
      <c r="F101" s="107" t="str">
        <f>+_xll.BDP(LEFT(B101,8) &amp; "@RIAY Corp","TRADE_CRNCY")</f>
        <v>CLF</v>
      </c>
      <c r="G101" s="199" t="str">
        <f ca="1">+IFERROR((E101-IF(F101="CLF",[4]!CERCHA($D101,'Curva Gobierno'!$D$2:$E$38,0),[4]!CERCHA($D101,'Curva Gobierno'!$J$2:$K$22)))*100,"")</f>
        <v/>
      </c>
    </row>
    <row r="102" spans="1:7">
      <c r="A102" t="s">
        <v>601</v>
      </c>
      <c r="B102" s="218" t="str">
        <f>+_xll.BDP($A102&amp;" Corp","ID_CUSIP")</f>
        <v>LW5609380</v>
      </c>
      <c r="C102" s="186">
        <f>+_xll.BDP($B102 &amp; " Corp","MTY_YEARS")</f>
        <v>2.6064339493497606</v>
      </c>
      <c r="D102" s="226" t="str">
        <f>+_xll.BDP($B102 &amp; "@RIAY Corp","DUR_BID")</f>
        <v>#N/A N/A</v>
      </c>
      <c r="E102" s="226" t="str">
        <f>+_xll.BDP(LEFT(B102,8) &amp; "@RIAY Corp","BID_YIELD")</f>
        <v>#N/A Real Time</v>
      </c>
      <c r="F102" s="107" t="str">
        <f>+_xll.BDP(LEFT(B102,8) &amp; "@RIAY Corp","TRADE_CRNCY")</f>
        <v>CLP</v>
      </c>
      <c r="G102" s="199" t="str">
        <f ca="1">+IFERROR((E102-IF(F102="CLF",[4]!CERCHA($D102,'Curva Gobierno'!$D$2:$E$38,0),[4]!CERCHA($D102,'Curva Gobierno'!$J$2:$K$22)))*100,"")</f>
        <v/>
      </c>
    </row>
    <row r="103" spans="1:7">
      <c r="A103" t="s">
        <v>606</v>
      </c>
      <c r="B103" s="218" t="str">
        <f>+_xll.BDP($A103&amp;" Corp","ID_CUSIP")</f>
        <v>JV4333557</v>
      </c>
      <c r="C103" s="186">
        <f>+_xll.BDP($B103 &amp; " Corp","MTY_YEARS")</f>
        <v>2.6091718001368926</v>
      </c>
      <c r="D103" s="226" t="str">
        <f>+_xll.BDP($B103 &amp; "@RIAY Corp","DUR_BID")</f>
        <v>#N/A N/A</v>
      </c>
      <c r="E103" s="226" t="str">
        <f>+_xll.BDP(LEFT(B103,8) &amp; "@RIAY Corp","BID_YIELD")</f>
        <v>#N/A Real Time</v>
      </c>
      <c r="F103" s="107" t="str">
        <f>+_xll.BDP(LEFT(B103,8) &amp; "@RIAY Corp","TRADE_CRNCY")</f>
        <v>CLP</v>
      </c>
      <c r="G103" s="199" t="str">
        <f ca="1">+IFERROR((E103-IF(F103="CLF",[4]!CERCHA($D103,'Curva Gobierno'!$D$2:$E$38,0),[4]!CERCHA($D103,'Curva Gobierno'!$J$2:$K$22)))*100,"")</f>
        <v/>
      </c>
    </row>
    <row r="104" spans="1:7">
      <c r="A104" t="s">
        <v>611</v>
      </c>
      <c r="B104" s="218" t="str">
        <f>+_xll.BDP($A104&amp;" Corp","ID_CUSIP")</f>
        <v>UV5552905</v>
      </c>
      <c r="C104" s="186">
        <f>+_xll.BDP($B104 &amp; " Corp","MTY_YEARS")</f>
        <v>2.5270362765229293</v>
      </c>
      <c r="D104" s="226" t="str">
        <f>+_xll.BDP($B104 &amp; "@RIAY Corp","DUR_BID")</f>
        <v>#N/A N/A</v>
      </c>
      <c r="E104" s="226" t="str">
        <f>+_xll.BDP(LEFT(B104,8) &amp; "@RIAY Corp","BID_YIELD")</f>
        <v>#N/A Real Time</v>
      </c>
      <c r="F104" s="107" t="str">
        <f>+_xll.BDP(LEFT(B104,8) &amp; "@RIAY Corp","TRADE_CRNCY")</f>
        <v>CLF</v>
      </c>
      <c r="G104" s="199" t="str">
        <f ca="1">+IFERROR((E104-IF(F104="CLF",[4]!CERCHA($D104,'Curva Gobierno'!$D$2:$E$38,0),[4]!CERCHA($D104,'Curva Gobierno'!$J$2:$K$22)))*100,"")</f>
        <v/>
      </c>
    </row>
    <row r="105" spans="1:7">
      <c r="A105" t="s">
        <v>616</v>
      </c>
      <c r="B105" s="218" t="str">
        <f>+_xll.BDP($A105&amp;" Corp","ID_CUSIP")</f>
        <v>EK4921376</v>
      </c>
      <c r="C105" s="186">
        <f>+_xll.BDP($B105 &amp; " Corp","MTY_YEARS")</f>
        <v>2.7789185489390826</v>
      </c>
      <c r="D105" s="226" t="str">
        <f>+_xll.BDP($B105 &amp; "@RIAY Corp","DUR_BID")</f>
        <v>#N/A N/A</v>
      </c>
      <c r="E105" s="226" t="str">
        <f>+_xll.BDP(LEFT(B105,8) &amp; "@RIAY Corp","BID_YIELD")</f>
        <v>#N/A Real Time</v>
      </c>
      <c r="F105" s="107" t="str">
        <f>+_xll.BDP(LEFT(B105,8) &amp; "@RIAY Corp","TRADE_CRNCY")</f>
        <v>CLP</v>
      </c>
      <c r="G105" s="199" t="str">
        <f ca="1">+IFERROR((E105-IF(F105="CLF",[4]!CERCHA($D105,'Curva Gobierno'!$D$2:$E$38,0),[4]!CERCHA($D105,'Curva Gobierno'!$J$2:$K$22)))*100,"")</f>
        <v/>
      </c>
    </row>
    <row r="106" spans="1:7">
      <c r="A106" t="s">
        <v>618</v>
      </c>
      <c r="B106" s="218" t="str">
        <f>+_xll.BDP($A106&amp;" Corp","ID_CUSIP")</f>
        <v>EI7502418</v>
      </c>
      <c r="C106" s="186">
        <f>+_xll.BDP($B106 &amp; " Corp","MTY_YEARS")</f>
        <v>2.7789185489390826</v>
      </c>
      <c r="D106" s="226" t="str">
        <f>+_xll.BDP($B106 &amp; "@RIAY Corp","DUR_BID")</f>
        <v>#N/A N/A</v>
      </c>
      <c r="E106" s="226" t="str">
        <f>+_xll.BDP(LEFT(B106,8) &amp; "@RIAY Corp","BID_YIELD")</f>
        <v>#N/A Real Time</v>
      </c>
      <c r="F106" s="107" t="str">
        <f>+_xll.BDP(LEFT(B106,8) &amp; "@RIAY Corp","TRADE_CRNCY")</f>
        <v>CLF</v>
      </c>
      <c r="G106" s="199" t="str">
        <f ca="1">+IFERROR((E106-IF(F106="CLF",[4]!CERCHA($D106,'Curva Gobierno'!$D$2:$E$38,0),[4]!CERCHA($D106,'Curva Gobierno'!$J$2:$K$22)))*100,"")</f>
        <v/>
      </c>
    </row>
    <row r="107" spans="1:7">
      <c r="A107" t="s">
        <v>619</v>
      </c>
      <c r="B107" s="218" t="str">
        <f>+_xll.BDP($A107&amp;" Corp","ID_CUSIP")</f>
        <v>QJ1897819</v>
      </c>
      <c r="C107" s="186">
        <f>+_xll.BDP($B107 &amp; " Corp","MTY_YEARS")</f>
        <v>2.729637234770705</v>
      </c>
      <c r="D107" s="226" t="str">
        <f>+_xll.BDP($B107 &amp; "@RIAY Corp","DUR_BID")</f>
        <v>#N/A N/A</v>
      </c>
      <c r="E107" s="226" t="str">
        <f>+_xll.BDP(LEFT(B107,8) &amp; "@RIAY Corp","BID_YIELD")</f>
        <v>#N/A Real Time</v>
      </c>
      <c r="F107" s="107" t="str">
        <f>+_xll.BDP(LEFT(B107,8) &amp; "@RIAY Corp","TRADE_CRNCY")</f>
        <v>CLF</v>
      </c>
      <c r="G107" s="199" t="str">
        <f ca="1">+IFERROR((E107-IF(F107="CLF",[4]!CERCHA($D107,'Curva Gobierno'!$D$2:$E$38,0),[4]!CERCHA($D107,'Curva Gobierno'!$J$2:$K$22)))*100,"")</f>
        <v/>
      </c>
    </row>
    <row r="108" spans="1:7">
      <c r="A108" t="s">
        <v>625</v>
      </c>
      <c r="B108" s="218" t="str">
        <f>+_xll.BDP($A108&amp;" Corp","ID_CUSIP")</f>
        <v>UV3639019</v>
      </c>
      <c r="C108" s="186">
        <f>+_xll.BDP($B108 &amp; " Corp","MTY_YEARS")</f>
        <v>2.7789185489390826</v>
      </c>
      <c r="D108" s="226" t="str">
        <f>+_xll.BDP($B108 &amp; "@RIAY Corp","DUR_BID")</f>
        <v>#N/A N/A</v>
      </c>
      <c r="E108" s="226" t="str">
        <f>+_xll.BDP(LEFT(B108,8) &amp; "@RIAY Corp","BID_YIELD")</f>
        <v>#N/A Real Time</v>
      </c>
      <c r="F108" s="107" t="str">
        <f>+_xll.BDP(LEFT(B108,8) &amp; "@RIAY Corp","TRADE_CRNCY")</f>
        <v>CLF</v>
      </c>
      <c r="G108" s="199" t="str">
        <f ca="1">+IFERROR((E108-IF(F108="CLF",[4]!CERCHA($D108,'Curva Gobierno'!$D$2:$E$38,0),[4]!CERCHA($D108,'Curva Gobierno'!$J$2:$K$22)))*100,"")</f>
        <v/>
      </c>
    </row>
    <row r="109" spans="1:7">
      <c r="A109" t="s">
        <v>624</v>
      </c>
      <c r="B109" s="218" t="str">
        <f>+_xll.BDP($A109&amp;" Corp","ID_CUSIP")</f>
        <v>LW2641899</v>
      </c>
      <c r="C109" s="186">
        <f>+_xll.BDP($B109 &amp; " Corp","MTY_YEARS")</f>
        <v>2.7789185489390826</v>
      </c>
      <c r="D109" s="226" t="str">
        <f>+_xll.BDP($B109 &amp; "@RIAY Corp","DUR_BID")</f>
        <v>#N/A N/A</v>
      </c>
      <c r="E109" s="226" t="str">
        <f>+_xll.BDP(LEFT(B109,8) &amp; "@RIAY Corp","BID_YIELD")</f>
        <v>#N/A Real Time</v>
      </c>
      <c r="F109" s="107" t="str">
        <f>+_xll.BDP(LEFT(B109,8) &amp; "@RIAY Corp","TRADE_CRNCY")</f>
        <v>CLF</v>
      </c>
      <c r="G109" s="199" t="str">
        <f ca="1">+IFERROR((E109-IF(F109="CLF",[4]!CERCHA($D109,'Curva Gobierno'!$D$2:$E$38,0),[4]!CERCHA($D109,'Curva Gobierno'!$J$2:$K$22)))*100,"")</f>
        <v/>
      </c>
    </row>
    <row r="110" spans="1:7">
      <c r="A110" t="s">
        <v>626</v>
      </c>
      <c r="B110" s="218" t="str">
        <f>+_xll.BDP($A110&amp;" Corp","ID_CUSIP")</f>
        <v>EK9931313</v>
      </c>
      <c r="C110" s="186">
        <f>+_xll.BDP($B110 &amp; " Corp","MTY_YEARS")</f>
        <v>2.861054072553046</v>
      </c>
      <c r="D110" s="226" t="str">
        <f>+_xll.BDP($B110 &amp; "@RIAY Corp","DUR_BID")</f>
        <v>#N/A N/A</v>
      </c>
      <c r="E110" s="226" t="str">
        <f>+_xll.BDP(LEFT(B110,8) &amp; "@RIAY Corp","BID_YIELD")</f>
        <v>#N/A Real Time</v>
      </c>
      <c r="F110" s="107" t="str">
        <f>+_xll.BDP(LEFT(B110,8) &amp; "@RIAY Corp","TRADE_CRNCY")</f>
        <v>CLF</v>
      </c>
      <c r="G110" s="199" t="str">
        <f ca="1">+IFERROR((E110-IF(F110="CLF",[4]!CERCHA($D110,'Curva Gobierno'!$D$2:$E$38,0),[4]!CERCHA($D110,'Curva Gobierno'!$J$2:$K$22)))*100,"")</f>
        <v/>
      </c>
    </row>
    <row r="111" spans="1:7">
      <c r="A111" t="s">
        <v>1216</v>
      </c>
      <c r="B111" s="218" t="str">
        <f>+_xll.BDP($A111&amp;" Corp","ID_CUSIP")</f>
        <v>JV6956033</v>
      </c>
      <c r="C111" s="186">
        <f>+_xll.BDP($B111 &amp; " Corp","MTY_YEARS")</f>
        <v>3.0280629705681039</v>
      </c>
      <c r="D111" s="226" t="str">
        <f>+_xll.BDP($B111 &amp; "@RIAY Corp","DUR_BID")</f>
        <v>#N/A N/A</v>
      </c>
      <c r="E111" s="226" t="str">
        <f>+_xll.BDP(LEFT(B111,8) &amp; "@RIAY Corp","BID_YIELD")</f>
        <v>#N/A Real Time</v>
      </c>
      <c r="F111" s="107" t="str">
        <f>+_xll.BDP(LEFT(B111,8) &amp; "@RIAY Corp","TRADE_CRNCY")</f>
        <v>CLF</v>
      </c>
      <c r="G111" s="199" t="str">
        <f ca="1">+IFERROR((E111-IF(F111="CLF",[4]!CERCHA($D111,'Curva Gobierno'!$D$2:$E$38,0),[4]!CERCHA($D111,'Curva Gobierno'!$J$2:$K$22)))*100,"")</f>
        <v/>
      </c>
    </row>
    <row r="112" spans="1:7">
      <c r="A112" t="s">
        <v>1218</v>
      </c>
      <c r="B112" s="218" t="str">
        <f>+_xll.BDP($A112&amp;" Corp","ID_CUSIP")</f>
        <v>JK3526734</v>
      </c>
      <c r="C112" s="186">
        <f>+_xll.BDP($B112 &amp; " Corp","MTY_YEARS")</f>
        <v>3.2744695414099931</v>
      </c>
      <c r="D112" s="226" t="str">
        <f>+_xll.BDP($B112 &amp; "@RIAY Corp","DUR_BID")</f>
        <v>#N/A N/A</v>
      </c>
      <c r="E112" s="226" t="str">
        <f>+_xll.BDP(LEFT(B112,8) &amp; "@RIAY Corp","BID_YIELD")</f>
        <v>#N/A Real Time</v>
      </c>
      <c r="F112" s="107" t="str">
        <f>+_xll.BDP(LEFT(B112,8) &amp; "@RIAY Corp","TRADE_CRNCY")</f>
        <v>CLP</v>
      </c>
      <c r="G112" s="199" t="str">
        <f ca="1">+IFERROR((E112-IF(F112="CLF",[4]!CERCHA($D112,'Curva Gobierno'!$D$2:$E$38,0),[4]!CERCHA($D112,'Curva Gobierno'!$J$2:$K$22)))*100,"")</f>
        <v/>
      </c>
    </row>
    <row r="113" spans="1:7">
      <c r="A113" t="s">
        <v>629</v>
      </c>
      <c r="B113" s="218" t="str">
        <f>+_xll.BDP($A113&amp;" Corp","ID_CUSIP")</f>
        <v>EK5072971</v>
      </c>
      <c r="C113" s="186">
        <f>+_xll.BDP($B113 &amp; " Corp","MTY_YEARS")</f>
        <v>3.1129363449691994</v>
      </c>
      <c r="D113" s="226" t="str">
        <f>+_xll.BDP($B113 &amp; "@RIAY Corp","DUR_BID")</f>
        <v>#N/A N/A</v>
      </c>
      <c r="E113" s="226" t="str">
        <f>+_xll.BDP(LEFT(B113,8) &amp; "@RIAY Corp","BID_YIELD")</f>
        <v>#N/A Real Time</v>
      </c>
      <c r="F113" s="107" t="str">
        <f>+_xll.BDP(LEFT(B113,8) &amp; "@RIAY Corp","TRADE_CRNCY")</f>
        <v>CLF</v>
      </c>
      <c r="G113" s="199" t="str">
        <f ca="1">+IFERROR((E113-IF(F113="CLF",[4]!CERCHA($D113,'Curva Gobierno'!$D$2:$E$38,0),[4]!CERCHA($D113,'Curva Gobierno'!$J$2:$K$22)))*100,"")</f>
        <v/>
      </c>
    </row>
    <row r="114" spans="1:7">
      <c r="A114" t="s">
        <v>630</v>
      </c>
      <c r="B114" s="218" t="str">
        <f>+_xll.BDP($A114&amp;" Corp","ID_CUSIP")</f>
        <v>QZ5198499</v>
      </c>
      <c r="C114" s="186">
        <f>+_xll.BDP($B114 &amp; " Corp","MTY_YEARS")</f>
        <v>4.2737850787132103</v>
      </c>
      <c r="D114" s="226" t="str">
        <f>+_xll.BDP($B114 &amp; "@RIAY Corp","DUR_BID")</f>
        <v>#N/A N/A</v>
      </c>
      <c r="E114" s="226" t="str">
        <f>+_xll.BDP(LEFT(B114,8) &amp; "@RIAY Corp","BID_YIELD")</f>
        <v>#N/A Real Time</v>
      </c>
      <c r="F114" s="107" t="str">
        <f>+_xll.BDP(LEFT(B114,8) &amp; "@RIAY Corp","TRADE_CRNCY")</f>
        <v>CLP</v>
      </c>
      <c r="G114" s="199" t="str">
        <f ca="1">+IFERROR((E114-IF(F114="CLF",[4]!CERCHA($D114,'Curva Gobierno'!$D$2:$E$38,0),[4]!CERCHA($D114,'Curva Gobierno'!$J$2:$K$22)))*100,"")</f>
        <v/>
      </c>
    </row>
    <row r="115" spans="1:7">
      <c r="A115" t="s">
        <v>627</v>
      </c>
      <c r="B115" s="218" t="str">
        <f>+_xll.BDP($A115&amp;" Corp","ID_CUSIP")</f>
        <v>EC1758878</v>
      </c>
      <c r="C115" s="186">
        <f>+_xll.BDP($B115 &amp; " Corp","MTY_YEARS")</f>
        <v>6.6091718001368926</v>
      </c>
      <c r="D115" s="226" t="str">
        <f>+_xll.BDP($B115 &amp; "@RIAY Corp","DUR_BID")</f>
        <v>#N/A N/A</v>
      </c>
      <c r="E115" s="226" t="str">
        <f>+_xll.BDP(LEFT(B115,8) &amp; "@RIAY Corp","BID_YIELD")</f>
        <v>#N/A Real Time</v>
      </c>
      <c r="F115" s="107" t="str">
        <f>+_xll.BDP(LEFT(B115,8) &amp; "@RIAY Corp","TRADE_CRNCY")</f>
        <v>CLF</v>
      </c>
      <c r="G115" s="199" t="str">
        <f ca="1">+IFERROR((E115-IF(F115="CLF",[4]!CERCHA($D115,'Curva Gobierno'!$D$2:$E$38,0),[4]!CERCHA($D115,'Curva Gobierno'!$J$2:$K$22)))*100,"")</f>
        <v/>
      </c>
    </row>
    <row r="116" spans="1:7">
      <c r="A116" t="s">
        <v>636</v>
      </c>
      <c r="B116" s="218" t="str">
        <f>+_xll.BDP($A116&amp;" Corp","ID_CUSIP")</f>
        <v>JK3455884</v>
      </c>
      <c r="C116" s="186">
        <f>+_xll.BDP($B116 &amp; " Corp","MTY_YEARS")</f>
        <v>3.2744695414099931</v>
      </c>
      <c r="D116" s="226" t="str">
        <f>+_xll.BDP($B116 &amp; "@RIAY Corp","DUR_BID")</f>
        <v>#N/A N/A</v>
      </c>
      <c r="E116" s="226" t="str">
        <f>+_xll.BDP(LEFT(B116,8) &amp; "@RIAY Corp","BID_YIELD")</f>
        <v>#N/A Real Time</v>
      </c>
      <c r="F116" s="107" t="str">
        <f>+_xll.BDP(LEFT(B116,8) &amp; "@RIAY Corp","TRADE_CRNCY")</f>
        <v>CLF</v>
      </c>
      <c r="G116" s="199" t="str">
        <f ca="1">+IFERROR((E116-IF(F116="CLF",[4]!CERCHA($D116,'Curva Gobierno'!$D$2:$E$38,0),[4]!CERCHA($D116,'Curva Gobierno'!$J$2:$K$22)))*100,"")</f>
        <v/>
      </c>
    </row>
    <row r="117" spans="1:7">
      <c r="A117" t="s">
        <v>637</v>
      </c>
      <c r="B117" s="218" t="str">
        <f>+_xll.BDP($A117&amp;" Corp","ID_CUSIP")</f>
        <v>EI7217694</v>
      </c>
      <c r="C117" s="186">
        <f>+_xll.BDP($B117 &amp; " Corp","MTY_YEARS")</f>
        <v>3.4414784394250515</v>
      </c>
      <c r="D117" s="226" t="str">
        <f>+_xll.BDP($B117 &amp; "@RIAY Corp","DUR_BID")</f>
        <v>#N/A N/A</v>
      </c>
      <c r="E117" s="226" t="str">
        <f>+_xll.BDP(LEFT(B117,8) &amp; "@RIAY Corp","BID_YIELD")</f>
        <v>#N/A Real Time</v>
      </c>
      <c r="F117" s="107" t="str">
        <f>+_xll.BDP(LEFT(B117,8) &amp; "@RIAY Corp","TRADE_CRNCY")</f>
        <v>CLF</v>
      </c>
      <c r="G117" s="199" t="str">
        <f ca="1">+IFERROR((E117-IF(F117="CLF",[4]!CERCHA($D117,'Curva Gobierno'!$D$2:$E$38,0),[4]!CERCHA($D117,'Curva Gobierno'!$J$2:$K$22)))*100,"")</f>
        <v/>
      </c>
    </row>
    <row r="118" spans="1:7">
      <c r="A118" t="s">
        <v>850</v>
      </c>
      <c r="B118" s="218" t="str">
        <f>+_xll.BDP($A118&amp;" Corp","ID_CUSIP")</f>
        <v>QZ9212478</v>
      </c>
      <c r="C118" s="186">
        <f>+_xll.BDP($B118 &amp; " Corp","MTY_YEARS")</f>
        <v>3.6084873374401094</v>
      </c>
      <c r="D118" s="226" t="str">
        <f>+_xll.BDP($B118 &amp; "@RIAY Corp","DUR_BID")</f>
        <v>#N/A N/A</v>
      </c>
      <c r="E118" s="226" t="str">
        <f>+_xll.BDP(LEFT(B118,8) &amp; "@RIAY Corp","BID_YIELD")</f>
        <v>#N/A Real Time</v>
      </c>
      <c r="F118" s="107" t="str">
        <f>+_xll.BDP(LEFT(B118,8) &amp; "@RIAY Corp","TRADE_CRNCY")</f>
        <v>CLF</v>
      </c>
      <c r="G118" s="199" t="str">
        <f ca="1">+IFERROR((E118-IF(F118="CLF",[4]!CERCHA($D118,'Curva Gobierno'!$D$2:$E$38,0),[4]!CERCHA($D118,'Curva Gobierno'!$J$2:$K$22)))*100,"")</f>
        <v/>
      </c>
    </row>
    <row r="119" spans="1:7">
      <c r="A119" t="s">
        <v>641</v>
      </c>
      <c r="B119" s="218" t="str">
        <f>+_xll.BDP($A119&amp;" Corp","ID_CUSIP")</f>
        <v>AL1583361</v>
      </c>
      <c r="C119" s="186">
        <f>+_xll.BDP($B119 &amp; " Corp","MTY_YEARS")</f>
        <v>3.5482546201232035</v>
      </c>
      <c r="D119" s="226" t="str">
        <f>+_xll.BDP($B119 &amp; "@RIAY Corp","DUR_BID")</f>
        <v>#N/A N/A</v>
      </c>
      <c r="E119" s="226" t="str">
        <f>+_xll.BDP(LEFT(B119,8) &amp; "@RIAY Corp","BID_YIELD")</f>
        <v>#N/A Real Time</v>
      </c>
      <c r="F119" s="107" t="str">
        <f>+_xll.BDP(LEFT(B119,8) &amp; "@RIAY Corp","TRADE_CRNCY")</f>
        <v>CLF</v>
      </c>
      <c r="G119" s="199" t="str">
        <f ca="1">+IFERROR((E119-IF(F119="CLF",[4]!CERCHA($D119,'Curva Gobierno'!$D$2:$E$38,0),[4]!CERCHA($D119,'Curva Gobierno'!$J$2:$K$22)))*100,"")</f>
        <v/>
      </c>
    </row>
    <row r="120" spans="1:7">
      <c r="A120" t="s">
        <v>647</v>
      </c>
      <c r="B120" s="218" t="str">
        <f>+_xll.BDP($A120&amp;" Corp","ID_CUSIP")</f>
        <v>QZ7134781</v>
      </c>
      <c r="C120" s="186">
        <f>+_xll.BDP($B120 &amp; " Corp","MTY_YEARS")</f>
        <v>3.8110882956878851</v>
      </c>
      <c r="D120" s="226" t="str">
        <f>+_xll.BDP($B120 &amp; "@RIAY Corp","DUR_BID")</f>
        <v>#N/A N/A</v>
      </c>
      <c r="E120" s="226" t="str">
        <f>+_xll.BDP(LEFT(B120,8) &amp; "@RIAY Corp","BID_YIELD")</f>
        <v>#N/A Real Time</v>
      </c>
      <c r="F120" s="107" t="str">
        <f>+_xll.BDP(LEFT(B120,8) &amp; "@RIAY Corp","TRADE_CRNCY")</f>
        <v>CLP</v>
      </c>
      <c r="G120" s="199" t="str">
        <f ca="1">+IFERROR((E120-IF(F120="CLF",[4]!CERCHA($D120,'Curva Gobierno'!$D$2:$E$38,0),[4]!CERCHA($D120,'Curva Gobierno'!$J$2:$K$22)))*100,"")</f>
        <v/>
      </c>
    </row>
    <row r="121" spans="1:7">
      <c r="A121" t="s">
        <v>643</v>
      </c>
      <c r="B121" s="218" t="str">
        <f>+_xll.BDP($A121&amp;" Corp","ID_CUSIP")</f>
        <v>JV1894742</v>
      </c>
      <c r="C121" s="186">
        <f>+_xll.BDP($B121 &amp; " Corp","MTY_YEARS")</f>
        <v>3.6084873374401094</v>
      </c>
      <c r="D121" s="226" t="str">
        <f>+_xll.BDP($B121 &amp; "@RIAY Corp","DUR_BID")</f>
        <v>#N/A N/A</v>
      </c>
      <c r="E121" s="226" t="str">
        <f>+_xll.BDP(LEFT(B121,8) &amp; "@RIAY Corp","BID_YIELD")</f>
        <v>#N/A Real Time</v>
      </c>
      <c r="F121" s="107" t="str">
        <f>+_xll.BDP(LEFT(B121,8) &amp; "@RIAY Corp","TRADE_CRNCY")</f>
        <v>CLF</v>
      </c>
      <c r="G121" s="199" t="str">
        <f ca="1">+IFERROR((E121-IF(F121="CLF",[4]!CERCHA($D121,'Curva Gobierno'!$D$2:$E$38,0),[4]!CERCHA($D121,'Curva Gobierno'!$J$2:$K$22)))*100,"")</f>
        <v/>
      </c>
    </row>
    <row r="122" spans="1:7">
      <c r="A122" t="s">
        <v>646</v>
      </c>
      <c r="B122" s="218" t="str">
        <f>+_xll.BDP($A122&amp;" Corp","ID_CUSIP")</f>
        <v>EI7623537</v>
      </c>
      <c r="C122" s="186">
        <f>+_xll.BDP($B122 &amp; " Corp","MTY_YEARS")</f>
        <v>3.6084873374401094</v>
      </c>
      <c r="D122" s="226" t="str">
        <f>+_xll.BDP($B122 &amp; "@RIAY Corp","DUR_BID")</f>
        <v>#N/A N/A</v>
      </c>
      <c r="E122" s="226" t="str">
        <f>+_xll.BDP(LEFT(B122,8) &amp; "@RIAY Corp","BID_YIELD")</f>
        <v>#N/A Real Time</v>
      </c>
      <c r="F122" s="107" t="str">
        <f>+_xll.BDP(LEFT(B122,8) &amp; "@RIAY Corp","TRADE_CRNCY")</f>
        <v>CLF</v>
      </c>
      <c r="G122" s="199" t="str">
        <f ca="1">+IFERROR((E122-IF(F122="CLF",[4]!CERCHA($D122,'Curva Gobierno'!$D$2:$E$38,0),[4]!CERCHA($D122,'Curva Gobierno'!$J$2:$K$22)))*100,"")</f>
        <v/>
      </c>
    </row>
    <row r="123" spans="1:7">
      <c r="A123" t="s">
        <v>645</v>
      </c>
      <c r="B123" s="218" t="str">
        <f>+_xll.BDP($A123&amp;" Corp","ID_CUSIP")</f>
        <v>JV9360324</v>
      </c>
      <c r="C123" s="186">
        <f>+_xll.BDP($B123 &amp; " Corp","MTY_YEARS")</f>
        <v>3.6084873374401094</v>
      </c>
      <c r="D123" s="226" t="str">
        <f>+_xll.BDP($B123 &amp; "@RIAY Corp","DUR_BID")</f>
        <v>#N/A N/A</v>
      </c>
      <c r="E123" s="226" t="str">
        <f>+_xll.BDP(LEFT(B123,8) &amp; "@RIAY Corp","BID_YIELD")</f>
        <v>#N/A Real Time</v>
      </c>
      <c r="F123" s="107" t="str">
        <f>+_xll.BDP(LEFT(B123,8) &amp; "@RIAY Corp","TRADE_CRNCY")</f>
        <v>CLF</v>
      </c>
      <c r="G123" s="199" t="str">
        <f ca="1">+IFERROR((E123-IF(F123="CLF",[4]!CERCHA($D123,'Curva Gobierno'!$D$2:$E$38,0),[4]!CERCHA($D123,'Curva Gobierno'!$J$2:$K$22)))*100,"")</f>
        <v/>
      </c>
    </row>
    <row r="124" spans="1:7">
      <c r="A124" t="s">
        <v>649</v>
      </c>
      <c r="B124" s="218" t="str">
        <f>+_xll.BDP($A124&amp;" Corp","ID_CUSIP")</f>
        <v>UV4492202</v>
      </c>
      <c r="C124" s="186">
        <f>+_xll.BDP($B124 &amp; " Corp","MTY_YEARS")</f>
        <v>3.6933607118412048</v>
      </c>
      <c r="D124" s="226" t="str">
        <f>+_xll.BDP($B124 &amp; "@RIAY Corp","DUR_BID")</f>
        <v>#N/A N/A</v>
      </c>
      <c r="E124" s="226" t="str">
        <f>+_xll.BDP(LEFT(B124,8) &amp; "@RIAY Corp","BID_YIELD")</f>
        <v>#N/A Real Time</v>
      </c>
      <c r="F124" s="107" t="str">
        <f>+_xll.BDP(LEFT(B124,8) &amp; "@RIAY Corp","TRADE_CRNCY")</f>
        <v>CLF</v>
      </c>
      <c r="G124" s="199" t="str">
        <f ca="1">+IFERROR((E124-IF(F124="CLF",[4]!CERCHA($D124,'Curva Gobierno'!$D$2:$E$38,0),[4]!CERCHA($D124,'Curva Gobierno'!$J$2:$K$22)))*100,"")</f>
        <v/>
      </c>
    </row>
    <row r="125" spans="1:7">
      <c r="A125" t="s">
        <v>655</v>
      </c>
      <c r="B125" s="218" t="str">
        <f>+_xll.BDP($A125&amp;" Corp","ID_CUSIP")</f>
        <v>EJ2868895</v>
      </c>
      <c r="C125" s="186">
        <f>+_xll.BDP($B125 &amp; " Corp","MTY_YEARS")</f>
        <v>3.7782340862422998</v>
      </c>
      <c r="D125" s="226" t="str">
        <f>+_xll.BDP($B125 &amp; "@RIAY Corp","DUR_BID")</f>
        <v>#N/A N/A</v>
      </c>
      <c r="E125" s="226" t="str">
        <f>+_xll.BDP(LEFT(B125,8) &amp; "@RIAY Corp","BID_YIELD")</f>
        <v>#N/A Real Time</v>
      </c>
      <c r="F125" s="107" t="str">
        <f>+_xll.BDP(LEFT(B125,8) &amp; "@RIAY Corp","TRADE_CRNCY")</f>
        <v>CLF</v>
      </c>
      <c r="G125" s="199" t="str">
        <f ca="1">+IFERROR((E125-IF(F125="CLF",[4]!CERCHA($D125,'Curva Gobierno'!$D$2:$E$38,0),[4]!CERCHA($D125,'Curva Gobierno'!$J$2:$K$22)))*100,"")</f>
        <v/>
      </c>
    </row>
    <row r="126" spans="1:7">
      <c r="A126" t="s">
        <v>638</v>
      </c>
      <c r="B126" s="218" t="str">
        <f>+_xll.BDP($A126&amp;" Corp","ID_CUSIP")</f>
        <v>EK6671672</v>
      </c>
      <c r="C126" s="186">
        <f>+_xll.BDP($B126 &amp; " Corp","MTY_YEARS")</f>
        <v>7.1074606433949352</v>
      </c>
      <c r="D126" s="226" t="str">
        <f>+_xll.BDP($B126 &amp; "@RIAY Corp","DUR_BID")</f>
        <v>#N/A N/A</v>
      </c>
      <c r="E126" s="226" t="str">
        <f>+_xll.BDP(LEFT(B126,8) &amp; "@RIAY Corp","BID_YIELD")</f>
        <v>#N/A Real Time</v>
      </c>
      <c r="F126" s="107" t="str">
        <f>+_xll.BDP(LEFT(B126,8) &amp; "@RIAY Corp","TRADE_CRNCY")</f>
        <v>CLF</v>
      </c>
      <c r="G126" s="199" t="str">
        <f ca="1">+IFERROR((E126-IF(F126="CLF",[4]!CERCHA($D126,'Curva Gobierno'!$D$2:$E$38,0),[4]!CERCHA($D126,'Curva Gobierno'!$J$2:$K$22)))*100,"")</f>
        <v/>
      </c>
    </row>
    <row r="127" spans="1:7">
      <c r="A127" t="s">
        <v>1140</v>
      </c>
      <c r="B127" s="218" t="str">
        <f>+_xll.BDP($A127&amp;" Corp","ID_CUSIP")</f>
        <v>EI5600867</v>
      </c>
      <c r="C127" s="186">
        <f>+_xll.BDP($B127 &amp; " Corp","MTY_YEARS")</f>
        <v>8.3586584531143053</v>
      </c>
      <c r="D127" s="226" t="str">
        <f>+_xll.BDP($B127 &amp; "@RIAY Corp","DUR_BID")</f>
        <v>#N/A N/A</v>
      </c>
      <c r="E127" s="226" t="str">
        <f>+_xll.BDP(LEFT(B127,8) &amp; "@RIAY Corp","BID_YIELD")</f>
        <v>#N/A Real Time</v>
      </c>
      <c r="F127" s="107" t="str">
        <f>+_xll.BDP(LEFT(B127,8) &amp; "@RIAY Corp","TRADE_CRNCY")</f>
        <v>CLF</v>
      </c>
      <c r="G127" s="199" t="str">
        <f ca="1">+IFERROR((E127-IF(F127="CLF",[4]!CERCHA($D127,'Curva Gobierno'!$D$2:$E$38,0),[4]!CERCHA($D127,'Curva Gobierno'!$J$2:$K$22)))*100,"")</f>
        <v/>
      </c>
    </row>
    <row r="128" spans="1:7">
      <c r="A128" t="s">
        <v>658</v>
      </c>
      <c r="B128" s="218" t="str">
        <f>+_xll.BDP($A128&amp;" Corp","ID_CUSIP")</f>
        <v>EK6719422</v>
      </c>
      <c r="C128" s="186">
        <f>+_xll.BDP($B128 &amp; " Corp","MTY_YEARS")</f>
        <v>4.2737850787132103</v>
      </c>
      <c r="D128" s="226" t="str">
        <f>+_xll.BDP($B128 &amp; "@RIAY Corp","DUR_BID")</f>
        <v>#N/A N/A</v>
      </c>
      <c r="E128" s="226" t="str">
        <f>+_xll.BDP(LEFT(B128,8) &amp; "@RIAY Corp","BID_YIELD")</f>
        <v>#N/A Real Time</v>
      </c>
      <c r="F128" s="107" t="str">
        <f>+_xll.BDP(LEFT(B128,8) &amp; "@RIAY Corp","TRADE_CRNCY")</f>
        <v>CLF</v>
      </c>
      <c r="G128" s="199" t="str">
        <f ca="1">+IFERROR((E128-IF(F128="CLF",[4]!CERCHA($D128,'Curva Gobierno'!$D$2:$E$38,0),[4]!CERCHA($D128,'Curva Gobierno'!$J$2:$K$22)))*100,"")</f>
        <v/>
      </c>
    </row>
    <row r="129" spans="1:7">
      <c r="A129" t="s">
        <v>1046</v>
      </c>
      <c r="B129" s="218" t="str">
        <f>+_xll.BDP($A129&amp;" Corp","ID_CUSIP")</f>
        <v>AL6314366</v>
      </c>
      <c r="C129" s="186">
        <f>+_xll.BDP($B129 &amp; " Corp","MTY_YEARS")</f>
        <v>5.8151950718685832</v>
      </c>
      <c r="D129" s="226" t="str">
        <f>+_xll.BDP($B129 &amp; "@RIAY Corp","DUR_BID")</f>
        <v>#N/A N/A</v>
      </c>
      <c r="E129" s="226" t="str">
        <f>+_xll.BDP(LEFT(B129,8) &amp; "@RIAY Corp","BID_YIELD")</f>
        <v>#N/A Real Time</v>
      </c>
      <c r="F129" s="107" t="str">
        <f>+_xll.BDP(LEFT(B129,8) &amp; "@RIAY Corp","TRADE_CRNCY")</f>
        <v>CLP</v>
      </c>
      <c r="G129" s="199" t="str">
        <f ca="1">+IFERROR((E129-IF(F129="CLF",[4]!CERCHA($D129,'Curva Gobierno'!$D$2:$E$38,0),[4]!CERCHA($D129,'Curva Gobierno'!$J$2:$K$22)))*100,"")</f>
        <v/>
      </c>
    </row>
    <row r="130" spans="1:7">
      <c r="A130" t="s">
        <v>661</v>
      </c>
      <c r="B130" s="218" t="str">
        <f>+_xll.BDP($A130&amp;" Corp","ID_CUSIP")</f>
        <v>EJ7935616</v>
      </c>
      <c r="C130" s="186">
        <f>+_xll.BDP($B130 &amp; " Corp","MTY_YEARS")</f>
        <v>4.3586584531143053</v>
      </c>
      <c r="D130" s="226" t="str">
        <f>+_xll.BDP($B130 &amp; "@RIAY Corp","DUR_BID")</f>
        <v>#N/A N/A</v>
      </c>
      <c r="E130" s="226" t="str">
        <f>+_xll.BDP(LEFT(B130,8) &amp; "@RIAY Corp","BID_YIELD")</f>
        <v>#N/A Real Time</v>
      </c>
      <c r="F130" s="107" t="str">
        <f>+_xll.BDP(LEFT(B130,8) &amp; "@RIAY Corp","TRADE_CRNCY")</f>
        <v>CLF</v>
      </c>
      <c r="G130" s="199" t="str">
        <f ca="1">+IFERROR((E130-IF(F130="CLF",[4]!CERCHA($D130,'Curva Gobierno'!$D$2:$E$38,0),[4]!CERCHA($D130,'Curva Gobierno'!$J$2:$K$22)))*100,"")</f>
        <v/>
      </c>
    </row>
    <row r="131" spans="1:7">
      <c r="A131" t="s">
        <v>659</v>
      </c>
      <c r="B131" s="218" t="str">
        <f>+_xll.BDP($A131&amp;" Corp","ID_CUSIP")</f>
        <v>EJ6691293</v>
      </c>
      <c r="C131" s="186">
        <f>+_xll.BDP($B131 &amp; " Corp","MTY_YEARS")</f>
        <v>4.3586584531143053</v>
      </c>
      <c r="D131" s="226" t="str">
        <f>+_xll.BDP($B131 &amp; "@RIAY Corp","DUR_BID")</f>
        <v>#N/A N/A</v>
      </c>
      <c r="E131" s="226" t="str">
        <f>+_xll.BDP(LEFT(B131,8) &amp; "@RIAY Corp","BID_YIELD")</f>
        <v>#N/A Real Time</v>
      </c>
      <c r="F131" s="107" t="str">
        <f>+_xll.BDP(LEFT(B131,8) &amp; "@RIAY Corp","TRADE_CRNCY")</f>
        <v>CLF</v>
      </c>
      <c r="G131" s="199" t="str">
        <f ca="1">+IFERROR((E131-IF(F131="CLF",[4]!CERCHA($D131,'Curva Gobierno'!$D$2:$E$38,0),[4]!CERCHA($D131,'Curva Gobierno'!$J$2:$K$22)))*100,"")</f>
        <v/>
      </c>
    </row>
    <row r="132" spans="1:7">
      <c r="A132" t="s">
        <v>1203</v>
      </c>
      <c r="B132" s="218" t="str">
        <f>+_xll.BDP($A132&amp;" Corp","ID_CUSIP")</f>
        <v>AL9559488</v>
      </c>
      <c r="C132" s="186">
        <f>+_xll.BDP($B132 &amp; " Corp","MTY_YEARS")</f>
        <v>6.0260095824777551</v>
      </c>
      <c r="D132" s="226" t="str">
        <f>+_xll.BDP($B132 &amp; "@RIAY Corp","DUR_BID")</f>
        <v>#N/A N/A</v>
      </c>
      <c r="E132" s="226" t="str">
        <f>+_xll.BDP(LEFT(B132,8) &amp; "@RIAY Corp","BID_YIELD")</f>
        <v>#N/A Real Time</v>
      </c>
      <c r="F132" s="107" t="str">
        <f>+_xll.BDP(LEFT(B132,8) &amp; "@RIAY Corp","TRADE_CRNCY")</f>
        <v>CLF</v>
      </c>
      <c r="G132" s="199" t="str">
        <f ca="1">+IFERROR((E132-IF(F132="CLF",[4]!CERCHA($D132,'Curva Gobierno'!$D$2:$E$38,0),[4]!CERCHA($D132,'Curva Gobierno'!$J$2:$K$22)))*100,"")</f>
        <v/>
      </c>
    </row>
    <row r="133" spans="1:7">
      <c r="A133" t="s">
        <v>662</v>
      </c>
      <c r="B133" s="218" t="str">
        <f>+_xll.BDP($A133&amp;" Corp","ID_CUSIP")</f>
        <v>EC4898648</v>
      </c>
      <c r="C133" s="186">
        <f>+_xll.BDP($B133 &amp; " Corp","MTY_YEARS")</f>
        <v>8.7775496235455162</v>
      </c>
      <c r="D133" s="226" t="str">
        <f>+_xll.BDP($B133 &amp; "@RIAY Corp","DUR_BID")</f>
        <v>#N/A N/A</v>
      </c>
      <c r="E133" s="226" t="str">
        <f>+_xll.BDP(LEFT(B133,8) &amp; "@RIAY Corp","BID_YIELD")</f>
        <v>#N/A Real Time</v>
      </c>
      <c r="F133" s="107" t="str">
        <f>+_xll.BDP(LEFT(B133,8) &amp; "@RIAY Corp","TRADE_CRNCY")</f>
        <v>CLF</v>
      </c>
      <c r="G133" s="199" t="str">
        <f ca="1">+IFERROR((E133-IF(F133="CLF",[4]!CERCHA($D133,'Curva Gobierno'!$D$2:$E$38,0),[4]!CERCHA($D133,'Curva Gobierno'!$J$2:$K$22)))*100,"")</f>
        <v/>
      </c>
    </row>
    <row r="134" spans="1:7">
      <c r="A134" t="s">
        <v>667</v>
      </c>
      <c r="B134" s="218" t="str">
        <f>+_xll.BDP($A134&amp;" Corp","ID_CUSIP")</f>
        <v>EK4875432</v>
      </c>
      <c r="C134" s="186">
        <f>+_xll.BDP($B134 &amp; " Corp","MTY_YEARS")</f>
        <v>4.5256673511293632</v>
      </c>
      <c r="D134" s="226" t="str">
        <f>+_xll.BDP($B134 &amp; "@RIAY Corp","DUR_BID")</f>
        <v>#N/A N/A</v>
      </c>
      <c r="E134" s="226" t="str">
        <f>+_xll.BDP(LEFT(B134,8) &amp; "@RIAY Corp","BID_YIELD")</f>
        <v>#N/A Real Time</v>
      </c>
      <c r="F134" s="107" t="str">
        <f>+_xll.BDP(LEFT(B134,8) &amp; "@RIAY Corp","TRADE_CRNCY")</f>
        <v>CLF</v>
      </c>
      <c r="G134" s="199" t="str">
        <f ca="1">+IFERROR((E134-IF(F134="CLF",[4]!CERCHA($D134,'Curva Gobierno'!$D$2:$E$38,0),[4]!CERCHA($D134,'Curva Gobierno'!$J$2:$K$22)))*100,"")</f>
        <v/>
      </c>
    </row>
    <row r="135" spans="1:7">
      <c r="A135" t="s">
        <v>869</v>
      </c>
      <c r="B135" s="218" t="str">
        <f>+_xll.BDP($A135&amp;" Corp","ID_CUSIP")</f>
        <v>ED4952815</v>
      </c>
      <c r="C135" s="186">
        <f>+_xll.BDP($B135 &amp; " Corp","MTY_YEARS")</f>
        <v>10.026009582477755</v>
      </c>
      <c r="D135" s="226" t="str">
        <f>+_xll.BDP($B135 &amp; "@RIAY Corp","DUR_BID")</f>
        <v>#N/A N/A</v>
      </c>
      <c r="E135" s="226" t="str">
        <f>+_xll.BDP(LEFT(B135,8) &amp; "@RIAY Corp","BID_YIELD")</f>
        <v>#N/A Real Time</v>
      </c>
      <c r="F135" s="107" t="str">
        <f>+_xll.BDP(LEFT(B135,8) &amp; "@RIAY Corp","TRADE_CRNCY")</f>
        <v>CLF</v>
      </c>
      <c r="G135" s="199" t="str">
        <f ca="1">+IFERROR((E135-IF(F135="CLF",[4]!CERCHA($D135,'Curva Gobierno'!$D$2:$E$38,0),[4]!CERCHA($D135,'Curva Gobierno'!$J$2:$K$22)))*100,"")</f>
        <v/>
      </c>
    </row>
    <row r="136" spans="1:7">
      <c r="A136" t="s">
        <v>675</v>
      </c>
      <c r="B136" s="218" t="str">
        <f>+_xll.BDP($A136&amp;" Corp","ID_CUSIP")</f>
        <v>EG3363314</v>
      </c>
      <c r="C136" s="186">
        <f>+_xll.BDP($B136 &amp; " Corp","MTY_YEARS")</f>
        <v>9.3579739904175216</v>
      </c>
      <c r="D136" s="226" t="str">
        <f>+_xll.BDP($B136 &amp; "@RIAY Corp","DUR_BID")</f>
        <v>#N/A N/A</v>
      </c>
      <c r="E136" s="226" t="str">
        <f>+_xll.BDP(LEFT(B136,8) &amp; "@RIAY Corp","BID_YIELD")</f>
        <v>#N/A Real Time</v>
      </c>
      <c r="F136" s="107" t="str">
        <f>+_xll.BDP(LEFT(B136,8) &amp; "@RIAY Corp","TRADE_CRNCY")</f>
        <v>CLF</v>
      </c>
      <c r="G136" s="199" t="str">
        <f ca="1">+IFERROR((E136-IF(F136="CLF",[4]!CERCHA($D136,'Curva Gobierno'!$D$2:$E$38,0),[4]!CERCHA($D136,'Curva Gobierno'!$J$2:$K$22)))*100,"")</f>
        <v/>
      </c>
    </row>
    <row r="137" spans="1:7">
      <c r="A137" t="s">
        <v>669</v>
      </c>
      <c r="B137" s="218" t="str">
        <f>+_xll.BDP($A137&amp;" Corp","ID_CUSIP")</f>
        <v>ED2418322</v>
      </c>
      <c r="C137" s="186">
        <f>+_xll.BDP($B137 &amp; " Corp","MTY_YEARS")</f>
        <v>9.0650239561943877</v>
      </c>
      <c r="D137" s="226" t="str">
        <f>+_xll.BDP($B137 &amp; "@RIAY Corp","DUR_BID")</f>
        <v>#N/A N/A</v>
      </c>
      <c r="E137" s="226" t="str">
        <f>+_xll.BDP(LEFT(B137,8) &amp; "@RIAY Corp","BID_YIELD")</f>
        <v>#N/A Real Time</v>
      </c>
      <c r="F137" s="107" t="str">
        <f>+_xll.BDP(LEFT(B137,8) &amp; "@RIAY Corp","TRADE_CRNCY")</f>
        <v>CLF</v>
      </c>
      <c r="G137" s="199" t="str">
        <f ca="1">+IFERROR((E137-IF(F137="CLF",[4]!CERCHA($D137,'Curva Gobierno'!$D$2:$E$38,0),[4]!CERCHA($D137,'Curva Gobierno'!$J$2:$K$22)))*100,"")</f>
        <v/>
      </c>
    </row>
    <row r="138" spans="1:7">
      <c r="A138" t="s">
        <v>678</v>
      </c>
      <c r="B138" s="218" t="str">
        <f>+_xll.BDP($A138&amp;" Corp","ID_CUSIP")</f>
        <v>EG3493533</v>
      </c>
      <c r="C138" s="186">
        <f>+_xll.BDP($B138 &amp; " Corp","MTY_YEARS")</f>
        <v>10.313483915126625</v>
      </c>
      <c r="D138" s="226" t="str">
        <f>+_xll.BDP($B138 &amp; "@RIAY Corp","DUR_BID")</f>
        <v>#N/A N/A</v>
      </c>
      <c r="E138" s="226" t="str">
        <f>+_xll.BDP(LEFT(B138,8) &amp; "@RIAY Corp","BID_YIELD")</f>
        <v>#N/A Real Time</v>
      </c>
      <c r="F138" s="107" t="str">
        <f>+_xll.BDP(LEFT(B138,8) &amp; "@RIAY Corp","TRADE_CRNCY")</f>
        <v>CLF</v>
      </c>
      <c r="G138" s="199" t="str">
        <f ca="1">+IFERROR((E138-IF(F138="CLF",[4]!CERCHA($D138,'Curva Gobierno'!$D$2:$E$38,0),[4]!CERCHA($D138,'Curva Gobierno'!$J$2:$K$22)))*100,"")</f>
        <v/>
      </c>
    </row>
    <row r="139" spans="1:7">
      <c r="A139" t="s">
        <v>1220</v>
      </c>
      <c r="B139" s="218" t="str">
        <f>+_xll.BDP($A139&amp;" Corp","ID_CUSIP")</f>
        <v>EI3570393</v>
      </c>
      <c r="C139" s="186">
        <f>+_xll.BDP($B139 &amp; " Corp","MTY_YEARS")</f>
        <v>9.5249828884325805</v>
      </c>
      <c r="D139" s="226" t="str">
        <f>+_xll.BDP($B139 &amp; "@RIAY Corp","DUR_BID")</f>
        <v>#N/A N/A</v>
      </c>
      <c r="E139" s="226" t="str">
        <f>+_xll.BDP(LEFT(B139,8) &amp; "@RIAY Corp","BID_YIELD")</f>
        <v>#N/A Real Time</v>
      </c>
      <c r="F139" s="107" t="str">
        <f>+_xll.BDP(LEFT(B139,8) &amp; "@RIAY Corp","TRADE_CRNCY")</f>
        <v>CLF</v>
      </c>
      <c r="G139" s="199" t="str">
        <f ca="1">+IFERROR((E139-IF(F139="CLF",[4]!CERCHA($D139,'Curva Gobierno'!$D$2:$E$38,0),[4]!CERCHA($D139,'Curva Gobierno'!$J$2:$K$22)))*100,"")</f>
        <v/>
      </c>
    </row>
    <row r="140" spans="1:7">
      <c r="A140" t="s">
        <v>680</v>
      </c>
      <c r="B140" s="218" t="str">
        <f>+_xll.BDP($A140&amp;" Corp","ID_CUSIP")</f>
        <v>EK7384390</v>
      </c>
      <c r="C140" s="186">
        <f>+_xll.BDP($B140 &amp; " Corp","MTY_YEARS")</f>
        <v>4.6926762491444221</v>
      </c>
      <c r="D140" s="226" t="str">
        <f>+_xll.BDP($B140 &amp; "@RIAY Corp","DUR_BID")</f>
        <v>#N/A N/A</v>
      </c>
      <c r="E140" s="226" t="str">
        <f>+_xll.BDP(LEFT(B140,8) &amp; "@RIAY Corp","BID_YIELD")</f>
        <v>#N/A Real Time</v>
      </c>
      <c r="F140" s="107" t="str">
        <f>+_xll.BDP(LEFT(B140,8) &amp; "@RIAY Corp","TRADE_CRNCY")</f>
        <v>CLF</v>
      </c>
      <c r="G140" s="199" t="str">
        <f ca="1">+IFERROR((E140-IF(F140="CLF",[4]!CERCHA($D140,'Curva Gobierno'!$D$2:$E$38,0),[4]!CERCHA($D140,'Curva Gobierno'!$J$2:$K$22)))*100,"")</f>
        <v/>
      </c>
    </row>
    <row r="141" spans="1:7">
      <c r="A141" t="s">
        <v>1260</v>
      </c>
      <c r="B141" s="218" t="str">
        <f>+_xll.BDP($A141&amp;" Corp","ID_CUSIP")</f>
        <v>ED0916350</v>
      </c>
      <c r="C141" s="186">
        <f>+_xll.BDP($B141 &amp; " Corp","MTY_YEARS")</f>
        <v>10.52703627652293</v>
      </c>
      <c r="D141" s="226" t="str">
        <f>+_xll.BDP($B141 &amp; "@RIAY Corp","DUR_BID")</f>
        <v>#N/A N/A</v>
      </c>
      <c r="E141" s="226" t="str">
        <f>+_xll.BDP(LEFT(B141,8) &amp; "@RIAY Corp","BID_YIELD")</f>
        <v>#N/A Real Time</v>
      </c>
      <c r="F141" s="107" t="str">
        <f>+_xll.BDP(LEFT(B141,8) &amp; "@RIAY Corp","TRADE_CRNCY")</f>
        <v>CLF</v>
      </c>
      <c r="G141" s="199" t="str">
        <f ca="1">+IFERROR((E141-IF(F141="CLF",[4]!CERCHA($D141,'Curva Gobierno'!$D$2:$E$38,0),[4]!CERCHA($D141,'Curva Gobierno'!$J$2:$K$22)))*100,"")</f>
        <v/>
      </c>
    </row>
    <row r="142" spans="1:7">
      <c r="A142" t="s">
        <v>687</v>
      </c>
      <c r="B142" s="218" t="str">
        <f>+_xll.BDP($A142&amp;" Corp","ID_CUSIP")</f>
        <v>EK7226427</v>
      </c>
      <c r="C142" s="186">
        <f>+_xll.BDP($B142 &amp; " Corp","MTY_YEARS")</f>
        <v>4.85968514715948</v>
      </c>
      <c r="D142" s="226" t="str">
        <f>+_xll.BDP($B142 &amp; "@RIAY Corp","DUR_BID")</f>
        <v>#N/A N/A</v>
      </c>
      <c r="E142" s="226" t="str">
        <f>+_xll.BDP(LEFT(B142,8) &amp; "@RIAY Corp","BID_YIELD")</f>
        <v>#N/A Real Time</v>
      </c>
      <c r="F142" s="107" t="str">
        <f>+_xll.BDP(LEFT(B142,8) &amp; "@RIAY Corp","TRADE_CRNCY")</f>
        <v>CLF</v>
      </c>
      <c r="G142" s="199" t="str">
        <f ca="1">+IFERROR((E142-IF(F142="CLF",[4]!CERCHA($D142,'Curva Gobierno'!$D$2:$E$38,0),[4]!CERCHA($D142,'Curva Gobierno'!$J$2:$K$22)))*100,"")</f>
        <v/>
      </c>
    </row>
    <row r="143" spans="1:7">
      <c r="A143" t="s">
        <v>693</v>
      </c>
      <c r="B143" s="218" t="str">
        <f>+_xll.BDP($A143&amp;" Corp","ID_CUSIP")</f>
        <v>EK7508303</v>
      </c>
      <c r="C143" s="186">
        <f>+_xll.BDP($B143 &amp; " Corp","MTY_YEARS")</f>
        <v>4.944558521560575</v>
      </c>
      <c r="D143" s="226" t="str">
        <f>+_xll.BDP($B143 &amp; "@RIAY Corp","DUR_BID")</f>
        <v>#N/A N/A</v>
      </c>
      <c r="E143" s="226" t="str">
        <f>+_xll.BDP(LEFT(B143,8) &amp; "@RIAY Corp","BID_YIELD")</f>
        <v>#N/A Real Time</v>
      </c>
      <c r="F143" s="107" t="str">
        <f>+_xll.BDP(LEFT(B143,8) &amp; "@RIAY Corp","TRADE_CRNCY")</f>
        <v>CLF</v>
      </c>
      <c r="G143" s="199" t="str">
        <f ca="1">+IFERROR((E143-IF(F143="CLF",[4]!CERCHA($D143,'Curva Gobierno'!$D$2:$E$38,0),[4]!CERCHA($D143,'Curva Gobierno'!$J$2:$K$22)))*100,"")</f>
        <v/>
      </c>
    </row>
    <row r="144" spans="1:7">
      <c r="A144" t="s">
        <v>682</v>
      </c>
      <c r="B144" s="218" t="str">
        <f>+_xll.BDP($A144&amp;" Corp","ID_CUSIP")</f>
        <v>EG4627543</v>
      </c>
      <c r="C144" s="186">
        <f>+_xll.BDP($B144 &amp; " Corp","MTY_YEARS")</f>
        <v>10.442162902121835</v>
      </c>
      <c r="D144" s="226" t="str">
        <f>+_xll.BDP($B144 &amp; "@RIAY Corp","DUR_BID")</f>
        <v>#N/A N/A</v>
      </c>
      <c r="E144" s="226" t="str">
        <f>+_xll.BDP(LEFT(B144,8) &amp; "@RIAY Corp","BID_YIELD")</f>
        <v>#N/A Real Time</v>
      </c>
      <c r="F144" s="107" t="str">
        <f>+_xll.BDP(LEFT(B144,8) &amp; "@RIAY Corp","TRADE_CRNCY")</f>
        <v>CLF</v>
      </c>
      <c r="G144" s="199" t="str">
        <f ca="1">+IFERROR((E144-IF(F144="CLF",[4]!CERCHA($D144,'Curva Gobierno'!$D$2:$E$38,0),[4]!CERCHA($D144,'Curva Gobierno'!$J$2:$K$22)))*100,"")</f>
        <v/>
      </c>
    </row>
    <row r="145" spans="1:7">
      <c r="A145" t="s">
        <v>688</v>
      </c>
      <c r="B145" s="218" t="str">
        <f>+_xll.BDP($A145&amp;" Corp","ID_CUSIP")</f>
        <v>EG3260809</v>
      </c>
      <c r="C145" s="186">
        <f>+_xll.BDP($B145 &amp; " Corp","MTY_YEARS")</f>
        <v>10.349075975359343</v>
      </c>
      <c r="D145" s="226" t="str">
        <f>+_xll.BDP($B145 &amp; "@RIAY Corp","DUR_BID")</f>
        <v>#N/A N/A</v>
      </c>
      <c r="E145" s="226" t="str">
        <f>+_xll.BDP(LEFT(B145,8) &amp; "@RIAY Corp","BID_YIELD")</f>
        <v>#N/A Real Time</v>
      </c>
      <c r="F145" s="107" t="str">
        <f>+_xll.BDP(LEFT(B145,8) &amp; "@RIAY Corp","TRADE_CRNCY")</f>
        <v>CLF</v>
      </c>
      <c r="G145" s="199" t="str">
        <f ca="1">+IFERROR((E145-IF(F145="CLF",[4]!CERCHA($D145,'Curva Gobierno'!$D$2:$E$38,0),[4]!CERCHA($D145,'Curva Gobierno'!$J$2:$K$22)))*100,"")</f>
        <v/>
      </c>
    </row>
    <row r="146" spans="1:7">
      <c r="A146" t="s">
        <v>694</v>
      </c>
      <c r="B146" s="218" t="str">
        <f>+_xll.BDP($A146&amp;" Corp","ID_CUSIP")</f>
        <v>EJ7935319</v>
      </c>
      <c r="C146" s="186">
        <f>+_xll.BDP($B146 &amp; " Corp","MTY_YEARS")</f>
        <v>5.1115674195756329</v>
      </c>
      <c r="D146" s="226" t="str">
        <f>+_xll.BDP($B146 &amp; "@RIAY Corp","DUR_BID")</f>
        <v>#N/A N/A</v>
      </c>
      <c r="E146" s="226" t="str">
        <f>+_xll.BDP(LEFT(B146,8) &amp; "@RIAY Corp","BID_YIELD")</f>
        <v>#N/A Real Time</v>
      </c>
      <c r="F146" s="107" t="str">
        <f>+_xll.BDP(LEFT(B146,8) &amp; "@RIAY Corp","TRADE_CRNCY")</f>
        <v>CLF</v>
      </c>
      <c r="G146" s="199" t="str">
        <f ca="1">+IFERROR((E146-IF(F146="CLF",[4]!CERCHA($D146,'Curva Gobierno'!$D$2:$E$38,0),[4]!CERCHA($D146,'Curva Gobierno'!$J$2:$K$22)))*100,"")</f>
        <v/>
      </c>
    </row>
    <row r="147" spans="1:7">
      <c r="A147" t="s">
        <v>696</v>
      </c>
      <c r="B147" s="218" t="str">
        <f>+_xll.BDP($A147&amp;" Corp","ID_CUSIP")</f>
        <v>EG7417918</v>
      </c>
      <c r="C147" s="186">
        <f>+_xll.BDP($B147 &amp; " Corp","MTY_YEARS")</f>
        <v>10.480492813141684</v>
      </c>
      <c r="D147" s="226" t="str">
        <f>+_xll.BDP($B147 &amp; "@RIAY Corp","DUR_BID")</f>
        <v>#N/A N/A</v>
      </c>
      <c r="E147" s="226" t="str">
        <f>+_xll.BDP(LEFT(B147,8) &amp; "@RIAY Corp","BID_YIELD")</f>
        <v>#N/A Real Time</v>
      </c>
      <c r="F147" s="107" t="str">
        <f>+_xll.BDP(LEFT(B147,8) &amp; "@RIAY Corp","TRADE_CRNCY")</f>
        <v>CLF</v>
      </c>
      <c r="G147" s="199" t="str">
        <f ca="1">+IFERROR((E147-IF(F147="CLF",[4]!CERCHA($D147,'Curva Gobierno'!$D$2:$E$38,0),[4]!CERCHA($D147,'Curva Gobierno'!$J$2:$K$22)))*100,"")</f>
        <v/>
      </c>
    </row>
    <row r="148" spans="1:7">
      <c r="A148" t="s">
        <v>700</v>
      </c>
      <c r="B148" s="218" t="str">
        <f>+_xll.BDP($A148&amp;" Corp","ID_CUSIP")</f>
        <v>EK7227144</v>
      </c>
      <c r="C148" s="186">
        <f>+_xll.BDP($B148 &amp; " Corp","MTY_YEARS")</f>
        <v>5.1964407939767279</v>
      </c>
      <c r="D148" s="226" t="str">
        <f>+_xll.BDP($B148 &amp; "@RIAY Corp","DUR_BID")</f>
        <v>#N/A N/A</v>
      </c>
      <c r="E148" s="226" t="str">
        <f>+_xll.BDP(LEFT(B148,8) &amp; "@RIAY Corp","BID_YIELD")</f>
        <v>#N/A Real Time</v>
      </c>
      <c r="F148" s="107" t="str">
        <f>+_xll.BDP(LEFT(B148,8) &amp; "@RIAY Corp","TRADE_CRNCY")</f>
        <v>CLF</v>
      </c>
      <c r="G148" s="199" t="str">
        <f ca="1">+IFERROR((E148-IF(F148="CLF",[4]!CERCHA($D148,'Curva Gobierno'!$D$2:$E$38,0),[4]!CERCHA($D148,'Curva Gobierno'!$J$2:$K$22)))*100,"")</f>
        <v/>
      </c>
    </row>
    <row r="149" spans="1:7">
      <c r="A149" t="s">
        <v>1147</v>
      </c>
      <c r="B149" s="218" t="str">
        <f>+_xll.BDP($A149&amp;" Corp","ID_CUSIP")</f>
        <v>EK7480230</v>
      </c>
      <c r="C149" s="186">
        <f>+_xll.BDP($B149 &amp; " Corp","MTY_YEARS")</f>
        <v>5.1964407939767279</v>
      </c>
      <c r="D149" s="226" t="str">
        <f>+_xll.BDP($B149 &amp; "@RIAY Corp","DUR_BID")</f>
        <v>#N/A N/A</v>
      </c>
      <c r="E149" s="226" t="str">
        <f>+_xll.BDP(LEFT(B149,8) &amp; "@RIAY Corp","BID_YIELD")</f>
        <v>#N/A Real Time</v>
      </c>
      <c r="F149" s="107" t="str">
        <f>+_xll.BDP(LEFT(B149,8) &amp; "@RIAY Corp","TRADE_CRNCY")</f>
        <v>CLF</v>
      </c>
      <c r="G149" s="199" t="str">
        <f ca="1">+IFERROR((E149-IF(F149="CLF",[4]!CERCHA($D149,'Curva Gobierno'!$D$2:$E$38,0),[4]!CERCHA($D149,'Curva Gobierno'!$J$2:$K$22)))*100,"")</f>
        <v/>
      </c>
    </row>
    <row r="150" spans="1:7">
      <c r="A150" t="s">
        <v>881</v>
      </c>
      <c r="B150" s="218" t="str">
        <f>+_xll.BDP($A150&amp;" Corp","ID_CUSIP")</f>
        <v>EH3419262</v>
      </c>
      <c r="C150" s="186">
        <f>+_xll.BDP($B150 &amp; " Corp","MTY_YEARS")</f>
        <v>11.444216290212184</v>
      </c>
      <c r="D150" s="226" t="str">
        <f>+_xll.BDP($B150 &amp; "@RIAY Corp","DUR_BID")</f>
        <v>#N/A N/A</v>
      </c>
      <c r="E150" s="226" t="str">
        <f>+_xll.BDP(LEFT(B150,8) &amp; "@RIAY Corp","BID_YIELD")</f>
        <v>#N/A Real Time</v>
      </c>
      <c r="F150" s="107" t="str">
        <f>+_xll.BDP(LEFT(B150,8) &amp; "@RIAY Corp","TRADE_CRNCY")</f>
        <v>CLF</v>
      </c>
      <c r="G150" s="199" t="str">
        <f ca="1">+IFERROR((E150-IF(F150="CLF",[4]!CERCHA($D150,'Curva Gobierno'!$D$2:$E$38,0),[4]!CERCHA($D150,'Curva Gobierno'!$J$2:$K$22)))*100,"")</f>
        <v/>
      </c>
    </row>
    <row r="151" spans="1:7">
      <c r="A151" t="s">
        <v>872</v>
      </c>
      <c r="B151" s="218" t="str">
        <f>+_xll.BDP($A151&amp;" Corp","ID_CUSIP")</f>
        <v>EH3101571</v>
      </c>
      <c r="C151" s="186">
        <f>+_xll.BDP($B151 &amp; " Corp","MTY_YEARS")</f>
        <v>10.565366187542779</v>
      </c>
      <c r="D151" s="226" t="str">
        <f>+_xll.BDP($B151 &amp; "@RIAY Corp","DUR_BID")</f>
        <v>#N/A N/A</v>
      </c>
      <c r="E151" s="226" t="str">
        <f>+_xll.BDP(LEFT(B151,8) &amp; "@RIAY Corp","BID_YIELD")</f>
        <v>#N/A Real Time</v>
      </c>
      <c r="F151" s="107" t="str">
        <f>+_xll.BDP(LEFT(B151,8) &amp; "@RIAY Corp","TRADE_CRNCY")</f>
        <v>CLF</v>
      </c>
      <c r="G151" s="199" t="str">
        <f ca="1">+IFERROR((E151-IF(F151="CLF",[4]!CERCHA($D151,'Curva Gobierno'!$D$2:$E$38,0),[4]!CERCHA($D151,'Curva Gobierno'!$J$2:$K$22)))*100,"")</f>
        <v/>
      </c>
    </row>
    <row r="152" spans="1:7">
      <c r="A152" t="s">
        <v>702</v>
      </c>
      <c r="B152" s="218" t="str">
        <f>+_xll.BDP($A152&amp;" Corp","ID_CUSIP")</f>
        <v>EH8133967</v>
      </c>
      <c r="C152" s="186">
        <f>+_xll.BDP($B152 &amp; " Corp","MTY_YEARS")</f>
        <v>11.028062970568104</v>
      </c>
      <c r="D152" s="226" t="str">
        <f>+_xll.BDP($B152 &amp; "@RIAY Corp","DUR_BID")</f>
        <v>#N/A N/A</v>
      </c>
      <c r="E152" s="226" t="str">
        <f>+_xll.BDP(LEFT(B152,8) &amp; "@RIAY Corp","BID_YIELD")</f>
        <v>#N/A Real Time</v>
      </c>
      <c r="F152" s="107" t="str">
        <f>+_xll.BDP(LEFT(B152,8) &amp; "@RIAY Corp","TRADE_CRNCY")</f>
        <v>CLF</v>
      </c>
      <c r="G152" s="199" t="str">
        <f ca="1">+IFERROR((E152-IF(F152="CLF",[4]!CERCHA($D152,'Curva Gobierno'!$D$2:$E$38,0),[4]!CERCHA($D152,'Curva Gobierno'!$J$2:$K$22)))*100,"")</f>
        <v/>
      </c>
    </row>
    <row r="153" spans="1:7">
      <c r="A153" t="s">
        <v>704</v>
      </c>
      <c r="B153" s="218" t="str">
        <f>+_xll.BDP($A153&amp;" Corp","ID_CUSIP")</f>
        <v>EK7508485</v>
      </c>
      <c r="C153" s="186">
        <f>+_xll.BDP($B153 &amp; " Corp","MTY_YEARS")</f>
        <v>5.8590006844626972</v>
      </c>
      <c r="D153" s="226" t="str">
        <f>+_xll.BDP($B153 &amp; "@RIAY Corp","DUR_BID")</f>
        <v>#N/A N/A</v>
      </c>
      <c r="E153" s="226" t="str">
        <f>+_xll.BDP(LEFT(B153,8) &amp; "@RIAY Corp","BID_YIELD")</f>
        <v>#N/A Real Time</v>
      </c>
      <c r="F153" s="107" t="str">
        <f>+_xll.BDP(LEFT(B153,8) &amp; "@RIAY Corp","TRADE_CRNCY")</f>
        <v>CLF</v>
      </c>
      <c r="G153" s="199" t="str">
        <f ca="1">+IFERROR((E153-IF(F153="CLF",[4]!CERCHA($D153,'Curva Gobierno'!$D$2:$E$38,0),[4]!CERCHA($D153,'Curva Gobierno'!$J$2:$K$22)))*100,"")</f>
        <v/>
      </c>
    </row>
    <row r="154" spans="1:7">
      <c r="A154" t="s">
        <v>705</v>
      </c>
      <c r="B154" s="218" t="str">
        <f>+_xll.BDP($A154&amp;" Corp","ID_CUSIP")</f>
        <v>EJ7851847</v>
      </c>
      <c r="C154" s="186">
        <f>+_xll.BDP($B154 &amp; " Corp","MTY_YEARS")</f>
        <v>5.8672142368240934</v>
      </c>
      <c r="D154" s="226" t="str">
        <f>+_xll.BDP($B154 &amp; "@RIAY Corp","DUR_BID")</f>
        <v>#N/A N/A</v>
      </c>
      <c r="E154" s="226" t="str">
        <f>+_xll.BDP(LEFT(B154,8) &amp; "@RIAY Corp","BID_YIELD")</f>
        <v>#N/A Real Time</v>
      </c>
      <c r="F154" s="107" t="str">
        <f>+_xll.BDP(LEFT(B154,8) &amp; "@RIAY Corp","TRADE_CRNCY")</f>
        <v>CLF</v>
      </c>
      <c r="G154" s="199" t="str">
        <f ca="1">+IFERROR((E154-IF(F154="CLF",[4]!CERCHA($D154,'Curva Gobierno'!$D$2:$E$38,0),[4]!CERCHA($D154,'Curva Gobierno'!$J$2:$K$22)))*100,"")</f>
        <v/>
      </c>
    </row>
    <row r="155" spans="1:7">
      <c r="A155" t="s">
        <v>707</v>
      </c>
      <c r="B155" s="218" t="str">
        <f>+_xll.BDP($A155&amp;" Corp","ID_CUSIP")</f>
        <v>EK7226666</v>
      </c>
      <c r="C155" s="186">
        <f>+_xll.BDP($B155 &amp; " Corp","MTY_YEARS")</f>
        <v>5.8590006844626972</v>
      </c>
      <c r="D155" s="226" t="str">
        <f>+_xll.BDP($B155 &amp; "@RIAY Corp","DUR_BID")</f>
        <v>#N/A N/A</v>
      </c>
      <c r="E155" s="226" t="str">
        <f>+_xll.BDP(LEFT(B155,8) &amp; "@RIAY Corp","BID_YIELD")</f>
        <v>#N/A Real Time</v>
      </c>
      <c r="F155" s="107" t="str">
        <f>+_xll.BDP(LEFT(B155,8) &amp; "@RIAY Corp","TRADE_CRNCY")</f>
        <v>CLF</v>
      </c>
      <c r="G155" s="199" t="str">
        <f ca="1">+IFERROR((E155-IF(F155="CLF",[4]!CERCHA($D155,'Curva Gobierno'!$D$2:$E$38,0),[4]!CERCHA($D155,'Curva Gobierno'!$J$2:$K$22)))*100,"")</f>
        <v/>
      </c>
    </row>
    <row r="156" spans="1:7">
      <c r="A156" t="s">
        <v>709</v>
      </c>
      <c r="B156" s="218" t="str">
        <f>+_xll.BDP($A156&amp;" Corp","ID_CUSIP")</f>
        <v>EK7480479</v>
      </c>
      <c r="C156" s="186">
        <f>+_xll.BDP($B156 &amp; " Corp","MTY_YEARS")</f>
        <v>5.9438740588637922</v>
      </c>
      <c r="D156" s="226" t="str">
        <f>+_xll.BDP($B156 &amp; "@RIAY Corp","DUR_BID")</f>
        <v>#N/A N/A</v>
      </c>
      <c r="E156" s="226" t="str">
        <f>+_xll.BDP(LEFT(B156,8) &amp; "@RIAY Corp","BID_YIELD")</f>
        <v>#N/A Real Time</v>
      </c>
      <c r="F156" s="107" t="str">
        <f>+_xll.BDP(LEFT(B156,8) &amp; "@RIAY Corp","TRADE_CRNCY")</f>
        <v>CLF</v>
      </c>
      <c r="G156" s="199" t="str">
        <f ca="1">+IFERROR((E156-IF(F156="CLF",[4]!CERCHA($D156,'Curva Gobierno'!$D$2:$E$38,0),[4]!CERCHA($D156,'Curva Gobierno'!$J$2:$K$22)))*100,"")</f>
        <v/>
      </c>
    </row>
    <row r="157" spans="1:7">
      <c r="A157" t="s">
        <v>708</v>
      </c>
      <c r="B157" s="218" t="str">
        <f>+_xll.BDP($A157&amp;" Corp","ID_CUSIP")</f>
        <v>EH8518910</v>
      </c>
      <c r="C157" s="186">
        <f>+_xll.BDP($B157 &amp; " Corp","MTY_YEARS")</f>
        <v>11.550992470910336</v>
      </c>
      <c r="D157" s="226" t="str">
        <f>+_xll.BDP($B157 &amp; "@RIAY Corp","DUR_BID")</f>
        <v>#N/A N/A</v>
      </c>
      <c r="E157" s="226" t="str">
        <f>+_xll.BDP(LEFT(B157,8) &amp; "@RIAY Corp","BID_YIELD")</f>
        <v>#N/A Real Time</v>
      </c>
      <c r="F157" s="107" t="str">
        <f>+_xll.BDP(LEFT(B157,8) &amp; "@RIAY Corp","TRADE_CRNCY")</f>
        <v>CLF</v>
      </c>
      <c r="G157" s="199" t="str">
        <f ca="1">+IFERROR((E157-IF(F157="CLF",[4]!CERCHA($D157,'Curva Gobierno'!$D$2:$E$38,0),[4]!CERCHA($D157,'Curva Gobierno'!$J$2:$K$22)))*100,"")</f>
        <v/>
      </c>
    </row>
    <row r="158" spans="1:7">
      <c r="A158" t="s">
        <v>710</v>
      </c>
      <c r="B158" s="218" t="str">
        <f>+_xll.BDP($A158&amp;" Corp","ID_CUSIP")</f>
        <v>EH8617654</v>
      </c>
      <c r="C158" s="186">
        <f>+_xll.BDP($B158 &amp; " Corp","MTY_YEARS")</f>
        <v>11.898699520876113</v>
      </c>
      <c r="D158" s="226" t="str">
        <f>+_xll.BDP($B158 &amp; "@RIAY Corp","DUR_BID")</f>
        <v>#N/A N/A</v>
      </c>
      <c r="E158" s="226" t="str">
        <f>+_xll.BDP(LEFT(B158,8) &amp; "@RIAY Corp","BID_YIELD")</f>
        <v>#N/A Real Time</v>
      </c>
      <c r="F158" s="107" t="str">
        <f>+_xll.BDP(LEFT(B158,8) &amp; "@RIAY Corp","TRADE_CRNCY")</f>
        <v>CLF</v>
      </c>
      <c r="G158" s="199" t="str">
        <f ca="1">+IFERROR((E158-IF(F158="CLF",[4]!CERCHA($D158,'Curva Gobierno'!$D$2:$E$38,0),[4]!CERCHA($D158,'Curva Gobierno'!$J$2:$K$22)))*100,"")</f>
        <v/>
      </c>
    </row>
    <row r="159" spans="1:7">
      <c r="A159" t="s">
        <v>712</v>
      </c>
      <c r="B159" s="218" t="str">
        <f>+_xll.BDP($A159&amp;" Corp","ID_CUSIP")</f>
        <v>EH8601724</v>
      </c>
      <c r="C159" s="186">
        <f>+_xll.BDP($B159 &amp; " Corp","MTY_YEARS")</f>
        <v>11.605749486652977</v>
      </c>
      <c r="D159" s="226" t="str">
        <f>+_xll.BDP($B159 &amp; "@RIAY Corp","DUR_BID")</f>
        <v>#N/A N/A</v>
      </c>
      <c r="E159" s="226" t="str">
        <f>+_xll.BDP(LEFT(B159,8) &amp; "@RIAY Corp","BID_YIELD")</f>
        <v>#N/A Real Time</v>
      </c>
      <c r="F159" s="107" t="str">
        <f>+_xll.BDP(LEFT(B159,8) &amp; "@RIAY Corp","TRADE_CRNCY")</f>
        <v>CLF</v>
      </c>
      <c r="G159" s="199" t="str">
        <f ca="1">+IFERROR((E159-IF(F159="CLF",[4]!CERCHA($D159,'Curva Gobierno'!$D$2:$E$38,0),[4]!CERCHA($D159,'Curva Gobierno'!$J$2:$K$22)))*100,"")</f>
        <v/>
      </c>
    </row>
    <row r="160" spans="1:7">
      <c r="A160" t="s">
        <v>716</v>
      </c>
      <c r="B160" s="218" t="str">
        <f>+_xll.BDP($A160&amp;" Corp","ID_CUSIP")</f>
        <v>EK3298768</v>
      </c>
      <c r="C160" s="186">
        <f>+_xll.BDP($B160 &amp; " Corp","MTY_YEARS")</f>
        <v>6.2751540041067759</v>
      </c>
      <c r="D160" s="226" t="str">
        <f>+_xll.BDP($B160 &amp; "@RIAY Corp","DUR_BID")</f>
        <v>#N/A N/A</v>
      </c>
      <c r="E160" s="226" t="str">
        <f>+_xll.BDP(LEFT(B160,8) &amp; "@RIAY Corp","BID_YIELD")</f>
        <v>#N/A Real Time</v>
      </c>
      <c r="F160" s="107" t="str">
        <f>+_xll.BDP(LEFT(B160,8) &amp; "@RIAY Corp","TRADE_CRNCY")</f>
        <v>CLF</v>
      </c>
      <c r="G160" s="199" t="str">
        <f ca="1">+IFERROR((E160-IF(F160="CLF",[4]!CERCHA($D160,'Curva Gobierno'!$D$2:$E$38,0),[4]!CERCHA($D160,'Curva Gobierno'!$J$2:$K$22)))*100,"")</f>
        <v/>
      </c>
    </row>
    <row r="161" spans="1:7">
      <c r="A161" t="s">
        <v>718</v>
      </c>
      <c r="B161" s="218" t="str">
        <f>+_xll.BDP($A161&amp;" Corp","ID_CUSIP")</f>
        <v>EJ7137932</v>
      </c>
      <c r="C161" s="186">
        <f>+_xll.BDP($B161 &amp; " Corp","MTY_YEARS")</f>
        <v>6.5270362765229297</v>
      </c>
      <c r="D161" s="226" t="str">
        <f>+_xll.BDP($B161 &amp; "@RIAY Corp","DUR_BID")</f>
        <v>#N/A N/A</v>
      </c>
      <c r="E161" s="226" t="str">
        <f>+_xll.BDP(LEFT(B161,8) &amp; "@RIAY Corp","BID_YIELD")</f>
        <v>#N/A Real Time</v>
      </c>
      <c r="F161" s="107" t="str">
        <f>+_xll.BDP(LEFT(B161,8) &amp; "@RIAY Corp","TRADE_CRNCY")</f>
        <v>CLF</v>
      </c>
      <c r="G161" s="199" t="str">
        <f ca="1">+IFERROR((E161-IF(F161="CLF",[4]!CERCHA($D161,'Curva Gobierno'!$D$2:$E$38,0),[4]!CERCHA($D161,'Curva Gobierno'!$J$2:$K$22)))*100,"")</f>
        <v/>
      </c>
    </row>
    <row r="162" spans="1:7">
      <c r="A162" t="s">
        <v>725</v>
      </c>
      <c r="B162" s="218" t="str">
        <f>+_xll.BDP($A162&amp;" Corp","ID_CUSIP")</f>
        <v>EH8557652</v>
      </c>
      <c r="C162" s="186">
        <f>+_xll.BDP($B162 &amp; " Corp","MTY_YEARS")</f>
        <v>11.939767282683095</v>
      </c>
      <c r="D162" s="226" t="str">
        <f>+_xll.BDP($B162 &amp; "@RIAY Corp","DUR_BID")</f>
        <v>#N/A N/A</v>
      </c>
      <c r="E162" s="226" t="str">
        <f>+_xll.BDP(LEFT(B162,8) &amp; "@RIAY Corp","BID_YIELD")</f>
        <v>#N/A Real Time</v>
      </c>
      <c r="F162" s="107" t="str">
        <f>+_xll.BDP(LEFT(B162,8) &amp; "@RIAY Corp","TRADE_CRNCY")</f>
        <v>CLF</v>
      </c>
      <c r="G162" s="199" t="str">
        <f ca="1">+IFERROR((E162-IF(F162="CLF",[4]!CERCHA($D162,'Curva Gobierno'!$D$2:$E$38,0),[4]!CERCHA($D162,'Curva Gobierno'!$J$2:$K$22)))*100,"")</f>
        <v/>
      </c>
    </row>
    <row r="163" spans="1:7">
      <c r="A163" t="s">
        <v>719</v>
      </c>
      <c r="B163" s="218" t="str">
        <f>+_xll.BDP($A163&amp;" Corp","ID_CUSIP")</f>
        <v>EH8606723</v>
      </c>
      <c r="C163" s="186">
        <f>+_xll.BDP($B163 &amp; " Corp","MTY_YEARS")</f>
        <v>12.06570841889117</v>
      </c>
      <c r="D163" s="226" t="str">
        <f>+_xll.BDP($B163 &amp; "@RIAY Corp","DUR_BID")</f>
        <v>#N/A N/A</v>
      </c>
      <c r="E163" s="226" t="str">
        <f>+_xll.BDP(LEFT(B163,8) &amp; "@RIAY Corp","BID_YIELD")</f>
        <v>#N/A Real Time</v>
      </c>
      <c r="F163" s="107" t="str">
        <f>+_xll.BDP(LEFT(B163,8) &amp; "@RIAY Corp","TRADE_CRNCY")</f>
        <v>CLF</v>
      </c>
      <c r="G163" s="199" t="str">
        <f ca="1">+IFERROR((E163-IF(F163="CLF",[4]!CERCHA($D163,'Curva Gobierno'!$D$2:$E$38,0),[4]!CERCHA($D163,'Curva Gobierno'!$J$2:$K$22)))*100,"")</f>
        <v/>
      </c>
    </row>
    <row r="164" spans="1:7">
      <c r="A164" t="s">
        <v>727</v>
      </c>
      <c r="B164" s="218" t="str">
        <f>+_xll.BDP($A164&amp;" Corp","ID_CUSIP")</f>
        <v>EH8327494</v>
      </c>
      <c r="C164" s="186">
        <f>+_xll.BDP($B164 &amp; " Corp","MTY_YEARS")</f>
        <v>12.183436002737851</v>
      </c>
      <c r="D164" s="226" t="str">
        <f>+_xll.BDP($B164 &amp; "@RIAY Corp","DUR_BID")</f>
        <v>#N/A N/A</v>
      </c>
      <c r="E164" s="226" t="str">
        <f>+_xll.BDP(LEFT(B164,8) &amp; "@RIAY Corp","BID_YIELD")</f>
        <v>#N/A Real Time</v>
      </c>
      <c r="F164" s="107" t="str">
        <f>+_xll.BDP(LEFT(B164,8) &amp; "@RIAY Corp","TRADE_CRNCY")</f>
        <v>CLF</v>
      </c>
      <c r="G164" s="199" t="str">
        <f ca="1">+IFERROR((E164-IF(F164="CLF",[4]!CERCHA($D164,'Curva Gobierno'!$D$2:$E$38,0),[4]!CERCHA($D164,'Curva Gobierno'!$J$2:$K$22)))*100,"")</f>
        <v/>
      </c>
    </row>
    <row r="165" spans="1:7">
      <c r="A165" t="s">
        <v>722</v>
      </c>
      <c r="B165" s="218" t="str">
        <f>+_xll.BDP($A165&amp;" Corp","ID_CUSIP")</f>
        <v>EK7301386</v>
      </c>
      <c r="C165" s="186">
        <f>+_xll.BDP($B165 &amp; " Corp","MTY_YEARS")</f>
        <v>13.026694045174539</v>
      </c>
      <c r="D165" s="226" t="str">
        <f>+_xll.BDP($B165 &amp; "@RIAY Corp","DUR_BID")</f>
        <v>#N/A N/A</v>
      </c>
      <c r="E165" s="226" t="str">
        <f>+_xll.BDP(LEFT(B165,8) &amp; "@RIAY Corp","BID_YIELD")</f>
        <v>#N/A Real Time</v>
      </c>
      <c r="F165" s="107" t="str">
        <f>+_xll.BDP(LEFT(B165,8) &amp; "@RIAY Corp","TRADE_CRNCY")</f>
        <v>CLF</v>
      </c>
      <c r="G165" s="199" t="str">
        <f ca="1">+IFERROR((E165-IF(F165="CLF",[4]!CERCHA($D165,'Curva Gobierno'!$D$2:$E$38,0),[4]!CERCHA($D165,'Curva Gobierno'!$J$2:$K$22)))*100,"")</f>
        <v/>
      </c>
    </row>
    <row r="166" spans="1:7">
      <c r="A166" t="s">
        <v>729</v>
      </c>
      <c r="B166" s="218" t="str">
        <f>+_xll.BDP($A166&amp;" Corp","ID_CUSIP")</f>
        <v>EK9932931</v>
      </c>
      <c r="C166" s="186">
        <f>+_xll.BDP($B166 &amp; " Corp","MTY_YEARS")</f>
        <v>6.6940451745379876</v>
      </c>
      <c r="D166" s="226" t="str">
        <f>+_xll.BDP($B166 &amp; "@RIAY Corp","DUR_BID")</f>
        <v>#N/A N/A</v>
      </c>
      <c r="E166" s="226" t="str">
        <f>+_xll.BDP(LEFT(B166,8) &amp; "@RIAY Corp","BID_YIELD")</f>
        <v>#N/A Real Time</v>
      </c>
      <c r="F166" s="107" t="str">
        <f>+_xll.BDP(LEFT(B166,8) &amp; "@RIAY Corp","TRADE_CRNCY")</f>
        <v>CLF</v>
      </c>
      <c r="G166" s="199" t="str">
        <f ca="1">+IFERROR((E166-IF(F166="CLF",[4]!CERCHA($D166,'Curva Gobierno'!$D$2:$E$38,0),[4]!CERCHA($D166,'Curva Gobierno'!$J$2:$K$22)))*100,"")</f>
        <v/>
      </c>
    </row>
    <row r="167" spans="1:7">
      <c r="A167" t="s">
        <v>731</v>
      </c>
      <c r="B167" s="218" t="str">
        <f>+_xll.BDP($A167&amp;" Corp","ID_CUSIP")</f>
        <v>EK8223019</v>
      </c>
      <c r="C167" s="186">
        <f>+_xll.BDP($B167 &amp; " Corp","MTY_YEARS")</f>
        <v>6.6940451745379876</v>
      </c>
      <c r="D167" s="226" t="str">
        <f>+_xll.BDP($B167 &amp; "@RIAY Corp","DUR_BID")</f>
        <v>#N/A N/A</v>
      </c>
      <c r="E167" s="226" t="str">
        <f>+_xll.BDP(LEFT(B167,8) &amp; "@RIAY Corp","BID_YIELD")</f>
        <v>#N/A Real Time</v>
      </c>
      <c r="F167" s="107" t="str">
        <f>+_xll.BDP(LEFT(B167,8) &amp; "@RIAY Corp","TRADE_CRNCY")</f>
        <v>CLF</v>
      </c>
      <c r="G167" s="199" t="str">
        <f ca="1">+IFERROR((E167-IF(F167="CLF",[4]!CERCHA($D167,'Curva Gobierno'!$D$2:$E$38,0),[4]!CERCHA($D167,'Curva Gobierno'!$J$2:$K$22)))*100,"")</f>
        <v/>
      </c>
    </row>
    <row r="168" spans="1:7">
      <c r="A168" t="s">
        <v>732</v>
      </c>
      <c r="B168" s="218" t="str">
        <f>+_xll.BDP($A168&amp;" Corp","ID_CUSIP")</f>
        <v>EH8607606</v>
      </c>
      <c r="C168" s="186">
        <f>+_xll.BDP($B168 &amp; " Corp","MTY_YEARS")</f>
        <v>12.4435318275154</v>
      </c>
      <c r="D168" s="226" t="str">
        <f>+_xll.BDP($B168 &amp; "@RIAY Corp","DUR_BID")</f>
        <v>#N/A N/A</v>
      </c>
      <c r="E168" s="226" t="str">
        <f>+_xll.BDP(LEFT(B168,8) &amp; "@RIAY Corp","BID_YIELD")</f>
        <v>#N/A Real Time</v>
      </c>
      <c r="F168" s="107" t="str">
        <f>+_xll.BDP(LEFT(B168,8) &amp; "@RIAY Corp","TRADE_CRNCY")</f>
        <v>CLF</v>
      </c>
      <c r="G168" s="199" t="str">
        <f ca="1">+IFERROR((E168-IF(F168="CLF",[4]!CERCHA($D168,'Curva Gobierno'!$D$2:$E$38,0),[4]!CERCHA($D168,'Curva Gobierno'!$J$2:$K$22)))*100,"")</f>
        <v/>
      </c>
    </row>
    <row r="169" spans="1:7">
      <c r="A169" t="s">
        <v>734</v>
      </c>
      <c r="B169" s="218" t="str">
        <f>+_xll.BDP($A169&amp;" Corp","ID_CUSIP")</f>
        <v>EK8223613</v>
      </c>
      <c r="C169" s="186">
        <f>+_xll.BDP($B169 &amp; " Corp","MTY_YEARS")</f>
        <v>6.8993839835728954</v>
      </c>
      <c r="D169" s="226" t="str">
        <f>+_xll.BDP($B169 &amp; "@RIAY Corp","DUR_BID")</f>
        <v>#N/A N/A</v>
      </c>
      <c r="E169" s="226" t="str">
        <f>+_xll.BDP(LEFT(B169,8) &amp; "@RIAY Corp","BID_YIELD")</f>
        <v>#N/A Real Time</v>
      </c>
      <c r="F169" s="107" t="str">
        <f>+_xll.BDP(LEFT(B169,8) &amp; "@RIAY Corp","TRADE_CRNCY")</f>
        <v>CLF</v>
      </c>
      <c r="G169" s="199" t="str">
        <f ca="1">+IFERROR((E169-IF(F169="CLF",[4]!CERCHA($D169,'Curva Gobierno'!$D$2:$E$38,0),[4]!CERCHA($D169,'Curva Gobierno'!$J$2:$K$22)))*100,"")</f>
        <v/>
      </c>
    </row>
    <row r="170" spans="1:7">
      <c r="A170" t="s">
        <v>737</v>
      </c>
      <c r="B170" s="218" t="str">
        <f>+_xll.BDP($A170&amp;" Corp","ID_CUSIP")</f>
        <v>EF0677890</v>
      </c>
      <c r="C170" s="186">
        <f>+_xll.BDP($B170 &amp; " Corp","MTY_YEARS")</f>
        <v>7.3593429158110881</v>
      </c>
      <c r="D170" s="226" t="str">
        <f>+_xll.BDP($B170 &amp; "@RIAY Corp","DUR_BID")</f>
        <v>#N/A N/A</v>
      </c>
      <c r="E170" s="226" t="str">
        <f>+_xll.BDP(LEFT(B170,8) &amp; "@RIAY Corp","BID_YIELD")</f>
        <v>#N/A Real Time</v>
      </c>
      <c r="F170" s="107" t="str">
        <f>+_xll.BDP(LEFT(B170,8) &amp; "@RIAY Corp","TRADE_CRNCY")</f>
        <v>CLF</v>
      </c>
      <c r="G170" s="199" t="str">
        <f ca="1">+IFERROR((E170-IF(F170="CLF",[4]!CERCHA($D170,'Curva Gobierno'!$D$2:$E$38,0),[4]!CERCHA($D170,'Curva Gobierno'!$J$2:$K$22)))*100,"")</f>
        <v/>
      </c>
    </row>
    <row r="171" spans="1:7">
      <c r="A171" t="s">
        <v>1266</v>
      </c>
      <c r="B171" s="218" t="str">
        <f>+_xll.BDP($A171&amp;" Corp","ID_CUSIP")</f>
        <v>EK7531164</v>
      </c>
      <c r="C171" s="186">
        <f>+_xll.BDP($B171 &amp; " Corp","MTY_YEARS")</f>
        <v>15.359342915811089</v>
      </c>
      <c r="D171" s="226" t="str">
        <f>+_xll.BDP($B171 &amp; "@RIAY Corp","DUR_BID")</f>
        <v>#N/A N/A</v>
      </c>
      <c r="E171" s="226" t="str">
        <f>+_xll.BDP(LEFT(B171,8) &amp; "@RIAY Corp","BID_YIELD")</f>
        <v>#N/A Real Time</v>
      </c>
      <c r="F171" s="107" t="str">
        <f>+_xll.BDP(LEFT(B171,8) &amp; "@RIAY Corp","TRADE_CRNCY")</f>
        <v>CLF</v>
      </c>
      <c r="G171" s="199" t="str">
        <f ca="1">+IFERROR((E171-IF(F171="CLF",[4]!CERCHA($D171,'Curva Gobierno'!$D$2:$E$38,0),[4]!CERCHA($D171,'Curva Gobierno'!$J$2:$K$22)))*100,"")</f>
        <v/>
      </c>
    </row>
    <row r="172" spans="1:7">
      <c r="A172" t="s">
        <v>739</v>
      </c>
      <c r="B172" s="218" t="str">
        <f>+_xll.BDP($A172&amp;" Corp","ID_CUSIP")</f>
        <v>EK7653505</v>
      </c>
      <c r="C172" s="186">
        <f>+_xll.BDP($B172 &amp; " Corp","MTY_YEARS")</f>
        <v>6.8610540725530456</v>
      </c>
      <c r="D172" s="226" t="str">
        <f>+_xll.BDP($B172 &amp; "@RIAY Corp","DUR_BID")</f>
        <v>#N/A N/A</v>
      </c>
      <c r="E172" s="226" t="str">
        <f>+_xll.BDP(LEFT(B172,8) &amp; "@RIAY Corp","BID_YIELD")</f>
        <v>#N/A Real Time</v>
      </c>
      <c r="F172" s="107" t="str">
        <f>+_xll.BDP(LEFT(B172,8) &amp; "@RIAY Corp","TRADE_CRNCY")</f>
        <v>CLF</v>
      </c>
      <c r="G172" s="199" t="str">
        <f ca="1">+IFERROR((E172-IF(F172="CLF",[4]!CERCHA($D172,'Curva Gobierno'!$D$2:$E$38,0),[4]!CERCHA($D172,'Curva Gobierno'!$J$2:$K$22)))*100,"")</f>
        <v/>
      </c>
    </row>
    <row r="173" spans="1:7">
      <c r="A173" t="s">
        <v>741</v>
      </c>
      <c r="B173" s="218" t="str">
        <f>+_xll.BDP($A173&amp;" Corp","ID_CUSIP")</f>
        <v>UV5551709</v>
      </c>
      <c r="C173" s="186">
        <f>+_xll.BDP($B173 &amp; " Corp","MTY_YEARS")</f>
        <v>7.2744695414099931</v>
      </c>
      <c r="D173" s="226" t="str">
        <f>+_xll.BDP($B173 &amp; "@RIAY Corp","DUR_BID")</f>
        <v>#N/A N/A</v>
      </c>
      <c r="E173" s="226" t="str">
        <f>+_xll.BDP(LEFT(B173,8) &amp; "@RIAY Corp","BID_YIELD")</f>
        <v>#N/A Real Time</v>
      </c>
      <c r="F173" s="107" t="str">
        <f>+_xll.BDP(LEFT(B173,8) &amp; "@RIAY Corp","TRADE_CRNCY")</f>
        <v>CLF</v>
      </c>
      <c r="G173" s="199" t="str">
        <f ca="1">+IFERROR((E173-IF(F173="CLF",[4]!CERCHA($D173,'Curva Gobierno'!$D$2:$E$38,0),[4]!CERCHA($D173,'Curva Gobierno'!$J$2:$K$22)))*100,"")</f>
        <v/>
      </c>
    </row>
    <row r="174" spans="1:7">
      <c r="A174" t="s">
        <v>738</v>
      </c>
      <c r="B174" s="218" t="str">
        <f>+_xll.BDP($A174&amp;" Corp","ID_CUSIP")</f>
        <v>EI0719365</v>
      </c>
      <c r="C174" s="186">
        <f>+_xll.BDP($B174 &amp; " Corp","MTY_YEARS")</f>
        <v>13.026694045174539</v>
      </c>
      <c r="D174" s="226" t="str">
        <f>+_xll.BDP($B174 &amp; "@RIAY Corp","DUR_BID")</f>
        <v>#N/A N/A</v>
      </c>
      <c r="E174" s="226" t="str">
        <f>+_xll.BDP(LEFT(B174,8) &amp; "@RIAY Corp","BID_YIELD")</f>
        <v>#N/A Real Time</v>
      </c>
      <c r="F174" s="107" t="str">
        <f>+_xll.BDP(LEFT(B174,8) &amp; "@RIAY Corp","TRADE_CRNCY")</f>
        <v>CLF</v>
      </c>
      <c r="G174" s="199" t="str">
        <f ca="1">+IFERROR((E174-IF(F174="CLF",[4]!CERCHA($D174,'Curva Gobierno'!$D$2:$E$38,0),[4]!CERCHA($D174,'Curva Gobierno'!$J$2:$K$22)))*100,"")</f>
        <v/>
      </c>
    </row>
    <row r="175" spans="1:7">
      <c r="A175" t="s">
        <v>748</v>
      </c>
      <c r="B175" s="218" t="str">
        <f>+_xll.BDP($A175&amp;" Corp","ID_CUSIP")</f>
        <v>QJ0605056</v>
      </c>
      <c r="C175" s="186">
        <f>+_xll.BDP($B175 &amp; " Corp","MTY_YEARS")</f>
        <v>7.4414784394250511</v>
      </c>
      <c r="D175" s="226" t="str">
        <f>+_xll.BDP($B175 &amp; "@RIAY Corp","DUR_BID")</f>
        <v>#N/A N/A</v>
      </c>
      <c r="E175" s="226" t="str">
        <f>+_xll.BDP(LEFT(B175,8) &amp; "@RIAY Corp","BID_YIELD")</f>
        <v>#N/A Real Time</v>
      </c>
      <c r="F175" s="107" t="str">
        <f>+_xll.BDP(LEFT(B175,8) &amp; "@RIAY Corp","TRADE_CRNCY")</f>
        <v>CLF</v>
      </c>
      <c r="G175" s="199" t="str">
        <f ca="1">+IFERROR((E175-IF(F175="CLF",[4]!CERCHA($D175,'Curva Gobierno'!$D$2:$E$38,0),[4]!CERCHA($D175,'Curva Gobierno'!$J$2:$K$22)))*100,"")</f>
        <v/>
      </c>
    </row>
    <row r="176" spans="1:7">
      <c r="A176" t="s">
        <v>746</v>
      </c>
      <c r="B176" s="218" t="str">
        <f>+_xll.BDP($A176&amp;" Corp","ID_CUSIP")</f>
        <v>QJ0607847</v>
      </c>
      <c r="C176" s="186">
        <f>+_xll.BDP($B176 &amp; " Corp","MTY_YEARS")</f>
        <v>7.6084873374401099</v>
      </c>
      <c r="D176" s="226" t="str">
        <f>+_xll.BDP($B176 &amp; "@RIAY Corp","DUR_BID")</f>
        <v>#N/A N/A</v>
      </c>
      <c r="E176" s="226" t="str">
        <f>+_xll.BDP(LEFT(B176,8) &amp; "@RIAY Corp","BID_YIELD")</f>
        <v>#N/A Real Time</v>
      </c>
      <c r="F176" s="107" t="str">
        <f>+_xll.BDP(LEFT(B176,8) &amp; "@RIAY Corp","TRADE_CRNCY")</f>
        <v>CLF</v>
      </c>
      <c r="G176" s="199" t="str">
        <f ca="1">+IFERROR((E176-IF(F176="CLF",[4]!CERCHA($D176,'Curva Gobierno'!$D$2:$E$38,0),[4]!CERCHA($D176,'Curva Gobierno'!$J$2:$K$22)))*100,"")</f>
        <v/>
      </c>
    </row>
    <row r="177" spans="1:7">
      <c r="A177" t="s">
        <v>750</v>
      </c>
      <c r="B177" s="218" t="str">
        <f>+_xll.BDP($A177&amp;" Corp","ID_CUSIP")</f>
        <v>EI0602470</v>
      </c>
      <c r="C177" s="186">
        <f>+_xll.BDP($B177 &amp; " Corp","MTY_YEARS")</f>
        <v>13.311430527036277</v>
      </c>
      <c r="D177" s="226" t="str">
        <f>+_xll.BDP($B177 &amp; "@RIAY Corp","DUR_BID")</f>
        <v>#N/A N/A</v>
      </c>
      <c r="E177" s="226" t="str">
        <f>+_xll.BDP(LEFT(B177,8) &amp; "@RIAY Corp","BID_YIELD")</f>
        <v>#N/A Real Time</v>
      </c>
      <c r="F177" s="107" t="str">
        <f>+_xll.BDP(LEFT(B177,8) &amp; "@RIAY Corp","TRADE_CRNCY")</f>
        <v>CLF</v>
      </c>
      <c r="G177" s="199" t="str">
        <f ca="1">+IFERROR((E177-IF(F177="CLF",[4]!CERCHA($D177,'Curva Gobierno'!$D$2:$E$38,0),[4]!CERCHA($D177,'Curva Gobierno'!$J$2:$K$22)))*100,"")</f>
        <v/>
      </c>
    </row>
    <row r="178" spans="1:7">
      <c r="A178" t="s">
        <v>752</v>
      </c>
      <c r="B178" s="218" t="str">
        <f>+_xll.BDP($A178&amp;" Corp","ID_CUSIP")</f>
        <v>AH0077885</v>
      </c>
      <c r="C178" s="186">
        <f>+_xll.BDP($B178 &amp; " Corp","MTY_YEARS")</f>
        <v>7.7782340862422998</v>
      </c>
      <c r="D178" s="226" t="str">
        <f>+_xll.BDP($B178 &amp; "@RIAY Corp","DUR_BID")</f>
        <v>#N/A N/A</v>
      </c>
      <c r="E178" s="226" t="str">
        <f>+_xll.BDP(LEFT(B178,8) &amp; "@RIAY Corp","BID_YIELD")</f>
        <v>#N/A Real Time</v>
      </c>
      <c r="F178" s="107" t="str">
        <f>+_xll.BDP(LEFT(B178,8) &amp; "@RIAY Corp","TRADE_CRNCY")</f>
        <v>CLF</v>
      </c>
      <c r="G178" s="199" t="str">
        <f ca="1">+IFERROR((E178-IF(F178="CLF",[4]!CERCHA($D178,'Curva Gobierno'!$D$2:$E$38,0),[4]!CERCHA($D178,'Curva Gobierno'!$J$2:$K$22)))*100,"")</f>
        <v/>
      </c>
    </row>
    <row r="179" spans="1:7">
      <c r="A179" t="s">
        <v>743</v>
      </c>
      <c r="B179" s="218" t="str">
        <f>+_xll.BDP($A179&amp;" Corp","ID_CUSIP")</f>
        <v>EJ8070744</v>
      </c>
      <c r="C179" s="186">
        <f>+_xll.BDP($B179 &amp; " Corp","MTY_YEARS")</f>
        <v>16.632443531827516</v>
      </c>
      <c r="D179" s="226" t="str">
        <f>+_xll.BDP($B179 &amp; "@RIAY Corp","DUR_BID")</f>
        <v>#N/A N/A</v>
      </c>
      <c r="E179" s="226" t="str">
        <f>+_xll.BDP(LEFT(B179,8) &amp; "@RIAY Corp","BID_YIELD")</f>
        <v>#N/A Real Time</v>
      </c>
      <c r="F179" s="107" t="str">
        <f>+_xll.BDP(LEFT(B179,8) &amp; "@RIAY Corp","TRADE_CRNCY")</f>
        <v>CLF</v>
      </c>
      <c r="G179" s="199" t="str">
        <f ca="1">+IFERROR((E179-IF(F179="CLF",[4]!CERCHA($D179,'Curva Gobierno'!$D$2:$E$38,0),[4]!CERCHA($D179,'Curva Gobierno'!$J$2:$K$22)))*100,"")</f>
        <v/>
      </c>
    </row>
    <row r="180" spans="1:7">
      <c r="A180" t="s">
        <v>1045</v>
      </c>
      <c r="B180" s="218" t="str">
        <f>+_xll.BDP($A180&amp;" Corp","ID_CUSIP")</f>
        <v>EC3850442</v>
      </c>
      <c r="C180" s="186">
        <f>+_xll.BDP($B180 &amp; " Corp","MTY_YEARS")</f>
        <v>8.7775496235455162</v>
      </c>
      <c r="D180" s="226" t="str">
        <f>+_xll.BDP($B180 &amp; "@RIAY Corp","DUR_BID")</f>
        <v>#N/A N/A</v>
      </c>
      <c r="E180" s="226" t="str">
        <f>+_xll.BDP(LEFT(B180,8) &amp; "@RIAY Corp","BID_YIELD")</f>
        <v>#N/A Real Time</v>
      </c>
      <c r="F180" s="107" t="str">
        <f>+_xll.BDP(LEFT(B180,8) &amp; "@RIAY Corp","TRADE_CRNCY")</f>
        <v>CLF</v>
      </c>
      <c r="G180" s="199" t="str">
        <f ca="1">+IFERROR((E180-IF(F180="CLF",[4]!CERCHA($D180,'Curva Gobierno'!$D$2:$E$38,0),[4]!CERCHA($D180,'Curva Gobierno'!$J$2:$K$22)))*100,"")</f>
        <v/>
      </c>
    </row>
    <row r="181" spans="1:7">
      <c r="A181" t="s">
        <v>755</v>
      </c>
      <c r="B181" s="218" t="str">
        <f>+_xll.BDP($A181&amp;" Corp","ID_CUSIP")</f>
        <v>EI7556091</v>
      </c>
      <c r="C181" s="186">
        <f>+_xll.BDP($B181 &amp; " Corp","MTY_YEARS")</f>
        <v>13.730321697467488</v>
      </c>
      <c r="D181" s="226" t="str">
        <f>+_xll.BDP($B181 &amp; "@RIAY Corp","DUR_BID")</f>
        <v>#N/A N/A</v>
      </c>
      <c r="E181" s="226" t="str">
        <f>+_xll.BDP(LEFT(B181,8) &amp; "@RIAY Corp","BID_YIELD")</f>
        <v>#N/A Real Time</v>
      </c>
      <c r="F181" s="107" t="str">
        <f>+_xll.BDP(LEFT(B181,8) &amp; "@RIAY Corp","TRADE_CRNCY")</f>
        <v>CLF</v>
      </c>
      <c r="G181" s="199" t="str">
        <f ca="1">+IFERROR((E181-IF(F181="CLF",[4]!CERCHA($D181,'Curva Gobierno'!$D$2:$E$38,0),[4]!CERCHA($D181,'Curva Gobierno'!$J$2:$K$22)))*100,"")</f>
        <v/>
      </c>
    </row>
    <row r="182" spans="1:7">
      <c r="A182" t="s">
        <v>763</v>
      </c>
      <c r="B182" s="218" t="str">
        <f>+_xll.BDP($A182&amp;" Corp","ID_CUSIP")</f>
        <v>EH8618298</v>
      </c>
      <c r="C182" s="186">
        <f>+_xll.BDP($B182 &amp; " Corp","MTY_YEARS")</f>
        <v>11.720739219712526</v>
      </c>
      <c r="D182" s="226" t="str">
        <f>+_xll.BDP($B182 &amp; "@RIAY Corp","DUR_BID")</f>
        <v>#N/A N/A</v>
      </c>
      <c r="E182" s="226" t="str">
        <f>+_xll.BDP(LEFT(B182,8) &amp; "@RIAY Corp","BID_YIELD")</f>
        <v>#N/A Real Time</v>
      </c>
      <c r="F182" s="107" t="str">
        <f>+_xll.BDP(LEFT(B182,8) &amp; "@RIAY Corp","TRADE_CRNCY")</f>
        <v>CLF</v>
      </c>
      <c r="G182" s="199" t="str">
        <f ca="1">+IFERROR((E182-IF(F182="CLF",[4]!CERCHA($D182,'Curva Gobierno'!$D$2:$E$38,0),[4]!CERCHA($D182,'Curva Gobierno'!$J$2:$K$22)))*100,"")</f>
        <v/>
      </c>
    </row>
    <row r="183" spans="1:7">
      <c r="A183" t="s">
        <v>760</v>
      </c>
      <c r="B183" s="218" t="str">
        <f>+_xll.BDP($A183&amp;" Corp","ID_CUSIP")</f>
        <v>EI6724179</v>
      </c>
      <c r="C183" s="186">
        <f>+_xll.BDP($B183 &amp; " Corp","MTY_YEARS")</f>
        <v>15.066392881587953</v>
      </c>
      <c r="D183" s="226" t="str">
        <f>+_xll.BDP($B183 &amp; "@RIAY Corp","DUR_BID")</f>
        <v>#N/A N/A</v>
      </c>
      <c r="E183" s="226" t="str">
        <f>+_xll.BDP(LEFT(B183,8) &amp; "@RIAY Corp","BID_YIELD")</f>
        <v>#N/A Real Time</v>
      </c>
      <c r="F183" s="107" t="str">
        <f>+_xll.BDP(LEFT(B183,8) &amp; "@RIAY Corp","TRADE_CRNCY")</f>
        <v>CLF</v>
      </c>
      <c r="G183" s="199" t="str">
        <f ca="1">+IFERROR((E183-IF(F183="CLF",[4]!CERCHA($D183,'Curva Gobierno'!$D$2:$E$38,0),[4]!CERCHA($D183,'Curva Gobierno'!$J$2:$K$22)))*100,"")</f>
        <v/>
      </c>
    </row>
    <row r="184" spans="1:7">
      <c r="A184" t="s">
        <v>768</v>
      </c>
      <c r="B184" s="218" t="str">
        <f>+_xll.BDP($A184&amp;" Corp","ID_CUSIP")</f>
        <v>EK7241335</v>
      </c>
      <c r="C184" s="186">
        <f>+_xll.BDP($B184 &amp; " Corp","MTY_YEARS")</f>
        <v>8.6926762491444212</v>
      </c>
      <c r="D184" s="226" t="str">
        <f>+_xll.BDP($B184 &amp; "@RIAY Corp","DUR_BID")</f>
        <v>#N/A N/A</v>
      </c>
      <c r="E184" s="226" t="str">
        <f>+_xll.BDP(LEFT(B184,8) &amp; "@RIAY Corp","BID_YIELD")</f>
        <v>#N/A Real Time</v>
      </c>
      <c r="F184" s="107" t="str">
        <f>+_xll.BDP(LEFT(B184,8) &amp; "@RIAY Corp","TRADE_CRNCY")</f>
        <v>CLF</v>
      </c>
      <c r="G184" s="199" t="str">
        <f ca="1">+IFERROR((E184-IF(F184="CLF",[4]!CERCHA($D184,'Curva Gobierno'!$D$2:$E$38,0),[4]!CERCHA($D184,'Curva Gobierno'!$J$2:$K$22)))*100,"")</f>
        <v/>
      </c>
    </row>
    <row r="185" spans="1:7">
      <c r="A185" t="s">
        <v>771</v>
      </c>
      <c r="B185" s="218" t="str">
        <f>+_xll.BDP($A185&amp;" Corp","ID_CUSIP")</f>
        <v>EJ0065270</v>
      </c>
      <c r="C185" s="186">
        <f>+_xll.BDP($B185 &amp; " Corp","MTY_YEARS")</f>
        <v>14.778918548939084</v>
      </c>
      <c r="D185" s="226" t="str">
        <f>+_xll.BDP($B185 &amp; "@RIAY Corp","DUR_BID")</f>
        <v>#N/A N/A</v>
      </c>
      <c r="E185" s="226" t="str">
        <f>+_xll.BDP(LEFT(B185,8) &amp; "@RIAY Corp","BID_YIELD")</f>
        <v>#N/A Real Time</v>
      </c>
      <c r="F185" s="107" t="str">
        <f>+_xll.BDP(LEFT(B185,8) &amp; "@RIAY Corp","TRADE_CRNCY")</f>
        <v>CLF</v>
      </c>
      <c r="G185" s="199" t="str">
        <f ca="1">+IFERROR((E185-IF(F185="CLF",[4]!CERCHA($D185,'Curva Gobierno'!$D$2:$E$38,0),[4]!CERCHA($D185,'Curva Gobierno'!$J$2:$K$22)))*100,"")</f>
        <v/>
      </c>
    </row>
    <row r="186" spans="1:7">
      <c r="A186" t="s">
        <v>773</v>
      </c>
      <c r="B186" s="218" t="str">
        <f>+_xll.BDP($A186&amp;" Corp","ID_CUSIP")</f>
        <v>EI7222892</v>
      </c>
      <c r="C186" s="186">
        <f>+_xll.BDP($B186 &amp; " Corp","MTY_YEARS")</f>
        <v>14.52703627652293</v>
      </c>
      <c r="D186" s="226" t="str">
        <f>+_xll.BDP($B186 &amp; "@RIAY Corp","DUR_BID")</f>
        <v>#N/A N/A</v>
      </c>
      <c r="E186" s="226" t="str">
        <f>+_xll.BDP(LEFT(B186,8) &amp; "@RIAY Corp","BID_YIELD")</f>
        <v>#N/A Real Time</v>
      </c>
      <c r="F186" s="107" t="str">
        <f>+_xll.BDP(LEFT(B186,8) &amp; "@RIAY Corp","TRADE_CRNCY")</f>
        <v>CLF</v>
      </c>
      <c r="G186" s="199" t="str">
        <f ca="1">+IFERROR((E186-IF(F186="CLF",[4]!CERCHA($D186,'Curva Gobierno'!$D$2:$E$38,0),[4]!CERCHA($D186,'Curva Gobierno'!$J$2:$K$22)))*100,"")</f>
        <v/>
      </c>
    </row>
    <row r="187" spans="1:7">
      <c r="A187" t="s">
        <v>1201</v>
      </c>
      <c r="B187" s="218" t="str">
        <f>+_xll.BDP($A187&amp;" Corp","ID_CUSIP")</f>
        <v>AM0907775</v>
      </c>
      <c r="C187" s="186">
        <f>+_xll.BDP($B187 &amp; " Corp","MTY_YEARS")</f>
        <v>9.0650239561943877</v>
      </c>
      <c r="D187" s="226" t="str">
        <f>+_xll.BDP($B187 &amp; "@RIAY Corp","DUR_BID")</f>
        <v>#N/A N/A</v>
      </c>
      <c r="E187" s="226" t="str">
        <f>+_xll.BDP(LEFT(B187,8) &amp; "@RIAY Corp","BID_YIELD")</f>
        <v>#N/A Real Time</v>
      </c>
      <c r="F187" s="107" t="str">
        <f>+_xll.BDP(LEFT(B187,8) &amp; "@RIAY Corp","TRADE_CRNCY")</f>
        <v>CLF</v>
      </c>
      <c r="G187" s="199" t="str">
        <f ca="1">+IFERROR((E187-IF(F187="CLF",[4]!CERCHA($D187,'Curva Gobierno'!$D$2:$E$38,0),[4]!CERCHA($D187,'Curva Gobierno'!$J$2:$K$22)))*100,"")</f>
        <v/>
      </c>
    </row>
    <row r="188" spans="1:7">
      <c r="A188" t="s">
        <v>1008</v>
      </c>
      <c r="B188" s="218" t="str">
        <f>+_xll.BDP($A188&amp;" Corp","ID_CUSIP")</f>
        <v>AL4694702</v>
      </c>
      <c r="C188" s="186">
        <f>+_xll.BDP($B188 &amp; " Corp","MTY_YEARS")</f>
        <v>8.9828884325804239</v>
      </c>
      <c r="D188" s="226" t="str">
        <f>+_xll.BDP($B188 &amp; "@RIAY Corp","DUR_BID")</f>
        <v>#N/A N/A</v>
      </c>
      <c r="E188" s="226" t="str">
        <f>+_xll.BDP(LEFT(B188,8) &amp; "@RIAY Corp","BID_YIELD")</f>
        <v>#N/A Real Time</v>
      </c>
      <c r="F188" s="107" t="str">
        <f>+_xll.BDP(LEFT(B188,8) &amp; "@RIAY Corp","TRADE_CRNCY")</f>
        <v>CLF</v>
      </c>
      <c r="G188" s="199" t="str">
        <f ca="1">+IFERROR((E188-IF(F188="CLF",[4]!CERCHA($D188,'Curva Gobierno'!$D$2:$E$38,0),[4]!CERCHA($D188,'Curva Gobierno'!$J$2:$K$22)))*100,"")</f>
        <v/>
      </c>
    </row>
    <row r="189" spans="1:7">
      <c r="A189" t="s">
        <v>780</v>
      </c>
      <c r="B189" s="218" t="str">
        <f>+_xll.BDP($A189&amp;" Corp","ID_CUSIP")</f>
        <v>EK3971539</v>
      </c>
      <c r="C189" s="186">
        <f>+_xll.BDP($B189 &amp; " Corp","MTY_YEARS")</f>
        <v>5.3114305270362765</v>
      </c>
      <c r="D189" s="226" t="str">
        <f>+_xll.BDP($B189 &amp; "@RIAY Corp","DUR_BID")</f>
        <v>#N/A N/A</v>
      </c>
      <c r="E189" s="226" t="str">
        <f>+_xll.BDP(LEFT(B189,8) &amp; "@RIAY Corp","BID_YIELD")</f>
        <v>#N/A Real Time</v>
      </c>
      <c r="F189" s="107" t="str">
        <f>+_xll.BDP(LEFT(B189,8) &amp; "@RIAY Corp","TRADE_CRNCY")</f>
        <v>CLF</v>
      </c>
      <c r="G189" s="199" t="str">
        <f ca="1">+IFERROR((E189-IF(F189="CLF",[4]!CERCHA($D189,'Curva Gobierno'!$D$2:$E$38,0),[4]!CERCHA($D189,'Curva Gobierno'!$J$2:$K$22)))*100,"")</f>
        <v/>
      </c>
    </row>
    <row r="190" spans="1:7">
      <c r="A190" t="s">
        <v>775</v>
      </c>
      <c r="B190" s="218" t="str">
        <f>+_xll.BDP($A190&amp;" Corp","ID_CUSIP")</f>
        <v>EG2040533</v>
      </c>
      <c r="C190" s="186">
        <f>+_xll.BDP($B190 &amp; " Corp","MTY_YEARS")</f>
        <v>10.064339493497604</v>
      </c>
      <c r="D190" s="226" t="str">
        <f>+_xll.BDP($B190 &amp; "@RIAY Corp","DUR_BID")</f>
        <v>#N/A N/A</v>
      </c>
      <c r="E190" s="226" t="str">
        <f>+_xll.BDP(LEFT(B190,8) &amp; "@RIAY Corp","BID_YIELD")</f>
        <v>#N/A Real Time</v>
      </c>
      <c r="F190" s="107" t="str">
        <f>+_xll.BDP(LEFT(B190,8) &amp; "@RIAY Corp","TRADE_CRNCY")</f>
        <v>CLF</v>
      </c>
      <c r="G190" s="199" t="str">
        <f ca="1">+IFERROR((E190-IF(F190="CLF",[4]!CERCHA($D190,'Curva Gobierno'!$D$2:$E$38,0),[4]!CERCHA($D190,'Curva Gobierno'!$J$2:$K$22)))*100,"")</f>
        <v/>
      </c>
    </row>
    <row r="191" spans="1:7">
      <c r="A191" t="s">
        <v>782</v>
      </c>
      <c r="B191" s="218" t="str">
        <f>+_xll.BDP($A191&amp;" Corp","ID_CUSIP")</f>
        <v>EI8485746</v>
      </c>
      <c r="C191" s="186">
        <f>+_xll.BDP($B191 &amp; " Corp","MTY_YEARS")</f>
        <v>15.4798083504449</v>
      </c>
      <c r="D191" s="226" t="str">
        <f>+_xll.BDP($B191 &amp; "@RIAY Corp","DUR_BID")</f>
        <v>#N/A N/A</v>
      </c>
      <c r="E191" s="226" t="str">
        <f>+_xll.BDP(LEFT(B191,8) &amp; "@RIAY Corp","BID_YIELD")</f>
        <v>#N/A Real Time</v>
      </c>
      <c r="F191" s="107" t="str">
        <f>+_xll.BDP(LEFT(B191,8) &amp; "@RIAY Corp","TRADE_CRNCY")</f>
        <v>CLF</v>
      </c>
      <c r="G191" s="199" t="str">
        <f ca="1">+IFERROR((E191-IF(F191="CLF",[4]!CERCHA($D191,'Curva Gobierno'!$D$2:$E$38,0),[4]!CERCHA($D191,'Curva Gobierno'!$J$2:$K$22)))*100,"")</f>
        <v/>
      </c>
    </row>
    <row r="192" spans="1:7">
      <c r="A192" t="s">
        <v>786</v>
      </c>
      <c r="B192" s="218" t="str">
        <f>+_xll.BDP($A192&amp;" Corp","ID_CUSIP")</f>
        <v>EK3130516</v>
      </c>
      <c r="C192" s="186">
        <f>+_xll.BDP($B192 &amp; " Corp","MTY_YEARS")</f>
        <v>21.451060917180012</v>
      </c>
      <c r="D192" s="226" t="str">
        <f>+_xll.BDP($B192 &amp; "@RIAY Corp","DUR_BID")</f>
        <v>#N/A N/A</v>
      </c>
      <c r="E192" s="226" t="str">
        <f>+_xll.BDP(LEFT(B192,8) &amp; "@RIAY Corp","BID_YIELD")</f>
        <v>#N/A Real Time</v>
      </c>
      <c r="F192" s="107" t="str">
        <f>+_xll.BDP(LEFT(B192,8) &amp; "@RIAY Corp","TRADE_CRNCY")</f>
        <v>CLF</v>
      </c>
      <c r="G192" s="199" t="str">
        <f ca="1">+IFERROR((E192-IF(F192="CLF",[4]!CERCHA($D192,'Curva Gobierno'!$D$2:$E$38,0),[4]!CERCHA($D192,'Curva Gobierno'!$J$2:$K$22)))*100,"")</f>
        <v/>
      </c>
    </row>
    <row r="193" spans="1:7">
      <c r="A193" t="s">
        <v>784</v>
      </c>
      <c r="B193" s="218" t="str">
        <f>+_xll.BDP($A193&amp;" Corp","ID_CUSIP")</f>
        <v>EI7167493</v>
      </c>
      <c r="C193" s="186">
        <f>+_xll.BDP($B193 &amp; " Corp","MTY_YEARS")</f>
        <v>13.52498288843258</v>
      </c>
      <c r="D193" s="226" t="str">
        <f>+_xll.BDP($B193 &amp; "@RIAY Corp","DUR_BID")</f>
        <v>#N/A N/A</v>
      </c>
      <c r="E193" s="226" t="str">
        <f>+_xll.BDP(LEFT(B193,8) &amp; "@RIAY Corp","BID_YIELD")</f>
        <v>#N/A Real Time</v>
      </c>
      <c r="F193" s="107" t="str">
        <f>+_xll.BDP(LEFT(B193,8) &amp; "@RIAY Corp","TRADE_CRNCY")</f>
        <v>CLP</v>
      </c>
      <c r="G193" s="199" t="str">
        <f ca="1">+IFERROR((E193-IF(F193="CLF",[4]!CERCHA($D193,'Curva Gobierno'!$D$2:$E$38,0),[4]!CERCHA($D193,'Curva Gobierno'!$J$2:$K$22)))*100,"")</f>
        <v/>
      </c>
    </row>
    <row r="194" spans="1:7">
      <c r="A194" t="s">
        <v>788</v>
      </c>
      <c r="B194" s="218" t="str">
        <f>+_xll.BDP($A194&amp;" Corp","ID_CUSIP")</f>
        <v>EJ6213007</v>
      </c>
      <c r="C194" s="186">
        <f>+_xll.BDP($B194 &amp; " Corp","MTY_YEARS")</f>
        <v>16.358658453114305</v>
      </c>
      <c r="D194" s="226" t="str">
        <f>+_xll.BDP($B194 &amp; "@RIAY Corp","DUR_BID")</f>
        <v>#N/A N/A</v>
      </c>
      <c r="E194" s="226" t="str">
        <f>+_xll.BDP(LEFT(B194,8) &amp; "@RIAY Corp","BID_YIELD")</f>
        <v>#N/A Real Time</v>
      </c>
      <c r="F194" s="107" t="str">
        <f>+_xll.BDP(LEFT(B194,8) &amp; "@RIAY Corp","TRADE_CRNCY")</f>
        <v>CLF</v>
      </c>
      <c r="G194" s="199" t="str">
        <f ca="1">+IFERROR((E194-IF(F194="CLF",[4]!CERCHA($D194,'Curva Gobierno'!$D$2:$E$38,0),[4]!CERCHA($D194,'Curva Gobierno'!$J$2:$K$22)))*100,"")</f>
        <v/>
      </c>
    </row>
    <row r="195" spans="1:7">
      <c r="A195" t="s">
        <v>494</v>
      </c>
      <c r="B195" s="218" t="str">
        <f>+_xll.BDP($A195&amp;" Corp","ID_CUSIP")</f>
        <v>EK7480891</v>
      </c>
      <c r="C195" s="186">
        <f>+_xll.BDP($B195 &amp; " Corp","MTY_YEARS")</f>
        <v>1.9438740588637919</v>
      </c>
      <c r="D195" s="226" t="str">
        <f>+_xll.BDP($B195 &amp; "@RIAY Corp","DUR_BID")</f>
        <v>#N/A N/A</v>
      </c>
      <c r="E195" s="226" t="str">
        <f>+_xll.BDP(LEFT(B195,8) &amp; "@RIAY Corp","BID_YIELD")</f>
        <v>#N/A Real Time</v>
      </c>
      <c r="F195" s="107" t="str">
        <f>+_xll.BDP(LEFT(B195,8) &amp; "@RIAY Corp","TRADE_CRNCY")</f>
        <v>CLF</v>
      </c>
      <c r="G195" s="199" t="str">
        <f ca="1">+IFERROR((E195-IF(F195="CLF",[4]!CERCHA($D195,'Curva Gobierno'!$D$2:$E$38,0),[4]!CERCHA($D195,'Curva Gobierno'!$J$2:$K$22)))*100,"")</f>
        <v/>
      </c>
    </row>
    <row r="196" spans="1:7">
      <c r="A196" t="s">
        <v>1198</v>
      </c>
      <c r="B196" s="218" t="str">
        <f>+_xll.BDP($A196&amp;" Corp","ID_CUSIP")</f>
        <v>AM1823385</v>
      </c>
      <c r="C196" s="186">
        <f>+_xll.BDP($B196 &amp; " Corp","MTY_YEARS")</f>
        <v>3.8986995208761122</v>
      </c>
      <c r="D196" s="226" t="str">
        <f>+_xll.BDP($B196 &amp; "@RIAY Corp","DUR_BID")</f>
        <v>#N/A N/A</v>
      </c>
      <c r="E196" s="226" t="str">
        <f>+_xll.BDP(LEFT(B196,8) &amp; "@RIAY Corp","BID_YIELD")</f>
        <v>#N/A Real Time</v>
      </c>
      <c r="F196" s="107" t="str">
        <f>+_xll.BDP(LEFT(B196,8) &amp; "@RIAY Corp","TRADE_CRNCY")</f>
        <v>CLF</v>
      </c>
      <c r="G196" s="199" t="str">
        <f ca="1">+IFERROR((E196-IF(F196="CLF",[4]!CERCHA($D196,'Curva Gobierno'!$D$2:$E$38,0),[4]!CERCHA($D196,'Curva Gobierno'!$J$2:$K$22)))*100,"")</f>
        <v/>
      </c>
    </row>
    <row r="197" spans="1:7">
      <c r="A197" t="s">
        <v>870</v>
      </c>
      <c r="B197" s="218" t="str">
        <f>+_xll.BDP($A197&amp;" Corp","ID_CUSIP")</f>
        <v>EK7480115</v>
      </c>
      <c r="C197" s="186">
        <f>+_xll.BDP($B197 &amp; " Corp","MTY_YEARS")</f>
        <v>4.1971252566735116</v>
      </c>
      <c r="D197" s="226" t="str">
        <f>+_xll.BDP($B197 &amp; "@RIAY Corp","DUR_BID")</f>
        <v>#N/A N/A</v>
      </c>
      <c r="E197" s="226" t="str">
        <f>+_xll.BDP(LEFT(B197,8) &amp; "@RIAY Corp","BID_YIELD")</f>
        <v>#N/A Real Time</v>
      </c>
      <c r="F197" s="107" t="str">
        <f>+_xll.BDP(LEFT(B197,8) &amp; "@RIAY Corp","TRADE_CRNCY")</f>
        <v>CLF</v>
      </c>
      <c r="G197" s="199" t="str">
        <f ca="1">+IFERROR((E197-IF(F197="CLF",[4]!CERCHA($D197,'Curva Gobierno'!$D$2:$E$38,0),[4]!CERCHA($D197,'Curva Gobierno'!$J$2:$K$22)))*100,"")</f>
        <v/>
      </c>
    </row>
    <row r="198" spans="1:7">
      <c r="A198" t="s">
        <v>868</v>
      </c>
      <c r="B198" s="218" t="str">
        <f>+_xll.BDP($A198&amp;" Corp","ID_CUSIP")</f>
        <v>EI5580564</v>
      </c>
      <c r="C198" s="186">
        <f>+_xll.BDP($B198 &amp; " Corp","MTY_YEARS")</f>
        <v>8.6078028747433262</v>
      </c>
      <c r="D198" s="226" t="str">
        <f>+_xll.BDP($B198 &amp; "@RIAY Corp","DUR_BID")</f>
        <v>#N/A N/A</v>
      </c>
      <c r="E198" s="226" t="str">
        <f>+_xll.BDP(LEFT(B198,8) &amp; "@RIAY Corp","BID_YIELD")</f>
        <v>#N/A Real Time</v>
      </c>
      <c r="F198" s="107" t="str">
        <f>+_xll.BDP(LEFT(B198,8) &amp; "@RIAY Corp","TRADE_CRNCY")</f>
        <v>CLF</v>
      </c>
      <c r="G198" s="199" t="str">
        <f ca="1">+IFERROR((E198-IF(F198="CLF",[4]!CERCHA($D198,'Curva Gobierno'!$D$2:$E$38,0),[4]!CERCHA($D198,'Curva Gobierno'!$J$2:$K$22)))*100,"")</f>
        <v/>
      </c>
    </row>
    <row r="199" spans="1:7">
      <c r="A199" t="s">
        <v>889</v>
      </c>
      <c r="B199" s="218" t="str">
        <f>+_xll.BDP($A199&amp;" Corp","ID_CUSIP")</f>
        <v>EF7573621</v>
      </c>
      <c r="C199" s="186">
        <f>+_xll.BDP($B199 &amp; " Corp","MTY_YEARS")</f>
        <v>11.860369609856264</v>
      </c>
      <c r="D199" s="226" t="str">
        <f>+_xll.BDP($B199 &amp; "@RIAY Corp","DUR_BID")</f>
        <v>#N/A N/A</v>
      </c>
      <c r="E199" s="226" t="str">
        <f>+_xll.BDP(LEFT(B199,8) &amp; "@RIAY Corp","BID_YIELD")</f>
        <v>#N/A Real Time</v>
      </c>
      <c r="F199" s="107" t="str">
        <f>+_xll.BDP(LEFT(B199,8) &amp; "@RIAY Corp","TRADE_CRNCY")</f>
        <v>CLF</v>
      </c>
      <c r="G199" s="199" t="str">
        <f ca="1">+IFERROR((E199-IF(F199="CLF",[4]!CERCHA($D199,'Curva Gobierno'!$D$2:$E$38,0),[4]!CERCHA($D199,'Curva Gobierno'!$J$2:$K$22)))*100,"")</f>
        <v/>
      </c>
    </row>
    <row r="200" spans="1:7">
      <c r="A200" t="s">
        <v>886</v>
      </c>
      <c r="B200" s="218" t="str">
        <f>+_xll.BDP($A200&amp;" Corp","ID_CUSIP")</f>
        <v>EG5269147</v>
      </c>
      <c r="C200" s="186">
        <f>+_xll.BDP($B200 &amp; " Corp","MTY_YEARS")</f>
        <v>11.066392881587953</v>
      </c>
      <c r="D200" s="226" t="str">
        <f>+_xll.BDP($B200 &amp; "@RIAY Corp","DUR_BID")</f>
        <v>#N/A N/A</v>
      </c>
      <c r="E200" s="226" t="str">
        <f>+_xll.BDP(LEFT(B200,8) &amp; "@RIAY Corp","BID_YIELD")</f>
        <v>#N/A Real Time</v>
      </c>
      <c r="F200" s="107" t="str">
        <f>+_xll.BDP(LEFT(B200,8) &amp; "@RIAY Corp","TRADE_CRNCY")</f>
        <v>CLF</v>
      </c>
      <c r="G200" s="199" t="str">
        <f ca="1">+IFERROR((E200-IF(F200="CLF",[4]!CERCHA($D200,'Curva Gobierno'!$D$2:$E$38,0),[4]!CERCHA($D200,'Curva Gobierno'!$J$2:$K$22)))*100,"")</f>
        <v/>
      </c>
    </row>
    <row r="201" spans="1:7">
      <c r="A201" t="s">
        <v>906</v>
      </c>
      <c r="B201" s="218" t="str">
        <f>+_xll.BDP($A201&amp;" Corp","ID_CUSIP")</f>
        <v>EG4264057</v>
      </c>
      <c r="C201" s="186">
        <f>+_xll.BDP($B201 &amp; " Corp","MTY_YEARS")</f>
        <v>14.026009582477755</v>
      </c>
      <c r="D201" s="226" t="str">
        <f>+_xll.BDP($B201 &amp; "@RIAY Corp","DUR_BID")</f>
        <v>#N/A N/A</v>
      </c>
      <c r="E201" s="226" t="str">
        <f>+_xll.BDP(LEFT(B201,8) &amp; "@RIAY Corp","BID_YIELD")</f>
        <v>#N/A Real Time</v>
      </c>
      <c r="F201" s="107" t="str">
        <f>+_xll.BDP(LEFT(B201,8) &amp; "@RIAY Corp","TRADE_CRNCY")</f>
        <v>CLF</v>
      </c>
      <c r="G201" s="199" t="str">
        <f ca="1">+IFERROR((E201-IF(F201="CLF",[4]!CERCHA($D201,'Curva Gobierno'!$D$2:$E$38,0),[4]!CERCHA($D201,'Curva Gobierno'!$J$2:$K$22)))*100,"")</f>
        <v/>
      </c>
    </row>
    <row r="202" spans="1:7">
      <c r="A202" t="s">
        <v>927</v>
      </c>
      <c r="B202" s="218" t="str">
        <f>+_xll.BDP($A202&amp;" Corp","ID_CUSIP")</f>
        <v>EJ4927418</v>
      </c>
      <c r="C202" s="186">
        <f>+_xll.BDP($B202 &amp; " Corp","MTY_YEARS")</f>
        <v>10.026009582477755</v>
      </c>
      <c r="D202" s="226" t="str">
        <f>+_xll.BDP($B202 &amp; "@RIAY Corp","DUR_BID")</f>
        <v>#N/A N/A</v>
      </c>
      <c r="E202" s="226" t="str">
        <f>+_xll.BDP(LEFT(B202,8) &amp; "@RIAY Corp","BID_YIELD")</f>
        <v>#N/A Real Time</v>
      </c>
      <c r="F202" s="107" t="str">
        <f>+_xll.BDP(LEFT(B202,8) &amp; "@RIAY Corp","TRADE_CRNCY")</f>
        <v>CLF</v>
      </c>
      <c r="G202" s="199" t="str">
        <f ca="1">+IFERROR((E202-IF(F202="CLF",[4]!CERCHA($D202,'Curva Gobierno'!$D$2:$E$38,0),[4]!CERCHA($D202,'Curva Gobierno'!$J$2:$K$22)))*100,"")</f>
        <v/>
      </c>
    </row>
    <row r="203" spans="1:7">
      <c r="A203" t="s">
        <v>1025</v>
      </c>
      <c r="B203" s="218" t="str">
        <f>+_xll.BDP($A203&amp;" Corp","ID_CUSIP")</f>
        <v>EJ0978415</v>
      </c>
      <c r="C203" s="186">
        <f>+_xll.BDP($B203 &amp; " Corp","MTY_YEARS")</f>
        <v>15.028062970568104</v>
      </c>
      <c r="D203" s="226" t="str">
        <f>+_xll.BDP($B203 &amp; "@RIAY Corp","DUR_BID")</f>
        <v>#N/A N/A</v>
      </c>
      <c r="E203" s="226" t="str">
        <f>+_xll.BDP(LEFT(B203,8) &amp; "@RIAY Corp","BID_YIELD")</f>
        <v>#N/A Real Time</v>
      </c>
      <c r="F203" s="107" t="str">
        <f>+_xll.BDP(LEFT(B203,8) &amp; "@RIAY Corp","TRADE_CRNCY")</f>
        <v>CLF</v>
      </c>
      <c r="G203" s="199" t="str">
        <f ca="1">+IFERROR((E203-IF(F203="CLF",[4]!CERCHA($D203,'Curva Gobierno'!$D$2:$E$38,0),[4]!CERCHA($D203,'Curva Gobierno'!$J$2:$K$22)))*100,"")</f>
        <v/>
      </c>
    </row>
    <row r="204" spans="1:7">
      <c r="A204" t="s">
        <v>944</v>
      </c>
      <c r="B204" s="218" t="str">
        <f>+_xll.BDP($A204&amp;" Corp","ID_CUSIP")</f>
        <v>EK7663009</v>
      </c>
      <c r="C204" s="186">
        <f>+_xll.BDP($B204 &amp; " Corp","MTY_YEARS")</f>
        <v>13.897330595482547</v>
      </c>
      <c r="D204" s="226" t="str">
        <f>+_xll.BDP($B204 &amp; "@RIAY Corp","DUR_BID")</f>
        <v>#N/A N/A</v>
      </c>
      <c r="E204" s="226" t="str">
        <f>+_xll.BDP(LEFT(B204,8) &amp; "@RIAY Corp","BID_YIELD")</f>
        <v>#N/A Real Time</v>
      </c>
      <c r="F204" s="107" t="str">
        <f>+_xll.BDP(LEFT(B204,8) &amp; "@RIAY Corp","TRADE_CRNCY")</f>
        <v>CLF</v>
      </c>
      <c r="G204" s="199" t="str">
        <f ca="1">+IFERROR((E204-IF(F204="CLF",[4]!CERCHA($D204,'Curva Gobierno'!$D$2:$E$38,0),[4]!CERCHA($D204,'Curva Gobierno'!$J$2:$K$22)))*100,"")</f>
        <v/>
      </c>
    </row>
    <row r="205" spans="1:7">
      <c r="A205" t="s">
        <v>947</v>
      </c>
      <c r="B205" s="218" t="str">
        <f>+_xll.BDP($A205&amp;" Corp","ID_CUSIP")</f>
        <v>EI7698992</v>
      </c>
      <c r="C205" s="186">
        <f>+_xll.BDP($B205 &amp; " Corp","MTY_YEARS")</f>
        <v>14.609171800136892</v>
      </c>
      <c r="D205" s="226" t="str">
        <f>+_xll.BDP($B205 &amp; "@RIAY Corp","DUR_BID")</f>
        <v>#N/A N/A</v>
      </c>
      <c r="E205" s="226" t="str">
        <f>+_xll.BDP(LEFT(B205,8) &amp; "@RIAY Corp","BID_YIELD")</f>
        <v>#N/A Real Time</v>
      </c>
      <c r="F205" s="107" t="str">
        <f>+_xll.BDP(LEFT(B205,8) &amp; "@RIAY Corp","TRADE_CRNCY")</f>
        <v>CLF</v>
      </c>
      <c r="G205" s="199" t="str">
        <f ca="1">+IFERROR((E205-IF(F205="CLF",[4]!CERCHA($D205,'Curva Gobierno'!$D$2:$E$38,0),[4]!CERCHA($D205,'Curva Gobierno'!$J$2:$K$22)))*100,"")</f>
        <v/>
      </c>
    </row>
    <row r="206" spans="1:7">
      <c r="A206" t="s">
        <v>1038</v>
      </c>
      <c r="B206" s="218" t="str">
        <f>+_xll.BDP($A206&amp;" Corp","ID_CUSIP")</f>
        <v>EK3950335</v>
      </c>
      <c r="C206" s="186">
        <f>+_xll.BDP($B206 &amp; " Corp","MTY_YEARS")</f>
        <v>16.79671457905544</v>
      </c>
      <c r="D206" s="226" t="str">
        <f>+_xll.BDP($B206 &amp; "@RIAY Corp","DUR_BID")</f>
        <v>#N/A N/A</v>
      </c>
      <c r="E206" s="226" t="str">
        <f>+_xll.BDP(LEFT(B206,8) &amp; "@RIAY Corp","BID_YIELD")</f>
        <v>#N/A Real Time</v>
      </c>
      <c r="F206" s="107" t="str">
        <f>+_xll.BDP(LEFT(B206,8) &amp; "@RIAY Corp","TRADE_CRNCY")</f>
        <v>CLF</v>
      </c>
      <c r="G206" s="199" t="str">
        <f ca="1">+IFERROR((E206-IF(F206="CLF",[4]!CERCHA($D206,'Curva Gobierno'!$D$2:$E$38,0),[4]!CERCHA($D206,'Curva Gobierno'!$J$2:$K$22)))*100,"")</f>
        <v/>
      </c>
    </row>
    <row r="207" spans="1:7">
      <c r="A207" t="s">
        <v>960</v>
      </c>
      <c r="B207" s="218" t="str">
        <f>+_xll.BDP($A207&amp;" Corp","ID_CUSIP")</f>
        <v>EK7834303</v>
      </c>
      <c r="C207" s="186">
        <f>+_xll.BDP($B207 &amp; " Corp","MTY_YEARS")</f>
        <v>22.275154004106778</v>
      </c>
      <c r="D207" s="226" t="str">
        <f>+_xll.BDP($B207 &amp; "@RIAY Corp","DUR_BID")</f>
        <v>#N/A N/A</v>
      </c>
      <c r="E207" s="226" t="str">
        <f>+_xll.BDP(LEFT(B207,8) &amp; "@RIAY Corp","BID_YIELD")</f>
        <v>#N/A Real Time</v>
      </c>
      <c r="F207" s="107" t="str">
        <f>+_xll.BDP(LEFT(B207,8) &amp; "@RIAY Corp","TRADE_CRNCY")</f>
        <v>CLF</v>
      </c>
      <c r="G207" s="199" t="str">
        <f ca="1">+IFERROR((E207-IF(F207="CLF",[4]!CERCHA($D207,'Curva Gobierno'!$D$2:$E$38,0),[4]!CERCHA($D207,'Curva Gobierno'!$J$2:$K$22)))*100,"")</f>
        <v/>
      </c>
    </row>
    <row r="208" spans="1:7">
      <c r="A208" t="s">
        <v>958</v>
      </c>
      <c r="B208" s="218" t="str">
        <f>+_xll.BDP($A208&amp;" Corp","ID_CUSIP")</f>
        <v>EI3813082</v>
      </c>
      <c r="C208" s="186">
        <f>+_xll.BDP($B208 &amp; " Corp","MTY_YEARS")</f>
        <v>15.693360711841205</v>
      </c>
      <c r="D208" s="226" t="str">
        <f>+_xll.BDP($B208 &amp; "@RIAY Corp","DUR_BID")</f>
        <v>#N/A N/A</v>
      </c>
      <c r="E208" s="226" t="str">
        <f>+_xll.BDP(LEFT(B208,8) &amp; "@RIAY Corp","BID_YIELD")</f>
        <v>#N/A Real Time</v>
      </c>
      <c r="F208" s="107" t="str">
        <f>+_xll.BDP(LEFT(B208,8) &amp; "@RIAY Corp","TRADE_CRNCY")</f>
        <v>CLF</v>
      </c>
      <c r="G208" s="199" t="str">
        <f ca="1">+IFERROR((E208-IF(F208="CLF",[4]!CERCHA($D208,'Curva Gobierno'!$D$2:$E$38,0),[4]!CERCHA($D208,'Curva Gobierno'!$J$2:$K$22)))*100,"")</f>
        <v/>
      </c>
    </row>
    <row r="209" spans="1:7">
      <c r="A209" t="s">
        <v>1199</v>
      </c>
      <c r="B209" s="218" t="str">
        <f>+_xll.BDP($A209&amp;" Corp","ID_CUSIP")</f>
        <v>AM1829457</v>
      </c>
      <c r="C209" s="186">
        <f>+_xll.BDP($B209 &amp; " Corp","MTY_YEARS")</f>
        <v>19.898699520876111</v>
      </c>
      <c r="D209" s="226" t="str">
        <f>+_xll.BDP($B209 &amp; "@RIAY Corp","DUR_BID")</f>
        <v>#N/A N/A</v>
      </c>
      <c r="E209" s="226" t="str">
        <f>+_xll.BDP(LEFT(B209,8) &amp; "@RIAY Corp","BID_YIELD")</f>
        <v>#N/A Real Time</v>
      </c>
      <c r="F209" s="107" t="str">
        <f>+_xll.BDP(LEFT(B209,8) &amp; "@RIAY Corp","TRADE_CRNCY")</f>
        <v>CLF</v>
      </c>
      <c r="G209" s="199" t="str">
        <f ca="1">+IFERROR((E209-IF(F209="CLF",[4]!CERCHA($D209,'Curva Gobierno'!$D$2:$E$38,0),[4]!CERCHA($D209,'Curva Gobierno'!$J$2:$K$22)))*100,"")</f>
        <v/>
      </c>
    </row>
    <row r="210" spans="1:7">
      <c r="A210" t="s">
        <v>964</v>
      </c>
      <c r="B210" s="218" t="str">
        <f>+_xll.BDP($A210&amp;" Corp","ID_CUSIP")</f>
        <v>EI7699354</v>
      </c>
      <c r="C210" s="186">
        <f>+_xll.BDP($B210 &amp; " Corp","MTY_YEARS")</f>
        <v>17.607118412046542</v>
      </c>
      <c r="D210" s="226" t="str">
        <f>+_xll.BDP($B210 &amp; "@RIAY Corp","DUR_BID")</f>
        <v>#N/A N/A</v>
      </c>
      <c r="E210" s="226" t="str">
        <f>+_xll.BDP(LEFT(B210,8) &amp; "@RIAY Corp","BID_YIELD")</f>
        <v>#N/A Real Time</v>
      </c>
      <c r="F210" s="107" t="str">
        <f>+_xll.BDP(LEFT(B210,8) &amp; "@RIAY Corp","TRADE_CRNCY")</f>
        <v>CLF</v>
      </c>
      <c r="G210" s="199" t="str">
        <f ca="1">+IFERROR((E210-IF(F210="CLF",[4]!CERCHA($D210,'Curva Gobierno'!$D$2:$E$38,0),[4]!CERCHA($D210,'Curva Gobierno'!$J$2:$K$22)))*100,"")</f>
        <v/>
      </c>
    </row>
    <row r="211" spans="1:7">
      <c r="A211" t="s">
        <v>968</v>
      </c>
      <c r="B211" s="218" t="str">
        <f>+_xll.BDP($A211&amp;" Corp","ID_CUSIP")</f>
        <v>UV8171448</v>
      </c>
      <c r="C211" s="186">
        <f>+_xll.BDP($B211 &amp; " Corp","MTY_YEARS")</f>
        <v>22.606433949349761</v>
      </c>
      <c r="D211" s="226" t="str">
        <f>+_xll.BDP($B211 &amp; "@RIAY Corp","DUR_BID")</f>
        <v>#N/A N/A</v>
      </c>
      <c r="E211" s="226" t="str">
        <f>+_xll.BDP(LEFT(B211,8) &amp; "@RIAY Corp","BID_YIELD")</f>
        <v>#N/A Real Time</v>
      </c>
      <c r="F211" s="107" t="str">
        <f>+_xll.BDP(LEFT(B211,8) &amp; "@RIAY Corp","TRADE_CRNCY")</f>
        <v>CLF</v>
      </c>
      <c r="G211" s="199" t="str">
        <f ca="1">+IFERROR((E211-IF(F211="CLF",[4]!CERCHA($D211,'Curva Gobierno'!$D$2:$E$38,0),[4]!CERCHA($D211,'Curva Gobierno'!$J$2:$K$22)))*100,"")</f>
        <v/>
      </c>
    </row>
    <row r="212" spans="1:7">
      <c r="A212" t="s">
        <v>974</v>
      </c>
      <c r="B212" s="218" t="str">
        <f>+_xll.BDP($A212&amp;" Corp","ID_CUSIP")</f>
        <v>LW3904031</v>
      </c>
      <c r="C212" s="186">
        <f>+_xll.BDP($B212 &amp; " Corp","MTY_YEARS")</f>
        <v>22.149212867898701</v>
      </c>
      <c r="D212" s="226" t="str">
        <f>+_xll.BDP($B212 &amp; "@RIAY Corp","DUR_BID")</f>
        <v>#N/A N/A</v>
      </c>
      <c r="E212" s="226" t="str">
        <f>+_xll.BDP(LEFT(B212,8) &amp; "@RIAY Corp","BID_YIELD")</f>
        <v>#N/A Real Time</v>
      </c>
      <c r="F212" s="107" t="str">
        <f>+_xll.BDP(LEFT(B212,8) &amp; "@RIAY Corp","TRADE_CRNCY")</f>
        <v>CLF</v>
      </c>
      <c r="G212" s="199" t="str">
        <f ca="1">+IFERROR((E212-IF(F212="CLF",[4]!CERCHA($D212,'Curva Gobierno'!$D$2:$E$38,0),[4]!CERCHA($D212,'Curva Gobierno'!$J$2:$K$22)))*100,"")</f>
        <v/>
      </c>
    </row>
    <row r="213" spans="1:7">
      <c r="A213" t="s">
        <v>979</v>
      </c>
      <c r="B213" s="218" t="str">
        <f>+_xll.BDP($A213&amp;" Corp","ID_CUSIP")</f>
        <v>EK7532428</v>
      </c>
      <c r="C213" s="186">
        <f>+_xll.BDP($B213 &amp; " Corp","MTY_YEARS")</f>
        <v>5.0102669404517455</v>
      </c>
      <c r="D213" s="226" t="str">
        <f>+_xll.BDP($B213 &amp; "@RIAY Corp","DUR_BID")</f>
        <v>#N/A N/A</v>
      </c>
      <c r="E213" s="226" t="str">
        <f>+_xll.BDP(LEFT(B213,8) &amp; "@RIAY Corp","BID_YIELD")</f>
        <v>#N/A Real Time</v>
      </c>
      <c r="F213" s="107" t="str">
        <f>+_xll.BDP(LEFT(B213,8) &amp; "@RIAY Corp","TRADE_CRNCY")</f>
        <v>CLF</v>
      </c>
      <c r="G213" s="199" t="str">
        <f ca="1">+IFERROR((E213-IF(F213="CLF",[4]!CERCHA($D213,'Curva Gobierno'!$D$2:$E$38,0),[4]!CERCHA($D213,'Curva Gobierno'!$J$2:$K$22)))*100,"")</f>
        <v/>
      </c>
    </row>
    <row r="214" spans="1:7">
      <c r="A214" t="s">
        <v>27</v>
      </c>
      <c r="B214" s="218" t="str">
        <f>+_xll.BDP($A214&amp;" Corp","ID_CUSIP")</f>
        <v>EK7534101</v>
      </c>
      <c r="C214" s="186">
        <f>+_xll.BDP($B214 &amp; " Corp","MTY_YEARS")</f>
        <v>17.478439425051334</v>
      </c>
      <c r="D214" s="226" t="str">
        <f>+_xll.BDP($B214 &amp; "@RIAY Corp","DUR_BID")</f>
        <v>#N/A N/A</v>
      </c>
      <c r="E214" s="226" t="str">
        <f>+_xll.BDP(LEFT(B214,8) &amp; "@RIAY Corp","BID_YIELD")</f>
        <v>#N/A Real Time</v>
      </c>
      <c r="F214" s="107" t="str">
        <f>+_xll.BDP(LEFT(B214,8) &amp; "@RIAY Corp","TRADE_CRNCY")</f>
        <v>CLF</v>
      </c>
      <c r="G214" s="199" t="str">
        <f ca="1">+IFERROR((E214-IF(F214="CLF",[4]!CERCHA($D214,'Curva Gobierno'!$D$2:$E$38,0),[4]!CERCHA($D214,'Curva Gobierno'!$J$2:$K$22)))*100,"")</f>
        <v/>
      </c>
    </row>
    <row r="215" spans="1:7">
      <c r="A215" t="s">
        <v>1096</v>
      </c>
      <c r="B215" s="218" t="str">
        <f>+_xll.BDP($A215&amp;" Corp","ID_CUSIP")</f>
        <v>EK7291181</v>
      </c>
      <c r="C215" s="186" t="str">
        <f>+_xll.BDP($B215 &amp; " Corp","MTY_YEARS")</f>
        <v>#N/A Field Not Applicable</v>
      </c>
      <c r="D215" s="226" t="str">
        <f>+_xll.BDP($B215 &amp; "@RIAY Corp","DUR_BID")</f>
        <v>#N/A N/A</v>
      </c>
      <c r="E215" s="226" t="str">
        <f>+_xll.BDP(LEFT(B215,8) &amp; "@RIAY Corp","BID_YIELD")</f>
        <v>#N/A Real Time</v>
      </c>
      <c r="F215" s="107" t="str">
        <f>+_xll.BDP(LEFT(B215,8) &amp; "@RIAY Corp","TRADE_CRNCY")</f>
        <v>CLF</v>
      </c>
      <c r="G215" s="199" t="str">
        <f ca="1">+IFERROR((E215-IF(F215="CLF",[4]!CERCHA($D215,'Curva Gobierno'!$D$2:$E$38,0),[4]!CERCHA($D215,'Curva Gobierno'!$J$2:$K$22)))*100,"")</f>
        <v/>
      </c>
    </row>
    <row r="216" spans="1:7">
      <c r="A216" t="s">
        <v>1208</v>
      </c>
      <c r="B216" s="218" t="str">
        <f>+_xll.BDP($A216&amp;" Corp","ID_CUSIP")</f>
        <v>EH2275434</v>
      </c>
      <c r="C216" s="186">
        <f>+_xll.BDP($B216 &amp; " Corp","MTY_YEARS")</f>
        <v>0.89801505817932925</v>
      </c>
      <c r="D216" s="226" t="str">
        <f>+_xll.BDP($B216 &amp; "@RIAY Corp","DUR_BID")</f>
        <v>#N/A N/A</v>
      </c>
      <c r="E216" s="226" t="str">
        <f>+_xll.BDP(LEFT(B216,8) &amp; "@RIAY Corp","BID_YIELD")</f>
        <v>#N/A Real Time</v>
      </c>
      <c r="F216" s="107" t="str">
        <f>+_xll.BDP(LEFT(B216,8) &amp; "@RIAY Corp","TRADE_CRNCY")</f>
        <v>CLF</v>
      </c>
      <c r="G216" s="199" t="str">
        <f ca="1">+IFERROR((E216-IF(F216="CLF",[4]!CERCHA($D216,'Curva Gobierno'!$D$2:$E$38,0),[4]!CERCHA($D216,'Curva Gobierno'!$J$2:$K$22)))*100,"")</f>
        <v/>
      </c>
    </row>
    <row r="217" spans="1:7">
      <c r="A217" t="s">
        <v>1109</v>
      </c>
      <c r="B217" s="218" t="str">
        <f>+_xll.BDP($A217&amp;" Corp","ID_CUSIP")</f>
        <v>EJ6693943</v>
      </c>
      <c r="C217" s="186">
        <f>+_xll.BDP($B217 &amp; " Corp","MTY_YEARS")</f>
        <v>1.0266940451745379</v>
      </c>
      <c r="D217" s="226" t="str">
        <f>+_xll.BDP($B217 &amp; "@RIAY Corp","DUR_BID")</f>
        <v>#N/A N/A</v>
      </c>
      <c r="E217" s="226" t="str">
        <f>+_xll.BDP(LEFT(B217,8) &amp; "@RIAY Corp","BID_YIELD")</f>
        <v>#N/A Real Time</v>
      </c>
      <c r="F217" s="107" t="str">
        <f>+_xll.BDP(LEFT(B217,8) &amp; "@RIAY Corp","TRADE_CRNCY")</f>
        <v>CLF</v>
      </c>
      <c r="G217" s="199" t="str">
        <f ca="1">+IFERROR((E217-IF(F217="CLF",[4]!CERCHA($D217,'Curva Gobierno'!$D$2:$E$38,0),[4]!CERCHA($D217,'Curva Gobierno'!$J$2:$K$22)))*100,"")</f>
        <v/>
      </c>
    </row>
    <row r="218" spans="1:7">
      <c r="A218" t="s">
        <v>1110</v>
      </c>
      <c r="B218" s="218" t="str">
        <f>+_xll.BDP($A218&amp;" Corp","ID_CUSIP")</f>
        <v>EK0625104</v>
      </c>
      <c r="C218" s="186">
        <f>+_xll.BDP($B218 &amp; " Corp","MTY_YEARS")</f>
        <v>1.1526351813826146</v>
      </c>
      <c r="D218" s="226" t="str">
        <f>+_xll.BDP($B218 &amp; "@RIAY Corp","DUR_BID")</f>
        <v>#N/A N/A</v>
      </c>
      <c r="E218" s="226" t="str">
        <f>+_xll.BDP(LEFT(B218,8) &amp; "@RIAY Corp","BID_YIELD")</f>
        <v>#N/A Real Time</v>
      </c>
      <c r="F218" s="107" t="str">
        <f>+_xll.BDP(LEFT(B218,8) &amp; "@RIAY Corp","TRADE_CRNCY")</f>
        <v>CLP</v>
      </c>
      <c r="G218" s="199" t="str">
        <f ca="1">+IFERROR((E218-IF(F218="CLF",[4]!CERCHA($D218,'Curva Gobierno'!$D$2:$E$38,0),[4]!CERCHA($D218,'Curva Gobierno'!$J$2:$K$22)))*100,"")</f>
        <v/>
      </c>
    </row>
    <row r="219" spans="1:7">
      <c r="A219" t="s">
        <v>829</v>
      </c>
      <c r="B219" s="218" t="str">
        <f>+_xll.BDP($A219&amp;" Corp","ID_CUSIP")</f>
        <v>EK4552601</v>
      </c>
      <c r="C219" s="186">
        <f>+_xll.BDP($B219 &amp; " Corp","MTY_YEARS")</f>
        <v>1.5906913073237507</v>
      </c>
      <c r="D219" s="226" t="str">
        <f>+_xll.BDP($B219 &amp; "@RIAY Corp","DUR_BID")</f>
        <v>#N/A N/A</v>
      </c>
      <c r="E219" s="226" t="str">
        <f>+_xll.BDP(LEFT(B219,8) &amp; "@RIAY Corp","BID_YIELD")</f>
        <v>#N/A Real Time</v>
      </c>
      <c r="F219" s="107" t="str">
        <f>+_xll.BDP(LEFT(B219,8) &amp; "@RIAY Corp","TRADE_CRNCY")</f>
        <v>CLP</v>
      </c>
      <c r="G219" s="199" t="str">
        <f ca="1">+IFERROR((E219-IF(F219="CLF",[4]!CERCHA($D219,'Curva Gobierno'!$D$2:$E$38,0),[4]!CERCHA($D219,'Curva Gobierno'!$J$2:$K$22)))*100,"")</f>
        <v/>
      </c>
    </row>
    <row r="220" spans="1:7">
      <c r="A220" t="s">
        <v>831</v>
      </c>
      <c r="B220" s="218" t="str">
        <f>+_xll.BDP($A220&amp;" Corp","ID_CUSIP")</f>
        <v>EK7355895</v>
      </c>
      <c r="C220" s="186">
        <f>+_xll.BDP($B220 &amp; " Corp","MTY_YEARS")</f>
        <v>2.0643394934976045</v>
      </c>
      <c r="D220" s="226" t="str">
        <f>+_xll.BDP($B220 &amp; "@RIAY Corp","DUR_BID")</f>
        <v>#N/A N/A</v>
      </c>
      <c r="E220" s="226" t="str">
        <f>+_xll.BDP(LEFT(B220,8) &amp; "@RIAY Corp","BID_YIELD")</f>
        <v>#N/A Real Time</v>
      </c>
      <c r="F220" s="107" t="str">
        <f>+_xll.BDP(LEFT(B220,8) &amp; "@RIAY Corp","TRADE_CRNCY")</f>
        <v>CLF</v>
      </c>
      <c r="G220" s="199" t="str">
        <f ca="1">+IFERROR((E220-IF(F220="CLF",[4]!CERCHA($D220,'Curva Gobierno'!$D$2:$E$38,0),[4]!CERCHA($D220,'Curva Gobierno'!$J$2:$K$22)))*100,"")</f>
        <v/>
      </c>
    </row>
    <row r="221" spans="1:7">
      <c r="A221" t="s">
        <v>1120</v>
      </c>
      <c r="B221" s="218" t="str">
        <f>+_xll.BDP($A221&amp;" Corp","ID_CUSIP")</f>
        <v>EK7532840</v>
      </c>
      <c r="C221" s="186">
        <f>+_xll.BDP($B221 &amp; " Corp","MTY_YEARS")</f>
        <v>6.1765913757700206</v>
      </c>
      <c r="D221" s="226" t="str">
        <f>+_xll.BDP($B221 &amp; "@RIAY Corp","DUR_BID")</f>
        <v>#N/A N/A</v>
      </c>
      <c r="E221" s="226" t="str">
        <f>+_xll.BDP(LEFT(B221,8) &amp; "@RIAY Corp","BID_YIELD")</f>
        <v>#N/A Real Time</v>
      </c>
      <c r="F221" s="107" t="str">
        <f>+_xll.BDP(LEFT(B221,8) &amp; "@RIAY Corp","TRADE_CRNCY")</f>
        <v>CLF</v>
      </c>
      <c r="G221" s="199" t="str">
        <f ca="1">+IFERROR((E221-IF(F221="CLF",[4]!CERCHA($D221,'Curva Gobierno'!$D$2:$E$38,0),[4]!CERCHA($D221,'Curva Gobierno'!$J$2:$K$22)))*100,"")</f>
        <v/>
      </c>
    </row>
    <row r="222" spans="1:7">
      <c r="A222" t="s">
        <v>1123</v>
      </c>
      <c r="B222" s="218" t="str">
        <f>+_xll.BDP($A222&amp;" Corp","ID_CUSIP")</f>
        <v>EJ8005096</v>
      </c>
      <c r="C222" s="186">
        <f>+_xll.BDP($B222 &amp; " Corp","MTY_YEARS")</f>
        <v>7.0116358658453111</v>
      </c>
      <c r="D222" s="226" t="str">
        <f>+_xll.BDP($B222 &amp; "@RIAY Corp","DUR_BID")</f>
        <v>#N/A N/A</v>
      </c>
      <c r="E222" s="226" t="str">
        <f>+_xll.BDP(LEFT(B222,8) &amp; "@RIAY Corp","BID_YIELD")</f>
        <v>#N/A Real Time</v>
      </c>
      <c r="F222" s="107" t="str">
        <f>+_xll.BDP(LEFT(B222,8) &amp; "@RIAY Corp","TRADE_CRNCY")</f>
        <v>CLF</v>
      </c>
      <c r="G222" s="199" t="str">
        <f ca="1">+IFERROR((E222-IF(F222="CLF",[4]!CERCHA($D222,'Curva Gobierno'!$D$2:$E$38,0),[4]!CERCHA($D222,'Curva Gobierno'!$J$2:$K$22)))*100,"")</f>
        <v/>
      </c>
    </row>
    <row r="223" spans="1:7">
      <c r="A223" t="s">
        <v>1137</v>
      </c>
      <c r="B223" s="218" t="str">
        <f>+_xll.BDP($A223&amp;" Corp","ID_CUSIP")</f>
        <v>EK7475198</v>
      </c>
      <c r="C223" s="186">
        <f>+_xll.BDP($B223 &amp; " Corp","MTY_YEARS")</f>
        <v>8.3586584531143053</v>
      </c>
      <c r="D223" s="226" t="str">
        <f>+_xll.BDP($B223 &amp; "@RIAY Corp","DUR_BID")</f>
        <v>#N/A N/A</v>
      </c>
      <c r="E223" s="226" t="str">
        <f>+_xll.BDP(LEFT(B223,8) &amp; "@RIAY Corp","BID_YIELD")</f>
        <v>#N/A Real Time</v>
      </c>
      <c r="F223" s="107" t="str">
        <f>+_xll.BDP(LEFT(B223,8) &amp; "@RIAY Corp","TRADE_CRNCY")</f>
        <v>CLF</v>
      </c>
      <c r="G223" s="199" t="str">
        <f ca="1">+IFERROR((E223-IF(F223="CLF",[4]!CERCHA($D223,'Curva Gobierno'!$D$2:$E$38,0),[4]!CERCHA($D223,'Curva Gobierno'!$J$2:$K$22)))*100,"")</f>
        <v/>
      </c>
    </row>
    <row r="224" spans="1:7">
      <c r="A224" t="s">
        <v>1148</v>
      </c>
      <c r="B224" s="218" t="str">
        <f>+_xll.BDP($A224&amp;" Corp","ID_CUSIP")</f>
        <v>EK7217962</v>
      </c>
      <c r="C224" s="186">
        <f>+_xll.BDP($B224 &amp; " Corp","MTY_YEARS")</f>
        <v>5.4401095140314855</v>
      </c>
      <c r="D224" s="226" t="str">
        <f>+_xll.BDP($B224 &amp; "@RIAY Corp","DUR_BID")</f>
        <v>#N/A N/A</v>
      </c>
      <c r="E224" s="226" t="str">
        <f>+_xll.BDP(LEFT(B224,8) &amp; "@RIAY Corp","BID_YIELD")</f>
        <v>#N/A Real Time</v>
      </c>
      <c r="F224" s="107" t="str">
        <f>+_xll.BDP(LEFT(B224,8) &amp; "@RIAY Corp","TRADE_CRNCY")</f>
        <v>CLF</v>
      </c>
      <c r="G224" s="199" t="str">
        <f ca="1">+IFERROR((E224-IF(F224="CLF",[4]!CERCHA($D224,'Curva Gobierno'!$D$2:$E$38,0),[4]!CERCHA($D224,'Curva Gobierno'!$J$2:$K$22)))*100,"")</f>
        <v/>
      </c>
    </row>
    <row r="225" spans="1:7">
      <c r="A225" t="s">
        <v>1152</v>
      </c>
      <c r="B225" s="218" t="str">
        <f>+_xll.BDP($A225&amp;" Corp","ID_CUSIP")</f>
        <v>EK3266963</v>
      </c>
      <c r="C225" s="186">
        <f>+_xll.BDP($B225 &amp; " Corp","MTY_YEARS")</f>
        <v>6.3600273785078709</v>
      </c>
      <c r="D225" s="226" t="str">
        <f>+_xll.BDP($B225 &amp; "@RIAY Corp","DUR_BID")</f>
        <v>#N/A N/A</v>
      </c>
      <c r="E225" s="226" t="str">
        <f>+_xll.BDP(LEFT(B225,8) &amp; "@RIAY Corp","BID_YIELD")</f>
        <v>#N/A Real Time</v>
      </c>
      <c r="F225" s="107" t="str">
        <f>+_xll.BDP(LEFT(B225,8) &amp; "@RIAY Corp","TRADE_CRNCY")</f>
        <v>CLF</v>
      </c>
      <c r="G225" s="199" t="str">
        <f ca="1">+IFERROR((E225-IF(F225="CLF",[4]!CERCHA($D225,'Curva Gobierno'!$D$2:$E$38,0),[4]!CERCHA($D225,'Curva Gobierno'!$J$2:$K$22)))*100,"")</f>
        <v/>
      </c>
    </row>
    <row r="226" spans="1:7">
      <c r="A226" t="s">
        <v>1153</v>
      </c>
      <c r="B226" s="218" t="str">
        <f>+_xll.BDP($A226&amp;" Corp","ID_CUSIP")</f>
        <v>EK7663124</v>
      </c>
      <c r="C226" s="186">
        <f>+_xll.BDP($B226 &amp; " Corp","MTY_YEARS")</f>
        <v>6.5270362765229297</v>
      </c>
      <c r="D226" s="226" t="str">
        <f>+_xll.BDP($B226 &amp; "@RIAY Corp","DUR_BID")</f>
        <v>#N/A N/A</v>
      </c>
      <c r="E226" s="226" t="str">
        <f>+_xll.BDP(LEFT(B226,8) &amp; "@RIAY Corp","BID_YIELD")</f>
        <v>#N/A Real Time</v>
      </c>
      <c r="F226" s="107" t="str">
        <f>+_xll.BDP(LEFT(B226,8) &amp; "@RIAY Corp","TRADE_CRNCY")</f>
        <v>CLF</v>
      </c>
      <c r="G226" s="199" t="str">
        <f ca="1">+IFERROR((E226-IF(F226="CLF",[4]!CERCHA($D226,'Curva Gobierno'!$D$2:$E$38,0),[4]!CERCHA($D226,'Curva Gobierno'!$J$2:$K$22)))*100,"")</f>
        <v/>
      </c>
    </row>
    <row r="227" spans="1:7">
      <c r="A227" t="s">
        <v>1154</v>
      </c>
      <c r="B227" s="218" t="str">
        <f>+_xll.BDP($A227&amp;" Corp","ID_CUSIP")</f>
        <v>EH8591073</v>
      </c>
      <c r="C227" s="186">
        <f>+_xll.BDP($B227 &amp; " Corp","MTY_YEARS")</f>
        <v>12.514715947980836</v>
      </c>
      <c r="D227" s="226" t="str">
        <f>+_xll.BDP($B227 &amp; "@RIAY Corp","DUR_BID")</f>
        <v>#N/A N/A</v>
      </c>
      <c r="E227" s="226" t="str">
        <f>+_xll.BDP(LEFT(B227,8) &amp; "@RIAY Corp","BID_YIELD")</f>
        <v>#N/A Real Time</v>
      </c>
      <c r="F227" s="107" t="str">
        <f>+_xll.BDP(LEFT(B227,8) &amp; "@RIAY Corp","TRADE_CRNCY")</f>
        <v>CLF</v>
      </c>
      <c r="G227" s="199" t="str">
        <f ca="1">+IFERROR((E227-IF(F227="CLF",[4]!CERCHA($D227,'Curva Gobierno'!$D$2:$E$38,0),[4]!CERCHA($D227,'Curva Gobierno'!$J$2:$K$22)))*100,"")</f>
        <v/>
      </c>
    </row>
    <row r="228" spans="1:7">
      <c r="A228" t="s">
        <v>1161</v>
      </c>
      <c r="B228" s="218" t="str">
        <f>+_xll.BDP($A228&amp;" Corp","ID_CUSIP")</f>
        <v>EH8288456</v>
      </c>
      <c r="C228" s="186">
        <f>+_xll.BDP($B228 &amp; " Corp","MTY_YEARS")</f>
        <v>12.336755646817249</v>
      </c>
      <c r="D228" s="226" t="str">
        <f>+_xll.BDP($B228 &amp; "@RIAY Corp","DUR_BID")</f>
        <v>#N/A N/A</v>
      </c>
      <c r="E228" s="226" t="str">
        <f>+_xll.BDP(LEFT(B228,8) &amp; "@RIAY Corp","BID_YIELD")</f>
        <v>#N/A Real Time</v>
      </c>
      <c r="F228" s="107" t="str">
        <f>+_xll.BDP(LEFT(B228,8) &amp; "@RIAY Corp","TRADE_CRNCY")</f>
        <v>CLF</v>
      </c>
      <c r="G228" s="199" t="str">
        <f ca="1">+IFERROR((E228-IF(F228="CLF",[4]!CERCHA($D228,'Curva Gobierno'!$D$2:$E$38,0),[4]!CERCHA($D228,'Curva Gobierno'!$J$2:$K$22)))*100,"")</f>
        <v/>
      </c>
    </row>
    <row r="229" spans="1:7">
      <c r="A229" t="s">
        <v>1165</v>
      </c>
      <c r="B229" s="218" t="str">
        <f>+_xll.BDP($A229&amp;" Corp","ID_CUSIP")</f>
        <v>EI9661725</v>
      </c>
      <c r="C229" s="186">
        <f>+_xll.BDP($B229 &amp; " Corp","MTY_YEARS")</f>
        <v>14.817248459958932</v>
      </c>
      <c r="D229" s="226" t="str">
        <f>+_xll.BDP($B229 &amp; "@RIAY Corp","DUR_BID")</f>
        <v>#N/A N/A</v>
      </c>
      <c r="E229" s="226" t="str">
        <f>+_xll.BDP(LEFT(B229,8) &amp; "@RIAY Corp","BID_YIELD")</f>
        <v>#N/A Real Time</v>
      </c>
      <c r="F229" s="107" t="str">
        <f>+_xll.BDP(LEFT(B229,8) &amp; "@RIAY Corp","TRADE_CRNCY")</f>
        <v>CLF</v>
      </c>
      <c r="G229" s="199" t="str">
        <f ca="1">+IFERROR((E229-IF(F229="CLF",[4]!CERCHA($D229,'Curva Gobierno'!$D$2:$E$38,0),[4]!CERCHA($D229,'Curva Gobierno'!$J$2:$K$22)))*100,"")</f>
        <v/>
      </c>
    </row>
    <row r="230" spans="1:7">
      <c r="A230" t="s">
        <v>1166</v>
      </c>
      <c r="B230" s="218" t="str">
        <f>+_xll.BDP($A230&amp;" Corp","ID_CUSIP")</f>
        <v>EI5580614</v>
      </c>
      <c r="C230" s="186">
        <f>+_xll.BDP($B230 &amp; " Corp","MTY_YEARS")</f>
        <v>15.945242984257359</v>
      </c>
      <c r="D230" s="226" t="str">
        <f>+_xll.BDP($B230 &amp; "@RIAY Corp","DUR_BID")</f>
        <v>#N/A N/A</v>
      </c>
      <c r="E230" s="226" t="str">
        <f>+_xll.BDP(LEFT(B230,8) &amp; "@RIAY Corp","BID_YIELD")</f>
        <v>#N/A Real Time</v>
      </c>
      <c r="F230" s="107" t="str">
        <f>+_xll.BDP(LEFT(B230,8) &amp; "@RIAY Corp","TRADE_CRNCY")</f>
        <v>CLF</v>
      </c>
      <c r="G230" s="199" t="str">
        <f ca="1">+IFERROR((E230-IF(F230="CLF",[4]!CERCHA($D230,'Curva Gobierno'!$D$2:$E$38,0),[4]!CERCHA($D230,'Curva Gobierno'!$J$2:$K$22)))*100,"")</f>
        <v/>
      </c>
    </row>
    <row r="231" spans="1:7">
      <c r="A231" t="s">
        <v>1167</v>
      </c>
      <c r="B231" s="218" t="str">
        <f>+_xll.BDP($A231&amp;" Corp","ID_CUSIP")</f>
        <v>EK0385824</v>
      </c>
      <c r="C231" s="186">
        <f>+_xll.BDP($B231 &amp; " Corp","MTY_YEARS")</f>
        <v>16.150581793292265</v>
      </c>
      <c r="D231" s="226" t="str">
        <f>+_xll.BDP($B231 &amp; "@RIAY Corp","DUR_BID")</f>
        <v>#N/A N/A</v>
      </c>
      <c r="E231" s="226" t="str">
        <f>+_xll.BDP(LEFT(B231,8) &amp; "@RIAY Corp","BID_YIELD")</f>
        <v>#N/A Real Time</v>
      </c>
      <c r="F231" s="107" t="str">
        <f>+_xll.BDP(LEFT(B231,8) &amp; "@RIAY Corp","TRADE_CRNCY")</f>
        <v>CLF</v>
      </c>
      <c r="G231" s="199" t="str">
        <f ca="1">+IFERROR((E231-IF(F231="CLF",[4]!CERCHA($D231,'Curva Gobierno'!$D$2:$E$38,0),[4]!CERCHA($D231,'Curva Gobierno'!$J$2:$K$22)))*100,"")</f>
        <v/>
      </c>
    </row>
    <row r="232" spans="1:7">
      <c r="A232" t="s">
        <v>998</v>
      </c>
      <c r="B232" s="218" t="str">
        <f>+_xll.BDP($A232&amp;" Corp","ID_CUSIP")</f>
        <v>EK3838951</v>
      </c>
      <c r="C232" s="186">
        <f>+_xll.BDP($B232 &amp; " Corp","MTY_YEARS")</f>
        <v>18.798083504449007</v>
      </c>
      <c r="D232" s="226" t="str">
        <f>+_xll.BDP($B232 &amp; "@RIAY Corp","DUR_BID")</f>
        <v>#N/A N/A</v>
      </c>
      <c r="E232" s="226" t="str">
        <f>+_xll.BDP(LEFT(B232,8) &amp; "@RIAY Corp","BID_YIELD")</f>
        <v>#N/A Real Time</v>
      </c>
      <c r="F232" s="107" t="str">
        <f>+_xll.BDP(LEFT(B232,8) &amp; "@RIAY Corp","TRADE_CRNCY")</f>
        <v>CLF</v>
      </c>
      <c r="G232" s="199" t="str">
        <f ca="1">+IFERROR((E232-IF(F232="CLF",[4]!CERCHA($D232,'Curva Gobierno'!$D$2:$E$38,0),[4]!CERCHA($D232,'Curva Gobierno'!$J$2:$K$22)))*100,"")</f>
        <v/>
      </c>
    </row>
    <row r="233" spans="1:7">
      <c r="A233" t="s">
        <v>803</v>
      </c>
      <c r="B233" s="218" t="str">
        <f>+_xll.BDP($A233&amp;" Corp","ID_CUSIP")</f>
        <v>EK0172701</v>
      </c>
      <c r="C233" s="186" t="str">
        <f>+_xll.BDP($B233 &amp; " Corp","MTY_YEARS")</f>
        <v>#N/A Field Not Applicable</v>
      </c>
      <c r="D233" s="226" t="str">
        <f>+_xll.BDP($B233 &amp; "@RIAY Corp","DUR_BID")</f>
        <v>#N/A N/A</v>
      </c>
      <c r="E233" s="226" t="str">
        <f>+_xll.BDP(LEFT(B233,8) &amp; "@RIAY Corp","BID_YIELD")</f>
        <v>#N/A Real Time</v>
      </c>
      <c r="F233" s="107" t="str">
        <f>+_xll.BDP(LEFT(B233,8) &amp; "@RIAY Corp","TRADE_CRNCY")</f>
        <v>CLP</v>
      </c>
      <c r="G233" s="199" t="str">
        <f ca="1">+IFERROR((E233-IF(F233="CLF",[4]!CERCHA($D233,'Curva Gobierno'!$D$2:$E$38,0),[4]!CERCHA($D233,'Curva Gobierno'!$J$2:$K$22)))*100,"")</f>
        <v/>
      </c>
    </row>
    <row r="234" spans="1:7">
      <c r="A234" t="s">
        <v>804</v>
      </c>
      <c r="B234" s="218" t="str">
        <f>+_xll.BDP($A234&amp;" Corp","ID_CUSIP")</f>
        <v>EK8151269</v>
      </c>
      <c r="C234" s="186" t="str">
        <f>+_xll.BDP($B234 &amp; " Corp","MTY_YEARS")</f>
        <v>#N/A Field Not Applicable</v>
      </c>
      <c r="D234" s="226" t="str">
        <f>+_xll.BDP($B234 &amp; "@RIAY Corp","DUR_BID")</f>
        <v>#N/A N/A</v>
      </c>
      <c r="E234" s="226" t="str">
        <f>+_xll.BDP(LEFT(B234,8) &amp; "@RIAY Corp","BID_YIELD")</f>
        <v>#N/A Real Time</v>
      </c>
      <c r="F234" s="107" t="str">
        <f>+_xll.BDP(LEFT(B234,8) &amp; "@RIAY Corp","TRADE_CRNCY")</f>
        <v>CLP</v>
      </c>
      <c r="G234" s="199" t="str">
        <f ca="1">+IFERROR((E234-IF(F234="CLF",[4]!CERCHA($D234,'Curva Gobierno'!$D$2:$E$38,0),[4]!CERCHA($D234,'Curva Gobierno'!$J$2:$K$22)))*100,"")</f>
        <v/>
      </c>
    </row>
    <row r="235" spans="1:7">
      <c r="A235" t="s">
        <v>805</v>
      </c>
      <c r="B235" s="218" t="str">
        <f>+_xll.BDP($A235&amp;" Corp","ID_CUSIP")</f>
        <v>EK4028081</v>
      </c>
      <c r="C235" s="186" t="str">
        <f>+_xll.BDP($B235 &amp; " Corp","MTY_YEARS")</f>
        <v>#N/A Field Not Applicable</v>
      </c>
      <c r="D235" s="226" t="str">
        <f>+_xll.BDP($B235 &amp; "@RIAY Corp","DUR_BID")</f>
        <v>#N/A N/A</v>
      </c>
      <c r="E235" s="226" t="str">
        <f>+_xll.BDP(LEFT(B235,8) &amp; "@RIAY Corp","BID_YIELD")</f>
        <v>#N/A Real Time</v>
      </c>
      <c r="F235" s="107" t="str">
        <f>+_xll.BDP(LEFT(B235,8) &amp; "@RIAY Corp","TRADE_CRNCY")</f>
        <v>CLP</v>
      </c>
      <c r="G235" s="199" t="str">
        <f ca="1">+IFERROR((E235-IF(F235="CLF",[4]!CERCHA($D235,'Curva Gobierno'!$D$2:$E$38,0),[4]!CERCHA($D235,'Curva Gobierno'!$J$2:$K$22)))*100,"")</f>
        <v/>
      </c>
    </row>
    <row r="236" spans="1:7">
      <c r="A236" t="s">
        <v>806</v>
      </c>
      <c r="B236" s="218" t="str">
        <f>+_xll.BDP($A236&amp;" Corp","ID_CUSIP")</f>
        <v>EJ7096914</v>
      </c>
      <c r="C236" s="186" t="str">
        <f>+_xll.BDP($B236 &amp; " Corp","MTY_YEARS")</f>
        <v>#N/A Field Not Applicable</v>
      </c>
      <c r="D236" s="226" t="str">
        <f>+_xll.BDP($B236 &amp; "@RIAY Corp","DUR_BID")</f>
        <v>#N/A N/A</v>
      </c>
      <c r="E236" s="226" t="str">
        <f>+_xll.BDP(LEFT(B236,8) &amp; "@RIAY Corp","BID_YIELD")</f>
        <v>#N/A Real Time</v>
      </c>
      <c r="F236" s="107" t="str">
        <f>+_xll.BDP(LEFT(B236,8) &amp; "@RIAY Corp","TRADE_CRNCY")</f>
        <v>CLP</v>
      </c>
      <c r="G236" s="199" t="str">
        <f ca="1">+IFERROR((E236-IF(F236="CLF",[4]!CERCHA($D236,'Curva Gobierno'!$D$2:$E$38,0),[4]!CERCHA($D236,'Curva Gobierno'!$J$2:$K$22)))*100,"")</f>
        <v/>
      </c>
    </row>
    <row r="237" spans="1:7">
      <c r="A237" t="s">
        <v>807</v>
      </c>
      <c r="B237" s="218" t="str">
        <f>+_xll.BDP($A237&amp;" Corp","ID_CUSIP")</f>
        <v>EJ6515997</v>
      </c>
      <c r="C237" s="186" t="str">
        <f>+_xll.BDP($B237 &amp; " Corp","MTY_YEARS")</f>
        <v>#N/A Field Not Applicable</v>
      </c>
      <c r="D237" s="226" t="str">
        <f>+_xll.BDP($B237 &amp; "@RIAY Corp","DUR_BID")</f>
        <v>#N/A N/A</v>
      </c>
      <c r="E237" s="226" t="str">
        <f>+_xll.BDP(LEFT(B237,8) &amp; "@RIAY Corp","BID_YIELD")</f>
        <v>#N/A Real Time</v>
      </c>
      <c r="F237" s="107" t="str">
        <f>+_xll.BDP(LEFT(B237,8) &amp; "@RIAY Corp","TRADE_CRNCY")</f>
        <v>CLF</v>
      </c>
      <c r="G237" s="199" t="str">
        <f ca="1">+IFERROR((E237-IF(F237="CLF",[4]!CERCHA($D237,'Curva Gobierno'!$D$2:$E$38,0),[4]!CERCHA($D237,'Curva Gobierno'!$J$2:$K$22)))*100,"")</f>
        <v/>
      </c>
    </row>
    <row r="238" spans="1:7">
      <c r="A238" t="s">
        <v>811</v>
      </c>
      <c r="B238" s="218" t="str">
        <f>+_xll.BDP($A238&amp;" Corp","ID_CUSIP")</f>
        <v>EJ5145721</v>
      </c>
      <c r="C238" s="186" t="str">
        <f>+_xll.BDP($B238 &amp; " Corp","MTY_YEARS")</f>
        <v>#N/A Field Not Applicable</v>
      </c>
      <c r="D238" s="226" t="str">
        <f>+_xll.BDP($B238 &amp; "@RIAY Corp","DUR_BID")</f>
        <v>#N/A N/A</v>
      </c>
      <c r="E238" s="226" t="str">
        <f>+_xll.BDP(LEFT(B238,8) &amp; "@RIAY Corp","BID_YIELD")</f>
        <v>#N/A Real Time</v>
      </c>
      <c r="F238" s="107" t="str">
        <f>+_xll.BDP(LEFT(B238,8) &amp; "@RIAY Corp","TRADE_CRNCY")</f>
        <v>CLF</v>
      </c>
      <c r="G238" s="199" t="str">
        <f ca="1">+IFERROR((E238-IF(F238="CLF",[4]!CERCHA($D238,'Curva Gobierno'!$D$2:$E$38,0),[4]!CERCHA($D238,'Curva Gobierno'!$J$2:$K$22)))*100,"")</f>
        <v/>
      </c>
    </row>
    <row r="239" spans="1:7">
      <c r="A239" t="s">
        <v>813</v>
      </c>
      <c r="B239" s="218" t="str">
        <f>+_xll.BDP($A239&amp;" Corp","ID_CUSIP")</f>
        <v>EJ7236247</v>
      </c>
      <c r="C239" s="186">
        <f>+_xll.BDP($B239 &amp; " Corp","MTY_YEARS")</f>
        <v>0.35865845311430528</v>
      </c>
      <c r="D239" s="226" t="str">
        <f>+_xll.BDP($B239 &amp; "@RIAY Corp","DUR_BID")</f>
        <v>#N/A N/A</v>
      </c>
      <c r="E239" s="226" t="str">
        <f>+_xll.BDP(LEFT(B239,8) &amp; "@RIAY Corp","BID_YIELD")</f>
        <v>#N/A Real Time</v>
      </c>
      <c r="F239" s="107" t="str">
        <f>+_xll.BDP(LEFT(B239,8) &amp; "@RIAY Corp","TRADE_CRNCY")</f>
        <v>CLP</v>
      </c>
      <c r="G239" s="199" t="str">
        <f ca="1">+IFERROR((E239-IF(F239="CLF",[4]!CERCHA($D239,'Curva Gobierno'!$D$2:$E$38,0),[4]!CERCHA($D239,'Curva Gobierno'!$J$2:$K$22)))*100,"")</f>
        <v/>
      </c>
    </row>
    <row r="240" spans="1:7">
      <c r="A240" t="s">
        <v>817</v>
      </c>
      <c r="B240" s="218" t="str">
        <f>+_xll.BDP($A240&amp;" Corp","ID_CUSIP")</f>
        <v>EJ5333459</v>
      </c>
      <c r="C240" s="186">
        <f>+_xll.BDP($B240 &amp; " Corp","MTY_YEARS")</f>
        <v>2.7378507871321012E-2</v>
      </c>
      <c r="D240" s="226" t="str">
        <f>+_xll.BDP($B240 &amp; "@RIAY Corp","DUR_BID")</f>
        <v>#N/A N/A</v>
      </c>
      <c r="E240" s="226" t="str">
        <f>+_xll.BDP(LEFT(B240,8) &amp; "@RIAY Corp","BID_YIELD")</f>
        <v>#N/A Real Time</v>
      </c>
      <c r="F240" s="107" t="str">
        <f>+_xll.BDP(LEFT(B240,8) &amp; "@RIAY Corp","TRADE_CRNCY")</f>
        <v>CLP</v>
      </c>
      <c r="G240" s="199" t="str">
        <f ca="1">+IFERROR((E240-IF(F240="CLF",[4]!CERCHA($D240,'Curva Gobierno'!$D$2:$E$38,0),[4]!CERCHA($D240,'Curva Gobierno'!$J$2:$K$22)))*100,"")</f>
        <v/>
      </c>
    </row>
    <row r="241" spans="1:7">
      <c r="A241" t="s">
        <v>816</v>
      </c>
      <c r="B241" s="218" t="str">
        <f>+_xll.BDP($A241&amp;" Corp","ID_CUSIP")</f>
        <v>EJ8198784</v>
      </c>
      <c r="C241" s="186">
        <f>+_xll.BDP($B241 &amp; " Corp","MTY_YEARS")</f>
        <v>0.69267624914442161</v>
      </c>
      <c r="D241" s="226" t="str">
        <f>+_xll.BDP($B241 &amp; "@RIAY Corp","DUR_BID")</f>
        <v>#N/A N/A</v>
      </c>
      <c r="E241" s="226" t="str">
        <f>+_xll.BDP(LEFT(B241,8) &amp; "@RIAY Corp","BID_YIELD")</f>
        <v>#N/A Real Time</v>
      </c>
      <c r="F241" s="107" t="str">
        <f>+_xll.BDP(LEFT(B241,8) &amp; "@RIAY Corp","TRADE_CRNCY")</f>
        <v>CLF</v>
      </c>
      <c r="G241" s="199" t="str">
        <f ca="1">+IFERROR((E241-IF(F241="CLF",[4]!CERCHA($D241,'Curva Gobierno'!$D$2:$E$38,0),[4]!CERCHA($D241,'Curva Gobierno'!$J$2:$K$22)))*100,"")</f>
        <v/>
      </c>
    </row>
    <row r="242" spans="1:7">
      <c r="A242" t="s">
        <v>1086</v>
      </c>
      <c r="B242" s="218" t="str">
        <f>+_xll.BDP($A242&amp;" Corp","ID_CUSIP")</f>
        <v>EK5008579</v>
      </c>
      <c r="C242" s="186">
        <f>+_xll.BDP($B242 &amp; " Corp","MTY_YEARS")</f>
        <v>1.7768651608487338</v>
      </c>
      <c r="D242" s="226" t="str">
        <f>+_xll.BDP($B242 &amp; "@RIAY Corp","DUR_BID")</f>
        <v>#N/A N/A</v>
      </c>
      <c r="E242" s="226" t="str">
        <f>+_xll.BDP(LEFT(B242,8) &amp; "@RIAY Corp","BID_YIELD")</f>
        <v>#N/A Real Time</v>
      </c>
      <c r="F242" s="107" t="str">
        <f>+_xll.BDP(LEFT(B242,8) &amp; "@RIAY Corp","TRADE_CRNCY")</f>
        <v>CLF</v>
      </c>
      <c r="G242" s="199" t="str">
        <f ca="1">+IFERROR((E242-IF(F242="CLF",[4]!CERCHA($D242,'Curva Gobierno'!$D$2:$E$38,0),[4]!CERCHA($D242,'Curva Gobierno'!$J$2:$K$22)))*100,"")</f>
        <v/>
      </c>
    </row>
    <row r="243" spans="1:7">
      <c r="A243" t="s">
        <v>819</v>
      </c>
      <c r="B243" s="218" t="str">
        <f>+_xll.BDP($A243&amp;" Corp","ID_CUSIP")</f>
        <v>EK3950996</v>
      </c>
      <c r="C243" s="186">
        <f>+_xll.BDP($B243 &amp; " Corp","MTY_YEARS")</f>
        <v>1.3579739904175223</v>
      </c>
      <c r="D243" s="226" t="str">
        <f>+_xll.BDP($B243 &amp; "@RIAY Corp","DUR_BID")</f>
        <v>#N/A N/A</v>
      </c>
      <c r="E243" s="226" t="str">
        <f>+_xll.BDP(LEFT(B243,8) &amp; "@RIAY Corp","BID_YIELD")</f>
        <v>#N/A Real Time</v>
      </c>
      <c r="F243" s="107" t="str">
        <f>+_xll.BDP(LEFT(B243,8) &amp; "@RIAY Corp","TRADE_CRNCY")</f>
        <v>CLF</v>
      </c>
      <c r="G243" s="199" t="str">
        <f ca="1">+IFERROR((E243-IF(F243="CLF",[4]!CERCHA($D243,'Curva Gobierno'!$D$2:$E$38,0),[4]!CERCHA($D243,'Curva Gobierno'!$J$2:$K$22)))*100,"")</f>
        <v/>
      </c>
    </row>
    <row r="244" spans="1:7">
      <c r="A244" t="s">
        <v>820</v>
      </c>
      <c r="B244" s="218" t="str">
        <f>+_xll.BDP($A244&amp;" Corp","ID_CUSIP")</f>
        <v>EI6710210</v>
      </c>
      <c r="C244" s="186">
        <f>+_xll.BDP($B244 &amp; " Corp","MTY_YEARS")</f>
        <v>3.3593429158110881</v>
      </c>
      <c r="D244" s="226" t="str">
        <f>+_xll.BDP($B244 &amp; "@RIAY Corp","DUR_BID")</f>
        <v>#N/A N/A</v>
      </c>
      <c r="E244" s="226" t="str">
        <f>+_xll.BDP(LEFT(B244,8) &amp; "@RIAY Corp","BID_YIELD")</f>
        <v>#N/A Real Time</v>
      </c>
      <c r="F244" s="107" t="str">
        <f>+_xll.BDP(LEFT(B244,8) &amp; "@RIAY Corp","TRADE_CRNCY")</f>
        <v>CLF</v>
      </c>
      <c r="G244" s="199" t="str">
        <f ca="1">+IFERROR((E244-IF(F244="CLF",[4]!CERCHA($D244,'Curva Gobierno'!$D$2:$E$38,0),[4]!CERCHA($D244,'Curva Gobierno'!$J$2:$K$22)))*100,"")</f>
        <v/>
      </c>
    </row>
    <row r="245" spans="1:7">
      <c r="A245" t="s">
        <v>824</v>
      </c>
      <c r="B245" s="218" t="str">
        <f>+_xll.BDP($A245&amp;" Corp","ID_CUSIP")</f>
        <v>EK3066140</v>
      </c>
      <c r="C245" s="186">
        <f>+_xll.BDP($B245 &amp; " Corp","MTY_YEARS")</f>
        <v>1.4647501711156743</v>
      </c>
      <c r="D245" s="226" t="str">
        <f>+_xll.BDP($B245 &amp; "@RIAY Corp","DUR_BID")</f>
        <v>#N/A N/A</v>
      </c>
      <c r="E245" s="226" t="str">
        <f>+_xll.BDP(LEFT(B245,8) &amp; "@RIAY Corp","BID_YIELD")</f>
        <v>#N/A Real Time</v>
      </c>
      <c r="F245" s="107" t="str">
        <f>+_xll.BDP(LEFT(B245,8) &amp; "@RIAY Corp","TRADE_CRNCY")</f>
        <v>CLF</v>
      </c>
      <c r="G245" s="199" t="str">
        <f ca="1">+IFERROR((E245-IF(F245="CLF",[4]!CERCHA($D245,'Curva Gobierno'!$D$2:$E$38,0),[4]!CERCHA($D245,'Curva Gobierno'!$J$2:$K$22)))*100,"")</f>
        <v/>
      </c>
    </row>
    <row r="246" spans="1:7">
      <c r="A246" t="s">
        <v>838</v>
      </c>
      <c r="B246" s="218" t="str">
        <f>+_xll.BDP($A246&amp;" Corp","ID_CUSIP")</f>
        <v>EK0010109</v>
      </c>
      <c r="C246" s="186">
        <f>+_xll.BDP($B246 &amp; " Corp","MTY_YEARS")</f>
        <v>3.9698836413415468</v>
      </c>
      <c r="D246" s="226" t="str">
        <f>+_xll.BDP($B246 &amp; "@RIAY Corp","DUR_BID")</f>
        <v>#N/A N/A</v>
      </c>
      <c r="E246" s="226" t="str">
        <f>+_xll.BDP(LEFT(B246,8) &amp; "@RIAY Corp","BID_YIELD")</f>
        <v>#N/A Real Time</v>
      </c>
      <c r="F246" s="107" t="str">
        <f>+_xll.BDP(LEFT(B246,8) &amp; "@RIAY Corp","TRADE_CRNCY")</f>
        <v>CLF</v>
      </c>
      <c r="G246" s="199" t="str">
        <f ca="1">+IFERROR((E246-IF(F246="CLF",[4]!CERCHA($D246,'Curva Gobierno'!$D$2:$E$38,0),[4]!CERCHA($D246,'Curva Gobierno'!$J$2:$K$22)))*100,"")</f>
        <v/>
      </c>
    </row>
    <row r="247" spans="1:7">
      <c r="A247" t="s">
        <v>1033</v>
      </c>
      <c r="B247" s="218" t="str">
        <f>+_xll.BDP($A247&amp;" Corp","ID_CUSIP")</f>
        <v>UV6781354</v>
      </c>
      <c r="C247" s="186">
        <f>+_xll.BDP($B247 &amp; " Corp","MTY_YEARS")</f>
        <v>2.6940451745379876</v>
      </c>
      <c r="D247" s="226" t="str">
        <f>+_xll.BDP($B247 &amp; "@RIAY Corp","DUR_BID")</f>
        <v>#N/A N/A</v>
      </c>
      <c r="E247" s="226" t="str">
        <f>+_xll.BDP(LEFT(B247,8) &amp; "@RIAY Corp","BID_YIELD")</f>
        <v>#N/A Real Time</v>
      </c>
      <c r="F247" s="107" t="str">
        <f>+_xll.BDP(LEFT(B247,8) &amp; "@RIAY Corp","TRADE_CRNCY")</f>
        <v>CLF</v>
      </c>
      <c r="G247" s="199" t="str">
        <f ca="1">+IFERROR((E247-IF(F247="CLF",[4]!CERCHA($D247,'Curva Gobierno'!$D$2:$E$38,0),[4]!CERCHA($D247,'Curva Gobierno'!$J$2:$K$22)))*100,"")</f>
        <v/>
      </c>
    </row>
    <row r="248" spans="1:7">
      <c r="A248" t="s">
        <v>847</v>
      </c>
      <c r="B248" s="218" t="str">
        <f>+_xll.BDP($A248&amp;" Corp","ID_CUSIP")</f>
        <v>EI4901951</v>
      </c>
      <c r="C248" s="186">
        <f>+_xll.BDP($B248 &amp; " Corp","MTY_YEARS")</f>
        <v>6.579055441478439</v>
      </c>
      <c r="D248" s="226" t="str">
        <f>+_xll.BDP($B248 &amp; "@RIAY Corp","DUR_BID")</f>
        <v>#N/A N/A</v>
      </c>
      <c r="E248" s="226" t="str">
        <f>+_xll.BDP(LEFT(B248,8) &amp; "@RIAY Corp","BID_YIELD")</f>
        <v>#N/A Real Time</v>
      </c>
      <c r="F248" s="107" t="str">
        <f>+_xll.BDP(LEFT(B248,8) &amp; "@RIAY Corp","TRADE_CRNCY")</f>
        <v>CLF</v>
      </c>
      <c r="G248" s="199" t="str">
        <f ca="1">+IFERROR((E248-IF(F248="CLF",[4]!CERCHA($D248,'Curva Gobierno'!$D$2:$E$38,0),[4]!CERCHA($D248,'Curva Gobierno'!$J$2:$K$22)))*100,"")</f>
        <v/>
      </c>
    </row>
    <row r="249" spans="1:7">
      <c r="A249" t="s">
        <v>848</v>
      </c>
      <c r="B249" s="218" t="str">
        <f>+_xll.BDP($A249&amp;" Corp","ID_CUSIP")</f>
        <v>EI4902082</v>
      </c>
      <c r="C249" s="186">
        <f>+_xll.BDP($B249 &amp; " Corp","MTY_YEARS")</f>
        <v>6.579055441478439</v>
      </c>
      <c r="D249" s="226" t="str">
        <f>+_xll.BDP($B249 &amp; "@RIAY Corp","DUR_BID")</f>
        <v>#N/A N/A</v>
      </c>
      <c r="E249" s="226" t="str">
        <f>+_xll.BDP(LEFT(B249,8) &amp; "@RIAY Corp","BID_YIELD")</f>
        <v>#N/A Real Time</v>
      </c>
      <c r="F249" s="107" t="str">
        <f>+_xll.BDP(LEFT(B249,8) &amp; "@RIAY Corp","TRADE_CRNCY")</f>
        <v>CLF</v>
      </c>
      <c r="G249" s="199" t="str">
        <f ca="1">+IFERROR((E249-IF(F249="CLF",[4]!CERCHA($D249,'Curva Gobierno'!$D$2:$E$38,0),[4]!CERCHA($D249,'Curva Gobierno'!$J$2:$K$22)))*100,"")</f>
        <v/>
      </c>
    </row>
    <row r="250" spans="1:7">
      <c r="A250" t="s">
        <v>843</v>
      </c>
      <c r="B250" s="218" t="str">
        <f>+_xll.BDP($A250&amp;" Corp","ID_CUSIP")</f>
        <v>ED1986238</v>
      </c>
      <c r="C250" s="186">
        <f>+_xll.BDP($B250 &amp; " Corp","MTY_YEARS")</f>
        <v>6.6940451745379876</v>
      </c>
      <c r="D250" s="226" t="str">
        <f>+_xll.BDP($B250 &amp; "@RIAY Corp","DUR_BID")</f>
        <v>#N/A N/A</v>
      </c>
      <c r="E250" s="226" t="str">
        <f>+_xll.BDP(LEFT(B250,8) &amp; "@RIAY Corp","BID_YIELD")</f>
        <v>#N/A Real Time</v>
      </c>
      <c r="F250" s="107" t="str">
        <f>+_xll.BDP(LEFT(B250,8) &amp; "@RIAY Corp","TRADE_CRNCY")</f>
        <v>CLF</v>
      </c>
      <c r="G250" s="199" t="str">
        <f ca="1">+IFERROR((E250-IF(F250="CLF",[4]!CERCHA($D250,'Curva Gobierno'!$D$2:$E$38,0),[4]!CERCHA($D250,'Curva Gobierno'!$J$2:$K$22)))*100,"")</f>
        <v/>
      </c>
    </row>
    <row r="251" spans="1:7">
      <c r="A251" t="s">
        <v>1019</v>
      </c>
      <c r="B251" s="218" t="str">
        <f>+_xll.BDP($A251&amp;" Corp","ID_CUSIP")</f>
        <v>QZ6735695</v>
      </c>
      <c r="C251" s="186">
        <f>+_xll.BDP($B251 &amp; " Corp","MTY_YEARS")</f>
        <v>3.7782340862422998</v>
      </c>
      <c r="D251" s="226" t="str">
        <f>+_xll.BDP($B251 &amp; "@RIAY Corp","DUR_BID")</f>
        <v>#N/A N/A</v>
      </c>
      <c r="E251" s="226" t="str">
        <f>+_xll.BDP(LEFT(B251,8) &amp; "@RIAY Corp","BID_YIELD")</f>
        <v>#N/A Real Time</v>
      </c>
      <c r="F251" s="107" t="str">
        <f>+_xll.BDP(LEFT(B251,8) &amp; "@RIAY Corp","TRADE_CRNCY")</f>
        <v>CLF</v>
      </c>
      <c r="G251" s="199" t="str">
        <f ca="1">+IFERROR((E251-IF(F251="CLF",[4]!CERCHA($D251,'Curva Gobierno'!$D$2:$E$38,0),[4]!CERCHA($D251,'Curva Gobierno'!$J$2:$K$22)))*100,"")</f>
        <v/>
      </c>
    </row>
    <row r="252" spans="1:7">
      <c r="A252" t="s">
        <v>863</v>
      </c>
      <c r="B252" s="218" t="str">
        <f>+_xll.BDP($A252&amp;" Corp","ID_CUSIP")</f>
        <v>EI6581959</v>
      </c>
      <c r="C252" s="186">
        <f>+_xll.BDP($B252 &amp; " Corp","MTY_YEARS")</f>
        <v>7.2388774811772763</v>
      </c>
      <c r="D252" s="226" t="str">
        <f>+_xll.BDP($B252 &amp; "@RIAY Corp","DUR_BID")</f>
        <v>#N/A N/A</v>
      </c>
      <c r="E252" s="226" t="str">
        <f>+_xll.BDP(LEFT(B252,8) &amp; "@RIAY Corp","BID_YIELD")</f>
        <v>#N/A Real Time</v>
      </c>
      <c r="F252" s="107" t="str">
        <f>+_xll.BDP(LEFT(B252,8) &amp; "@RIAY Corp","TRADE_CRNCY")</f>
        <v>CLF</v>
      </c>
      <c r="G252" s="199" t="str">
        <f ca="1">+IFERROR((E252-IF(F252="CLF",[4]!CERCHA($D252,'Curva Gobierno'!$D$2:$E$38,0),[4]!CERCHA($D252,'Curva Gobierno'!$J$2:$K$22)))*100,"")</f>
        <v/>
      </c>
    </row>
    <row r="253" spans="1:7">
      <c r="A253" t="s">
        <v>853</v>
      </c>
      <c r="B253" s="218" t="str">
        <f>+_xll.BDP($A253&amp;" Corp","ID_CUSIP")</f>
        <v>EG6124150</v>
      </c>
      <c r="C253" s="186">
        <f>+_xll.BDP($B253 &amp; " Corp","MTY_YEARS")</f>
        <v>7.1074606433949352</v>
      </c>
      <c r="D253" s="226" t="str">
        <f>+_xll.BDP($B253 &amp; "@RIAY Corp","DUR_BID")</f>
        <v>#N/A N/A</v>
      </c>
      <c r="E253" s="226" t="str">
        <f>+_xll.BDP(LEFT(B253,8) &amp; "@RIAY Corp","BID_YIELD")</f>
        <v>#N/A Real Time</v>
      </c>
      <c r="F253" s="107" t="str">
        <f>+_xll.BDP(LEFT(B253,8) &amp; "@RIAY Corp","TRADE_CRNCY")</f>
        <v>CLF</v>
      </c>
      <c r="G253" s="199" t="str">
        <f ca="1">+IFERROR((E253-IF(F253="CLF",[4]!CERCHA($D253,'Curva Gobierno'!$D$2:$E$38,0),[4]!CERCHA($D253,'Curva Gobierno'!$J$2:$K$22)))*100,"")</f>
        <v/>
      </c>
    </row>
    <row r="254" spans="1:7">
      <c r="A254" t="s">
        <v>858</v>
      </c>
      <c r="B254" s="218" t="str">
        <f>+_xll.BDP($A254&amp;" Corp","ID_CUSIP")</f>
        <v>EC3169579</v>
      </c>
      <c r="C254" s="186">
        <f>+_xll.BDP($B254 &amp; " Corp","MTY_YEARS")</f>
        <v>8.0273785078713207</v>
      </c>
      <c r="D254" s="226" t="str">
        <f>+_xll.BDP($B254 &amp; "@RIAY Corp","DUR_BID")</f>
        <v>#N/A N/A</v>
      </c>
      <c r="E254" s="226" t="str">
        <f>+_xll.BDP(LEFT(B254,8) &amp; "@RIAY Corp","BID_YIELD")</f>
        <v>#N/A Real Time</v>
      </c>
      <c r="F254" s="107" t="str">
        <f>+_xll.BDP(LEFT(B254,8) &amp; "@RIAY Corp","TRADE_CRNCY")</f>
        <v>CLF</v>
      </c>
      <c r="G254" s="199" t="str">
        <f ca="1">+IFERROR((E254-IF(F254="CLF",[4]!CERCHA($D254,'Curva Gobierno'!$D$2:$E$38,0),[4]!CERCHA($D254,'Curva Gobierno'!$J$2:$K$22)))*100,"")</f>
        <v/>
      </c>
    </row>
    <row r="255" spans="1:7">
      <c r="A255" t="s">
        <v>1212</v>
      </c>
      <c r="B255" s="218" t="str">
        <f>+_xll.BDP($A255&amp;" Corp","ID_CUSIP")</f>
        <v>EF7900261</v>
      </c>
      <c r="C255" s="186">
        <f>+_xll.BDP($B255 &amp; " Corp","MTY_YEARS")</f>
        <v>10.442162902121835</v>
      </c>
      <c r="D255" s="226" t="str">
        <f>+_xll.BDP($B255 &amp; "@RIAY Corp","DUR_BID")</f>
        <v>#N/A N/A</v>
      </c>
      <c r="E255" s="226" t="str">
        <f>+_xll.BDP(LEFT(B255,8) &amp; "@RIAY Corp","BID_YIELD")</f>
        <v>#N/A Real Time</v>
      </c>
      <c r="F255" s="107" t="str">
        <f>+_xll.BDP(LEFT(B255,8) &amp; "@RIAY Corp","TRADE_CRNCY")</f>
        <v>CLF</v>
      </c>
      <c r="G255" s="199" t="str">
        <f ca="1">+IFERROR((E255-IF(F255="CLF",[4]!CERCHA($D255,'Curva Gobierno'!$D$2:$E$38,0),[4]!CERCHA($D255,'Curva Gobierno'!$J$2:$K$22)))*100,"")</f>
        <v/>
      </c>
    </row>
    <row r="256" spans="1:7">
      <c r="A256" t="s">
        <v>884</v>
      </c>
      <c r="B256" s="218" t="str">
        <f>+_xll.BDP($A256&amp;" Corp","ID_CUSIP")</f>
        <v>EK7531040</v>
      </c>
      <c r="C256" s="186">
        <f>+_xll.BDP($B256 &amp; " Corp","MTY_YEARS")</f>
        <v>5.4401095140314855</v>
      </c>
      <c r="D256" s="226" t="str">
        <f>+_xll.BDP($B256 &amp; "@RIAY Corp","DUR_BID")</f>
        <v>#N/A N/A</v>
      </c>
      <c r="E256" s="226" t="str">
        <f>+_xll.BDP(LEFT(B256,8) &amp; "@RIAY Corp","BID_YIELD")</f>
        <v>#N/A Real Time</v>
      </c>
      <c r="F256" s="107" t="str">
        <f>+_xll.BDP(LEFT(B256,8) &amp; "@RIAY Corp","TRADE_CRNCY")</f>
        <v>CLF</v>
      </c>
      <c r="G256" s="199" t="str">
        <f ca="1">+IFERROR((E256-IF(F256="CLF",[4]!CERCHA($D256,'Curva Gobierno'!$D$2:$E$38,0),[4]!CERCHA($D256,'Curva Gobierno'!$J$2:$K$22)))*100,"")</f>
        <v/>
      </c>
    </row>
    <row r="257" spans="1:7">
      <c r="A257" t="s">
        <v>897</v>
      </c>
      <c r="B257" s="218" t="str">
        <f>+_xll.BDP($A257&amp;" Corp","ID_CUSIP")</f>
        <v>EH8187443</v>
      </c>
      <c r="C257" s="186">
        <f>+_xll.BDP($B257 &amp; " Corp","MTY_YEARS")</f>
        <v>12.418891170431211</v>
      </c>
      <c r="D257" s="226" t="str">
        <f>+_xll.BDP($B257 &amp; "@RIAY Corp","DUR_BID")</f>
        <v>#N/A N/A</v>
      </c>
      <c r="E257" s="226" t="str">
        <f>+_xll.BDP(LEFT(B257,8) &amp; "@RIAY Corp","BID_YIELD")</f>
        <v>#N/A Real Time</v>
      </c>
      <c r="F257" s="107" t="str">
        <f>+_xll.BDP(LEFT(B257,8) &amp; "@RIAY Corp","TRADE_CRNCY")</f>
        <v>CLF</v>
      </c>
      <c r="G257" s="199" t="str">
        <f ca="1">+IFERROR((E257-IF(F257="CLF",[4]!CERCHA($D257,'Curva Gobierno'!$D$2:$E$38,0),[4]!CERCHA($D257,'Curva Gobierno'!$J$2:$K$22)))*100,"")</f>
        <v/>
      </c>
    </row>
    <row r="258" spans="1:7">
      <c r="A258" t="s">
        <v>901</v>
      </c>
      <c r="B258" s="218" t="str">
        <f>+_xll.BDP($A258&amp;" Corp","ID_CUSIP")</f>
        <v>EH8743948</v>
      </c>
      <c r="C258" s="186">
        <f>+_xll.BDP($B258 &amp; " Corp","MTY_YEARS")</f>
        <v>12.550308008213552</v>
      </c>
      <c r="D258" s="226" t="str">
        <f>+_xll.BDP($B258 &amp; "@RIAY Corp","DUR_BID")</f>
        <v>#N/A N/A</v>
      </c>
      <c r="E258" s="226" t="str">
        <f>+_xll.BDP(LEFT(B258,8) &amp; "@RIAY Corp","BID_YIELD")</f>
        <v>#N/A Real Time</v>
      </c>
      <c r="F258" s="107" t="str">
        <f>+_xll.BDP(LEFT(B258,8) &amp; "@RIAY Corp","TRADE_CRNCY")</f>
        <v>CLF</v>
      </c>
      <c r="G258" s="199" t="str">
        <f ca="1">+IFERROR((E258-IF(F258="CLF",[4]!CERCHA($D258,'Curva Gobierno'!$D$2:$E$38,0),[4]!CERCHA($D258,'Curva Gobierno'!$J$2:$K$22)))*100,"")</f>
        <v/>
      </c>
    </row>
    <row r="259" spans="1:7">
      <c r="A259" t="s">
        <v>909</v>
      </c>
      <c r="B259" s="218" t="str">
        <f>+_xll.BDP($A259&amp;" Corp","ID_CUSIP")</f>
        <v>EI0902300</v>
      </c>
      <c r="C259" s="186">
        <f>+_xll.BDP($B259 &amp; " Corp","MTY_YEARS")</f>
        <v>12.815879534565367</v>
      </c>
      <c r="D259" s="226" t="str">
        <f>+_xll.BDP($B259 &amp; "@RIAY Corp","DUR_BID")</f>
        <v>#N/A N/A</v>
      </c>
      <c r="E259" s="226" t="str">
        <f>+_xll.BDP(LEFT(B259,8) &amp; "@RIAY Corp","BID_YIELD")</f>
        <v>#N/A Real Time</v>
      </c>
      <c r="F259" s="107" t="str">
        <f>+_xll.BDP(LEFT(B259,8) &amp; "@RIAY Corp","TRADE_CRNCY")</f>
        <v>CLF</v>
      </c>
      <c r="G259" s="199" t="str">
        <f ca="1">+IFERROR((E259-IF(F259="CLF",[4]!CERCHA($D259,'Curva Gobierno'!$D$2:$E$38,0),[4]!CERCHA($D259,'Curva Gobierno'!$J$2:$K$22)))*100,"")</f>
        <v/>
      </c>
    </row>
    <row r="260" spans="1:7">
      <c r="A260" t="s">
        <v>914</v>
      </c>
      <c r="B260" s="218" t="str">
        <f>+_xll.BDP($A260&amp;" Corp","ID_CUSIP")</f>
        <v>EC4281563</v>
      </c>
      <c r="C260" s="186">
        <f>+_xll.BDP($B260 &amp; " Corp","MTY_YEARS")</f>
        <v>8.5256673511293641</v>
      </c>
      <c r="D260" s="226" t="str">
        <f>+_xll.BDP($B260 &amp; "@RIAY Corp","DUR_BID")</f>
        <v>#N/A N/A</v>
      </c>
      <c r="E260" s="226" t="str">
        <f>+_xll.BDP(LEFT(B260,8) &amp; "@RIAY Corp","BID_YIELD")</f>
        <v>#N/A Real Time</v>
      </c>
      <c r="F260" s="107" t="str">
        <f>+_xll.BDP(LEFT(B260,8) &amp; "@RIAY Corp","TRADE_CRNCY")</f>
        <v>CLF</v>
      </c>
      <c r="G260" s="199" t="str">
        <f ca="1">+IFERROR((E260-IF(F260="CLF",[4]!CERCHA($D260,'Curva Gobierno'!$D$2:$E$38,0),[4]!CERCHA($D260,'Curva Gobierno'!$J$2:$K$22)))*100,"")</f>
        <v/>
      </c>
    </row>
    <row r="261" spans="1:7">
      <c r="A261" t="s">
        <v>916</v>
      </c>
      <c r="B261" s="218" t="str">
        <f>+_xll.BDP($A261&amp;" Corp","ID_CUSIP")</f>
        <v>EI7216811</v>
      </c>
      <c r="C261" s="186">
        <f>+_xll.BDP($B261 &amp; " Corp","MTY_YEARS")</f>
        <v>13.357973990417522</v>
      </c>
      <c r="D261" s="226" t="str">
        <f>+_xll.BDP($B261 &amp; "@RIAY Corp","DUR_BID")</f>
        <v>#N/A N/A</v>
      </c>
      <c r="E261" s="226" t="str">
        <f>+_xll.BDP(LEFT(B261,8) &amp; "@RIAY Corp","BID_YIELD")</f>
        <v>#N/A Real Time</v>
      </c>
      <c r="F261" s="107" t="str">
        <f>+_xll.BDP(LEFT(B261,8) &amp; "@RIAY Corp","TRADE_CRNCY")</f>
        <v>CLF</v>
      </c>
      <c r="G261" s="199" t="str">
        <f ca="1">+IFERROR((E261-IF(F261="CLF",[4]!CERCHA($D261,'Curva Gobierno'!$D$2:$E$38,0),[4]!CERCHA($D261,'Curva Gobierno'!$J$2:$K$22)))*100,"")</f>
        <v/>
      </c>
    </row>
    <row r="262" spans="1:7">
      <c r="A262" t="s">
        <v>920</v>
      </c>
      <c r="B262" s="218" t="str">
        <f>+_xll.BDP($A262&amp;" Corp","ID_CUSIP")</f>
        <v>EK6920087</v>
      </c>
      <c r="C262" s="186">
        <f>+_xll.BDP($B262 &amp; " Corp","MTY_YEARS")</f>
        <v>9.1964407939767288</v>
      </c>
      <c r="D262" s="226" t="str">
        <f>+_xll.BDP($B262 &amp; "@RIAY Corp","DUR_BID")</f>
        <v>#N/A N/A</v>
      </c>
      <c r="E262" s="226" t="str">
        <f>+_xll.BDP(LEFT(B262,8) &amp; "@RIAY Corp","BID_YIELD")</f>
        <v>#N/A Real Time</v>
      </c>
      <c r="F262" s="107" t="str">
        <f>+_xll.BDP(LEFT(B262,8) &amp; "@RIAY Corp","TRADE_CRNCY")</f>
        <v>CLF</v>
      </c>
      <c r="G262" s="199" t="str">
        <f ca="1">+IFERROR((E262-IF(F262="CLF",[4]!CERCHA($D262,'Curva Gobierno'!$D$2:$E$38,0),[4]!CERCHA($D262,'Curva Gobierno'!$J$2:$K$22)))*100,"")</f>
        <v/>
      </c>
    </row>
    <row r="263" spans="1:7">
      <c r="A263" t="s">
        <v>923</v>
      </c>
      <c r="B263" s="218" t="str">
        <f>+_xll.BDP($A263&amp;" Corp","ID_CUSIP")</f>
        <v>EI3239981</v>
      </c>
      <c r="C263" s="186">
        <f>+_xll.BDP($B263 &amp; " Corp","MTY_YEARS")</f>
        <v>10.778918548939084</v>
      </c>
      <c r="D263" s="226" t="str">
        <f>+_xll.BDP($B263 &amp; "@RIAY Corp","DUR_BID")</f>
        <v>#N/A N/A</v>
      </c>
      <c r="E263" s="226" t="str">
        <f>+_xll.BDP(LEFT(B263,8) &amp; "@RIAY Corp","BID_YIELD")</f>
        <v>#N/A Real Time</v>
      </c>
      <c r="F263" s="107" t="str">
        <f>+_xll.BDP(LEFT(B263,8) &amp; "@RIAY Corp","TRADE_CRNCY")</f>
        <v>CLF</v>
      </c>
      <c r="G263" s="199" t="str">
        <f ca="1">+IFERROR((E263-IF(F263="CLF",[4]!CERCHA($D263,'Curva Gobierno'!$D$2:$E$38,0),[4]!CERCHA($D263,'Curva Gobierno'!$J$2:$K$22)))*100,"")</f>
        <v/>
      </c>
    </row>
    <row r="264" spans="1:7">
      <c r="A264" t="s">
        <v>925</v>
      </c>
      <c r="B264" s="218" t="str">
        <f>+_xll.BDP($A264&amp;" Corp","ID_CUSIP")</f>
        <v>EC1366359</v>
      </c>
      <c r="C264" s="186">
        <f>+_xll.BDP($B264 &amp; " Corp","MTY_YEARS")</f>
        <v>11.274469541409994</v>
      </c>
      <c r="D264" s="226" t="str">
        <f>+_xll.BDP($B264 &amp; "@RIAY Corp","DUR_BID")</f>
        <v>#N/A N/A</v>
      </c>
      <c r="E264" s="226" t="str">
        <f>+_xll.BDP(LEFT(B264,8) &amp; "@RIAY Corp","BID_YIELD")</f>
        <v>#N/A Real Time</v>
      </c>
      <c r="F264" s="107" t="str">
        <f>+_xll.BDP(LEFT(B264,8) &amp; "@RIAY Corp","TRADE_CRNCY")</f>
        <v>CLF</v>
      </c>
      <c r="G264" s="199" t="str">
        <f ca="1">+IFERROR((E264-IF(F264="CLF",[4]!CERCHA($D264,'Curva Gobierno'!$D$2:$E$38,0),[4]!CERCHA($D264,'Curva Gobierno'!$J$2:$K$22)))*100,"")</f>
        <v/>
      </c>
    </row>
    <row r="265" spans="1:7">
      <c r="A265" t="s">
        <v>928</v>
      </c>
      <c r="B265" s="218" t="str">
        <f>+_xll.BDP($A265&amp;" Corp","ID_CUSIP")</f>
        <v>EH8584672</v>
      </c>
      <c r="C265" s="186">
        <f>+_xll.BDP($B265 &amp; " Corp","MTY_YEARS")</f>
        <v>10.52703627652293</v>
      </c>
      <c r="D265" s="226" t="str">
        <f>+_xll.BDP($B265 &amp; "@RIAY Corp","DUR_BID")</f>
        <v>#N/A N/A</v>
      </c>
      <c r="E265" s="226" t="str">
        <f>+_xll.BDP(LEFT(B265,8) &amp; "@RIAY Corp","BID_YIELD")</f>
        <v>#N/A Real Time</v>
      </c>
      <c r="F265" s="107" t="str">
        <f>+_xll.BDP(LEFT(B265,8) &amp; "@RIAY Corp","TRADE_CRNCY")</f>
        <v>CLF</v>
      </c>
      <c r="G265" s="199" t="str">
        <f ca="1">+IFERROR((E265-IF(F265="CLF",[4]!CERCHA($D265,'Curva Gobierno'!$D$2:$E$38,0),[4]!CERCHA($D265,'Curva Gobierno'!$J$2:$K$22)))*100,"")</f>
        <v/>
      </c>
    </row>
    <row r="266" spans="1:7">
      <c r="A266" t="s">
        <v>932</v>
      </c>
      <c r="B266" s="218" t="str">
        <f>+_xll.BDP($A266&amp;" Corp","ID_CUSIP")</f>
        <v>EH8394916</v>
      </c>
      <c r="C266" s="186">
        <f>+_xll.BDP($B266 &amp; " Corp","MTY_YEARS")</f>
        <v>10.458590006844627</v>
      </c>
      <c r="D266" s="226" t="str">
        <f>+_xll.BDP($B266 &amp; "@RIAY Corp","DUR_BID")</f>
        <v>#N/A N/A</v>
      </c>
      <c r="E266" s="226" t="str">
        <f>+_xll.BDP(LEFT(B266,8) &amp; "@RIAY Corp","BID_YIELD")</f>
        <v>#N/A Real Time</v>
      </c>
      <c r="F266" s="107" t="str">
        <f>+_xll.BDP(LEFT(B266,8) &amp; "@RIAY Corp","TRADE_CRNCY")</f>
        <v>CLF</v>
      </c>
      <c r="G266" s="199" t="str">
        <f ca="1">+IFERROR((E266-IF(F266="CLF",[4]!CERCHA($D266,'Curva Gobierno'!$D$2:$E$38,0),[4]!CERCHA($D266,'Curva Gobierno'!$J$2:$K$22)))*100,"")</f>
        <v/>
      </c>
    </row>
    <row r="267" spans="1:7">
      <c r="A267" t="s">
        <v>934</v>
      </c>
      <c r="B267" s="218" t="str">
        <f>+_xll.BDP($A267&amp;" Corp","ID_CUSIP")</f>
        <v>EK3855484</v>
      </c>
      <c r="C267" s="186">
        <f>+_xll.BDP($B267 &amp; " Corp","MTY_YEARS")</f>
        <v>16.982888432580424</v>
      </c>
      <c r="D267" s="226" t="str">
        <f>+_xll.BDP($B267 &amp; "@RIAY Corp","DUR_BID")</f>
        <v>#N/A N/A</v>
      </c>
      <c r="E267" s="226" t="str">
        <f>+_xll.BDP(LEFT(B267,8) &amp; "@RIAY Corp","BID_YIELD")</f>
        <v>#N/A Real Time</v>
      </c>
      <c r="F267" s="107" t="str">
        <f>+_xll.BDP(LEFT(B267,8) &amp; "@RIAY Corp","TRADE_CRNCY")</f>
        <v>CLF</v>
      </c>
      <c r="G267" s="199" t="str">
        <f ca="1">+IFERROR((E267-IF(F267="CLF",[4]!CERCHA($D267,'Curva Gobierno'!$D$2:$E$38,0),[4]!CERCHA($D267,'Curva Gobierno'!$J$2:$K$22)))*100,"")</f>
        <v/>
      </c>
    </row>
    <row r="268" spans="1:7">
      <c r="A268" t="s">
        <v>939</v>
      </c>
      <c r="B268" s="218" t="str">
        <f>+_xll.BDP($A268&amp;" Corp","ID_CUSIP")</f>
        <v>EK2472430</v>
      </c>
      <c r="C268" s="186">
        <f>+_xll.BDP($B268 &amp; " Corp","MTY_YEARS")</f>
        <v>17.023956194387406</v>
      </c>
      <c r="D268" s="226" t="str">
        <f>+_xll.BDP($B268 &amp; "@RIAY Corp","DUR_BID")</f>
        <v>#N/A N/A</v>
      </c>
      <c r="E268" s="226" t="str">
        <f>+_xll.BDP(LEFT(B268,8) &amp; "@RIAY Corp","BID_YIELD")</f>
        <v>#N/A Real Time</v>
      </c>
      <c r="F268" s="107" t="str">
        <f>+_xll.BDP(LEFT(B268,8) &amp; "@RIAY Corp","TRADE_CRNCY")</f>
        <v>CLF</v>
      </c>
      <c r="G268" s="199" t="str">
        <f ca="1">+IFERROR((E268-IF(F268="CLF",[4]!CERCHA($D268,'Curva Gobierno'!$D$2:$E$38,0),[4]!CERCHA($D268,'Curva Gobierno'!$J$2:$K$22)))*100,"")</f>
        <v/>
      </c>
    </row>
    <row r="269" spans="1:7">
      <c r="A269" t="s">
        <v>943</v>
      </c>
      <c r="B269" s="218" t="str">
        <f>+_xll.BDP($A269&amp;" Corp","ID_CUSIP")</f>
        <v>EI8484467</v>
      </c>
      <c r="C269" s="186">
        <f>+_xll.BDP($B269 &amp; " Corp","MTY_YEARS")</f>
        <v>14.691307323750856</v>
      </c>
      <c r="D269" s="226" t="str">
        <f>+_xll.BDP($B269 &amp; "@RIAY Corp","DUR_BID")</f>
        <v>#N/A N/A</v>
      </c>
      <c r="E269" s="226" t="str">
        <f>+_xll.BDP(LEFT(B269,8) &amp; "@RIAY Corp","BID_YIELD")</f>
        <v>#N/A Real Time</v>
      </c>
      <c r="F269" s="107" t="str">
        <f>+_xll.BDP(LEFT(B269,8) &amp; "@RIAY Corp","TRADE_CRNCY")</f>
        <v>CLF</v>
      </c>
      <c r="G269" s="199" t="str">
        <f ca="1">+IFERROR((E269-IF(F269="CLF",[4]!CERCHA($D269,'Curva Gobierno'!$D$2:$E$38,0),[4]!CERCHA($D269,'Curva Gobierno'!$J$2:$K$22)))*100,"")</f>
        <v/>
      </c>
    </row>
    <row r="270" spans="1:7">
      <c r="A270" t="s">
        <v>1232</v>
      </c>
      <c r="B270" s="218" t="str">
        <f>+_xll.BDP($A270&amp;" Corp","ID_CUSIP")</f>
        <v>EK6605902</v>
      </c>
      <c r="C270" s="186">
        <f>+_xll.BDP($B270 &amp; " Corp","MTY_YEARS")</f>
        <v>17.982203969883642</v>
      </c>
      <c r="D270" s="226" t="str">
        <f>+_xll.BDP($B270 &amp; "@RIAY Corp","DUR_BID")</f>
        <v>#N/A N/A</v>
      </c>
      <c r="E270" s="226" t="str">
        <f>+_xll.BDP(LEFT(B270,8) &amp; "@RIAY Corp","BID_YIELD")</f>
        <v>#N/A Real Time</v>
      </c>
      <c r="F270" s="107" t="str">
        <f>+_xll.BDP(LEFT(B270,8) &amp; "@RIAY Corp","TRADE_CRNCY")</f>
        <v>CLF</v>
      </c>
      <c r="G270" s="199" t="str">
        <f ca="1">+IFERROR((E270-IF(F270="CLF",[4]!CERCHA($D270,'Curva Gobierno'!$D$2:$E$38,0),[4]!CERCHA($D270,'Curva Gobierno'!$J$2:$K$22)))*100,"")</f>
        <v/>
      </c>
    </row>
    <row r="271" spans="1:7">
      <c r="A271" t="s">
        <v>996</v>
      </c>
      <c r="B271" s="218" t="str">
        <f>+_xll.BDP($A271&amp;" Corp","ID_CUSIP")</f>
        <v>EJ6558641</v>
      </c>
      <c r="C271" s="186">
        <f>+_xll.BDP($B271 &amp; " Corp","MTY_YEARS")</f>
        <v>16.383299110198493</v>
      </c>
      <c r="D271" s="226" t="str">
        <f>+_xll.BDP($B271 &amp; "@RIAY Corp","DUR_BID")</f>
        <v>#N/A N/A</v>
      </c>
      <c r="E271" s="226" t="str">
        <f>+_xll.BDP(LEFT(B271,8) &amp; "@RIAY Corp","BID_YIELD")</f>
        <v>#N/A Real Time</v>
      </c>
      <c r="F271" s="107" t="str">
        <f>+_xll.BDP(LEFT(B271,8) &amp; "@RIAY Corp","TRADE_CRNCY")</f>
        <v>CLF</v>
      </c>
      <c r="G271" s="199" t="str">
        <f ca="1">+IFERROR((E271-IF(F271="CLF",[4]!CERCHA($D271,'Curva Gobierno'!$D$2:$E$38,0),[4]!CERCHA($D271,'Curva Gobierno'!$J$2:$K$22)))*100,"")</f>
        <v/>
      </c>
    </row>
    <row r="272" spans="1:7">
      <c r="A272" t="s">
        <v>1237</v>
      </c>
      <c r="B272" s="218" t="str">
        <f>+_xll.BDP($A272&amp;" Corp","ID_CUSIP")</f>
        <v>EK5812285</v>
      </c>
      <c r="C272" s="186">
        <f>+_xll.BDP($B272 &amp; " Corp","MTY_YEARS")</f>
        <v>20.777549623545518</v>
      </c>
      <c r="D272" s="226" t="str">
        <f>+_xll.BDP($B272 &amp; "@RIAY Corp","DUR_BID")</f>
        <v>#N/A N/A</v>
      </c>
      <c r="E272" s="226" t="str">
        <f>+_xll.BDP(LEFT(B272,8) &amp; "@RIAY Corp","BID_YIELD")</f>
        <v>#N/A Real Time</v>
      </c>
      <c r="F272" s="107" t="str">
        <f>+_xll.BDP(LEFT(B272,8) &amp; "@RIAY Corp","TRADE_CRNCY")</f>
        <v>CLF</v>
      </c>
      <c r="G272" s="199" t="str">
        <f ca="1">+IFERROR((E272-IF(F272="CLF",[4]!CERCHA($D272,'Curva Gobierno'!$D$2:$E$38,0),[4]!CERCHA($D272,'Curva Gobierno'!$J$2:$K$22)))*100,"")</f>
        <v/>
      </c>
    </row>
    <row r="273" spans="1:7">
      <c r="A273" t="s">
        <v>951</v>
      </c>
      <c r="B273" s="218" t="str">
        <f>+_xll.BDP($A273&amp;" Corp","ID_CUSIP")</f>
        <v>EK3855781</v>
      </c>
      <c r="C273" s="186">
        <f>+_xll.BDP($B273 &amp; " Corp","MTY_YEARS")</f>
        <v>14.984257357973991</v>
      </c>
      <c r="D273" s="226" t="str">
        <f>+_xll.BDP($B273 &amp; "@RIAY Corp","DUR_BID")</f>
        <v>#N/A N/A</v>
      </c>
      <c r="E273" s="226" t="str">
        <f>+_xll.BDP(LEFT(B273,8) &amp; "@RIAY Corp","BID_YIELD")</f>
        <v>#N/A Real Time</v>
      </c>
      <c r="F273" s="107" t="str">
        <f>+_xll.BDP(LEFT(B273,8) &amp; "@RIAY Corp","TRADE_CRNCY")</f>
        <v>CLF</v>
      </c>
      <c r="G273" s="199" t="str">
        <f ca="1">+IFERROR((E273-IF(F273="CLF",[4]!CERCHA($D273,'Curva Gobierno'!$D$2:$E$38,0),[4]!CERCHA($D273,'Curva Gobierno'!$J$2:$K$22)))*100,"")</f>
        <v/>
      </c>
    </row>
    <row r="274" spans="1:7">
      <c r="A274" t="s">
        <v>953</v>
      </c>
      <c r="B274" s="218" t="str">
        <f>+_xll.BDP($A274&amp;" Corp","ID_CUSIP")</f>
        <v>EK4360732</v>
      </c>
      <c r="C274" s="186">
        <f>+_xll.BDP($B274 &amp; " Corp","MTY_YEARS")</f>
        <v>17.478439425051334</v>
      </c>
      <c r="D274" s="226" t="str">
        <f>+_xll.BDP($B274 &amp; "@RIAY Corp","DUR_BID")</f>
        <v>#N/A N/A</v>
      </c>
      <c r="E274" s="226" t="str">
        <f>+_xll.BDP(LEFT(B274,8) &amp; "@RIAY Corp","BID_YIELD")</f>
        <v>#N/A Real Time</v>
      </c>
      <c r="F274" s="107" t="str">
        <f>+_xll.BDP(LEFT(B274,8) &amp; "@RIAY Corp","TRADE_CRNCY")</f>
        <v>CLF</v>
      </c>
      <c r="G274" s="199" t="str">
        <f ca="1">+IFERROR((E274-IF(F274="CLF",[4]!CERCHA($D274,'Curva Gobierno'!$D$2:$E$38,0),[4]!CERCHA($D274,'Curva Gobierno'!$J$2:$K$22)))*100,"")</f>
        <v/>
      </c>
    </row>
    <row r="275" spans="1:7">
      <c r="A275" t="s">
        <v>955</v>
      </c>
      <c r="B275" s="218" t="str">
        <f>+_xll.BDP($A275&amp;" Corp","ID_CUSIP")</f>
        <v>EK7507701</v>
      </c>
      <c r="C275" s="186">
        <f>+_xll.BDP($B275 &amp; " Corp","MTY_YEARS")</f>
        <v>19.274469541409992</v>
      </c>
      <c r="D275" s="226" t="str">
        <f>+_xll.BDP($B275 &amp; "@RIAY Corp","DUR_BID")</f>
        <v>#N/A N/A</v>
      </c>
      <c r="E275" s="226" t="str">
        <f>+_xll.BDP(LEFT(B275,8) &amp; "@RIAY Corp","BID_YIELD")</f>
        <v>#N/A Real Time</v>
      </c>
      <c r="F275" s="107" t="str">
        <f>+_xll.BDP(LEFT(B275,8) &amp; "@RIAY Corp","TRADE_CRNCY")</f>
        <v>CLF</v>
      </c>
      <c r="G275" s="199" t="str">
        <f ca="1">+IFERROR((E275-IF(F275="CLF",[4]!CERCHA($D275,'Curva Gobierno'!$D$2:$E$38,0),[4]!CERCHA($D275,'Curva Gobierno'!$J$2:$K$22)))*100,"")</f>
        <v/>
      </c>
    </row>
    <row r="276" spans="1:7">
      <c r="A276" t="s">
        <v>950</v>
      </c>
      <c r="B276" s="218" t="str">
        <f>+_xll.BDP($A276&amp;" Corp","ID_CUSIP")</f>
        <v>EK7479638</v>
      </c>
      <c r="C276" s="186">
        <f>+_xll.BDP($B276 &amp; " Corp","MTY_YEARS")</f>
        <v>14.52703627652293</v>
      </c>
      <c r="D276" s="226" t="str">
        <f>+_xll.BDP($B276 &amp; "@RIAY Corp","DUR_BID")</f>
        <v>#N/A N/A</v>
      </c>
      <c r="E276" s="226" t="str">
        <f>+_xll.BDP(LEFT(B276,8) &amp; "@RIAY Corp","BID_YIELD")</f>
        <v>#N/A Real Time</v>
      </c>
      <c r="F276" s="107" t="str">
        <f>+_xll.BDP(LEFT(B276,8) &amp; "@RIAY Corp","TRADE_CRNCY")</f>
        <v>CLF</v>
      </c>
      <c r="G276" s="199" t="str">
        <f ca="1">+IFERROR((E276-IF(F276="CLF",[4]!CERCHA($D276,'Curva Gobierno'!$D$2:$E$38,0),[4]!CERCHA($D276,'Curva Gobierno'!$J$2:$K$22)))*100,"")</f>
        <v/>
      </c>
    </row>
    <row r="277" spans="1:7">
      <c r="A277" t="s">
        <v>962</v>
      </c>
      <c r="B277" s="218" t="str">
        <f>+_xll.BDP($A277&amp;" Corp","ID_CUSIP")</f>
        <v>EJ9488465</v>
      </c>
      <c r="C277" s="186">
        <f>+_xll.BDP($B277 &amp; " Corp","MTY_YEARS")</f>
        <v>20.859685147159478</v>
      </c>
      <c r="D277" s="226" t="str">
        <f>+_xll.BDP($B277 &amp; "@RIAY Corp","DUR_BID")</f>
        <v>#N/A N/A</v>
      </c>
      <c r="E277" s="226" t="str">
        <f>+_xll.BDP(LEFT(B277,8) &amp; "@RIAY Corp","BID_YIELD")</f>
        <v>#N/A Real Time</v>
      </c>
      <c r="F277" s="107" t="str">
        <f>+_xll.BDP(LEFT(B277,8) &amp; "@RIAY Corp","TRADE_CRNCY")</f>
        <v>CLF</v>
      </c>
      <c r="G277" s="199" t="str">
        <f ca="1">+IFERROR((E277-IF(F277="CLF",[4]!CERCHA($D277,'Curva Gobierno'!$D$2:$E$38,0),[4]!CERCHA($D277,'Curva Gobierno'!$J$2:$K$22)))*100,"")</f>
        <v/>
      </c>
    </row>
    <row r="278" spans="1:7">
      <c r="A278" t="s">
        <v>966</v>
      </c>
      <c r="B278" s="218" t="str">
        <f>+_xll.BDP($A278&amp;" Corp","ID_CUSIP")</f>
        <v>EK3730976</v>
      </c>
      <c r="C278" s="186">
        <f>+_xll.BDP($B278 &amp; " Corp","MTY_YEARS")</f>
        <v>17.519507186858316</v>
      </c>
      <c r="D278" s="226" t="str">
        <f>+_xll.BDP($B278 &amp; "@RIAY Corp","DUR_BID")</f>
        <v>#N/A N/A</v>
      </c>
      <c r="E278" s="226" t="str">
        <f>+_xll.BDP(LEFT(B278,8) &amp; "@RIAY Corp","BID_YIELD")</f>
        <v>#N/A Real Time</v>
      </c>
      <c r="F278" s="107" t="str">
        <f>+_xll.BDP(LEFT(B278,8) &amp; "@RIAY Corp","TRADE_CRNCY")</f>
        <v>CLF</v>
      </c>
      <c r="G278" s="199" t="str">
        <f ca="1">+IFERROR((E278-IF(F278="CLF",[4]!CERCHA($D278,'Curva Gobierno'!$D$2:$E$38,0),[4]!CERCHA($D278,'Curva Gobierno'!$J$2:$K$22)))*100,"")</f>
        <v/>
      </c>
    </row>
    <row r="279" spans="1:7">
      <c r="A279" t="s">
        <v>1027</v>
      </c>
      <c r="B279" s="218" t="str">
        <f>+_xll.BDP($A279&amp;" Corp","ID_CUSIP")</f>
        <v>EK4594579</v>
      </c>
      <c r="C279" s="186">
        <f>+_xll.BDP($B279 &amp; " Corp","MTY_YEARS")</f>
        <v>17.661875427789184</v>
      </c>
      <c r="D279" s="226" t="str">
        <f>+_xll.BDP($B279 &amp; "@RIAY Corp","DUR_BID")</f>
        <v>#N/A N/A</v>
      </c>
      <c r="E279" s="226" t="str">
        <f>+_xll.BDP(LEFT(B279,8) &amp; "@RIAY Corp","BID_YIELD")</f>
        <v>#N/A Real Time</v>
      </c>
      <c r="F279" s="107" t="str">
        <f>+_xll.BDP(LEFT(B279,8) &amp; "@RIAY Corp","TRADE_CRNCY")</f>
        <v>CLF</v>
      </c>
      <c r="G279" s="199" t="str">
        <f ca="1">+IFERROR((E279-IF(F279="CLF",[4]!CERCHA($D279,'Curva Gobierno'!$D$2:$E$38,0),[4]!CERCHA($D279,'Curva Gobierno'!$J$2:$K$22)))*100,"")</f>
        <v/>
      </c>
    </row>
    <row r="280" spans="1:7">
      <c r="A280" t="s">
        <v>1239</v>
      </c>
      <c r="B280" s="218" t="str">
        <f>+_xll.BDP($A280&amp;" Corp","ID_CUSIP")</f>
        <v>EI7700277</v>
      </c>
      <c r="C280" s="186">
        <f>+_xll.BDP($B280 &amp; " Corp","MTY_YEARS")</f>
        <v>18.609171800136892</v>
      </c>
      <c r="D280" s="226" t="str">
        <f>+_xll.BDP($B280 &amp; "@RIAY Corp","DUR_BID")</f>
        <v>#N/A N/A</v>
      </c>
      <c r="E280" s="226" t="str">
        <f>+_xll.BDP(LEFT(B280,8) &amp; "@RIAY Corp","BID_YIELD")</f>
        <v>#N/A Real Time</v>
      </c>
      <c r="F280" s="107" t="str">
        <f>+_xll.BDP(LEFT(B280,8) &amp; "@RIAY Corp","TRADE_CRNCY")</f>
        <v>CLF</v>
      </c>
      <c r="G280" s="199" t="str">
        <f ca="1">+IFERROR((E280-IF(F280="CLF",[4]!CERCHA($D280,'Curva Gobierno'!$D$2:$E$38,0),[4]!CERCHA($D280,'Curva Gobierno'!$J$2:$K$22)))*100,"")</f>
        <v/>
      </c>
    </row>
    <row r="281" spans="1:7">
      <c r="A281" t="s">
        <v>970</v>
      </c>
      <c r="B281" s="218" t="str">
        <f>+_xll.BDP($A281&amp;" Corp","ID_CUSIP")</f>
        <v>EK2712934</v>
      </c>
      <c r="C281" s="186">
        <f>+_xll.BDP($B281 &amp; " Corp","MTY_YEARS")</f>
        <v>21.357973990417523</v>
      </c>
      <c r="D281" s="226" t="str">
        <f>+_xll.BDP($B281 &amp; "@RIAY Corp","DUR_BID")</f>
        <v>#N/A N/A</v>
      </c>
      <c r="E281" s="226" t="str">
        <f>+_xll.BDP(LEFT(B281,8) &amp; "@RIAY Corp","BID_YIELD")</f>
        <v>#N/A Real Time</v>
      </c>
      <c r="F281" s="107" t="str">
        <f>+_xll.BDP(LEFT(B281,8) &amp; "@RIAY Corp","TRADE_CRNCY")</f>
        <v>CLF</v>
      </c>
      <c r="G281" s="199" t="str">
        <f ca="1">+IFERROR((E281-IF(F281="CLF",[4]!CERCHA($D281,'Curva Gobierno'!$D$2:$E$38,0),[4]!CERCHA($D281,'Curva Gobierno'!$J$2:$K$22)))*100,"")</f>
        <v/>
      </c>
    </row>
    <row r="282" spans="1:7">
      <c r="A282" t="s">
        <v>1180</v>
      </c>
      <c r="B282" s="218" t="str">
        <f>+_xll.BDP($A282&amp;" Corp","ID_CUSIP")</f>
        <v>AL9559454</v>
      </c>
      <c r="C282" s="186">
        <f>+_xll.BDP($B282 &amp; " Corp","MTY_YEARS")</f>
        <v>23.898699520876111</v>
      </c>
      <c r="D282" s="226" t="str">
        <f>+_xll.BDP($B282 &amp; "@RIAY Corp","DUR_BID")</f>
        <v>#N/A N/A</v>
      </c>
      <c r="E282" s="226" t="str">
        <f>+_xll.BDP(LEFT(B282,8) &amp; "@RIAY Corp","BID_YIELD")</f>
        <v>#N/A Real Time</v>
      </c>
      <c r="F282" s="107" t="str">
        <f>+_xll.BDP(LEFT(B282,8) &amp; "@RIAY Corp","TRADE_CRNCY")</f>
        <v>CLF</v>
      </c>
      <c r="G282" s="199" t="str">
        <f ca="1">+IFERROR((E282-IF(F282="CLF",[4]!CERCHA($D282,'Curva Gobierno'!$D$2:$E$38,0),[4]!CERCHA($D282,'Curva Gobierno'!$J$2:$K$22)))*100,"")</f>
        <v/>
      </c>
    </row>
    <row r="283" spans="1:7">
      <c r="A283" t="s">
        <v>972</v>
      </c>
      <c r="B283" s="218" t="str">
        <f>+_xll.BDP($A283&amp;" Corp","ID_CUSIP")</f>
        <v>EK8255433</v>
      </c>
      <c r="C283" s="186">
        <f>+_xll.BDP($B283 &amp; " Corp","MTY_YEARS")</f>
        <v>21.943874058863791</v>
      </c>
      <c r="D283" s="226" t="str">
        <f>+_xll.BDP($B283 &amp; "@RIAY Corp","DUR_BID")</f>
        <v>#N/A N/A</v>
      </c>
      <c r="E283" s="226" t="str">
        <f>+_xll.BDP(LEFT(B283,8) &amp; "@RIAY Corp","BID_YIELD")</f>
        <v>#N/A Real Time</v>
      </c>
      <c r="F283" s="107" t="str">
        <f>+_xll.BDP(LEFT(B283,8) &amp; "@RIAY Corp","TRADE_CRNCY")</f>
        <v>CLF</v>
      </c>
      <c r="G283" s="199" t="str">
        <f ca="1">+IFERROR((E283-IF(F283="CLF",[4]!CERCHA($D283,'Curva Gobierno'!$D$2:$E$38,0),[4]!CERCHA($D283,'Curva Gobierno'!$J$2:$K$22)))*100,"")</f>
        <v/>
      </c>
    </row>
    <row r="284" spans="1:7">
      <c r="A284" t="s">
        <v>189</v>
      </c>
      <c r="B284" s="218" t="str">
        <f>+_xll.BDP($A284&amp;" Corp","ID_CUSIP")</f>
        <v>EJ1032535</v>
      </c>
      <c r="G284" s="199" t="str">
        <f>+IFERROR((E284-IF(F284="CLF",[4]!CERCHA($D284,'Curva Gobierno'!$D$2:$E$38,0),[4]!CERCHA($D284,'Curva Gobierno'!$J$2:$K$22)))*100,"")</f>
        <v/>
      </c>
    </row>
    <row r="285" spans="1:7">
      <c r="A285" t="s">
        <v>190</v>
      </c>
      <c r="B285" s="218" t="str">
        <f>+_xll.BDP($A285&amp;" Corp","ID_CUSIP")</f>
        <v>EG4578647</v>
      </c>
      <c r="G285" s="199" t="str">
        <f>+IFERROR((E285-IF(F285="CLF",[4]!CERCHA($D285,'Curva Gobierno'!$D$2:$E$38,0),[4]!CERCHA($D285,'Curva Gobierno'!$J$2:$K$22)))*100,"")</f>
        <v/>
      </c>
    </row>
    <row r="286" spans="1:7">
      <c r="A286" t="s">
        <v>46</v>
      </c>
      <c r="B286" s="218" t="str">
        <f>+_xll.BDP($A286&amp;" Corp","ID_CUSIP")</f>
        <v>EI3392418</v>
      </c>
      <c r="G286" s="199" t="str">
        <f>+IFERROR((E286-IF(F286="CLF",[4]!CERCHA($D286,'Curva Gobierno'!$D$2:$E$38,0),[4]!CERCHA($D286,'Curva Gobierno'!$J$2:$K$22)))*100,"")</f>
        <v/>
      </c>
    </row>
    <row r="287" spans="1:7">
      <c r="A287" t="s">
        <v>192</v>
      </c>
      <c r="B287" s="218" t="str">
        <f>+_xll.BDP($A287&amp;" Corp","ID_CUSIP")</f>
        <v>EH1983582</v>
      </c>
      <c r="G287" s="199" t="str">
        <f>+IFERROR((E287-IF(F287="CLF",[4]!CERCHA($D287,'Curva Gobierno'!$D$2:$E$38,0),[4]!CERCHA($D287,'Curva Gobierno'!$J$2:$K$22)))*100,"")</f>
        <v/>
      </c>
    </row>
    <row r="288" spans="1:7">
      <c r="A288" t="s">
        <v>193</v>
      </c>
      <c r="B288" s="218" t="str">
        <f>+_xll.BDP($A288&amp;" Corp","ID_CUSIP")</f>
        <v>EJ5914910</v>
      </c>
      <c r="G288" s="199" t="str">
        <f>+IFERROR((E288-IF(F288="CLF",[4]!CERCHA($D288,'Curva Gobierno'!$D$2:$E$38,0),[4]!CERCHA($D288,'Curva Gobierno'!$J$2:$K$22)))*100,"")</f>
        <v/>
      </c>
    </row>
    <row r="289" spans="1:7">
      <c r="A289" t="s">
        <v>36</v>
      </c>
      <c r="B289" s="218" t="str">
        <f>+_xll.BDP($A289&amp;" Corp","ID_CUSIP")</f>
        <v>EH4715783</v>
      </c>
      <c r="G289" s="199" t="str">
        <f>+IFERROR((E289-IF(F289="CLF",[4]!CERCHA($D289,'Curva Gobierno'!$D$2:$E$38,0),[4]!CERCHA($D289,'Curva Gobierno'!$J$2:$K$22)))*100,"")</f>
        <v/>
      </c>
    </row>
    <row r="290" spans="1:7">
      <c r="A290" t="s">
        <v>194</v>
      </c>
      <c r="B290" s="218" t="str">
        <f>+_xll.BDP($A290&amp;" Corp","ID_CUSIP")</f>
        <v>EJ8009346</v>
      </c>
      <c r="G290" s="199" t="str">
        <f>+IFERROR((E290-IF(F290="CLF",[4]!CERCHA($D290,'Curva Gobierno'!$D$2:$E$38,0),[4]!CERCHA($D290,'Curva Gobierno'!$J$2:$K$22)))*100,"")</f>
        <v/>
      </c>
    </row>
    <row r="291" spans="1:7">
      <c r="A291" t="s">
        <v>195</v>
      </c>
      <c r="B291" s="218" t="str">
        <f>+_xll.BDP($A291&amp;" Corp","ID_CUSIP")</f>
        <v>EH6092934</v>
      </c>
      <c r="G291" s="199" t="str">
        <f>+IFERROR((E291-IF(F291="CLF",[4]!CERCHA($D291,'Curva Gobierno'!$D$2:$E$38,0),[4]!CERCHA($D291,'Curva Gobierno'!$J$2:$K$22)))*100,"")</f>
        <v/>
      </c>
    </row>
    <row r="292" spans="1:7">
      <c r="A292" t="s">
        <v>78</v>
      </c>
      <c r="B292" s="218" t="str">
        <f>+_xll.BDP($A292&amp;" Corp","ID_CUSIP")</f>
        <v>EJ0489819</v>
      </c>
      <c r="G292" s="199" t="str">
        <f>+IFERROR((E292-IF(F292="CLF",[4]!CERCHA($D292,'Curva Gobierno'!$D$2:$E$38,0),[4]!CERCHA($D292,'Curva Gobierno'!$J$2:$K$22)))*100,"")</f>
        <v/>
      </c>
    </row>
    <row r="293" spans="1:7">
      <c r="A293" t="s">
        <v>196</v>
      </c>
      <c r="B293" s="218" t="str">
        <f>+_xll.BDP($A293&amp;" Corp","ID_CUSIP")</f>
        <v>EH8469296</v>
      </c>
      <c r="G293" s="199" t="str">
        <f>+IFERROR((E293-IF(F293="CLF",[4]!CERCHA($D293,'Curva Gobierno'!$D$2:$E$38,0),[4]!CERCHA($D293,'Curva Gobierno'!$J$2:$K$22)))*100,"")</f>
        <v/>
      </c>
    </row>
    <row r="294" spans="1:7">
      <c r="A294" t="s">
        <v>197</v>
      </c>
      <c r="B294" s="218" t="str">
        <f>+_xll.BDP($A294&amp;" Corp","ID_CUSIP")</f>
        <v>EH9055342</v>
      </c>
      <c r="G294" s="199" t="str">
        <f>+IFERROR((E294-IF(F294="CLF",[4]!CERCHA($D294,'Curva Gobierno'!$D$2:$E$38,0),[4]!CERCHA($D294,'Curva Gobierno'!$J$2:$K$22)))*100,"")</f>
        <v/>
      </c>
    </row>
    <row r="295" spans="1:7">
      <c r="A295" t="s">
        <v>45</v>
      </c>
      <c r="B295" s="218" t="str">
        <f>+_xll.BDP($A295&amp;" Corp","ID_CUSIP")</f>
        <v>EI1204508</v>
      </c>
      <c r="G295" s="199" t="str">
        <f>+IFERROR((E295-IF(F295="CLF",[4]!CERCHA($D295,'Curva Gobierno'!$D$2:$E$38,0),[4]!CERCHA($D295,'Curva Gobierno'!$J$2:$K$22)))*100,"")</f>
        <v/>
      </c>
    </row>
    <row r="296" spans="1:7">
      <c r="A296" t="s">
        <v>34</v>
      </c>
      <c r="B296" s="218" t="str">
        <f>+_xll.BDP($A296&amp;" Corp","ID_CUSIP")</f>
        <v>EI5778432</v>
      </c>
      <c r="G296" s="199" t="str">
        <f>+IFERROR((E296-IF(F296="CLF",[4]!CERCHA($D296,'Curva Gobierno'!$D$2:$E$38,0),[4]!CERCHA($D296,'Curva Gobierno'!$J$2:$K$22)))*100,"")</f>
        <v/>
      </c>
    </row>
    <row r="297" spans="1:7">
      <c r="A297" t="s">
        <v>159</v>
      </c>
      <c r="B297" s="218" t="str">
        <f>+_xll.BDP($A297&amp;" Corp","ID_CUSIP")</f>
        <v>UV7650293</v>
      </c>
      <c r="G297" s="199" t="str">
        <f>+IFERROR((E297-IF(F297="CLF",[4]!CERCHA($D297,'Curva Gobierno'!$D$2:$E$38,0),[4]!CERCHA($D297,'Curva Gobierno'!$J$2:$K$22)))*100,"")</f>
        <v/>
      </c>
    </row>
    <row r="298" spans="1:7">
      <c r="A298" t="s">
        <v>198</v>
      </c>
      <c r="B298" s="218" t="str">
        <f>+_xll.BDP($A298&amp;" Corp","ID_CUSIP")</f>
        <v>EJ0411631</v>
      </c>
      <c r="G298" s="199" t="str">
        <f>+IFERROR((E298-IF(F298="CLF",[4]!CERCHA($D298,'Curva Gobierno'!$D$2:$E$38,0),[4]!CERCHA($D298,'Curva Gobierno'!$J$2:$K$22)))*100,"")</f>
        <v/>
      </c>
    </row>
    <row r="299" spans="1:7">
      <c r="A299" t="s">
        <v>35</v>
      </c>
      <c r="B299" s="218" t="str">
        <f>+_xll.BDP($A299&amp;" Corp","ID_CUSIP")</f>
        <v>EJ0945984</v>
      </c>
      <c r="G299" s="199" t="str">
        <f>+IFERROR((E299-IF(F299="CLF",[4]!CERCHA($D299,'Curva Gobierno'!$D$2:$E$38,0),[4]!CERCHA($D299,'Curva Gobierno'!$J$2:$K$22)))*100,"")</f>
        <v/>
      </c>
    </row>
    <row r="300" spans="1:7">
      <c r="A300" t="s">
        <v>199</v>
      </c>
      <c r="B300" s="218" t="str">
        <f>+_xll.BDP($A300&amp;" Corp","ID_CUSIP")</f>
        <v>EC6837925</v>
      </c>
      <c r="G300" s="199" t="str">
        <f>+IFERROR((E300-IF(F300="CLF",[4]!CERCHA($D300,'Curva Gobierno'!$D$2:$E$38,0),[4]!CERCHA($D300,'Curva Gobierno'!$J$2:$K$22)))*100,"")</f>
        <v/>
      </c>
    </row>
    <row r="301" spans="1:7">
      <c r="A301" t="s">
        <v>200</v>
      </c>
      <c r="B301" s="218" t="str">
        <f>+_xll.BDP($A301&amp;" Corp","ID_CUSIP")</f>
        <v>EJ5915065</v>
      </c>
      <c r="G301" s="199" t="str">
        <f>+IFERROR((E301-IF(F301="CLF",[4]!CERCHA($D301,'Curva Gobierno'!$D$2:$E$38,0),[4]!CERCHA($D301,'Curva Gobierno'!$J$2:$K$22)))*100,"")</f>
        <v/>
      </c>
    </row>
    <row r="302" spans="1:7">
      <c r="A302" t="s">
        <v>48</v>
      </c>
      <c r="B302" s="218" t="str">
        <f>+_xll.BDP($A302&amp;" Corp","ID_CUSIP")</f>
        <v>ED1813952</v>
      </c>
      <c r="G302" s="199" t="str">
        <f>+IFERROR((E302-IF(F302="CLF",[4]!CERCHA($D302,'Curva Gobierno'!$D$2:$E$38,0),[4]!CERCHA($D302,'Curva Gobierno'!$J$2:$K$22)))*100,"")</f>
        <v/>
      </c>
    </row>
    <row r="303" spans="1:7">
      <c r="A303" t="s">
        <v>20</v>
      </c>
      <c r="B303" s="218" t="str">
        <f>+_xll.BDP($A303&amp;" Corp","ID_CUSIP")</f>
        <v>EK2747740</v>
      </c>
      <c r="G303" s="199" t="str">
        <f>+IFERROR((E303-IF(F303="CLF",[4]!CERCHA($D303,'Curva Gobierno'!$D$2:$E$38,0),[4]!CERCHA($D303,'Curva Gobierno'!$J$2:$K$22)))*100,"")</f>
        <v/>
      </c>
    </row>
    <row r="304" spans="1:7">
      <c r="A304" t="s">
        <v>47</v>
      </c>
      <c r="B304" s="218" t="str">
        <f>+_xll.BDP($A304&amp;" Corp","ID_CUSIP")</f>
        <v>ED6186032</v>
      </c>
      <c r="G304" s="199" t="str">
        <f>+IFERROR((E304-IF(F304="CLF",[4]!CERCHA($D304,'Curva Gobierno'!$D$2:$E$38,0),[4]!CERCHA($D304,'Curva Gobierno'!$J$2:$K$22)))*100,"")</f>
        <v/>
      </c>
    </row>
    <row r="305" spans="1:7">
      <c r="A305" t="s">
        <v>44</v>
      </c>
      <c r="B305" s="218" t="str">
        <f>+_xll.BDP($A305&amp;" Corp","ID_CUSIP")</f>
        <v>EF1176546</v>
      </c>
      <c r="G305" s="199" t="str">
        <f>+IFERROR((E305-IF(F305="CLF",[4]!CERCHA($D305,'Curva Gobierno'!$D$2:$E$38,0),[4]!CERCHA($D305,'Curva Gobierno'!$J$2:$K$22)))*100,"")</f>
        <v/>
      </c>
    </row>
    <row r="306" spans="1:7">
      <c r="A306" t="s">
        <v>19</v>
      </c>
      <c r="B306" s="218" t="str">
        <f>+_xll.BDP($A306&amp;" Corp","ID_CUSIP")</f>
        <v>EK9297863</v>
      </c>
      <c r="G306" s="199" t="str">
        <f>+IFERROR((E306-IF(F306="CLF",[4]!CERCHA($D306,'Curva Gobierno'!$D$2:$E$38,0),[4]!CERCHA($D306,'Curva Gobierno'!$J$2:$K$22)))*100,"")</f>
        <v/>
      </c>
    </row>
    <row r="307" spans="1:7">
      <c r="A307" t="s">
        <v>201</v>
      </c>
      <c r="B307" s="218" t="str">
        <f>+_xll.BDP($A307&amp;" Corp","ID_CUSIP")</f>
        <v>EG3160462</v>
      </c>
      <c r="G307" s="199" t="str">
        <f>+IFERROR((E307-IF(F307="CLF",[4]!CERCHA($D307,'Curva Gobierno'!$D$2:$E$38,0),[4]!CERCHA($D307,'Curva Gobierno'!$J$2:$K$22)))*100,"")</f>
        <v/>
      </c>
    </row>
    <row r="308" spans="1:7">
      <c r="A308" t="s">
        <v>202</v>
      </c>
      <c r="B308" s="218" t="str">
        <f>+_xll.BDP($A308&amp;" Corp","ID_CUSIP")</f>
        <v>EH2852125</v>
      </c>
      <c r="G308" s="199" t="str">
        <f>+IFERROR((E308-IF(F308="CLF",[4]!CERCHA($D308,'Curva Gobierno'!$D$2:$E$38,0),[4]!CERCHA($D308,'Curva Gobierno'!$J$2:$K$22)))*100,"")</f>
        <v/>
      </c>
    </row>
    <row r="309" spans="1:7">
      <c r="A309" t="s">
        <v>203</v>
      </c>
      <c r="B309" s="218" t="str">
        <f>+_xll.BDP($A309&amp;" Corp","ID_CUSIP")</f>
        <v>EH3773106</v>
      </c>
      <c r="G309" s="199" t="str">
        <f>+IFERROR((E309-IF(F309="CLF",[4]!CERCHA($D309,'Curva Gobierno'!$D$2:$E$38,0),[4]!CERCHA($D309,'Curva Gobierno'!$J$2:$K$22)))*100,"")</f>
        <v/>
      </c>
    </row>
    <row r="310" spans="1:7">
      <c r="A310" t="s">
        <v>204</v>
      </c>
      <c r="B310" s="218" t="str">
        <f>+_xll.BDP($A310&amp;" Corp","ID_CUSIP")</f>
        <v>EH7713298</v>
      </c>
      <c r="G310" s="199" t="str">
        <f>+IFERROR((E310-IF(F310="CLF",[4]!CERCHA($D310,'Curva Gobierno'!$D$2:$E$38,0),[4]!CERCHA($D310,'Curva Gobierno'!$J$2:$K$22)))*100,"")</f>
        <v/>
      </c>
    </row>
    <row r="311" spans="1:7">
      <c r="A311" t="s">
        <v>205</v>
      </c>
      <c r="B311" s="218" t="str">
        <f>+_xll.BDP($A311&amp;" Corp","ID_CUSIP")</f>
        <v>EI1297627</v>
      </c>
      <c r="G311" s="199" t="str">
        <f>+IFERROR((E311-IF(F311="CLF",[4]!CERCHA($D311,'Curva Gobierno'!$D$2:$E$38,0),[4]!CERCHA($D311,'Curva Gobierno'!$J$2:$K$22)))*100,"")</f>
        <v/>
      </c>
    </row>
    <row r="312" spans="1:7">
      <c r="A312" t="s">
        <v>206</v>
      </c>
      <c r="B312" s="218" t="str">
        <f>+_xll.BDP($A312&amp;" Corp","ID_CUSIP")</f>
        <v>EI5810169</v>
      </c>
      <c r="G312" s="199" t="str">
        <f>+IFERROR((E312-IF(F312="CLF",[4]!CERCHA($D312,'Curva Gobierno'!$D$2:$E$38,0),[4]!CERCHA($D312,'Curva Gobierno'!$J$2:$K$22)))*100,"")</f>
        <v/>
      </c>
    </row>
    <row r="313" spans="1:7">
      <c r="A313" t="s">
        <v>207</v>
      </c>
      <c r="B313" s="218" t="str">
        <f>+_xll.BDP($A313&amp;" Corp","ID_CUSIP")</f>
        <v>EJ0411672</v>
      </c>
      <c r="G313" s="199" t="str">
        <f>+IFERROR((E313-IF(F313="CLF",[4]!CERCHA($D313,'Curva Gobierno'!$D$2:$E$38,0),[4]!CERCHA($D313,'Curva Gobierno'!$J$2:$K$22)))*100,"")</f>
        <v/>
      </c>
    </row>
    <row r="314" spans="1:7">
      <c r="A314" t="s">
        <v>21</v>
      </c>
      <c r="B314" s="218" t="str">
        <f>+_xll.BDP($A314&amp;" Corp","ID_CUSIP")</f>
        <v>EK2748045</v>
      </c>
      <c r="G314" s="199" t="str">
        <f>+IFERROR((E314-IF(F314="CLF",[4]!CERCHA($D314,'Curva Gobierno'!$D$2:$E$38,0),[4]!CERCHA($D314,'Curva Gobierno'!$J$2:$K$22)))*100,"")</f>
        <v/>
      </c>
    </row>
    <row r="315" spans="1:7">
      <c r="A315" t="s">
        <v>208</v>
      </c>
      <c r="B315" s="218" t="str">
        <f>+_xll.BDP($A315&amp;" Corp","ID_CUSIP")</f>
        <v>AF1683479</v>
      </c>
      <c r="G315" s="199" t="str">
        <f>+IFERROR((E315-IF(F315="CLF",[4]!CERCHA($D315,'Curva Gobierno'!$D$2:$E$38,0),[4]!CERCHA($D315,'Curva Gobierno'!$J$2:$K$22)))*100,"")</f>
        <v/>
      </c>
    </row>
    <row r="316" spans="1:7">
      <c r="A316" t="s">
        <v>209</v>
      </c>
      <c r="B316" s="218" t="str">
        <f>+_xll.BDP($A316&amp;" Corp","ID_CUSIP")</f>
        <v>EH2852448</v>
      </c>
      <c r="G316" s="199" t="str">
        <f>+IFERROR((E316-IF(F316="CLF",[4]!CERCHA($D316,'Curva Gobierno'!$D$2:$E$38,0),[4]!CERCHA($D316,'Curva Gobierno'!$J$2:$K$22)))*100,"")</f>
        <v/>
      </c>
    </row>
    <row r="317" spans="1:7">
      <c r="A317" t="s">
        <v>210</v>
      </c>
      <c r="B317" s="218" t="str">
        <f>+_xll.BDP($A317&amp;" Corp","ID_CUSIP")</f>
        <v>EH7713330</v>
      </c>
      <c r="G317" s="199" t="str">
        <f>+IFERROR((E317-IF(F317="CLF",[4]!CERCHA($D317,'Curva Gobierno'!$D$2:$E$38,0),[4]!CERCHA($D317,'Curva Gobierno'!$J$2:$K$22)))*100,"")</f>
        <v/>
      </c>
    </row>
    <row r="318" spans="1:7">
      <c r="A318" t="s">
        <v>211</v>
      </c>
      <c r="B318" s="218" t="str">
        <f>+_xll.BDP($A318&amp;" Corp","ID_CUSIP")</f>
        <v>EI1297700</v>
      </c>
      <c r="G318" s="199" t="str">
        <f>+IFERROR((E318-IF(F318="CLF",[4]!CERCHA($D318,'Curva Gobierno'!$D$2:$E$38,0),[4]!CERCHA($D318,'Curva Gobierno'!$J$2:$K$22)))*100,"")</f>
        <v/>
      </c>
    </row>
    <row r="319" spans="1:7">
      <c r="A319" t="s">
        <v>212</v>
      </c>
      <c r="B319" s="218" t="str">
        <f>+_xll.BDP($A319&amp;" Corp","ID_CUSIP")</f>
        <v>EI5810565</v>
      </c>
      <c r="G319" s="199" t="str">
        <f>+IFERROR((E319-IF(F319="CLF",[4]!CERCHA($D319,'Curva Gobierno'!$D$2:$E$38,0),[4]!CERCHA($D319,'Curva Gobierno'!$J$2:$K$22)))*100,"")</f>
        <v/>
      </c>
    </row>
    <row r="320" spans="1:7">
      <c r="A320" t="s">
        <v>213</v>
      </c>
      <c r="B320" s="218" t="str">
        <f>+_xll.BDP($A320&amp;" Corp","ID_CUSIP")</f>
        <v>EJ0489850</v>
      </c>
      <c r="G320" s="199" t="str">
        <f>+IFERROR((E320-IF(F320="CLF",[4]!CERCHA($D320,'Curva Gobierno'!$D$2:$E$38,0),[4]!CERCHA($D320,'Curva Gobierno'!$J$2:$K$22)))*100,"")</f>
        <v/>
      </c>
    </row>
    <row r="321" spans="1:7">
      <c r="A321" t="s">
        <v>214</v>
      </c>
      <c r="B321" s="218" t="str">
        <f>+_xll.BDP($A321&amp;" Corp","ID_CUSIP")</f>
        <v>EK2748466</v>
      </c>
      <c r="G321" s="199" t="str">
        <f>+IFERROR((E321-IF(F321="CLF",[4]!CERCHA($D321,'Curva Gobierno'!$D$2:$E$38,0),[4]!CERCHA($D321,'Curva Gobierno'!$J$2:$K$22)))*100,"")</f>
        <v/>
      </c>
    </row>
    <row r="322" spans="1:7">
      <c r="A322" t="s">
        <v>218</v>
      </c>
      <c r="B322" s="218" t="str">
        <f>+_xll.BDP($A322&amp;" Corp","ID_CUSIP")</f>
        <v>EG3160744</v>
      </c>
      <c r="G322" s="199" t="str">
        <f>+IFERROR((E322-IF(F322="CLF",[4]!CERCHA($D322,'Curva Gobierno'!$D$2:$E$38,0),[4]!CERCHA($D322,'Curva Gobierno'!$J$2:$K$22)))*100,"")</f>
        <v/>
      </c>
    </row>
    <row r="323" spans="1:7">
      <c r="A323" t="s">
        <v>219</v>
      </c>
      <c r="B323" s="218" t="str">
        <f>+_xll.BDP($A323&amp;" Corp","ID_CUSIP")</f>
        <v>EJ2378648</v>
      </c>
      <c r="G323" s="199" t="str">
        <f>+IFERROR((E323-IF(F323="CLF",[4]!CERCHA($D323,'Curva Gobierno'!$D$2:$E$38,0),[4]!CERCHA($D323,'Curva Gobierno'!$J$2:$K$22)))*100,"")</f>
        <v/>
      </c>
    </row>
    <row r="324" spans="1:7">
      <c r="A324" t="s">
        <v>220</v>
      </c>
      <c r="B324" s="218" t="str">
        <f>+_xll.BDP($A324&amp;" Corp","ID_CUSIP")</f>
        <v>EI5536426</v>
      </c>
      <c r="G324" s="199" t="str">
        <f>+IFERROR((E324-IF(F324="CLF",[4]!CERCHA($D324,'Curva Gobierno'!$D$2:$E$38,0),[4]!CERCHA($D324,'Curva Gobierno'!$J$2:$K$22)))*100,"")</f>
        <v/>
      </c>
    </row>
    <row r="325" spans="1:7">
      <c r="A325" t="s">
        <v>43</v>
      </c>
      <c r="B325" s="218" t="str">
        <f>+_xll.BDP($A325&amp;" Corp","ID_CUSIP")</f>
        <v>EH3050117</v>
      </c>
      <c r="G325" s="199" t="str">
        <f>+IFERROR((E325-IF(F325="CLF",[4]!CERCHA($D325,'Curva Gobierno'!$D$2:$E$38,0),[4]!CERCHA($D325,'Curva Gobierno'!$J$2:$K$22)))*100,"")</f>
        <v/>
      </c>
    </row>
    <row r="326" spans="1:7">
      <c r="A326" t="s">
        <v>222</v>
      </c>
      <c r="B326" s="218" t="str">
        <f>+_xll.BDP($A326&amp;" Corp","ID_CUSIP")</f>
        <v>EH3819040</v>
      </c>
      <c r="G326" s="199" t="str">
        <f>+IFERROR((E326-IF(F326="CLF",[4]!CERCHA($D326,'Curva Gobierno'!$D$2:$E$38,0),[4]!CERCHA($D326,'Curva Gobierno'!$J$2:$K$22)))*100,"")</f>
        <v/>
      </c>
    </row>
    <row r="327" spans="1:7">
      <c r="A327" t="s">
        <v>157</v>
      </c>
      <c r="B327" s="218" t="str">
        <f>+_xll.BDP($A327&amp;" Corp","ID_CUSIP")</f>
        <v>EJ7165362</v>
      </c>
      <c r="G327" s="199" t="str">
        <f>+IFERROR((E327-IF(F327="CLF",[4]!CERCHA($D327,'Curva Gobierno'!$D$2:$E$38,0),[4]!CERCHA($D327,'Curva Gobierno'!$J$2:$K$22)))*100,"")</f>
        <v/>
      </c>
    </row>
    <row r="328" spans="1:7">
      <c r="A328" t="s">
        <v>41</v>
      </c>
      <c r="B328" s="218" t="str">
        <f>+_xll.BDP($A328&amp;" Corp","ID_CUSIP")</f>
        <v>EK2747328</v>
      </c>
      <c r="G328" s="199" t="str">
        <f>+IFERROR((E328-IF(F328="CLF",[4]!CERCHA($D328,'Curva Gobierno'!$D$2:$E$38,0),[4]!CERCHA($D328,'Curva Gobierno'!$J$2:$K$22)))*100,"")</f>
        <v/>
      </c>
    </row>
    <row r="329" spans="1:7">
      <c r="A329" t="s">
        <v>223</v>
      </c>
      <c r="B329" s="218" t="str">
        <f>+_xll.BDP($A329&amp;" Corp","ID_CUSIP")</f>
        <v>EI1204540</v>
      </c>
      <c r="G329" s="199" t="str">
        <f>+IFERROR((E329-IF(F329="CLF",[4]!CERCHA($D329,'Curva Gobierno'!$D$2:$E$38,0),[4]!CERCHA($D329,'Curva Gobierno'!$J$2:$K$22)))*100,"")</f>
        <v/>
      </c>
    </row>
    <row r="330" spans="1:7">
      <c r="A330" t="s">
        <v>224</v>
      </c>
      <c r="B330" s="218" t="str">
        <f>+_xll.BDP($A330&amp;" Corp","ID_CUSIP")</f>
        <v>EK8475684</v>
      </c>
      <c r="G330" s="199" t="str">
        <f>+IFERROR((E330-IF(F330="CLF",[4]!CERCHA($D330,'Curva Gobierno'!$D$2:$E$38,0),[4]!CERCHA($D330,'Curva Gobierno'!$J$2:$K$22)))*100,"")</f>
        <v/>
      </c>
    </row>
    <row r="331" spans="1:7">
      <c r="A331" t="s">
        <v>33</v>
      </c>
      <c r="B331" s="218" t="str">
        <f>+_xll.BDP($A331&amp;" Corp","ID_CUSIP")</f>
        <v>EK9364440</v>
      </c>
      <c r="G331" s="199" t="str">
        <f>+IFERROR((E331-IF(F331="CLF",[4]!CERCHA($D331,'Curva Gobierno'!$D$2:$E$38,0),[4]!CERCHA($D331,'Curva Gobierno'!$J$2:$K$22)))*100,"")</f>
        <v/>
      </c>
    </row>
    <row r="332" spans="1:7">
      <c r="A332" t="s">
        <v>158</v>
      </c>
      <c r="B332" s="218" t="str">
        <f>+_xll.BDP($A332&amp;" Corp","ID_CUSIP")</f>
        <v>EI5778234</v>
      </c>
      <c r="G332" s="199" t="str">
        <f>+IFERROR((E332-IF(F332="CLF",[4]!CERCHA($D332,'Curva Gobierno'!$D$2:$E$38,0),[4]!CERCHA($D332,'Curva Gobierno'!$J$2:$K$22)))*100,"")</f>
        <v/>
      </c>
    </row>
    <row r="333" spans="1:7">
      <c r="A333" t="s">
        <v>1293</v>
      </c>
      <c r="B333" s="218" t="str">
        <f>+_xll.BDP($A333&amp;" Corp","ID_CUSIP")</f>
        <v>AM0179466</v>
      </c>
      <c r="G333" s="199" t="str">
        <f>+IFERROR((E333-IF(F333="CLF",[4]!CERCHA($D333,'Curva Gobierno'!$D$2:$E$38,0),[4]!CERCHA($D333,'Curva Gobierno'!$J$2:$K$22)))*100,"")</f>
        <v/>
      </c>
    </row>
    <row r="334" spans="1:7">
      <c r="A334" t="s">
        <v>356</v>
      </c>
      <c r="B334" s="218" t="str">
        <f>+_xll.BDP($A334&amp;" Corp","ID_CUSIP")</f>
        <v>JK9502879</v>
      </c>
      <c r="G334" s="199" t="str">
        <f>+IFERROR((E334-IF(F334="CLF",[4]!CERCHA($D334,'Curva Gobierno'!$D$2:$E$38,0),[4]!CERCHA($D334,'Curva Gobierno'!$J$2:$K$22)))*100,"")</f>
        <v/>
      </c>
    </row>
    <row r="335" spans="1:7">
      <c r="A335" t="s">
        <v>42</v>
      </c>
      <c r="B335" s="218" t="str">
        <f>+_xll.BDP($A335&amp;" Corp","ID_CUSIP")</f>
        <v>EJ0411557</v>
      </c>
      <c r="G335" s="199" t="str">
        <f>+IFERROR((E335-IF(F335="CLF",[4]!CERCHA($D335,'Curva Gobierno'!$D$2:$E$38,0),[4]!CERCHA($D335,'Curva Gobierno'!$J$2:$K$22)))*100,"")</f>
        <v/>
      </c>
    </row>
    <row r="336" spans="1:7">
      <c r="A336" t="s">
        <v>13</v>
      </c>
      <c r="B336" s="218" t="str">
        <f>+_xll.BDP($A336&amp;" Corp","ID_CUSIP")</f>
        <v>EJ1110612</v>
      </c>
      <c r="G336" s="199" t="str">
        <f>+IFERROR((E336-IF(F336="CLF",[4]!CERCHA($D336,'Curva Gobierno'!$D$2:$E$38,0),[4]!CERCHA($D336,'Curva Gobierno'!$J$2:$K$22)))*100,"")</f>
        <v/>
      </c>
    </row>
    <row r="337" spans="1:7">
      <c r="A337" t="s">
        <v>14</v>
      </c>
      <c r="B337" s="218" t="str">
        <f>+_xll.BDP($A337&amp;" Corp","ID_CUSIP")</f>
        <v>EJ5914415</v>
      </c>
      <c r="G337" s="199" t="str">
        <f>+IFERROR((E337-IF(F337="CLF",[4]!CERCHA($D337,'Curva Gobierno'!$D$2:$E$38,0),[4]!CERCHA($D337,'Curva Gobierno'!$J$2:$K$22)))*100,"")</f>
        <v/>
      </c>
    </row>
    <row r="338" spans="1:7">
      <c r="A338" t="s">
        <v>18</v>
      </c>
      <c r="B338" s="218" t="str">
        <f>+_xll.BDP($A338&amp;" Corp","ID_CUSIP")</f>
        <v>EK2747443</v>
      </c>
      <c r="G338" s="199" t="str">
        <f>+IFERROR((E338-IF(F338="CLF",[4]!CERCHA($D338,'Curva Gobierno'!$D$2:$E$38,0),[4]!CERCHA($D338,'Curva Gobierno'!$J$2:$K$22)))*100,"")</f>
        <v/>
      </c>
    </row>
    <row r="339" spans="1:7">
      <c r="A339" t="s">
        <v>17</v>
      </c>
      <c r="B339" s="218" t="str">
        <f>+_xll.BDP($A339&amp;" Corp","ID_CUSIP")</f>
        <v>EK8775448</v>
      </c>
      <c r="G339" s="199" t="str">
        <f>+IFERROR((E339-IF(F339="CLF",[4]!CERCHA($D339,'Curva Gobierno'!$D$2:$E$38,0),[4]!CERCHA($D339,'Curva Gobierno'!$J$2:$K$22)))*100,"")</f>
        <v/>
      </c>
    </row>
    <row r="340" spans="1:7">
      <c r="A340" t="s">
        <v>225</v>
      </c>
      <c r="B340" s="218" t="str">
        <f>+_xll.BDP($A340&amp;" Corp","ID_CUSIP")</f>
        <v>EJ0411599</v>
      </c>
      <c r="G340" s="199" t="str">
        <f>+IFERROR((E340-IF(F340="CLF",[4]!CERCHA($D340,'Curva Gobierno'!$D$2:$E$38,0),[4]!CERCHA($D340,'Curva Gobierno'!$J$2:$K$22)))*100,"")</f>
        <v/>
      </c>
    </row>
    <row r="341" spans="1:7">
      <c r="A341" t="s">
        <v>226</v>
      </c>
      <c r="B341" s="218" t="str">
        <f>+_xll.BDP($A341&amp;" Corp","ID_CUSIP")</f>
        <v>EK2747625</v>
      </c>
      <c r="G341" s="199" t="str">
        <f>+IFERROR((E341-IF(F341="CLF",[4]!CERCHA($D341,'Curva Gobierno'!$D$2:$E$38,0),[4]!CERCHA($D341,'Curva Gobierno'!$J$2:$K$22)))*100,"")</f>
        <v/>
      </c>
    </row>
    <row r="342" spans="1:7">
      <c r="A342" t="s">
        <v>227</v>
      </c>
      <c r="B342" s="218" t="str">
        <f>+_xll.BDP($A342&amp;" Corp","ID_CUSIP")</f>
        <v>EK9859522</v>
      </c>
      <c r="G342" s="199" t="str">
        <f>+IFERROR((E342-IF(F342="CLF",[4]!CERCHA($D342,'Curva Gobierno'!$D$2:$E$38,0),[4]!CERCHA($D342,'Curva Gobierno'!$J$2:$K$22)))*100,"")</f>
        <v/>
      </c>
    </row>
    <row r="343" spans="1:7">
      <c r="A343" t="s">
        <v>228</v>
      </c>
      <c r="B343" s="218" t="str">
        <f>+_xll.BDP($A343&amp;" Corp","ID_CUSIP")</f>
        <v>EJ5299593</v>
      </c>
      <c r="G343" s="199" t="str">
        <f>+IFERROR((E343-IF(F343="CLF",[4]!CERCHA($D343,'Curva Gobierno'!$D$2:$E$38,0),[4]!CERCHA($D343,'Curva Gobierno'!$J$2:$K$22)))*100,"")</f>
        <v/>
      </c>
    </row>
    <row r="344" spans="1:7">
      <c r="A344" t="s">
        <v>22</v>
      </c>
      <c r="B344" s="218"/>
      <c r="G344" s="199" t="str">
        <f>+IFERROR((E344-IF(F344="CLF",[4]!CERCHA($D344,'Curva Gobierno'!$D$2:$E$38,0),[4]!CERCHA($D344,'Curva Gobierno'!$J$2:$K$22)))*100,"")</f>
        <v/>
      </c>
    </row>
    <row r="345" spans="1:7">
      <c r="A345" t="s">
        <v>49</v>
      </c>
      <c r="B345" s="218"/>
      <c r="G345" s="199" t="str">
        <f>+IFERROR((E345-IF(F345="CLF",[4]!CERCHA($D345,'Curva Gobierno'!$D$2:$E$38,0),[4]!CERCHA($D345,'Curva Gobierno'!$J$2:$K$22)))*100,"")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/>
  <dimension ref="B2:Q18"/>
  <sheetViews>
    <sheetView workbookViewId="0">
      <selection activeCell="B41" sqref="B41"/>
    </sheetView>
  </sheetViews>
  <sheetFormatPr baseColWidth="10" defaultRowHeight="14.25"/>
  <cols>
    <col min="1" max="1" width="4.625" customWidth="1"/>
    <col min="2" max="2" width="12.75" bestFit="1" customWidth="1"/>
    <col min="3" max="3" width="17.25" bestFit="1" customWidth="1"/>
    <col min="4" max="10" width="5.875" customWidth="1"/>
    <col min="11" max="11" width="14.375" bestFit="1" customWidth="1"/>
    <col min="12" max="12" width="13.375" bestFit="1" customWidth="1"/>
    <col min="14" max="15" width="14.625" bestFit="1" customWidth="1"/>
  </cols>
  <sheetData>
    <row r="2" spans="2:17">
      <c r="K2" s="98" t="e">
        <f ca="1">+K6/675</f>
        <v>#N/A</v>
      </c>
    </row>
    <row r="3" spans="2:17">
      <c r="K3" s="98"/>
      <c r="N3" s="186" t="str">
        <f>+_xll.BDP(N4&amp;" Govt","DUR_ADJ_MID")</f>
        <v>#N/A N/A</v>
      </c>
      <c r="O3" s="186">
        <f>+_xll.BDP(O4&amp;" Govt","DUR_ADJ_MID")</f>
        <v>6.9881201956675882</v>
      </c>
      <c r="P3" s="186" t="str">
        <f>+_xll.BDP(P4&amp;" Govt","DUR_ADJ_MID")</f>
        <v>#N/A N/A</v>
      </c>
      <c r="Q3" s="186">
        <f>+_xll.BDP(Q4&amp;" Govt","DUR_ADJ_MID")</f>
        <v>7.6483974095334508</v>
      </c>
    </row>
    <row r="4" spans="2:17">
      <c r="N4" s="287" t="s">
        <v>356</v>
      </c>
      <c r="O4" s="287" t="s">
        <v>17</v>
      </c>
      <c r="P4" s="287" t="s">
        <v>159</v>
      </c>
      <c r="Q4" s="286" t="s">
        <v>19</v>
      </c>
    </row>
    <row r="5" spans="2:17">
      <c r="B5" s="286" t="s">
        <v>1076</v>
      </c>
      <c r="C5" s="287" t="s">
        <v>324</v>
      </c>
      <c r="D5" s="287" t="s">
        <v>104</v>
      </c>
      <c r="E5" s="287" t="s">
        <v>6</v>
      </c>
      <c r="F5" s="287" t="s">
        <v>105</v>
      </c>
      <c r="G5" s="287" t="s">
        <v>117</v>
      </c>
      <c r="H5" s="287" t="s">
        <v>119</v>
      </c>
      <c r="I5" s="287" t="s">
        <v>120</v>
      </c>
      <c r="J5" s="287" t="s">
        <v>118</v>
      </c>
      <c r="K5" s="286" t="s">
        <v>1483</v>
      </c>
      <c r="L5" s="286" t="s">
        <v>1482</v>
      </c>
      <c r="M5" s="287" t="s">
        <v>91</v>
      </c>
      <c r="N5" s="287" t="s">
        <v>1484</v>
      </c>
      <c r="O5" s="287" t="s">
        <v>1485</v>
      </c>
      <c r="P5" s="287" t="s">
        <v>1486</v>
      </c>
      <c r="Q5" s="287" t="s">
        <v>1487</v>
      </c>
    </row>
    <row r="6" spans="2:17">
      <c r="B6" s="17" t="str">
        <f>+Inicio!B6</f>
        <v>IMT E-PLUS</v>
      </c>
      <c r="C6" s="282" t="e">
        <f ca="1">+Inicio!G6</f>
        <v>#N/A</v>
      </c>
      <c r="D6" s="283">
        <f>+SUMIFS(BaseCompleta!$G:$G,BaseCompleta!$B:$B,'Cambio Posicion'!$B6,BaseCompleta!$M:$M,"$")+SUMIFS(Derivatives!$E:$E,Derivatives!$A:$A,Posicionamiento!$B$2,Derivatives!$C:$C,"$")-SUMIFS(Derivatives!$F:$F,Derivatives!$A:$A,Posicionamiento!$B$2,Derivatives!$D:$D,"$")</f>
        <v>0.24921699999999999</v>
      </c>
      <c r="E6" s="283">
        <f>+SUMIFS(BaseCompleta!$G:$G,BaseCompleta!$B:$B,'Cambio Posicion'!$B6,BaseCompleta!$M:$M,E$5)+SUMIFS(Derivatives!$E:$E,Derivatives!$A:$A,Posicionamiento!$B$2,Derivatives!$C:$C,E$5)-SUMIFS(Derivatives!$F:$F,Derivatives!$A:$A,Posicionamiento!$B$2,Derivatives!$D:$D,E$5)</f>
        <v>0.70101699999999989</v>
      </c>
      <c r="F6" s="283">
        <f>+SUMIFS(BaseCompleta!$G:$G,BaseCompleta!$B:$B,'Cambio Posicion'!$B6,BaseCompleta!$M:$M,"US$")+SUMIFS(Derivatives!$E:$E,Derivatives!$A:$A,Posicionamiento!$B$2,Derivatives!$C:$C,"US$")-SUMIFS(Derivatives!$F:$F,Derivatives!$A:$A,Posicionamiento!$B$2,Derivatives!$D:$D,"US$")</f>
        <v>3.5721999999999997E-2</v>
      </c>
      <c r="G6" s="283">
        <f>+SUMIFS(BaseCompleta!$G:$G,BaseCompleta!$B:$B,'Cambio Posicion'!$B6,BaseCompleta!$M:$M,"REA")+SUMIFS(Derivatives!$E:$E,Derivatives!$A:$A,Posicionamiento!$B$2,Derivatives!$C:$C,"REA")-SUMIFS(Derivatives!$F:$F,Derivatives!$A:$A,Posicionamiento!$B$2,Derivatives!$D:$D,"REA")</f>
        <v>0</v>
      </c>
      <c r="H6" s="283">
        <f>+SUMIFS(BaseCompleta!$G:$G,BaseCompleta!$B:$B,'Cambio Posicion'!$B6,BaseCompleta!$M:$M,"MX")+SUMIFS(Derivatives!$E:$E,Derivatives!$A:$A,Posicionamiento!$B$2,Derivatives!$C:$C,"MX")-SUMIFS(Derivatives!$F:$F,Derivatives!$A:$A,Posicionamiento!$B$2,Derivatives!$D:$D,"MX")</f>
        <v>1.3991E-2</v>
      </c>
      <c r="I6" s="283">
        <f>+SUMIFS(BaseCompleta!$G:$G,BaseCompleta!$B:$B,'Cambio Posicion'!$B6,BaseCompleta!$M:$M,"SOL")+SUMIFS(Derivatives!$E:$E,Derivatives!$A:$A,Posicionamiento!$B$2,Derivatives!$C:$C,"SOL")-SUMIFS(Derivatives!$F:$F,Derivatives!$A:$A,Posicionamiento!$B$2,Derivatives!$D:$D,"SOL")</f>
        <v>0</v>
      </c>
      <c r="J6" s="283">
        <f>+SUMIFS(BaseCompleta!$G:$G,BaseCompleta!$B:$B,'Cambio Posicion'!$B6,BaseCompleta!$M:$M,J$5)+SUMIFS(Derivatives!$E:$E,Derivatives!$A:$A,Posicionamiento!$B$2,Derivatives!$C:$C,J$5)-SUMIFS(Derivatives!$F:$F,Derivatives!$A:$A,Posicionamiento!$B$2,Derivatives!$D:$D,J$5)</f>
        <v>0</v>
      </c>
      <c r="K6" s="284" t="e">
        <f ca="1">0.01*C6</f>
        <v>#N/A</v>
      </c>
      <c r="L6" s="285" t="e">
        <f ca="1">+K6/_xll.BDP("CLF Curncy","PX_LAST")</f>
        <v>#N/A</v>
      </c>
      <c r="M6" s="285" t="e">
        <f ca="1">+SUMIF(BaseCompleta!$B:$B,'Cambio Posicion'!$B6,BaseCompleta!$S:$S)/$C6</f>
        <v>#N/A</v>
      </c>
      <c r="N6" s="289" t="e">
        <f ca="1">1/N$3*$C6</f>
        <v>#VALUE!</v>
      </c>
      <c r="O6" s="289" t="e">
        <f ca="1">1/O$3*$C6</f>
        <v>#N/A</v>
      </c>
      <c r="P6" s="289" t="e">
        <f ca="1">1/P$3*$C6/_xll.BDP("CLF Curncy","PX_LAST")</f>
        <v>#VALUE!</v>
      </c>
      <c r="Q6" s="289" t="e">
        <f ca="1">1/Q$3*$C6/_xll.BDP("CLF Curncy","PX_LAST")</f>
        <v>#N/A</v>
      </c>
    </row>
    <row r="7" spans="2:17">
      <c r="B7" s="17" t="str">
        <f>+Inicio!B7</f>
        <v>RENTA</v>
      </c>
      <c r="C7" s="282" t="e">
        <f ca="1">+Inicio!G7</f>
        <v>#N/A</v>
      </c>
      <c r="D7" s="283">
        <f>+SUMIFS(BaseCompleta!$G:$G,BaseCompleta!$B:$B,'Cambio Posicion'!$B7,BaseCompleta!$M:$M,"$")+SUMIFS(Derivatives!$E:$E,Derivatives!$A:$A,Posicionamiento!$B$2,Derivatives!$C:$C,"$")-SUMIFS(Derivatives!$F:$F,Derivatives!$A:$A,Posicionamiento!$B$2,Derivatives!$D:$D,"$")</f>
        <v>0.28526199999999996</v>
      </c>
      <c r="E7" s="283">
        <f>+SUMIFS(BaseCompleta!$G:$G,BaseCompleta!$B:$B,'Cambio Posicion'!$B7,BaseCompleta!$M:$M,E$5)+SUMIFS(Derivatives!$E:$E,Derivatives!$A:$A,Posicionamiento!$B$2,Derivatives!$C:$C,E$5)-SUMIFS(Derivatives!$F:$F,Derivatives!$A:$A,Posicionamiento!$B$2,Derivatives!$D:$D,E$5)</f>
        <v>0.71465000000000012</v>
      </c>
      <c r="F7" s="283">
        <f>+SUMIFS(BaseCompleta!$G:$G,BaseCompleta!$B:$B,'Cambio Posicion'!$B7,BaseCompleta!$M:$M,"US$")+SUMIFS(Derivatives!$E:$E,Derivatives!$A:$A,Posicionamiento!$B$2,Derivatives!$C:$C,"US$")-SUMIFS(Derivatives!$F:$F,Derivatives!$A:$A,Posicionamiento!$B$2,Derivatives!$D:$D,"US$")</f>
        <v>0</v>
      </c>
      <c r="G7" s="283">
        <f>+SUMIFS(BaseCompleta!$G:$G,BaseCompleta!$B:$B,'Cambio Posicion'!$B7,BaseCompleta!$M:$M,"REA")+SUMIFS(Derivatives!$E:$E,Derivatives!$A:$A,Posicionamiento!$B$2,Derivatives!$C:$C,"REA")-SUMIFS(Derivatives!$F:$F,Derivatives!$A:$A,Posicionamiento!$B$2,Derivatives!$D:$D,"REA")</f>
        <v>0</v>
      </c>
      <c r="H7" s="283">
        <f>+SUMIFS(BaseCompleta!$G:$G,BaseCompleta!$B:$B,'Cambio Posicion'!$B7,BaseCompleta!$M:$M,"MX")+SUMIFS(Derivatives!$E:$E,Derivatives!$A:$A,Posicionamiento!$B$2,Derivatives!$C:$C,"MX")-SUMIFS(Derivatives!$F:$F,Derivatives!$A:$A,Posicionamiento!$B$2,Derivatives!$D:$D,"MX")</f>
        <v>0</v>
      </c>
      <c r="I7" s="283">
        <f>+SUMIFS(BaseCompleta!$G:$G,BaseCompleta!$B:$B,'Cambio Posicion'!$B7,BaseCompleta!$M:$M,"SOL")+SUMIFS(Derivatives!$E:$E,Derivatives!$A:$A,Posicionamiento!$B$2,Derivatives!$C:$C,"SOL")-SUMIFS(Derivatives!$F:$F,Derivatives!$A:$A,Posicionamiento!$B$2,Derivatives!$D:$D,"SOL")</f>
        <v>0</v>
      </c>
      <c r="J7" s="283">
        <f>+SUMIFS(BaseCompleta!$G:$G,BaseCompleta!$B:$B,'Cambio Posicion'!$B7,BaseCompleta!$M:$M,J$5)+SUMIFS(Derivatives!$E:$E,Derivatives!$A:$A,Posicionamiento!$B$2,Derivatives!$C:$C,J$5)-SUMIFS(Derivatives!$F:$F,Derivatives!$A:$A,Posicionamiento!$B$2,Derivatives!$D:$D,J$5)</f>
        <v>0</v>
      </c>
      <c r="K7" s="284" t="e">
        <f t="shared" ref="K7:K9" ca="1" si="0">0.01*C7</f>
        <v>#N/A</v>
      </c>
      <c r="L7" s="285" t="e">
        <f ca="1">+K7/_xll.BDP("CLF Curncy","PX_LAST")</f>
        <v>#N/A</v>
      </c>
      <c r="M7" s="285" t="e">
        <f ca="1">+SUMIF(BaseCompleta!$B:$B,'Cambio Posicion'!$B7,BaseCompleta!$S:$S)/$C7</f>
        <v>#N/A</v>
      </c>
      <c r="N7" s="289" t="e">
        <f t="shared" ref="N7:O9" ca="1" si="1">1/N$3*$C7</f>
        <v>#VALUE!</v>
      </c>
      <c r="O7" s="289" t="e">
        <f t="shared" ca="1" si="1"/>
        <v>#N/A</v>
      </c>
      <c r="P7" s="289" t="e">
        <f ca="1">1/P$3*$C7/_xll.BDP("CLF Curncy","PX_LAST")</f>
        <v>#VALUE!</v>
      </c>
      <c r="Q7" s="289" t="e">
        <f ca="1">1/Q$3*$C7/_xll.BDP("CLF Curncy","PX_LAST")</f>
        <v>#N/A</v>
      </c>
    </row>
    <row r="8" spans="2:17">
      <c r="B8" s="17" t="str">
        <f>+Inicio!B8</f>
        <v>MACRO CLP3</v>
      </c>
      <c r="C8" s="282" t="e">
        <f ca="1">+Inicio!G8</f>
        <v>#N/A</v>
      </c>
      <c r="D8" s="283">
        <f>+SUMIFS(BaseCompleta!$G:$G,BaseCompleta!$B:$B,'Cambio Posicion'!$B8,BaseCompleta!$M:$M,"$")+SUMIFS(Derivatives!$E:$E,Derivatives!$A:$A,Posicionamiento!$B$2,Derivatives!$C:$C,"$")-SUMIFS(Derivatives!$F:$F,Derivatives!$A:$A,Posicionamiento!$B$2,Derivatives!$D:$D,"$")</f>
        <v>0.65197900000000009</v>
      </c>
      <c r="E8" s="283">
        <f>+SUMIFS(BaseCompleta!$G:$G,BaseCompleta!$B:$B,'Cambio Posicion'!$B8,BaseCompleta!$M:$M,E$5)+SUMIFS(Derivatives!$E:$E,Derivatives!$A:$A,Posicionamiento!$B$2,Derivatives!$C:$C,E$5)-SUMIFS(Derivatives!$F:$F,Derivatives!$A:$A,Posicionamiento!$B$2,Derivatives!$D:$D,E$5)</f>
        <v>0.34504200000000007</v>
      </c>
      <c r="F8" s="283">
        <f>+SUMIFS(BaseCompleta!$G:$G,BaseCompleta!$B:$B,'Cambio Posicion'!$B8,BaseCompleta!$M:$M,"US$")+SUMIFS(Derivatives!$E:$E,Derivatives!$A:$A,Posicionamiento!$B$2,Derivatives!$C:$C,"US$")-SUMIFS(Derivatives!$F:$F,Derivatives!$A:$A,Posicionamiento!$B$2,Derivatives!$D:$D,"US$")</f>
        <v>0</v>
      </c>
      <c r="G8" s="283">
        <f>+SUMIFS(BaseCompleta!$G:$G,BaseCompleta!$B:$B,'Cambio Posicion'!$B8,BaseCompleta!$M:$M,"REA")+SUMIFS(Derivatives!$E:$E,Derivatives!$A:$A,Posicionamiento!$B$2,Derivatives!$C:$C,"REA")-SUMIFS(Derivatives!$F:$F,Derivatives!$A:$A,Posicionamiento!$B$2,Derivatives!$D:$D,"REA")</f>
        <v>0</v>
      </c>
      <c r="H8" s="283">
        <f>+SUMIFS(BaseCompleta!$G:$G,BaseCompleta!$B:$B,'Cambio Posicion'!$B8,BaseCompleta!$M:$M,"MX")+SUMIFS(Derivatives!$E:$E,Derivatives!$A:$A,Posicionamiento!$B$2,Derivatives!$C:$C,"MX")-SUMIFS(Derivatives!$F:$F,Derivatives!$A:$A,Posicionamiento!$B$2,Derivatives!$D:$D,"MX")</f>
        <v>0</v>
      </c>
      <c r="I8" s="283">
        <f>+SUMIFS(BaseCompleta!$G:$G,BaseCompleta!$B:$B,'Cambio Posicion'!$B8,BaseCompleta!$M:$M,"SOL")+SUMIFS(Derivatives!$E:$E,Derivatives!$A:$A,Posicionamiento!$B$2,Derivatives!$C:$C,"SOL")-SUMIFS(Derivatives!$F:$F,Derivatives!$A:$A,Posicionamiento!$B$2,Derivatives!$D:$D,"SOL")</f>
        <v>0</v>
      </c>
      <c r="J8" s="283">
        <f>+SUMIFS(BaseCompleta!$G:$G,BaseCompleta!$B:$B,'Cambio Posicion'!$B8,BaseCompleta!$M:$M,J$5)+SUMIFS(Derivatives!$E:$E,Derivatives!$A:$A,Posicionamiento!$B$2,Derivatives!$C:$C,J$5)-SUMIFS(Derivatives!$F:$F,Derivatives!$A:$A,Posicionamiento!$B$2,Derivatives!$D:$D,J$5)</f>
        <v>0</v>
      </c>
      <c r="K8" s="284" t="e">
        <f t="shared" ca="1" si="0"/>
        <v>#N/A</v>
      </c>
      <c r="L8" s="285" t="e">
        <f ca="1">+K8/_xll.BDP("CLF Curncy","PX_LAST")</f>
        <v>#N/A</v>
      </c>
      <c r="M8" s="285" t="e">
        <f ca="1">+SUMIF(BaseCompleta!$B:$B,'Cambio Posicion'!$B8,BaseCompleta!$S:$S)/$C8</f>
        <v>#N/A</v>
      </c>
      <c r="N8" s="289" t="e">
        <f t="shared" ca="1" si="1"/>
        <v>#VALUE!</v>
      </c>
      <c r="O8" s="289" t="e">
        <f t="shared" ca="1" si="1"/>
        <v>#N/A</v>
      </c>
      <c r="P8" s="289" t="e">
        <f ca="1">1/P$3*$C8/_xll.BDP("CLF Curncy","PX_LAST")</f>
        <v>#VALUE!</v>
      </c>
      <c r="Q8" s="289" t="e">
        <f ca="1">1/Q$3*$C8/_xll.BDP("CLF Curncy","PX_LAST")</f>
        <v>#N/A</v>
      </c>
    </row>
    <row r="9" spans="2:17">
      <c r="B9" s="17" t="str">
        <f>+Inicio!B9</f>
        <v>MACRO 1.5</v>
      </c>
      <c r="C9" s="282" t="e">
        <f ca="1">+Inicio!G9</f>
        <v>#N/A</v>
      </c>
      <c r="D9" s="283">
        <f>+SUMIFS(BaseCompleta!$G:$G,BaseCompleta!$B:$B,'Cambio Posicion'!$B9,BaseCompleta!$M:$M,"$")+SUMIFS(Derivatives!$E:$E,Derivatives!$A:$A,Posicionamiento!$B$2,Derivatives!$C:$C,"$")-SUMIFS(Derivatives!$F:$F,Derivatives!$A:$A,Posicionamiento!$B$2,Derivatives!$D:$D,"$")</f>
        <v>0.77888200000000007</v>
      </c>
      <c r="E9" s="283">
        <f>+SUMIFS(BaseCompleta!$G:$G,BaseCompleta!$B:$B,'Cambio Posicion'!$B9,BaseCompleta!$M:$M,E$5)+SUMIFS(Derivatives!$E:$E,Derivatives!$A:$A,Posicionamiento!$B$2,Derivatives!$C:$C,E$5)-SUMIFS(Derivatives!$F:$F,Derivatives!$A:$A,Posicionamiento!$B$2,Derivatives!$D:$D,E$5)</f>
        <v>0.22111000000000003</v>
      </c>
      <c r="F9" s="283">
        <f>+SUMIFS(BaseCompleta!$G:$G,BaseCompleta!$B:$B,'Cambio Posicion'!$B9,BaseCompleta!$M:$M,"US$")+SUMIFS(Derivatives!$E:$E,Derivatives!$A:$A,Posicionamiento!$B$2,Derivatives!$C:$C,"US$")-SUMIFS(Derivatives!$F:$F,Derivatives!$A:$A,Posicionamiento!$B$2,Derivatives!$D:$D,"US$")</f>
        <v>0</v>
      </c>
      <c r="G9" s="283">
        <f>+SUMIFS(BaseCompleta!$G:$G,BaseCompleta!$B:$B,'Cambio Posicion'!$B9,BaseCompleta!$M:$M,"REA")+SUMIFS(Derivatives!$E:$E,Derivatives!$A:$A,Posicionamiento!$B$2,Derivatives!$C:$C,"REA")-SUMIFS(Derivatives!$F:$F,Derivatives!$A:$A,Posicionamiento!$B$2,Derivatives!$D:$D,"REA")</f>
        <v>0</v>
      </c>
      <c r="H9" s="283">
        <f>+SUMIFS(BaseCompleta!$G:$G,BaseCompleta!$B:$B,'Cambio Posicion'!$B9,BaseCompleta!$M:$M,"MX")+SUMIFS(Derivatives!$E:$E,Derivatives!$A:$A,Posicionamiento!$B$2,Derivatives!$C:$C,"MX")-SUMIFS(Derivatives!$F:$F,Derivatives!$A:$A,Posicionamiento!$B$2,Derivatives!$D:$D,"MX")</f>
        <v>0</v>
      </c>
      <c r="I9" s="283">
        <f>+SUMIFS(BaseCompleta!$G:$G,BaseCompleta!$B:$B,'Cambio Posicion'!$B9,BaseCompleta!$M:$M,"SOL")+SUMIFS(Derivatives!$E:$E,Derivatives!$A:$A,Posicionamiento!$B$2,Derivatives!$C:$C,"SOL")-SUMIFS(Derivatives!$F:$F,Derivatives!$A:$A,Posicionamiento!$B$2,Derivatives!$D:$D,"SOL")</f>
        <v>0</v>
      </c>
      <c r="J9" s="283">
        <f>+SUMIFS(BaseCompleta!$G:$G,BaseCompleta!$B:$B,'Cambio Posicion'!$B9,BaseCompleta!$M:$M,J$5)+SUMIFS(Derivatives!$E:$E,Derivatives!$A:$A,Posicionamiento!$B$2,Derivatives!$C:$C,J$5)-SUMIFS(Derivatives!$F:$F,Derivatives!$A:$A,Posicionamiento!$B$2,Derivatives!$D:$D,J$5)</f>
        <v>0</v>
      </c>
      <c r="K9" s="284" t="e">
        <f t="shared" ca="1" si="0"/>
        <v>#N/A</v>
      </c>
      <c r="L9" s="285" t="e">
        <f ca="1">+K9/_xll.BDP("CLF Curncy","PX_LAST")</f>
        <v>#N/A</v>
      </c>
      <c r="M9" s="285" t="e">
        <f ca="1">+SUMIF(BaseCompleta!$B:$B,'Cambio Posicion'!$B9,BaseCompleta!$S:$S)/$C9</f>
        <v>#N/A</v>
      </c>
      <c r="N9" s="289" t="e">
        <f t="shared" ca="1" si="1"/>
        <v>#VALUE!</v>
      </c>
      <c r="O9" s="289" t="e">
        <f t="shared" ca="1" si="1"/>
        <v>#N/A</v>
      </c>
      <c r="P9" s="289" t="e">
        <f ca="1">1/P$3*$C9/_xll.BDP("CLF Curncy","PX_LAST")</f>
        <v>#VALUE!</v>
      </c>
      <c r="Q9" s="289" t="e">
        <f ca="1">1/Q$3*$C9/_xll.BDP("CLF Curncy","PX_LAST")</f>
        <v>#N/A</v>
      </c>
    </row>
    <row r="11" spans="2:17">
      <c r="N11" s="288"/>
    </row>
    <row r="14" spans="2:17">
      <c r="L14" s="218"/>
    </row>
    <row r="15" spans="2:17">
      <c r="L15" s="218"/>
    </row>
    <row r="16" spans="2:17">
      <c r="L16" s="218"/>
    </row>
    <row r="17" spans="12:12">
      <c r="L17" s="218"/>
    </row>
    <row r="18" spans="12:12">
      <c r="L18" s="2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9</vt:i4>
      </vt:variant>
    </vt:vector>
  </HeadingPairs>
  <TitlesOfParts>
    <vt:vector size="27" baseType="lpstr">
      <vt:lpstr>AportesRescates</vt:lpstr>
      <vt:lpstr>BaseCompleta</vt:lpstr>
      <vt:lpstr>Inicio</vt:lpstr>
      <vt:lpstr>Posicionamiento</vt:lpstr>
      <vt:lpstr>Datos Riesgo</vt:lpstr>
      <vt:lpstr>Resumen</vt:lpstr>
      <vt:lpstr>Pos_RF_BK_U</vt:lpstr>
      <vt:lpstr>Rebalanceos</vt:lpstr>
      <vt:lpstr>Derivatives</vt:lpstr>
      <vt:lpstr>Caja</vt:lpstr>
      <vt:lpstr>UF</vt:lpstr>
      <vt:lpstr>TransIF</vt:lpstr>
      <vt:lpstr>TransRF</vt:lpstr>
      <vt:lpstr>Emisor Consolidado</vt:lpstr>
      <vt:lpstr>Tasas Diarias</vt:lpstr>
      <vt:lpstr>Curva Gobierno</vt:lpstr>
      <vt:lpstr>Spreads</vt:lpstr>
      <vt:lpstr>Cambio Posicion</vt:lpstr>
      <vt:lpstr>ARSCLP</vt:lpstr>
      <vt:lpstr>BRLCLP</vt:lpstr>
      <vt:lpstr>COPCLP</vt:lpstr>
      <vt:lpstr>EURCLPobs</vt:lpstr>
      <vt:lpstr>FechaConsulta</vt:lpstr>
      <vt:lpstr>Inicio!Indicadoresdiarios_1</vt:lpstr>
      <vt:lpstr>MXNCLP</vt:lpstr>
      <vt:lpstr>PENCLP</vt:lpstr>
      <vt:lpstr>USDCLPobs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Araujo Guerra</dc:creator>
  <cp:lastModifiedBy>Fernando Suarez B.</cp:lastModifiedBy>
  <cp:lastPrinted>2017-02-03T12:18:52Z</cp:lastPrinted>
  <dcterms:created xsi:type="dcterms:W3CDTF">2016-02-03T22:34:24Z</dcterms:created>
  <dcterms:modified xsi:type="dcterms:W3CDTF">2017-11-20T20:10:34Z</dcterms:modified>
</cp:coreProperties>
</file>